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214.xml" ContentType="application/vnd.openxmlformats-officedocument.drawingml.chart+xml"/>
  <Override PartName="/xl/charts/chart213.xml" ContentType="application/vnd.openxmlformats-officedocument.drawingml.chart+xml"/>
  <Override PartName="/xl/drawings/drawing25.xml" ContentType="application/vnd.openxmlformats-officedocument.drawing+xml"/>
  <Override PartName="/xl/charts/chart212.xml" ContentType="application/vnd.openxmlformats-officedocument.drawingml.chart+xml"/>
  <Override PartName="/xl/charts/chart211.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21.xml" ContentType="application/vnd.openxmlformats-officedocument.drawingml.chart+xml"/>
  <Override PartName="/xl/charts/chart220.xml" ContentType="application/vnd.openxmlformats-officedocument.drawingml.chart+xml"/>
  <Override PartName="/xl/charts/chart219.xml" ContentType="application/vnd.openxmlformats-officedocument.drawingml.chart+xml"/>
  <Override PartName="/xl/charts/chart218.xml" ContentType="application/vnd.openxmlformats-officedocument.drawingml.chart+xml"/>
  <Override PartName="/xl/charts/chart210.xml" ContentType="application/vnd.openxmlformats-officedocument.drawingml.chart+xml"/>
  <Override PartName="/xl/charts/chart209.xml" ContentType="application/vnd.openxmlformats-officedocument.drawingml.chart+xml"/>
  <Override PartName="/xl/charts/chart208.xml" ContentType="application/vnd.openxmlformats-officedocument.drawingml.chart+xml"/>
  <Override PartName="/xl/charts/chart201.xml" ContentType="application/vnd.openxmlformats-officedocument.drawingml.chart+xml"/>
  <Override PartName="/xl/charts/chart200.xml" ContentType="application/vnd.openxmlformats-officedocument.drawingml.chart+xml"/>
  <Override PartName="/xl/charts/chart199.xml" ContentType="application/vnd.openxmlformats-officedocument.drawingml.chart+xml"/>
  <Override PartName="/xl/charts/chart198.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drawings/drawing24.xml" ContentType="application/vnd.openxmlformats-officedocument.drawing+xml"/>
  <Override PartName="/xl/charts/chart207.xml" ContentType="application/vnd.openxmlformats-officedocument.drawingml.chart+xml"/>
  <Override PartName="/xl/charts/chart206.xml" ContentType="application/vnd.openxmlformats-officedocument.drawingml.chart+xml"/>
  <Override PartName="/xl/charts/chart205.xml" ContentType="application/vnd.openxmlformats-officedocument.drawingml.chart+xml"/>
  <Override PartName="/xl/charts/chart204.xml" ContentType="application/vnd.openxmlformats-officedocument.drawingml.chart+xml"/>
  <Override PartName="/xl/drawings/drawing26.xml" ContentType="application/vnd.openxmlformats-officedocument.drawing+xml"/>
  <Override PartName="/xl/charts/chart222.xml" ContentType="application/vnd.openxmlformats-officedocument.drawingml.chart+xml"/>
  <Override PartName="/xl/charts/chart223.xml" ContentType="application/vnd.openxmlformats-officedocument.drawingml.chart+xml"/>
  <Override PartName="/xl/drawings/drawing28.xml" ContentType="application/vnd.openxmlformats-officedocument.drawing+xml"/>
  <Override PartName="/xl/charts/chart239.xml" ContentType="application/vnd.openxmlformats-officedocument.drawingml.chart+xml"/>
  <Override PartName="/xl/charts/chart238.xml" ContentType="application/vnd.openxmlformats-officedocument.drawingml.chart+xml"/>
  <Override PartName="/xl/charts/chart237.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6.xml" ContentType="application/vnd.openxmlformats-officedocument.drawingml.chart+xml"/>
  <Override PartName="/xl/charts/chart245.xml" ContentType="application/vnd.openxmlformats-officedocument.drawingml.chart+xml"/>
  <Override PartName="/xl/charts/chart244.xml" ContentType="application/vnd.openxmlformats-officedocument.drawingml.chart+xml"/>
  <Override PartName="/xl/charts/chart243.xml" ContentType="application/vnd.openxmlformats-officedocument.drawingml.chart+xml"/>
  <Override PartName="/xl/charts/chart236.xml" ContentType="application/vnd.openxmlformats-officedocument.drawingml.chart+xml"/>
  <Override PartName="/xl/charts/chart235.xml" ContentType="application/vnd.openxmlformats-officedocument.drawingml.chart+xml"/>
  <Override PartName="/xl/charts/chart234.xml" ContentType="application/vnd.openxmlformats-officedocument.drawingml.chart+xml"/>
  <Override PartName="/xl/charts/chart227.xml" ContentType="application/vnd.openxmlformats-officedocument.drawingml.chart+xml"/>
  <Override PartName="/xl/charts/chart226.xml" ContentType="application/vnd.openxmlformats-officedocument.drawingml.chart+xml"/>
  <Override PartName="/xl/charts/chart225.xml" ContentType="application/vnd.openxmlformats-officedocument.drawingml.chart+xml"/>
  <Override PartName="/xl/charts/chart224.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3.xml" ContentType="application/vnd.openxmlformats-officedocument.drawingml.chart+xml"/>
  <Override PartName="/xl/charts/chart232.xml" ContentType="application/vnd.openxmlformats-officedocument.drawingml.chart+xml"/>
  <Override PartName="/xl/charts/chart231.xml" ContentType="application/vnd.openxmlformats-officedocument.drawingml.chart+xml"/>
  <Override PartName="/xl/drawings/drawing27.xml" ContentType="application/vnd.openxmlformats-officedocument.drawing+xml"/>
  <Override PartName="/xl/charts/chart197.xml" ContentType="application/vnd.openxmlformats-officedocument.drawingml.chart+xml"/>
  <Override PartName="/xl/charts/chart196.xml" ContentType="application/vnd.openxmlformats-officedocument.drawingml.chart+xml"/>
  <Override PartName="/xl/charts/chart195.xml" ContentType="application/vnd.openxmlformats-officedocument.drawingml.chart+xml"/>
  <Override PartName="/xl/charts/chart163.xml" ContentType="application/vnd.openxmlformats-officedocument.drawingml.chart+xml"/>
  <Override PartName="/xl/drawings/drawing19.xml" ContentType="application/vnd.openxmlformats-officedocument.drawing+xml"/>
  <Override PartName="/xl/charts/chart162.xml" ContentType="application/vnd.openxmlformats-officedocument.drawingml.chart+xml"/>
  <Override PartName="/xl/charts/chart161.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70.xml" ContentType="application/vnd.openxmlformats-officedocument.drawingml.chart+xml"/>
  <Override PartName="/xl/charts/chart169.xml" ContentType="application/vnd.openxmlformats-officedocument.drawingml.chart+xml"/>
  <Override PartName="/xl/charts/chart168.xml" ContentType="application/vnd.openxmlformats-officedocument.drawingml.chart+xml"/>
  <Override PartName="/xl/charts/chart167.xml" ContentType="application/vnd.openxmlformats-officedocument.drawingml.chart+xml"/>
  <Override PartName="/xl/charts/chart160.xml" ContentType="application/vnd.openxmlformats-officedocument.drawingml.chart+xml"/>
  <Override PartName="/xl/charts/chart159.xml" ContentType="application/vnd.openxmlformats-officedocument.drawingml.chart+xml"/>
  <Override PartName="/xl/charts/chart158.xml" ContentType="application/vnd.openxmlformats-officedocument.drawingml.chart+xml"/>
  <Override PartName="/xl/charts/chart151.xml" ContentType="application/vnd.openxmlformats-officedocument.drawingml.chart+xml"/>
  <Override PartName="/xl/charts/chart150.xml" ContentType="application/vnd.openxmlformats-officedocument.drawingml.chart+xml"/>
  <Override PartName="/xl/charts/chart149.xml" ContentType="application/vnd.openxmlformats-officedocument.drawingml.chart+xml"/>
  <Override PartName="/xl/charts/chart148.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worksheets/sheet1.xml" ContentType="application/vnd.openxmlformats-officedocument.spreadsheetml.worksheet+xml"/>
  <Override PartName="/xl/charts/chart157.xml" ContentType="application/vnd.openxmlformats-officedocument.drawingml.chart+xml"/>
  <Override PartName="/xl/charts/chart156.xml" ContentType="application/vnd.openxmlformats-officedocument.drawingml.chart+xml"/>
  <Override PartName="/xl/charts/chart155.xml" ContentType="application/vnd.openxmlformats-officedocument.drawingml.chart+xml"/>
  <Override PartName="/xl/charts/chart154.xml" ContentType="application/vnd.openxmlformats-officedocument.drawingml.chart+xml"/>
  <Override PartName="/xl/charts/chart171.xml" ContentType="application/vnd.openxmlformats-officedocument.drawingml.chart+xml"/>
  <Override PartName="/xl/drawings/drawing20.xml" ContentType="application/vnd.openxmlformats-officedocument.drawing+xml"/>
  <Override PartName="/xl/charts/chart172.xml" ContentType="application/vnd.openxmlformats-officedocument.drawingml.chart+xml"/>
  <Override PartName="/xl/charts/chart188.xml" ContentType="application/vnd.openxmlformats-officedocument.drawingml.chart+xml"/>
  <Override PartName="/xl/charts/chart187.xml" ContentType="application/vnd.openxmlformats-officedocument.drawingml.chart+xml"/>
  <Override PartName="/xl/charts/chart186.xml" ContentType="application/vnd.openxmlformats-officedocument.drawingml.chart+xml"/>
  <Override PartName="/xl/drawings/drawing22.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drawings/drawing23.xml" ContentType="application/vnd.openxmlformats-officedocument.drawing+xml"/>
  <Override PartName="/xl/charts/chart194.xml" ContentType="application/vnd.openxmlformats-officedocument.drawingml.chart+xml"/>
  <Override PartName="/xl/charts/chart193.xml" ContentType="application/vnd.openxmlformats-officedocument.drawingml.chart+xml"/>
  <Override PartName="/xl/charts/chart192.xml" ContentType="application/vnd.openxmlformats-officedocument.drawingml.chart+xml"/>
  <Override PartName="/xl/charts/chart185.xml" ContentType="application/vnd.openxmlformats-officedocument.drawingml.chart+xml"/>
  <Override PartName="/xl/charts/chart184.xml" ContentType="application/vnd.openxmlformats-officedocument.drawingml.chart+xml"/>
  <Override PartName="/xl/charts/chart183.xml" ContentType="application/vnd.openxmlformats-officedocument.drawingml.chart+xml"/>
  <Override PartName="/xl/charts/chart176.xml" ContentType="application/vnd.openxmlformats-officedocument.drawingml.chart+xml"/>
  <Override PartName="/xl/charts/chart175.xml" ContentType="application/vnd.openxmlformats-officedocument.drawingml.chart+xml"/>
  <Override PartName="/xl/charts/chart174.xml" ContentType="application/vnd.openxmlformats-officedocument.drawingml.chart+xml"/>
  <Override PartName="/xl/charts/chart173.xml" ContentType="application/vnd.openxmlformats-officedocument.drawingml.chart+xml"/>
  <Override PartName="/xl/drawings/drawing21.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82.xml" ContentType="application/vnd.openxmlformats-officedocument.drawingml.chart+xml"/>
  <Override PartName="/xl/charts/chart181.xml" ContentType="application/vnd.openxmlformats-officedocument.drawingml.chart+xml"/>
  <Override PartName="/xl/charts/chart180.xml" ContentType="application/vnd.openxmlformats-officedocument.drawingml.chart+xml"/>
  <Override PartName="/xl/charts/chart179.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drawings/drawing29.xml" ContentType="application/vnd.openxmlformats-officedocument.drawing+xml"/>
  <Override PartName="/xl/charts/chart265.xml" ContentType="application/vnd.openxmlformats-officedocument.drawingml.chart+xml"/>
  <Override PartName="/xl/charts/chart264.xml" ContentType="application/vnd.openxmlformats-officedocument.drawingml.chart+xml"/>
  <Override PartName="/xl/charts/chart263.xml" ContentType="application/vnd.openxmlformats-officedocument.drawingml.chart+xml"/>
  <Override PartName="/xl/charts/chart262.xml" ContentType="application/vnd.openxmlformats-officedocument.drawingml.chart+xml"/>
  <Override PartName="/xl/charts/chart266.xml" ContentType="application/vnd.openxmlformats-officedocument.drawingml.chart+xml"/>
  <Override PartName="/xl/drawings/drawing31.xml" ContentType="application/vnd.openxmlformats-officedocument.drawing+xml"/>
  <Override PartName="/xl/charts/chart267.xml" ContentType="application/vnd.openxmlformats-officedocument.drawingml.chart+xml"/>
  <Override PartName="/xl/charts/chart271.xml" ContentType="application/vnd.openxmlformats-officedocument.drawingml.chart+xml"/>
  <Override PartName="/xl/charts/chart270.xml" ContentType="application/vnd.openxmlformats-officedocument.drawingml.chart+xml"/>
  <Override PartName="/xl/charts/chart269.xml" ContentType="application/vnd.openxmlformats-officedocument.drawingml.chart+xml"/>
  <Override PartName="/xl/charts/chart268.xml" ContentType="application/vnd.openxmlformats-officedocument.drawingml.chart+xml"/>
  <Override PartName="/xl/charts/chart261.xml" ContentType="application/vnd.openxmlformats-officedocument.drawingml.chart+xml"/>
  <Override PartName="/xl/charts/chart260.xml" ContentType="application/vnd.openxmlformats-officedocument.drawingml.chart+xml"/>
  <Override PartName="/xl/charts/chart259.xml" ContentType="application/vnd.openxmlformats-officedocument.drawingml.chart+xml"/>
  <Override PartName="/xl/charts/chart252.xml" ContentType="application/vnd.openxmlformats-officedocument.drawingml.chart+xml"/>
  <Override PartName="/xl/charts/chart251.xml" ContentType="application/vnd.openxmlformats-officedocument.drawingml.chart+xml"/>
  <Override PartName="/xl/charts/chart250.xml" ContentType="application/vnd.openxmlformats-officedocument.drawingml.chart+xml"/>
  <Override PartName="/xl/charts/chart249.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8.xml" ContentType="application/vnd.openxmlformats-officedocument.drawingml.chart+xml"/>
  <Override PartName="/xl/drawings/drawing30.xml" ContentType="application/vnd.openxmlformats-officedocument.drawing+xml"/>
  <Override PartName="/xl/charts/chart257.xml" ContentType="application/vnd.openxmlformats-officedocument.drawingml.chart+xml"/>
  <Override PartName="/xl/charts/chart256.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charts/chart277.xml" ContentType="application/vnd.openxmlformats-officedocument.drawingml.chart+xml"/>
  <Override PartName="/xl/charts/chart276.xml" ContentType="application/vnd.openxmlformats-officedocument.drawingml.chart+xml"/>
  <Override PartName="/xl/drawings/drawing32.xml" ContentType="application/vnd.openxmlformats-officedocument.drawing+xml"/>
  <Override PartName="/xl/charts/chart275.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4.xml" ContentType="application/vnd.openxmlformats-officedocument.drawingml.chart+xml"/>
  <Override PartName="/xl/charts/chart283.xml" ContentType="application/vnd.openxmlformats-officedocument.drawingml.chart+xml"/>
  <Override PartName="/xl/charts/chart282.xml" ContentType="application/vnd.openxmlformats-officedocument.drawingml.chart+xml"/>
  <Override PartName="/xl/charts/chart281.xml" ContentType="application/vnd.openxmlformats-officedocument.drawingml.chart+xml"/>
  <Override PartName="/xl/charts/chart147.xml" ContentType="application/vnd.openxmlformats-officedocument.drawingml.chart+xml"/>
  <Override PartName="/xl/drawings/drawing18.xml" ContentType="application/vnd.openxmlformats-officedocument.drawing+xml"/>
  <Override PartName="/xl/charts/chart145.xml" ContentType="application/vnd.openxmlformats-officedocument.drawingml.chart+xml"/>
  <Override PartName="/xl/charts/chart30.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drawings/drawing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5.xml" ContentType="application/vnd.openxmlformats-officedocument.drawing+xml"/>
  <Override PartName="/xl/charts/chart36.xml" ContentType="application/vnd.openxmlformats-officedocument.drawingml.chart+xml"/>
  <Override PartName="/xl/charts/chart35.xml" ContentType="application/vnd.openxmlformats-officedocument.drawingml.chart+xml"/>
  <Override PartName="/xl/charts/chart34.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18.xml" ContentType="application/vnd.openxmlformats-officedocument.drawingml.chart+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drawings/drawing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22.xml" ContentType="application/vnd.openxmlformats-officedocument.drawingml.chart+xml"/>
  <Override PartName="/xl/charts/chart21.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55.xml" ContentType="application/vnd.openxmlformats-officedocument.drawingml.chart+xml"/>
  <Override PartName="/xl/drawings/drawing7.xml" ContentType="application/vnd.openxmlformats-officedocument.drawing+xml"/>
  <Override PartName="/xl/charts/chart54.xml" ContentType="application/vnd.openxmlformats-officedocument.drawingml.chart+xml"/>
  <Override PartName="/xl/charts/chart53.xml" ContentType="application/vnd.openxmlformats-officedocument.drawingml.chart+xml"/>
  <Override PartName="/xl/charts/chart14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62.xml" ContentType="application/vnd.openxmlformats-officedocument.drawingml.chart+xml"/>
  <Override PartName="/xl/charts/chart61.xml" ContentType="application/vnd.openxmlformats-officedocument.drawingml.chart+xml"/>
  <Override PartName="/xl/charts/chart60.xml" ContentType="application/vnd.openxmlformats-officedocument.drawingml.chart+xml"/>
  <Override PartName="/xl/charts/chart59.xml" ContentType="application/vnd.openxmlformats-officedocument.drawingml.chart+xml"/>
  <Override PartName="/xl/charts/chart52.xml" ContentType="application/vnd.openxmlformats-officedocument.drawingml.chart+xml"/>
  <Override PartName="/xl/charts/chart51.xml" ContentType="application/vnd.openxmlformats-officedocument.drawingml.chart+xml"/>
  <Override PartName="/xl/charts/chart50.xml" ContentType="application/vnd.openxmlformats-officedocument.drawingml.chart+xml"/>
  <Override PartName="/xl/charts/chart43.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40.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6.xml" ContentType="application/vnd.openxmlformats-officedocument.drawing+xml"/>
  <Override PartName="/xl/charts/chart49.xml" ContentType="application/vnd.openxmlformats-officedocument.drawingml.chart+xml"/>
  <Override PartName="/xl/charts/chart48.xml" ContentType="application/vnd.openxmlformats-officedocument.drawingml.chart+xml"/>
  <Override PartName="/xl/charts/chart47.xml" ContentType="application/vnd.openxmlformats-officedocument.drawingml.chart+xml"/>
  <Override PartName="/xl/charts/chart46.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2.xml" ContentType="application/vnd.openxmlformats-officedocument.drawingml.char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11.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charts/chart9.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63.xml" ContentType="application/vnd.openxmlformats-officedocument.drawingml.chart+xml"/>
  <Override PartName="/xl/charts/chart56.xml" ContentType="application/vnd.openxmlformats-officedocument.drawingml.chart+xml"/>
  <Override PartName="/xl/drawings/drawing17.xml" ContentType="application/vnd.openxmlformats-officedocument.drawing+xml"/>
  <Override PartName="/xl/charts/chart113.xml" ContentType="application/vnd.openxmlformats-officedocument.drawingml.chart+xml"/>
  <Override PartName="/xl/charts/chart112.xml" ContentType="application/vnd.openxmlformats-officedocument.drawingml.chart+xml"/>
  <Override PartName="/xl/charts/chart111.xml" ContentType="application/vnd.openxmlformats-officedocument.drawingml.chart+xml"/>
  <Override PartName="/xl/charts/chart110.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9.xml" ContentType="application/vnd.openxmlformats-officedocument.drawingml.chart+xml"/>
  <Override PartName="/xl/charts/chart118.xml" ContentType="application/vnd.openxmlformats-officedocument.drawingml.chart+xml"/>
  <Override PartName="/xl/drawings/drawing14.xml" ContentType="application/vnd.openxmlformats-officedocument.drawing+xml"/>
  <Override PartName="/xl/charts/chart117.xml" ContentType="application/vnd.openxmlformats-officedocument.drawingml.chart+xml"/>
  <Override PartName="/xl/charts/chart109.xml" ContentType="application/vnd.openxmlformats-officedocument.drawingml.chart+xml"/>
  <Override PartName="/xl/drawings/drawing13.xml" ContentType="application/vnd.openxmlformats-officedocument.drawing+xml"/>
  <Override PartName="/xl/charts/chart108.xml" ContentType="application/vnd.openxmlformats-officedocument.drawingml.chart+xml"/>
  <Override PartName="/xl/charts/chart100.xml" ContentType="application/vnd.openxmlformats-officedocument.drawingml.chart+xml"/>
  <Override PartName="/xl/drawings/drawing12.xml" ContentType="application/vnd.openxmlformats-officedocument.drawing+xml"/>
  <Override PartName="/xl/charts/chart99.xml" ContentType="application/vnd.openxmlformats-officedocument.drawingml.chart+xml"/>
  <Override PartName="/xl/charts/chart98.xml" ContentType="application/vnd.openxmlformats-officedocument.drawingml.chart+xml"/>
  <Override PartName="/xl/charts/chart101.xml" ContentType="application/vnd.openxmlformats-officedocument.drawingml.chart+xml"/>
  <Override PartName="/xl/drawings/drawing8.xml" ContentType="application/vnd.openxmlformats-officedocument.drawing+xml"/>
  <Override PartName="/xl/charts/chart103.xml" ContentType="application/vnd.openxmlformats-officedocument.drawingml.chart+xml"/>
  <Override PartName="/xl/charts/chart107.xml" ContentType="application/vnd.openxmlformats-officedocument.drawingml.chart+xml"/>
  <Override PartName="/xl/charts/chart106.xml" ContentType="application/vnd.openxmlformats-officedocument.drawingml.chart+xml"/>
  <Override PartName="/xl/charts/chart105.xml" ContentType="application/vnd.openxmlformats-officedocument.drawingml.chart+xml"/>
  <Override PartName="/xl/charts/chart104.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37.xml" ContentType="application/vnd.openxmlformats-officedocument.drawingml.chart+xml"/>
  <Override PartName="/xl/charts/chart136.xml" ContentType="application/vnd.openxmlformats-officedocument.drawingml.chart+xml"/>
  <Override PartName="/xl/drawings/drawing16.xml" ContentType="application/vnd.openxmlformats-officedocument.drawing+xml"/>
  <Override PartName="/xl/charts/chart135.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4.xml" ContentType="application/vnd.openxmlformats-officedocument.drawingml.chart+xml"/>
  <Override PartName="/xl/charts/chart143.xml" ContentType="application/vnd.openxmlformats-officedocument.drawingml.chart+xml"/>
  <Override PartName="/xl/charts/chart142.xml" ContentType="application/vnd.openxmlformats-officedocument.drawingml.chart+xml"/>
  <Override PartName="/xl/charts/chart141.xml" ContentType="application/vnd.openxmlformats-officedocument.drawingml.chart+xml"/>
  <Override PartName="/xl/charts/chart134.xml" ContentType="application/vnd.openxmlformats-officedocument.drawingml.chart+xml"/>
  <Override PartName="/xl/charts/chart133.xml" ContentType="application/vnd.openxmlformats-officedocument.drawingml.chart+xml"/>
  <Override PartName="/xl/charts/chart132.xml" ContentType="application/vnd.openxmlformats-officedocument.drawingml.chart+xml"/>
  <Override PartName="/xl/charts/chart126.xml" ContentType="application/vnd.openxmlformats-officedocument.drawingml.chart+xml"/>
  <Override PartName="/xl/charts/chart125.xml" ContentType="application/vnd.openxmlformats-officedocument.drawingml.chart+xml"/>
  <Override PartName="/xl/charts/chart124.xml" ContentType="application/vnd.openxmlformats-officedocument.drawingml.chart+xml"/>
  <Override PartName="/xl/charts/chart123.xml" ContentType="application/vnd.openxmlformats-officedocument.drawingml.chart+xml"/>
  <Override PartName="/xl/drawings/drawing15.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97.xml" ContentType="application/vnd.openxmlformats-officedocument.drawingml.chart+xml"/>
  <Override PartName="/xl/charts/chart102.xml" ContentType="application/vnd.openxmlformats-officedocument.drawingml.chart+xml"/>
  <Override PartName="/xl/charts/chart64.xml" ContentType="application/vnd.openxmlformats-officedocument.drawingml.chart+xml"/>
  <Override PartName="/xl/charts/chart80.xml" ContentType="application/vnd.openxmlformats-officedocument.drawingml.chart+xml"/>
  <Override PartName="/xl/charts/chart79.xml" ContentType="application/vnd.openxmlformats-officedocument.drawingml.chart+xml"/>
  <Override PartName="/xl/charts/chart78.xml" ContentType="application/vnd.openxmlformats-officedocument.drawingml.chart+xml"/>
  <Override PartName="/xl/charts/chart77.xml" ContentType="application/vnd.openxmlformats-officedocument.drawingml.chart+xml"/>
  <Override PartName="/xl/charts/chart81.xml" ContentType="application/vnd.openxmlformats-officedocument.drawingml.chart+xml"/>
  <Override PartName="/xl/charts/chart96.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charts/chart74.xml" ContentType="application/vnd.openxmlformats-officedocument.drawingml.chart+xml"/>
  <Override PartName="/xl/charts/chart68.xml" ContentType="application/vnd.openxmlformats-officedocument.drawingml.chart+xml"/>
  <Override PartName="/xl/charts/chart67.xml" ContentType="application/vnd.openxmlformats-officedocument.drawingml.chart+xml"/>
  <Override PartName="/xl/charts/chart66.xml" ContentType="application/vnd.openxmlformats-officedocument.drawingml.chart+xml"/>
  <Override PartName="/xl/charts/chart65.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9.xml" ContentType="application/vnd.openxmlformats-officedocument.drawing+xml"/>
  <Override PartName="/xl/charts/chart73.xml" ContentType="application/vnd.openxmlformats-officedocument.drawingml.chart+xml"/>
  <Override PartName="/xl/charts/chart86.xml" ContentType="application/vnd.openxmlformats-officedocument.drawingml.chart+xml"/>
  <Override PartName="/xl/drawings/drawing10.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92.xml" ContentType="application/vnd.openxmlformats-officedocument.drawingml.chart+xml"/>
  <Override PartName="/xl/charts/chart89.xml" ContentType="application/vnd.openxmlformats-officedocument.drawingml.chart+xml"/>
  <Override PartName="/xl/charts/chart93.xml" ContentType="application/vnd.openxmlformats-officedocument.drawingml.chart+xml"/>
  <Override PartName="/xl/charts/chart90.xml" ContentType="application/vnd.openxmlformats-officedocument.drawingml.chart+xml"/>
  <Override PartName="/xl/drawings/drawing11.xml" ContentType="application/vnd.openxmlformats-officedocument.drawing+xml"/>
  <Override PartName="/xl/charts/chart91.xml" ContentType="application/vnd.openxmlformats-officedocument.drawingml.chart+xml"/>
  <Override PartName="/xl/charts/chart95.xml" ContentType="application/vnd.openxmlformats-officedocument.drawingml.chart+xml"/>
  <Override PartName="/xl/charts/chart94.xml" ContentType="application/vnd.openxmlformats-officedocument.drawingml.char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8195" windowHeight="11130" activeTab="1"/>
  </bookViews>
  <sheets>
    <sheet name="Contents" sheetId="1" r:id="rId1"/>
    <sheet name="Notes" sheetId="40" r:id="rId2"/>
    <sheet name="Highlights" sheetId="39" r:id="rId3"/>
    <sheet name="Segmentation Criteria" sheetId="38" r:id="rId4"/>
    <sheet name="Area VIIa demersal trawl" sheetId="2" r:id="rId5"/>
    <sheet name="Area VIIa nephrops o250kW" sheetId="3" r:id="rId6"/>
    <sheet name="Area VIIa nephrops u250kW" sheetId="4" r:id="rId7"/>
    <sheet name="Area VIIb-k trawlers 24-40m" sheetId="5" r:id="rId8"/>
    <sheet name="Area VIIb-k trawlers 10-24m" sheetId="6" r:id="rId9"/>
    <sheet name="Gill netters" sheetId="7" r:id="rId10"/>
    <sheet name="Inactive" sheetId="8" r:id="rId11"/>
    <sheet name="Longliners" sheetId="9" r:id="rId12"/>
    <sheet name="Low activity over 10m" sheetId="10" r:id="rId13"/>
    <sheet name="Low activity under 10m" sheetId="11" r:id="rId14"/>
    <sheet name="Miscellaneous" sheetId="12" r:id="rId15"/>
    <sheet name="NS beam trawl over 300kW" sheetId="13" r:id="rId16"/>
    <sheet name="NS beam trawl under 300kW" sheetId="14" r:id="rId17"/>
    <sheet name="NS nephrops over 300kW" sheetId="15" r:id="rId18"/>
    <sheet name="NS nephrops under 300kW" sheetId="16" r:id="rId19"/>
    <sheet name="NSWOS demersal over 24m" sheetId="17" r:id="rId20"/>
    <sheet name="NSWOS dem pair trawl seine" sheetId="18" r:id="rId21"/>
    <sheet name="NSWOS demersal seiners" sheetId="19" r:id="rId22"/>
    <sheet name="NSWOS demersal u24m o300kW" sheetId="20" r:id="rId23"/>
    <sheet name="NSWOS demersal u24m u300kW" sheetId="21" r:id="rId24"/>
    <sheet name="Pelagic over 40m" sheetId="22" r:id="rId25"/>
    <sheet name="Pots and traps 10-12m" sheetId="23" r:id="rId26"/>
    <sheet name="Pots and traps over 12m" sheetId="24" r:id="rId27"/>
    <sheet name="South West beamers o250kW" sheetId="25" r:id="rId28"/>
    <sheet name="South West beamers u250kW" sheetId="26" r:id="rId29"/>
    <sheet name="UK scallop dredge over 15m" sheetId="27" r:id="rId30"/>
    <sheet name="UK scallop dredge under 15m" sheetId="28" r:id="rId31"/>
    <sheet name="U10m demersal trawl-seine" sheetId="29" r:id="rId32"/>
    <sheet name="U10m drift-fixed nets" sheetId="30" r:id="rId33"/>
    <sheet name="U10m pots and traps" sheetId="31" r:id="rId34"/>
    <sheet name="U10m using hooks" sheetId="32" r:id="rId35"/>
    <sheet name="WOS nephrops over 250kW" sheetId="33" r:id="rId36"/>
    <sheet name="WOS nephrops under 250kW" sheetId="34" r:id="rId37"/>
    <sheet name="Sample rates" sheetId="37" r:id="rId38"/>
    <sheet name="Operating profit margin" sheetId="36" r:id="rId39"/>
    <sheet name="Net profit margin" sheetId="35" r:id="rId40"/>
  </sheets>
  <definedNames>
    <definedName name="Area_VIIa_demersal_trawl">'Area VIIa demersal trawl'!$A$1</definedName>
    <definedName name="Area_VIIa_nephrops_o250kW">'Area VIIa nephrops o250kW'!$A$1</definedName>
    <definedName name="Area_VIIa_nephrops_u250kW">'Area VIIa nephrops u250kW'!$A$1</definedName>
    <definedName name="Area_VIIb_k_trawlers_10_24m">'Area VIIb-k trawlers 10-24m'!$A$1</definedName>
    <definedName name="Area_VIIb_k_trawlers_24_40m">'Area VIIb-k trawlers 24-40m'!$A$1</definedName>
    <definedName name="Gill_netters">'Gill netters'!$A$1</definedName>
    <definedName name="Highlights">Highlights!$A$1</definedName>
    <definedName name="Home_page">Contents!$A$1</definedName>
    <definedName name="Inactive">Inactive!$A$1</definedName>
    <definedName name="Longliners">Longliners!$A$1</definedName>
    <definedName name="Low_activity_over_10m">'Low activity over 10m'!$A$1</definedName>
    <definedName name="Low_activity_under_10m">'Low activity under 10m'!$A$1</definedName>
    <definedName name="Miscellaneous">Miscellaneous!$A$1</definedName>
    <definedName name="Net_profit_margin">'Net profit margin'!$A$1</definedName>
    <definedName name="Notes">Notes!$A$1</definedName>
    <definedName name="NS_beam_trawl_over_300kW">'NS beam trawl over 300kW'!$A$1</definedName>
    <definedName name="NS_beam_trawl_under_300kW">'NS beam trawl under 300kW'!$A$1</definedName>
    <definedName name="NS_nephrops_over_300kW">'NS nephrops over 300kW'!$A$1</definedName>
    <definedName name="NS_nephrops_under_300kW">'NS nephrops under 300kW'!$A$1</definedName>
    <definedName name="NSWOS_dem_pair_trawl_seine">'NSWOS dem pair trawl seine'!$A$1</definedName>
    <definedName name="NSWOS_demersal_over_24m">'NSWOS demersal over 24m'!$A$1</definedName>
    <definedName name="NSWOS_demersal_seiners">'NSWOS demersal seiners'!$A$1</definedName>
    <definedName name="NSWOS_demersal_u24m_o300kW">'NSWOS demersal u24m o300kW'!$A$1</definedName>
    <definedName name="NSWOS_demersal_u24m_u300kW">'NSWOS demersal u24m u300kW'!$A$1</definedName>
    <definedName name="Operating_profit_margin">'Operating profit margin'!$A$1</definedName>
    <definedName name="Pelagic_over_40m">'Pelagic over 40m'!$A$1</definedName>
    <definedName name="Pots_and_traps_10_12m">'Pots and traps 10-12m'!$A$1</definedName>
    <definedName name="Pots_and_traps_over_12m">'Pots and traps over 12m'!$A$1</definedName>
    <definedName name="_xlnm.Print_Area" localSheetId="4">'Area VIIa demersal trawl'!$A$1:$O$108</definedName>
    <definedName name="_xlnm.Print_Area" localSheetId="5">'Area VIIa nephrops o250kW'!$A$1:$O$108</definedName>
    <definedName name="_xlnm.Print_Area" localSheetId="6">'Area VIIa nephrops u250kW'!$A$1:$O$108</definedName>
    <definedName name="_xlnm.Print_Area" localSheetId="8">'Area VIIb-k trawlers 10-24m'!$A$1:$O$108</definedName>
    <definedName name="_xlnm.Print_Area" localSheetId="7">'Area VIIb-k trawlers 24-40m'!$A$1:$O$108</definedName>
    <definedName name="_xlnm.Print_Area" localSheetId="9">'Gill netters'!$A$1:$O$108</definedName>
    <definedName name="_xlnm.Print_Area" localSheetId="2">Highlights!$B$1:$B$33</definedName>
    <definedName name="_xlnm.Print_Area" localSheetId="10">Inactive!$A$1:$O$108</definedName>
    <definedName name="_xlnm.Print_Area" localSheetId="11">Longliners!$A$1:$O$108</definedName>
    <definedName name="_xlnm.Print_Area" localSheetId="12">'Low activity over 10m'!$A$1:$O$108</definedName>
    <definedName name="_xlnm.Print_Area" localSheetId="13">'Low activity under 10m'!$A$1:$O$108</definedName>
    <definedName name="_xlnm.Print_Area" localSheetId="14">Miscellaneous!$A$1:$O$108</definedName>
    <definedName name="_xlnm.Print_Area" localSheetId="1">Notes!$A$1:$C$41</definedName>
    <definedName name="_xlnm.Print_Area" localSheetId="15">'NS beam trawl over 300kW'!$A$1:$O$108</definedName>
    <definedName name="_xlnm.Print_Area" localSheetId="16">'NS beam trawl under 300kW'!$A$1:$O$108</definedName>
    <definedName name="_xlnm.Print_Area" localSheetId="17">'NS nephrops over 300kW'!$A$1:$O$108</definedName>
    <definedName name="_xlnm.Print_Area" localSheetId="18">'NS nephrops under 300kW'!$A$1:$O$108</definedName>
    <definedName name="_xlnm.Print_Area" localSheetId="20">'NSWOS dem pair trawl seine'!$A$1:$O$108</definedName>
    <definedName name="_xlnm.Print_Area" localSheetId="19">'NSWOS demersal over 24m'!$A$1:$O$108</definedName>
    <definedName name="_xlnm.Print_Area" localSheetId="21">'NSWOS demersal seiners'!$A$1:$O$108</definedName>
    <definedName name="_xlnm.Print_Area" localSheetId="22">'NSWOS demersal u24m o300kW'!$A$1:$O$108</definedName>
    <definedName name="_xlnm.Print_Area" localSheetId="23">'NSWOS demersal u24m u300kW'!$A$1:$O$108</definedName>
    <definedName name="_xlnm.Print_Area" localSheetId="24">'Pelagic over 40m'!$A$1:$O$108</definedName>
    <definedName name="_xlnm.Print_Area" localSheetId="25">'Pots and traps 10-12m'!$A$1:$O$108</definedName>
    <definedName name="_xlnm.Print_Area" localSheetId="26">'Pots and traps over 12m'!$A$1:$O$108</definedName>
    <definedName name="_xlnm.Print_Area" localSheetId="27">'South West beamers o250kW'!$A$1:$O$108</definedName>
    <definedName name="_xlnm.Print_Area" localSheetId="28">'South West beamers u250kW'!$A$1:$O$108</definedName>
    <definedName name="_xlnm.Print_Area" localSheetId="31">'U10m demersal trawl-seine'!$A$1:$O$108</definedName>
    <definedName name="_xlnm.Print_Area" localSheetId="32">'U10m drift-fixed nets'!$A$1:$O$108</definedName>
    <definedName name="_xlnm.Print_Area" localSheetId="33">'U10m pots and traps'!$A$1:$O$108</definedName>
    <definedName name="_xlnm.Print_Area" localSheetId="34">'U10m using hooks'!$A$1:$O$108</definedName>
    <definedName name="_xlnm.Print_Area" localSheetId="29">'UK scallop dredge over 15m'!$A$1:$O$108</definedName>
    <definedName name="_xlnm.Print_Area" localSheetId="30">'UK scallop dredge under 15m'!$A$1:$O$108</definedName>
    <definedName name="_xlnm.Print_Area" localSheetId="35">'WOS nephrops over 250kW'!$A$1:$O$108</definedName>
    <definedName name="_xlnm.Print_Area" localSheetId="36">'WOS nephrops under 250kW'!$A$1:$O$108</definedName>
    <definedName name="Sample_rates">'Sample rates'!$A$1</definedName>
    <definedName name="Segmentation_Criteria">'Segmentation Criteria'!$A$1</definedName>
    <definedName name="South_West_beamers_o250kW">'South West beamers o250kW'!$A$1</definedName>
    <definedName name="South_West_beamers_u250kW">'South West beamers u250kW'!$A$1</definedName>
    <definedName name="U10m_demersal_trawl_seine">'U10m demersal trawl-seine'!$A$1</definedName>
    <definedName name="U10m_drift_fixed_nets">'U10m drift-fixed nets'!$A$1</definedName>
    <definedName name="U10m_pots_and_traps">'U10m pots and traps'!$A$1</definedName>
    <definedName name="U10m_using_hooks">'U10m using hooks'!$A$1</definedName>
    <definedName name="UK_scallop_dredge_over_15m">'UK scallop dredge over 15m'!$A$1</definedName>
    <definedName name="UK_scallop_dredge_under_15m">'UK scallop dredge under 15m'!$A$1</definedName>
    <definedName name="WOS_nephrops_over_250kW">'WOS nephrops over 250kW'!$A$1</definedName>
    <definedName name="WOS_nephrops_under_250kW">'WOS nephrops under 250kW'!$A$1</definedName>
  </definedNames>
  <calcPr calcId="145621" concurrentCalc="0"/>
</workbook>
</file>

<file path=xl/calcChain.xml><?xml version="1.0" encoding="utf-8"?>
<calcChain xmlns="http://schemas.openxmlformats.org/spreadsheetml/2006/main">
  <c r="A112" i="22" l="1"/>
  <c r="L38" i="34"/>
  <c r="K38" i="34"/>
  <c r="J38" i="34"/>
  <c r="I38" i="34"/>
  <c r="H38" i="34"/>
  <c r="G38" i="34"/>
  <c r="F38" i="34"/>
  <c r="E38" i="34"/>
  <c r="D38" i="34"/>
  <c r="L37" i="34"/>
  <c r="K37" i="34"/>
  <c r="J37" i="34"/>
  <c r="I37" i="34"/>
  <c r="H37" i="34"/>
  <c r="L36" i="34"/>
  <c r="K36" i="34"/>
  <c r="J36" i="34"/>
  <c r="I36" i="34"/>
  <c r="H36" i="34"/>
  <c r="G36" i="34"/>
  <c r="F36" i="34"/>
  <c r="E36" i="34"/>
  <c r="D36" i="34"/>
  <c r="L35" i="34"/>
  <c r="K35" i="34"/>
  <c r="J35" i="34"/>
  <c r="I35" i="34"/>
  <c r="H35" i="34"/>
  <c r="O35" i="34"/>
  <c r="G35" i="34"/>
  <c r="F35" i="34"/>
  <c r="E35" i="34"/>
  <c r="D35" i="34"/>
  <c r="N35" i="34"/>
  <c r="M34" i="34"/>
  <c r="L34" i="34"/>
  <c r="K34" i="34"/>
  <c r="J34" i="34"/>
  <c r="I34" i="34"/>
  <c r="H34" i="34"/>
  <c r="G34" i="34"/>
  <c r="F34" i="34"/>
  <c r="E34" i="34"/>
  <c r="D34" i="34"/>
  <c r="N34" i="34"/>
  <c r="M33" i="34"/>
  <c r="L33" i="34"/>
  <c r="K33" i="34"/>
  <c r="J33" i="34"/>
  <c r="I33" i="34"/>
  <c r="H33" i="34"/>
  <c r="G33" i="34"/>
  <c r="F33" i="34"/>
  <c r="E33" i="34"/>
  <c r="D33" i="34"/>
  <c r="M32" i="34"/>
  <c r="L32" i="34"/>
  <c r="K32" i="34"/>
  <c r="J32" i="34"/>
  <c r="I32" i="34"/>
  <c r="H32" i="34"/>
  <c r="G32" i="34"/>
  <c r="F32" i="34"/>
  <c r="E32" i="34"/>
  <c r="D32" i="34"/>
  <c r="M31" i="34"/>
  <c r="L31" i="34"/>
  <c r="K31" i="34"/>
  <c r="J31" i="34"/>
  <c r="I31" i="34"/>
  <c r="H31" i="34"/>
  <c r="G31" i="34"/>
  <c r="F31" i="34"/>
  <c r="E31" i="34"/>
  <c r="D31" i="34"/>
  <c r="M30" i="34"/>
  <c r="L30" i="34"/>
  <c r="K30" i="34"/>
  <c r="J30" i="34"/>
  <c r="I30" i="34"/>
  <c r="H30" i="34"/>
  <c r="G30" i="34"/>
  <c r="F30" i="34"/>
  <c r="E30" i="34"/>
  <c r="D30" i="34"/>
  <c r="M29" i="34"/>
  <c r="L29" i="34"/>
  <c r="K29" i="34"/>
  <c r="J29" i="34"/>
  <c r="I29" i="34"/>
  <c r="H29" i="34"/>
  <c r="G29" i="34"/>
  <c r="F29" i="34"/>
  <c r="E29" i="34"/>
  <c r="D29" i="34"/>
  <c r="M28" i="34"/>
  <c r="L28" i="34"/>
  <c r="K28" i="34"/>
  <c r="J28" i="34"/>
  <c r="I28" i="34"/>
  <c r="H28" i="34"/>
  <c r="G28" i="34"/>
  <c r="F28" i="34"/>
  <c r="E28" i="34"/>
  <c r="D28" i="34"/>
  <c r="M27" i="34"/>
  <c r="L27" i="34"/>
  <c r="K27" i="34"/>
  <c r="J27" i="34"/>
  <c r="I27" i="34"/>
  <c r="H27" i="34"/>
  <c r="G27" i="34"/>
  <c r="F27" i="34"/>
  <c r="E27" i="34"/>
  <c r="D27" i="34"/>
  <c r="M26" i="34"/>
  <c r="L26" i="34"/>
  <c r="K26" i="34"/>
  <c r="J26" i="34"/>
  <c r="I26" i="34"/>
  <c r="H26" i="34"/>
  <c r="G26" i="34"/>
  <c r="F26" i="34"/>
  <c r="E26" i="34"/>
  <c r="D26" i="34"/>
  <c r="M25" i="34"/>
  <c r="L25" i="34"/>
  <c r="K25" i="34"/>
  <c r="J25" i="34"/>
  <c r="I25" i="34"/>
  <c r="H25" i="34"/>
  <c r="G25" i="34"/>
  <c r="F25" i="34"/>
  <c r="E25" i="34"/>
  <c r="D25" i="34"/>
  <c r="M24" i="34"/>
  <c r="L24" i="34"/>
  <c r="K24" i="34"/>
  <c r="J24" i="34"/>
  <c r="I24" i="34"/>
  <c r="H24" i="34"/>
  <c r="G24" i="34"/>
  <c r="F24" i="34"/>
  <c r="E24" i="34"/>
  <c r="D24" i="34"/>
  <c r="M23" i="34"/>
  <c r="L23" i="34"/>
  <c r="K23" i="34"/>
  <c r="J23" i="34"/>
  <c r="I23" i="34"/>
  <c r="H23" i="34"/>
  <c r="G23" i="34"/>
  <c r="F23" i="34"/>
  <c r="E23" i="34"/>
  <c r="D23" i="34"/>
  <c r="M22" i="34"/>
  <c r="L22" i="34"/>
  <c r="K22" i="34"/>
  <c r="J22" i="34"/>
  <c r="I22" i="34"/>
  <c r="H22" i="34"/>
  <c r="G22" i="34"/>
  <c r="F22" i="34"/>
  <c r="E22" i="34"/>
  <c r="D22" i="34"/>
  <c r="M21" i="34"/>
  <c r="L21" i="34"/>
  <c r="K21" i="34"/>
  <c r="J21" i="34"/>
  <c r="I21" i="34"/>
  <c r="H21" i="34"/>
  <c r="G21" i="34"/>
  <c r="F21" i="34"/>
  <c r="E21" i="34"/>
  <c r="D21" i="34"/>
  <c r="M19" i="34"/>
  <c r="L19" i="34"/>
  <c r="K19" i="34"/>
  <c r="J19" i="34"/>
  <c r="I19" i="34"/>
  <c r="H19" i="34"/>
  <c r="G19" i="34"/>
  <c r="F19" i="34"/>
  <c r="E19" i="34"/>
  <c r="D19" i="34"/>
  <c r="M15" i="34"/>
  <c r="L15" i="34"/>
  <c r="K15" i="34"/>
  <c r="J15" i="34"/>
  <c r="I15" i="34"/>
  <c r="H15" i="34"/>
  <c r="G15" i="34"/>
  <c r="F15" i="34"/>
  <c r="E15" i="34"/>
  <c r="D15" i="34"/>
  <c r="M8" i="34"/>
  <c r="L8" i="34"/>
  <c r="K8" i="34"/>
  <c r="J8" i="34"/>
  <c r="I8" i="34"/>
  <c r="H8" i="34"/>
  <c r="G8" i="34"/>
  <c r="F8" i="34"/>
  <c r="E8" i="34"/>
  <c r="D8" i="34"/>
  <c r="A73" i="34"/>
  <c r="B39" i="34"/>
  <c r="B86" i="34"/>
  <c r="N36" i="34"/>
  <c r="K45" i="34"/>
  <c r="F45" i="34"/>
  <c r="O20" i="34"/>
  <c r="N20" i="34"/>
  <c r="A45" i="34"/>
  <c r="N18" i="34"/>
  <c r="O18" i="34"/>
  <c r="O17" i="34"/>
  <c r="N17" i="34"/>
  <c r="N16" i="34"/>
  <c r="N14" i="34"/>
  <c r="O14" i="34"/>
  <c r="O13" i="34"/>
  <c r="N13" i="34"/>
  <c r="N12" i="34"/>
  <c r="O11" i="34"/>
  <c r="N11" i="34"/>
  <c r="N10" i="34"/>
  <c r="O10" i="34"/>
  <c r="O9" i="34"/>
  <c r="N9" i="34"/>
  <c r="O7" i="34"/>
  <c r="N7" i="34"/>
  <c r="N6" i="34"/>
  <c r="O6" i="34"/>
  <c r="O5" i="34"/>
  <c r="N5" i="34"/>
  <c r="N4" i="34"/>
  <c r="O3" i="34"/>
  <c r="N3" i="34"/>
  <c r="O2" i="34"/>
  <c r="N2" i="34"/>
  <c r="K59" i="34"/>
  <c r="L38" i="33"/>
  <c r="K38" i="33"/>
  <c r="J38" i="33"/>
  <c r="I38" i="33"/>
  <c r="H38" i="33"/>
  <c r="G38" i="33"/>
  <c r="F38" i="33"/>
  <c r="E38" i="33"/>
  <c r="D38" i="33"/>
  <c r="L37" i="33"/>
  <c r="N37" i="33"/>
  <c r="K37" i="33"/>
  <c r="J37" i="33"/>
  <c r="I37" i="33"/>
  <c r="H37" i="33"/>
  <c r="L36" i="33"/>
  <c r="K36" i="33"/>
  <c r="J36" i="33"/>
  <c r="I36" i="33"/>
  <c r="H36" i="33"/>
  <c r="G36" i="33"/>
  <c r="F36" i="33"/>
  <c r="E36" i="33"/>
  <c r="D36" i="33"/>
  <c r="L35" i="33"/>
  <c r="K35" i="33"/>
  <c r="J35" i="33"/>
  <c r="I35" i="33"/>
  <c r="H35" i="33"/>
  <c r="G35" i="33"/>
  <c r="F35" i="33"/>
  <c r="E35" i="33"/>
  <c r="D35" i="33"/>
  <c r="M34" i="33"/>
  <c r="L34" i="33"/>
  <c r="K34" i="33"/>
  <c r="J34" i="33"/>
  <c r="I34" i="33"/>
  <c r="H34" i="33"/>
  <c r="G34" i="33"/>
  <c r="F34" i="33"/>
  <c r="E34" i="33"/>
  <c r="D34" i="33"/>
  <c r="N34" i="33"/>
  <c r="M33" i="33"/>
  <c r="L33" i="33"/>
  <c r="K33" i="33"/>
  <c r="J33" i="33"/>
  <c r="I33" i="33"/>
  <c r="H33" i="33"/>
  <c r="G33" i="33"/>
  <c r="F33" i="33"/>
  <c r="E33" i="33"/>
  <c r="D33" i="33"/>
  <c r="M32" i="33"/>
  <c r="L32" i="33"/>
  <c r="K32" i="33"/>
  <c r="J32" i="33"/>
  <c r="I32" i="33"/>
  <c r="H32" i="33"/>
  <c r="G32" i="33"/>
  <c r="F32" i="33"/>
  <c r="E32" i="33"/>
  <c r="D32" i="33"/>
  <c r="M31" i="33"/>
  <c r="L31" i="33"/>
  <c r="K31" i="33"/>
  <c r="J31" i="33"/>
  <c r="I31" i="33"/>
  <c r="H31" i="33"/>
  <c r="G31" i="33"/>
  <c r="F31" i="33"/>
  <c r="E31" i="33"/>
  <c r="D31" i="33"/>
  <c r="M30" i="33"/>
  <c r="L30" i="33"/>
  <c r="K30" i="33"/>
  <c r="J30" i="33"/>
  <c r="I30" i="33"/>
  <c r="H30" i="33"/>
  <c r="G30" i="33"/>
  <c r="F30" i="33"/>
  <c r="E30" i="33"/>
  <c r="D30" i="33"/>
  <c r="M29" i="33"/>
  <c r="L29" i="33"/>
  <c r="K29" i="33"/>
  <c r="J29" i="33"/>
  <c r="I29" i="33"/>
  <c r="H29" i="33"/>
  <c r="G29" i="33"/>
  <c r="F29" i="33"/>
  <c r="E29" i="33"/>
  <c r="D29" i="33"/>
  <c r="M28" i="33"/>
  <c r="L28" i="33"/>
  <c r="K28" i="33"/>
  <c r="J28" i="33"/>
  <c r="I28" i="33"/>
  <c r="H28" i="33"/>
  <c r="G28" i="33"/>
  <c r="F28" i="33"/>
  <c r="E28" i="33"/>
  <c r="D28" i="33"/>
  <c r="M27" i="33"/>
  <c r="L27" i="33"/>
  <c r="K27" i="33"/>
  <c r="J27" i="33"/>
  <c r="I27" i="33"/>
  <c r="H27" i="33"/>
  <c r="G27" i="33"/>
  <c r="F27" i="33"/>
  <c r="E27" i="33"/>
  <c r="D27" i="33"/>
  <c r="M26" i="33"/>
  <c r="L26" i="33"/>
  <c r="K26" i="33"/>
  <c r="J26" i="33"/>
  <c r="I26" i="33"/>
  <c r="H26" i="33"/>
  <c r="G26" i="33"/>
  <c r="F26" i="33"/>
  <c r="E26" i="33"/>
  <c r="D26" i="33"/>
  <c r="M25" i="33"/>
  <c r="L25" i="33"/>
  <c r="K25" i="33"/>
  <c r="J25" i="33"/>
  <c r="I25" i="33"/>
  <c r="H25" i="33"/>
  <c r="G25" i="33"/>
  <c r="F25" i="33"/>
  <c r="E25" i="33"/>
  <c r="D25" i="33"/>
  <c r="M24" i="33"/>
  <c r="L24" i="33"/>
  <c r="K24" i="33"/>
  <c r="J24" i="33"/>
  <c r="I24" i="33"/>
  <c r="H24" i="33"/>
  <c r="G24" i="33"/>
  <c r="F24" i="33"/>
  <c r="E24" i="33"/>
  <c r="D24" i="33"/>
  <c r="M23" i="33"/>
  <c r="L23" i="33"/>
  <c r="K23" i="33"/>
  <c r="J23" i="33"/>
  <c r="I23" i="33"/>
  <c r="H23" i="33"/>
  <c r="G23" i="33"/>
  <c r="F23" i="33"/>
  <c r="E23" i="33"/>
  <c r="D23" i="33"/>
  <c r="M22" i="33"/>
  <c r="L22" i="33"/>
  <c r="K22" i="33"/>
  <c r="J22" i="33"/>
  <c r="I22" i="33"/>
  <c r="H22" i="33"/>
  <c r="G22" i="33"/>
  <c r="F22" i="33"/>
  <c r="E22" i="33"/>
  <c r="D22" i="33"/>
  <c r="M21" i="33"/>
  <c r="L21" i="33"/>
  <c r="K21" i="33"/>
  <c r="J21" i="33"/>
  <c r="I21" i="33"/>
  <c r="H21" i="33"/>
  <c r="G21" i="33"/>
  <c r="F21" i="33"/>
  <c r="E21" i="33"/>
  <c r="D21" i="33"/>
  <c r="M19" i="33"/>
  <c r="L19" i="33"/>
  <c r="K19" i="33"/>
  <c r="J19" i="33"/>
  <c r="I19" i="33"/>
  <c r="H19" i="33"/>
  <c r="O19" i="33"/>
  <c r="G19" i="33"/>
  <c r="F19" i="33"/>
  <c r="E19" i="33"/>
  <c r="D19" i="33"/>
  <c r="M15" i="33"/>
  <c r="L15" i="33"/>
  <c r="K15" i="33"/>
  <c r="J15" i="33"/>
  <c r="I15" i="33"/>
  <c r="H15" i="33"/>
  <c r="G15" i="33"/>
  <c r="F15" i="33"/>
  <c r="E15" i="33"/>
  <c r="D15" i="33"/>
  <c r="M8" i="33"/>
  <c r="L8" i="33"/>
  <c r="K8" i="33"/>
  <c r="J8" i="33"/>
  <c r="I8" i="33"/>
  <c r="H8" i="33"/>
  <c r="G8" i="33"/>
  <c r="F8" i="33"/>
  <c r="E8" i="33"/>
  <c r="D8" i="33"/>
  <c r="N8" i="33"/>
  <c r="F73" i="33"/>
  <c r="B39" i="33"/>
  <c r="B86" i="33"/>
  <c r="K45" i="33"/>
  <c r="F45" i="33"/>
  <c r="O20" i="33"/>
  <c r="N20" i="33"/>
  <c r="A45" i="33"/>
  <c r="O18" i="33"/>
  <c r="O17" i="33"/>
  <c r="N17" i="33"/>
  <c r="N16" i="33"/>
  <c r="O16" i="33"/>
  <c r="O14" i="33"/>
  <c r="O13" i="33"/>
  <c r="N13" i="33"/>
  <c r="N12" i="33"/>
  <c r="O12" i="33"/>
  <c r="O11" i="33"/>
  <c r="N11" i="33"/>
  <c r="O10" i="33"/>
  <c r="O9" i="33"/>
  <c r="N9" i="33"/>
  <c r="O7" i="33"/>
  <c r="N7" i="33"/>
  <c r="O6" i="33"/>
  <c r="N5" i="33"/>
  <c r="O5" i="33"/>
  <c r="N4" i="33"/>
  <c r="O4" i="33"/>
  <c r="O3" i="33"/>
  <c r="N3" i="33"/>
  <c r="O2" i="33"/>
  <c r="N2" i="33"/>
  <c r="K59" i="33"/>
  <c r="L38" i="32"/>
  <c r="K38" i="32"/>
  <c r="J38" i="32"/>
  <c r="I38" i="32"/>
  <c r="H38" i="32"/>
  <c r="G38" i="32"/>
  <c r="F38" i="32"/>
  <c r="E38" i="32"/>
  <c r="L37" i="32"/>
  <c r="N37" i="32"/>
  <c r="K37" i="32"/>
  <c r="J37" i="32"/>
  <c r="I37" i="32"/>
  <c r="H37" i="32"/>
  <c r="L36" i="32"/>
  <c r="K36" i="32"/>
  <c r="J36" i="32"/>
  <c r="I36" i="32"/>
  <c r="H36" i="32"/>
  <c r="G36" i="32"/>
  <c r="F36" i="32"/>
  <c r="E36" i="32"/>
  <c r="L35" i="32"/>
  <c r="K35" i="32"/>
  <c r="J35" i="32"/>
  <c r="I35" i="32"/>
  <c r="H35" i="32"/>
  <c r="G35" i="32"/>
  <c r="F35" i="32"/>
  <c r="E35" i="32"/>
  <c r="M34" i="32"/>
  <c r="L34" i="32"/>
  <c r="K34" i="32"/>
  <c r="J34" i="32"/>
  <c r="I34" i="32"/>
  <c r="H34" i="32"/>
  <c r="G34" i="32"/>
  <c r="F34" i="32"/>
  <c r="E34" i="32"/>
  <c r="D34" i="32"/>
  <c r="M33" i="32"/>
  <c r="L33" i="32"/>
  <c r="K33" i="32"/>
  <c r="J33" i="32"/>
  <c r="I33" i="32"/>
  <c r="H33" i="32"/>
  <c r="G33" i="32"/>
  <c r="F33" i="32"/>
  <c r="E33" i="32"/>
  <c r="D33" i="32"/>
  <c r="M32" i="32"/>
  <c r="L32" i="32"/>
  <c r="K32" i="32"/>
  <c r="J32" i="32"/>
  <c r="I32" i="32"/>
  <c r="H32" i="32"/>
  <c r="G32" i="32"/>
  <c r="F32" i="32"/>
  <c r="E32" i="32"/>
  <c r="D32" i="32"/>
  <c r="N32" i="32"/>
  <c r="M31" i="32"/>
  <c r="L31" i="32"/>
  <c r="K31" i="32"/>
  <c r="J31" i="32"/>
  <c r="I31" i="32"/>
  <c r="H31" i="32"/>
  <c r="G31" i="32"/>
  <c r="F31" i="32"/>
  <c r="E31" i="32"/>
  <c r="D31" i="32"/>
  <c r="M30" i="32"/>
  <c r="L30" i="32"/>
  <c r="K30" i="32"/>
  <c r="J30" i="32"/>
  <c r="I30" i="32"/>
  <c r="H30" i="32"/>
  <c r="G30" i="32"/>
  <c r="F30" i="32"/>
  <c r="E30" i="32"/>
  <c r="D30" i="32"/>
  <c r="M29" i="32"/>
  <c r="L29" i="32"/>
  <c r="K29" i="32"/>
  <c r="J29" i="32"/>
  <c r="I29" i="32"/>
  <c r="H29" i="32"/>
  <c r="G29" i="32"/>
  <c r="F29" i="32"/>
  <c r="E29" i="32"/>
  <c r="D29" i="32"/>
  <c r="M28" i="32"/>
  <c r="L28" i="32"/>
  <c r="K28" i="32"/>
  <c r="J28" i="32"/>
  <c r="I28" i="32"/>
  <c r="H28" i="32"/>
  <c r="G28" i="32"/>
  <c r="F28" i="32"/>
  <c r="E28" i="32"/>
  <c r="D28" i="32"/>
  <c r="M27" i="32"/>
  <c r="L27" i="32"/>
  <c r="K27" i="32"/>
  <c r="J27" i="32"/>
  <c r="I27" i="32"/>
  <c r="H27" i="32"/>
  <c r="G27" i="32"/>
  <c r="F27" i="32"/>
  <c r="E27" i="32"/>
  <c r="D27" i="32"/>
  <c r="M26" i="32"/>
  <c r="L26" i="32"/>
  <c r="K26" i="32"/>
  <c r="J26" i="32"/>
  <c r="I26" i="32"/>
  <c r="H26" i="32"/>
  <c r="G26" i="32"/>
  <c r="F26" i="32"/>
  <c r="E26" i="32"/>
  <c r="D26" i="32"/>
  <c r="M25" i="32"/>
  <c r="L25" i="32"/>
  <c r="K25" i="32"/>
  <c r="J25" i="32"/>
  <c r="I25" i="32"/>
  <c r="H25" i="32"/>
  <c r="G25" i="32"/>
  <c r="F25" i="32"/>
  <c r="E25" i="32"/>
  <c r="D25" i="32"/>
  <c r="M24" i="32"/>
  <c r="L24" i="32"/>
  <c r="K24" i="32"/>
  <c r="J24" i="32"/>
  <c r="I24" i="32"/>
  <c r="H24" i="32"/>
  <c r="G24" i="32"/>
  <c r="F24" i="32"/>
  <c r="E24" i="32"/>
  <c r="D24" i="32"/>
  <c r="M23" i="32"/>
  <c r="L23" i="32"/>
  <c r="K23" i="32"/>
  <c r="J23" i="32"/>
  <c r="I23" i="32"/>
  <c r="H23" i="32"/>
  <c r="G23" i="32"/>
  <c r="F23" i="32"/>
  <c r="E23" i="32"/>
  <c r="D23" i="32"/>
  <c r="M22" i="32"/>
  <c r="L22" i="32"/>
  <c r="K22" i="32"/>
  <c r="J22" i="32"/>
  <c r="I22" i="32"/>
  <c r="H22" i="32"/>
  <c r="G22" i="32"/>
  <c r="F22" i="32"/>
  <c r="E22" i="32"/>
  <c r="D22" i="32"/>
  <c r="M21" i="32"/>
  <c r="L21" i="32"/>
  <c r="K21" i="32"/>
  <c r="J21" i="32"/>
  <c r="I21" i="32"/>
  <c r="H21" i="32"/>
  <c r="G21" i="32"/>
  <c r="F21" i="32"/>
  <c r="E21" i="32"/>
  <c r="D21" i="32"/>
  <c r="N21" i="32"/>
  <c r="M19" i="32"/>
  <c r="L19" i="32"/>
  <c r="K19" i="32"/>
  <c r="J19" i="32"/>
  <c r="I19" i="32"/>
  <c r="H19" i="32"/>
  <c r="G19" i="32"/>
  <c r="F19" i="32"/>
  <c r="E19" i="32"/>
  <c r="D19" i="32"/>
  <c r="N19" i="32"/>
  <c r="M15" i="32"/>
  <c r="L15" i="32"/>
  <c r="K15" i="32"/>
  <c r="J15" i="32"/>
  <c r="I15" i="32"/>
  <c r="H15" i="32"/>
  <c r="G15" i="32"/>
  <c r="F15" i="32"/>
  <c r="E15" i="32"/>
  <c r="D15" i="32"/>
  <c r="M8" i="32"/>
  <c r="L8" i="32"/>
  <c r="K8" i="32"/>
  <c r="J8" i="32"/>
  <c r="I8" i="32"/>
  <c r="H8" i="32"/>
  <c r="G8" i="32"/>
  <c r="F8" i="32"/>
  <c r="E8" i="32"/>
  <c r="D8" i="32"/>
  <c r="N8" i="32"/>
  <c r="A73" i="32"/>
  <c r="B39" i="32"/>
  <c r="B86" i="32"/>
  <c r="N36" i="32"/>
  <c r="N34" i="32"/>
  <c r="K45" i="32"/>
  <c r="F45" i="32"/>
  <c r="O20" i="32"/>
  <c r="N20" i="32"/>
  <c r="A45" i="32"/>
  <c r="N18" i="32"/>
  <c r="O18" i="32"/>
  <c r="O17" i="32"/>
  <c r="N17" i="32"/>
  <c r="N16" i="32"/>
  <c r="N14" i="32"/>
  <c r="O14" i="32"/>
  <c r="O13" i="32"/>
  <c r="N13" i="32"/>
  <c r="N12" i="32"/>
  <c r="O11" i="32"/>
  <c r="N11" i="32"/>
  <c r="N10" i="32"/>
  <c r="O10" i="32"/>
  <c r="O9" i="32"/>
  <c r="N9" i="32"/>
  <c r="O7" i="32"/>
  <c r="N7" i="32"/>
  <c r="N6" i="32"/>
  <c r="O6" i="32"/>
  <c r="O5" i="32"/>
  <c r="N5" i="32"/>
  <c r="N4" i="32"/>
  <c r="O3" i="32"/>
  <c r="N3" i="32"/>
  <c r="O2" i="32"/>
  <c r="N2" i="32"/>
  <c r="K59" i="32"/>
  <c r="L38" i="31"/>
  <c r="K38" i="31"/>
  <c r="J38" i="31"/>
  <c r="I38" i="31"/>
  <c r="H38" i="31"/>
  <c r="G38" i="31"/>
  <c r="F38" i="31"/>
  <c r="E38" i="31"/>
  <c r="D38" i="31"/>
  <c r="L37" i="31"/>
  <c r="N37" i="31"/>
  <c r="K37" i="31"/>
  <c r="J37" i="31"/>
  <c r="I37" i="31"/>
  <c r="H37" i="31"/>
  <c r="L36" i="31"/>
  <c r="K36" i="31"/>
  <c r="J36" i="31"/>
  <c r="I36" i="31"/>
  <c r="H36" i="31"/>
  <c r="G36" i="31"/>
  <c r="F36" i="31"/>
  <c r="E36" i="31"/>
  <c r="D36" i="31"/>
  <c r="L35" i="31"/>
  <c r="K35" i="31"/>
  <c r="J35" i="31"/>
  <c r="I35" i="31"/>
  <c r="H35" i="31"/>
  <c r="G35" i="31"/>
  <c r="F35" i="31"/>
  <c r="E35" i="31"/>
  <c r="D35" i="31"/>
  <c r="M34" i="31"/>
  <c r="L34" i="31"/>
  <c r="K34" i="31"/>
  <c r="J34" i="31"/>
  <c r="I34" i="31"/>
  <c r="H34" i="31"/>
  <c r="G34" i="31"/>
  <c r="F34" i="31"/>
  <c r="E34" i="31"/>
  <c r="D34" i="31"/>
  <c r="M33" i="31"/>
  <c r="L33" i="31"/>
  <c r="K33" i="31"/>
  <c r="J33" i="31"/>
  <c r="I33" i="31"/>
  <c r="H33" i="31"/>
  <c r="G33" i="31"/>
  <c r="F33" i="31"/>
  <c r="E33" i="31"/>
  <c r="D33" i="31"/>
  <c r="M32" i="31"/>
  <c r="L32" i="31"/>
  <c r="K32" i="31"/>
  <c r="J32" i="31"/>
  <c r="I32" i="31"/>
  <c r="H32" i="31"/>
  <c r="G32" i="31"/>
  <c r="F32" i="31"/>
  <c r="E32" i="31"/>
  <c r="D32" i="31"/>
  <c r="M31" i="31"/>
  <c r="L31" i="31"/>
  <c r="K31" i="31"/>
  <c r="J31" i="31"/>
  <c r="I31" i="31"/>
  <c r="H31" i="31"/>
  <c r="G31" i="31"/>
  <c r="F31" i="31"/>
  <c r="E31" i="31"/>
  <c r="D31" i="31"/>
  <c r="M30" i="31"/>
  <c r="L30" i="31"/>
  <c r="K30" i="31"/>
  <c r="J30" i="31"/>
  <c r="I30" i="31"/>
  <c r="H30" i="31"/>
  <c r="G30" i="31"/>
  <c r="F30" i="31"/>
  <c r="E30" i="31"/>
  <c r="D30" i="31"/>
  <c r="M29" i="31"/>
  <c r="L29" i="31"/>
  <c r="K29" i="31"/>
  <c r="J29" i="31"/>
  <c r="I29" i="31"/>
  <c r="H29" i="31"/>
  <c r="G29" i="31"/>
  <c r="F29" i="31"/>
  <c r="E29" i="31"/>
  <c r="D29" i="31"/>
  <c r="M28" i="31"/>
  <c r="L28" i="31"/>
  <c r="K28" i="31"/>
  <c r="J28" i="31"/>
  <c r="I28" i="31"/>
  <c r="H28" i="31"/>
  <c r="G28" i="31"/>
  <c r="F28" i="31"/>
  <c r="E28" i="31"/>
  <c r="D28" i="31"/>
  <c r="M27" i="31"/>
  <c r="L27" i="31"/>
  <c r="K27" i="31"/>
  <c r="J27" i="31"/>
  <c r="I27" i="31"/>
  <c r="H27" i="31"/>
  <c r="G27" i="31"/>
  <c r="F27" i="31"/>
  <c r="E27" i="31"/>
  <c r="D27" i="31"/>
  <c r="M26" i="31"/>
  <c r="L26" i="31"/>
  <c r="K26" i="31"/>
  <c r="J26" i="31"/>
  <c r="I26" i="31"/>
  <c r="H26" i="31"/>
  <c r="G26" i="31"/>
  <c r="F26" i="31"/>
  <c r="E26" i="31"/>
  <c r="D26" i="31"/>
  <c r="M25" i="31"/>
  <c r="L25" i="31"/>
  <c r="K25" i="31"/>
  <c r="J25" i="31"/>
  <c r="I25" i="31"/>
  <c r="H25" i="31"/>
  <c r="G25" i="31"/>
  <c r="F25" i="31"/>
  <c r="E25" i="31"/>
  <c r="D25" i="31"/>
  <c r="M24" i="31"/>
  <c r="L24" i="31"/>
  <c r="K24" i="31"/>
  <c r="J24" i="31"/>
  <c r="I24" i="31"/>
  <c r="H24" i="31"/>
  <c r="O24" i="31"/>
  <c r="G24" i="31"/>
  <c r="F24" i="31"/>
  <c r="E24" i="31"/>
  <c r="D24" i="31"/>
  <c r="M23" i="31"/>
  <c r="L23" i="31"/>
  <c r="K23" i="31"/>
  <c r="J23" i="31"/>
  <c r="I23" i="31"/>
  <c r="H23" i="31"/>
  <c r="G23" i="31"/>
  <c r="F23" i="31"/>
  <c r="E23" i="31"/>
  <c r="D23" i="31"/>
  <c r="M22" i="31"/>
  <c r="L22" i="31"/>
  <c r="K22" i="31"/>
  <c r="J22" i="31"/>
  <c r="I22" i="31"/>
  <c r="H22" i="31"/>
  <c r="G22" i="31"/>
  <c r="F22" i="31"/>
  <c r="E22" i="31"/>
  <c r="D22" i="31"/>
  <c r="M21" i="31"/>
  <c r="L21" i="31"/>
  <c r="K21" i="31"/>
  <c r="J21" i="31"/>
  <c r="I21" i="31"/>
  <c r="H21" i="31"/>
  <c r="G21" i="31"/>
  <c r="F21" i="31"/>
  <c r="E21" i="31"/>
  <c r="D21" i="31"/>
  <c r="M19" i="31"/>
  <c r="L19" i="31"/>
  <c r="K19" i="31"/>
  <c r="J19" i="31"/>
  <c r="I19" i="31"/>
  <c r="H19" i="31"/>
  <c r="G19" i="31"/>
  <c r="F19" i="31"/>
  <c r="E19" i="31"/>
  <c r="D19" i="31"/>
  <c r="M15" i="31"/>
  <c r="L15" i="31"/>
  <c r="K15" i="31"/>
  <c r="J15" i="31"/>
  <c r="I15" i="31"/>
  <c r="H15" i="31"/>
  <c r="G15" i="31"/>
  <c r="F15" i="31"/>
  <c r="E15" i="31"/>
  <c r="D15" i="31"/>
  <c r="M8" i="31"/>
  <c r="L8" i="31"/>
  <c r="K8" i="31"/>
  <c r="J8" i="31"/>
  <c r="I8" i="31"/>
  <c r="H8" i="31"/>
  <c r="G8" i="31"/>
  <c r="F8" i="31"/>
  <c r="E8" i="31"/>
  <c r="D8" i="31"/>
  <c r="F73" i="31"/>
  <c r="B39" i="31"/>
  <c r="B86" i="31"/>
  <c r="K45" i="31"/>
  <c r="F45" i="31"/>
  <c r="O20" i="31"/>
  <c r="N20" i="31"/>
  <c r="A45" i="31"/>
  <c r="O18" i="31"/>
  <c r="O17" i="31"/>
  <c r="N16" i="31"/>
  <c r="O16" i="31"/>
  <c r="O14" i="31"/>
  <c r="O13" i="31"/>
  <c r="N12" i="31"/>
  <c r="O12" i="31"/>
  <c r="O11" i="31"/>
  <c r="N11" i="31"/>
  <c r="O10" i="31"/>
  <c r="O9" i="31"/>
  <c r="O7" i="31"/>
  <c r="N7" i="31"/>
  <c r="O6" i="31"/>
  <c r="O5" i="31"/>
  <c r="N4" i="31"/>
  <c r="O4" i="31"/>
  <c r="O3" i="31"/>
  <c r="N3" i="31"/>
  <c r="O2" i="31"/>
  <c r="N2" i="31"/>
  <c r="K59" i="31"/>
  <c r="L38" i="30"/>
  <c r="K38" i="30"/>
  <c r="J38" i="30"/>
  <c r="I38" i="30"/>
  <c r="H38" i="30"/>
  <c r="G38" i="30"/>
  <c r="F38" i="30"/>
  <c r="E38" i="30"/>
  <c r="D38" i="30"/>
  <c r="L37" i="30"/>
  <c r="N37" i="30"/>
  <c r="K37" i="30"/>
  <c r="J37" i="30"/>
  <c r="I37" i="30"/>
  <c r="H37" i="30"/>
  <c r="L36" i="30"/>
  <c r="K36" i="30"/>
  <c r="J36" i="30"/>
  <c r="I36" i="30"/>
  <c r="H36" i="30"/>
  <c r="G36" i="30"/>
  <c r="F36" i="30"/>
  <c r="E36" i="30"/>
  <c r="D36" i="30"/>
  <c r="L35" i="30"/>
  <c r="K35" i="30"/>
  <c r="J35" i="30"/>
  <c r="I35" i="30"/>
  <c r="H35" i="30"/>
  <c r="G35" i="30"/>
  <c r="F35" i="30"/>
  <c r="E35" i="30"/>
  <c r="D35" i="30"/>
  <c r="M34" i="30"/>
  <c r="L34" i="30"/>
  <c r="K34" i="30"/>
  <c r="J34" i="30"/>
  <c r="I34" i="30"/>
  <c r="H34" i="30"/>
  <c r="G34" i="30"/>
  <c r="F34" i="30"/>
  <c r="E34" i="30"/>
  <c r="D34" i="30"/>
  <c r="M33" i="30"/>
  <c r="L33" i="30"/>
  <c r="K33" i="30"/>
  <c r="J33" i="30"/>
  <c r="I33" i="30"/>
  <c r="H33" i="30"/>
  <c r="G33" i="30"/>
  <c r="F33" i="30"/>
  <c r="E33" i="30"/>
  <c r="D33" i="30"/>
  <c r="M32" i="30"/>
  <c r="L32" i="30"/>
  <c r="K32" i="30"/>
  <c r="J32" i="30"/>
  <c r="I32" i="30"/>
  <c r="H32" i="30"/>
  <c r="G32" i="30"/>
  <c r="F32" i="30"/>
  <c r="E32" i="30"/>
  <c r="D32" i="30"/>
  <c r="M31" i="30"/>
  <c r="L31" i="30"/>
  <c r="K31" i="30"/>
  <c r="J31" i="30"/>
  <c r="I31" i="30"/>
  <c r="H31" i="30"/>
  <c r="G31" i="30"/>
  <c r="F31" i="30"/>
  <c r="E31" i="30"/>
  <c r="D31" i="30"/>
  <c r="M30" i="30"/>
  <c r="L30" i="30"/>
  <c r="K30" i="30"/>
  <c r="J30" i="30"/>
  <c r="I30" i="30"/>
  <c r="H30" i="30"/>
  <c r="G30" i="30"/>
  <c r="F30" i="30"/>
  <c r="E30" i="30"/>
  <c r="D30" i="30"/>
  <c r="M29" i="30"/>
  <c r="L29" i="30"/>
  <c r="K29" i="30"/>
  <c r="J29" i="30"/>
  <c r="I29" i="30"/>
  <c r="H29" i="30"/>
  <c r="G29" i="30"/>
  <c r="F29" i="30"/>
  <c r="E29" i="30"/>
  <c r="D29" i="30"/>
  <c r="M28" i="30"/>
  <c r="L28" i="30"/>
  <c r="K28" i="30"/>
  <c r="J28" i="30"/>
  <c r="I28" i="30"/>
  <c r="H28" i="30"/>
  <c r="O28" i="30"/>
  <c r="G28" i="30"/>
  <c r="F28" i="30"/>
  <c r="E28" i="30"/>
  <c r="D28" i="30"/>
  <c r="M27" i="30"/>
  <c r="L27" i="30"/>
  <c r="K27" i="30"/>
  <c r="J27" i="30"/>
  <c r="I27" i="30"/>
  <c r="H27" i="30"/>
  <c r="G27" i="30"/>
  <c r="F27" i="30"/>
  <c r="E27" i="30"/>
  <c r="D27" i="30"/>
  <c r="M26" i="30"/>
  <c r="L26" i="30"/>
  <c r="K26" i="30"/>
  <c r="J26" i="30"/>
  <c r="I26" i="30"/>
  <c r="H26" i="30"/>
  <c r="G26" i="30"/>
  <c r="F26" i="30"/>
  <c r="E26" i="30"/>
  <c r="D26" i="30"/>
  <c r="N26" i="30"/>
  <c r="K25" i="30"/>
  <c r="J25" i="30"/>
  <c r="I25" i="30"/>
  <c r="F25" i="30"/>
  <c r="E25" i="30"/>
  <c r="M24" i="30"/>
  <c r="L24" i="30"/>
  <c r="K24" i="30"/>
  <c r="J24" i="30"/>
  <c r="I24" i="30"/>
  <c r="H24" i="30"/>
  <c r="G24" i="30"/>
  <c r="F24" i="30"/>
  <c r="E24" i="30"/>
  <c r="D24" i="30"/>
  <c r="M23" i="30"/>
  <c r="L23" i="30"/>
  <c r="K23" i="30"/>
  <c r="J23" i="30"/>
  <c r="I23" i="30"/>
  <c r="H23" i="30"/>
  <c r="G23" i="30"/>
  <c r="F23" i="30"/>
  <c r="E23" i="30"/>
  <c r="D23" i="30"/>
  <c r="M22" i="30"/>
  <c r="L22" i="30"/>
  <c r="K22" i="30"/>
  <c r="J22" i="30"/>
  <c r="I22" i="30"/>
  <c r="H22" i="30"/>
  <c r="G22" i="30"/>
  <c r="F22" i="30"/>
  <c r="E22" i="30"/>
  <c r="D22" i="30"/>
  <c r="M21" i="30"/>
  <c r="L21" i="30"/>
  <c r="K21" i="30"/>
  <c r="J21" i="30"/>
  <c r="I21" i="30"/>
  <c r="H21" i="30"/>
  <c r="G21" i="30"/>
  <c r="F21" i="30"/>
  <c r="E21" i="30"/>
  <c r="D21" i="30"/>
  <c r="M19" i="30"/>
  <c r="L19" i="30"/>
  <c r="K19" i="30"/>
  <c r="J19" i="30"/>
  <c r="I19" i="30"/>
  <c r="H19" i="30"/>
  <c r="G19" i="30"/>
  <c r="F19" i="30"/>
  <c r="E19" i="30"/>
  <c r="D19" i="30"/>
  <c r="M15" i="30"/>
  <c r="L15" i="30"/>
  <c r="K15" i="30"/>
  <c r="J15" i="30"/>
  <c r="I15" i="30"/>
  <c r="H15" i="30"/>
  <c r="G15" i="30"/>
  <c r="F15" i="30"/>
  <c r="E15" i="30"/>
  <c r="D15" i="30"/>
  <c r="M8" i="30"/>
  <c r="L8" i="30"/>
  <c r="K8" i="30"/>
  <c r="J8" i="30"/>
  <c r="I8" i="30"/>
  <c r="H8" i="30"/>
  <c r="O8" i="30"/>
  <c r="G8" i="30"/>
  <c r="F8" i="30"/>
  <c r="E8" i="30"/>
  <c r="D8" i="30"/>
  <c r="N8" i="30"/>
  <c r="F73" i="30"/>
  <c r="B39" i="30"/>
  <c r="B86" i="30"/>
  <c r="O25" i="30"/>
  <c r="N25" i="30"/>
  <c r="K45" i="30"/>
  <c r="F45" i="30"/>
  <c r="O20" i="30"/>
  <c r="N20" i="30"/>
  <c r="A45" i="30"/>
  <c r="O18" i="30"/>
  <c r="O17" i="30"/>
  <c r="N16" i="30"/>
  <c r="O16" i="30"/>
  <c r="O14" i="30"/>
  <c r="O13" i="30"/>
  <c r="N12" i="30"/>
  <c r="O12" i="30"/>
  <c r="O11" i="30"/>
  <c r="N11" i="30"/>
  <c r="O10" i="30"/>
  <c r="O9" i="30"/>
  <c r="O7" i="30"/>
  <c r="N7" i="30"/>
  <c r="O6" i="30"/>
  <c r="O5" i="30"/>
  <c r="N4" i="30"/>
  <c r="O4" i="30"/>
  <c r="O3" i="30"/>
  <c r="N3" i="30"/>
  <c r="O2" i="30"/>
  <c r="N2" i="30"/>
  <c r="K59" i="30"/>
  <c r="L38" i="29"/>
  <c r="K38" i="29"/>
  <c r="J38" i="29"/>
  <c r="I38" i="29"/>
  <c r="H38" i="29"/>
  <c r="G38" i="29"/>
  <c r="F38" i="29"/>
  <c r="E38" i="29"/>
  <c r="D38" i="29"/>
  <c r="L37" i="29"/>
  <c r="O37" i="29"/>
  <c r="K37" i="29"/>
  <c r="J37" i="29"/>
  <c r="L36" i="29"/>
  <c r="K36" i="29"/>
  <c r="J36" i="29"/>
  <c r="I36" i="29"/>
  <c r="H36" i="29"/>
  <c r="G36" i="29"/>
  <c r="F36" i="29"/>
  <c r="E36" i="29"/>
  <c r="D36" i="29"/>
  <c r="L35" i="29"/>
  <c r="K35" i="29"/>
  <c r="J35" i="29"/>
  <c r="I35" i="29"/>
  <c r="H35" i="29"/>
  <c r="G35" i="29"/>
  <c r="F35" i="29"/>
  <c r="E35" i="29"/>
  <c r="D35" i="29"/>
  <c r="M34" i="29"/>
  <c r="L34" i="29"/>
  <c r="K34" i="29"/>
  <c r="J34" i="29"/>
  <c r="I34" i="29"/>
  <c r="H34" i="29"/>
  <c r="G34" i="29"/>
  <c r="F34" i="29"/>
  <c r="E34" i="29"/>
  <c r="D34" i="29"/>
  <c r="M33" i="29"/>
  <c r="L33" i="29"/>
  <c r="K33" i="29"/>
  <c r="J33" i="29"/>
  <c r="I33" i="29"/>
  <c r="H33" i="29"/>
  <c r="G33" i="29"/>
  <c r="F33" i="29"/>
  <c r="E33" i="29"/>
  <c r="D33" i="29"/>
  <c r="M32" i="29"/>
  <c r="L32" i="29"/>
  <c r="K32" i="29"/>
  <c r="J32" i="29"/>
  <c r="I32" i="29"/>
  <c r="H32" i="29"/>
  <c r="G32" i="29"/>
  <c r="F32" i="29"/>
  <c r="E32" i="29"/>
  <c r="D32" i="29"/>
  <c r="M31" i="29"/>
  <c r="L31" i="29"/>
  <c r="K31" i="29"/>
  <c r="J31" i="29"/>
  <c r="I31" i="29"/>
  <c r="H31" i="29"/>
  <c r="G31" i="29"/>
  <c r="F31" i="29"/>
  <c r="E31" i="29"/>
  <c r="D31" i="29"/>
  <c r="M30" i="29"/>
  <c r="L30" i="29"/>
  <c r="K30" i="29"/>
  <c r="J30" i="29"/>
  <c r="I30" i="29"/>
  <c r="H30" i="29"/>
  <c r="G30" i="29"/>
  <c r="F30" i="29"/>
  <c r="E30" i="29"/>
  <c r="D30" i="29"/>
  <c r="M29" i="29"/>
  <c r="L29" i="29"/>
  <c r="K29" i="29"/>
  <c r="J29" i="29"/>
  <c r="I29" i="29"/>
  <c r="H29" i="29"/>
  <c r="G29" i="29"/>
  <c r="F29" i="29"/>
  <c r="E29" i="29"/>
  <c r="D29" i="29"/>
  <c r="N29" i="29"/>
  <c r="M28" i="29"/>
  <c r="L28" i="29"/>
  <c r="K28" i="29"/>
  <c r="J28" i="29"/>
  <c r="I28" i="29"/>
  <c r="H28" i="29"/>
  <c r="G28" i="29"/>
  <c r="F28" i="29"/>
  <c r="E28" i="29"/>
  <c r="D28" i="29"/>
  <c r="M27" i="29"/>
  <c r="L27" i="29"/>
  <c r="K27" i="29"/>
  <c r="J27" i="29"/>
  <c r="I27" i="29"/>
  <c r="H27" i="29"/>
  <c r="G27" i="29"/>
  <c r="F27" i="29"/>
  <c r="E27" i="29"/>
  <c r="D27" i="29"/>
  <c r="M26" i="29"/>
  <c r="L26" i="29"/>
  <c r="K26" i="29"/>
  <c r="J26" i="29"/>
  <c r="I26" i="29"/>
  <c r="H26" i="29"/>
  <c r="G26" i="29"/>
  <c r="F26" i="29"/>
  <c r="E26" i="29"/>
  <c r="D26" i="29"/>
  <c r="M25" i="29"/>
  <c r="L25" i="29"/>
  <c r="K25" i="29"/>
  <c r="J25" i="29"/>
  <c r="I25" i="29"/>
  <c r="H25" i="29"/>
  <c r="G25" i="29"/>
  <c r="F25" i="29"/>
  <c r="E25" i="29"/>
  <c r="D25" i="29"/>
  <c r="N25" i="29"/>
  <c r="M24" i="29"/>
  <c r="L24" i="29"/>
  <c r="K24" i="29"/>
  <c r="J24" i="29"/>
  <c r="I24" i="29"/>
  <c r="H24" i="29"/>
  <c r="G24" i="29"/>
  <c r="F24" i="29"/>
  <c r="E24" i="29"/>
  <c r="D24" i="29"/>
  <c r="M23" i="29"/>
  <c r="L23" i="29"/>
  <c r="K23" i="29"/>
  <c r="J23" i="29"/>
  <c r="I23" i="29"/>
  <c r="H23" i="29"/>
  <c r="G23" i="29"/>
  <c r="F23" i="29"/>
  <c r="E23" i="29"/>
  <c r="D23" i="29"/>
  <c r="N23" i="29"/>
  <c r="M22" i="29"/>
  <c r="L22" i="29"/>
  <c r="K22" i="29"/>
  <c r="J22" i="29"/>
  <c r="I22" i="29"/>
  <c r="H22" i="29"/>
  <c r="G22" i="29"/>
  <c r="F22" i="29"/>
  <c r="E22" i="29"/>
  <c r="D22" i="29"/>
  <c r="M21" i="29"/>
  <c r="L21" i="29"/>
  <c r="K21" i="29"/>
  <c r="J21" i="29"/>
  <c r="I21" i="29"/>
  <c r="H21" i="29"/>
  <c r="G21" i="29"/>
  <c r="F21" i="29"/>
  <c r="E21" i="29"/>
  <c r="D21" i="29"/>
  <c r="M19" i="29"/>
  <c r="L19" i="29"/>
  <c r="K19" i="29"/>
  <c r="J19" i="29"/>
  <c r="I19" i="29"/>
  <c r="H19" i="29"/>
  <c r="G19" i="29"/>
  <c r="F19" i="29"/>
  <c r="E19" i="29"/>
  <c r="D19" i="29"/>
  <c r="M15" i="29"/>
  <c r="L15" i="29"/>
  <c r="K15" i="29"/>
  <c r="J15" i="29"/>
  <c r="I15" i="29"/>
  <c r="H15" i="29"/>
  <c r="G15" i="29"/>
  <c r="F15" i="29"/>
  <c r="E15" i="29"/>
  <c r="D15" i="29"/>
  <c r="M8" i="29"/>
  <c r="L8" i="29"/>
  <c r="K8" i="29"/>
  <c r="J8" i="29"/>
  <c r="I8" i="29"/>
  <c r="H8" i="29"/>
  <c r="G8" i="29"/>
  <c r="F8" i="29"/>
  <c r="E8" i="29"/>
  <c r="D8" i="29"/>
  <c r="N8" i="29"/>
  <c r="F73" i="29"/>
  <c r="B39" i="29"/>
  <c r="B86" i="29"/>
  <c r="K45" i="29"/>
  <c r="O20" i="29"/>
  <c r="N20" i="29"/>
  <c r="A45" i="29"/>
  <c r="O18" i="29"/>
  <c r="O17" i="29"/>
  <c r="N17" i="29"/>
  <c r="N16" i="29"/>
  <c r="O16" i="29"/>
  <c r="O14" i="29"/>
  <c r="O13" i="29"/>
  <c r="N13" i="29"/>
  <c r="N12" i="29"/>
  <c r="O12" i="29"/>
  <c r="O11" i="29"/>
  <c r="N11" i="29"/>
  <c r="O10" i="29"/>
  <c r="O9" i="29"/>
  <c r="N9" i="29"/>
  <c r="O7" i="29"/>
  <c r="N7" i="29"/>
  <c r="O6" i="29"/>
  <c r="O5" i="29"/>
  <c r="N5" i="29"/>
  <c r="N4" i="29"/>
  <c r="O4" i="29"/>
  <c r="O3" i="29"/>
  <c r="N3" i="29"/>
  <c r="O2" i="29"/>
  <c r="N2" i="29"/>
  <c r="K59" i="29"/>
  <c r="L38" i="28"/>
  <c r="K38" i="28"/>
  <c r="J38" i="28"/>
  <c r="I38" i="28"/>
  <c r="H38" i="28"/>
  <c r="G38" i="28"/>
  <c r="F38" i="28"/>
  <c r="E38" i="28"/>
  <c r="D38" i="28"/>
  <c r="L37" i="28"/>
  <c r="O37" i="28"/>
  <c r="K37" i="28"/>
  <c r="J37" i="28"/>
  <c r="I37" i="28"/>
  <c r="L36" i="28"/>
  <c r="N36" i="28"/>
  <c r="K36" i="28"/>
  <c r="J36" i="28"/>
  <c r="I36" i="28"/>
  <c r="H36" i="28"/>
  <c r="G36" i="28"/>
  <c r="F36" i="28"/>
  <c r="E36" i="28"/>
  <c r="L35" i="28"/>
  <c r="K35" i="28"/>
  <c r="J35" i="28"/>
  <c r="I35" i="28"/>
  <c r="H35" i="28"/>
  <c r="G35" i="28"/>
  <c r="F35" i="28"/>
  <c r="E35" i="28"/>
  <c r="D35" i="28"/>
  <c r="M34" i="28"/>
  <c r="L34" i="28"/>
  <c r="K34" i="28"/>
  <c r="J34" i="28"/>
  <c r="I34" i="28"/>
  <c r="H34" i="28"/>
  <c r="G34" i="28"/>
  <c r="F34" i="28"/>
  <c r="E34" i="28"/>
  <c r="D34" i="28"/>
  <c r="M33" i="28"/>
  <c r="L33" i="28"/>
  <c r="K33" i="28"/>
  <c r="J33" i="28"/>
  <c r="I33" i="28"/>
  <c r="H33" i="28"/>
  <c r="G33" i="28"/>
  <c r="F33" i="28"/>
  <c r="E33" i="28"/>
  <c r="D33" i="28"/>
  <c r="M32" i="28"/>
  <c r="L32" i="28"/>
  <c r="K32" i="28"/>
  <c r="J32" i="28"/>
  <c r="I32" i="28"/>
  <c r="H32" i="28"/>
  <c r="G32" i="28"/>
  <c r="F32" i="28"/>
  <c r="E32" i="28"/>
  <c r="D32" i="28"/>
  <c r="M31" i="28"/>
  <c r="L31" i="28"/>
  <c r="K31" i="28"/>
  <c r="J31" i="28"/>
  <c r="I31" i="28"/>
  <c r="H31" i="28"/>
  <c r="G31" i="28"/>
  <c r="F31" i="28"/>
  <c r="E31" i="28"/>
  <c r="D31" i="28"/>
  <c r="M30" i="28"/>
  <c r="L30" i="28"/>
  <c r="K30" i="28"/>
  <c r="J30" i="28"/>
  <c r="I30" i="28"/>
  <c r="H30" i="28"/>
  <c r="G30" i="28"/>
  <c r="F30" i="28"/>
  <c r="E30" i="28"/>
  <c r="D30" i="28"/>
  <c r="M29" i="28"/>
  <c r="L29" i="28"/>
  <c r="K29" i="28"/>
  <c r="J29" i="28"/>
  <c r="I29" i="28"/>
  <c r="H29" i="28"/>
  <c r="G29" i="28"/>
  <c r="F29" i="28"/>
  <c r="E29" i="28"/>
  <c r="D29" i="28"/>
  <c r="M28" i="28"/>
  <c r="L28" i="28"/>
  <c r="K28" i="28"/>
  <c r="J28" i="28"/>
  <c r="I28" i="28"/>
  <c r="H28" i="28"/>
  <c r="G28" i="28"/>
  <c r="F28" i="28"/>
  <c r="E28" i="28"/>
  <c r="D28" i="28"/>
  <c r="N28" i="28"/>
  <c r="M27" i="28"/>
  <c r="L27" i="28"/>
  <c r="K27" i="28"/>
  <c r="J27" i="28"/>
  <c r="I27" i="28"/>
  <c r="H27" i="28"/>
  <c r="G27" i="28"/>
  <c r="F27" i="28"/>
  <c r="E27" i="28"/>
  <c r="D27" i="28"/>
  <c r="M26" i="28"/>
  <c r="L26" i="28"/>
  <c r="K26" i="28"/>
  <c r="J26" i="28"/>
  <c r="I26" i="28"/>
  <c r="H26" i="28"/>
  <c r="G26" i="28"/>
  <c r="F26" i="28"/>
  <c r="E26" i="28"/>
  <c r="D26" i="28"/>
  <c r="M25" i="28"/>
  <c r="L25" i="28"/>
  <c r="K25" i="28"/>
  <c r="J25" i="28"/>
  <c r="I25" i="28"/>
  <c r="H25" i="28"/>
  <c r="G25" i="28"/>
  <c r="F25" i="28"/>
  <c r="E25" i="28"/>
  <c r="D25" i="28"/>
  <c r="M24" i="28"/>
  <c r="L24" i="28"/>
  <c r="K24" i="28"/>
  <c r="J24" i="28"/>
  <c r="I24" i="28"/>
  <c r="H24" i="28"/>
  <c r="G24" i="28"/>
  <c r="F24" i="28"/>
  <c r="E24" i="28"/>
  <c r="D24" i="28"/>
  <c r="M23" i="28"/>
  <c r="L23" i="28"/>
  <c r="K23" i="28"/>
  <c r="J23" i="28"/>
  <c r="I23" i="28"/>
  <c r="H23" i="28"/>
  <c r="G23" i="28"/>
  <c r="F23" i="28"/>
  <c r="E23" i="28"/>
  <c r="D23" i="28"/>
  <c r="M22" i="28"/>
  <c r="L22" i="28"/>
  <c r="K22" i="28"/>
  <c r="J22" i="28"/>
  <c r="I22" i="28"/>
  <c r="H22" i="28"/>
  <c r="G22" i="28"/>
  <c r="F22" i="28"/>
  <c r="E22" i="28"/>
  <c r="D22" i="28"/>
  <c r="M21" i="28"/>
  <c r="L21" i="28"/>
  <c r="K21" i="28"/>
  <c r="J21" i="28"/>
  <c r="I21" i="28"/>
  <c r="H21" i="28"/>
  <c r="G21" i="28"/>
  <c r="F21" i="28"/>
  <c r="E21" i="28"/>
  <c r="D21" i="28"/>
  <c r="M19" i="28"/>
  <c r="L19" i="28"/>
  <c r="K19" i="28"/>
  <c r="J19" i="28"/>
  <c r="I19" i="28"/>
  <c r="H19" i="28"/>
  <c r="G19" i="28"/>
  <c r="F19" i="28"/>
  <c r="E19" i="28"/>
  <c r="D19" i="28"/>
  <c r="M15" i="28"/>
  <c r="L15" i="28"/>
  <c r="K15" i="28"/>
  <c r="J15" i="28"/>
  <c r="I15" i="28"/>
  <c r="H15" i="28"/>
  <c r="O15" i="28"/>
  <c r="G15" i="28"/>
  <c r="F15" i="28"/>
  <c r="E15" i="28"/>
  <c r="D15" i="28"/>
  <c r="M8" i="28"/>
  <c r="L8" i="28"/>
  <c r="K8" i="28"/>
  <c r="J8" i="28"/>
  <c r="I8" i="28"/>
  <c r="H8" i="28"/>
  <c r="G8" i="28"/>
  <c r="F8" i="28"/>
  <c r="E8" i="28"/>
  <c r="D8" i="28"/>
  <c r="A73" i="28"/>
  <c r="B39" i="28"/>
  <c r="B86" i="28"/>
  <c r="K45" i="28"/>
  <c r="F45" i="28"/>
  <c r="O20" i="28"/>
  <c r="N20" i="28"/>
  <c r="A45" i="28"/>
  <c r="N18" i="28"/>
  <c r="O18" i="28"/>
  <c r="O17" i="28"/>
  <c r="N17" i="28"/>
  <c r="N16" i="28"/>
  <c r="N14" i="28"/>
  <c r="O14" i="28"/>
  <c r="O13" i="28"/>
  <c r="N13" i="28"/>
  <c r="N12" i="28"/>
  <c r="O11" i="28"/>
  <c r="N11" i="28"/>
  <c r="N10" i="28"/>
  <c r="O10" i="28"/>
  <c r="O9" i="28"/>
  <c r="N9" i="28"/>
  <c r="O7" i="28"/>
  <c r="N7" i="28"/>
  <c r="N6" i="28"/>
  <c r="O6" i="28"/>
  <c r="O5" i="28"/>
  <c r="N5" i="28"/>
  <c r="N4" i="28"/>
  <c r="O3" i="28"/>
  <c r="N3" i="28"/>
  <c r="O2" i="28"/>
  <c r="N2" i="28"/>
  <c r="K59" i="28"/>
  <c r="L38" i="27"/>
  <c r="K38" i="27"/>
  <c r="J38" i="27"/>
  <c r="I38" i="27"/>
  <c r="H38" i="27"/>
  <c r="G38" i="27"/>
  <c r="F38" i="27"/>
  <c r="E38" i="27"/>
  <c r="D38" i="27"/>
  <c r="L37" i="27"/>
  <c r="N37" i="27"/>
  <c r="K37" i="27"/>
  <c r="J37" i="27"/>
  <c r="I37" i="27"/>
  <c r="H37" i="27"/>
  <c r="L36" i="27"/>
  <c r="K36" i="27"/>
  <c r="J36" i="27"/>
  <c r="I36" i="27"/>
  <c r="H36" i="27"/>
  <c r="G36" i="27"/>
  <c r="F36" i="27"/>
  <c r="E36" i="27"/>
  <c r="D36" i="27"/>
  <c r="L35" i="27"/>
  <c r="K35" i="27"/>
  <c r="J35" i="27"/>
  <c r="I35" i="27"/>
  <c r="H35" i="27"/>
  <c r="G35" i="27"/>
  <c r="F35" i="27"/>
  <c r="E35" i="27"/>
  <c r="D35" i="27"/>
  <c r="M34" i="27"/>
  <c r="L34" i="27"/>
  <c r="K34" i="27"/>
  <c r="J34" i="27"/>
  <c r="I34" i="27"/>
  <c r="H34" i="27"/>
  <c r="G34" i="27"/>
  <c r="F34" i="27"/>
  <c r="E34" i="27"/>
  <c r="D34" i="27"/>
  <c r="M33" i="27"/>
  <c r="L33" i="27"/>
  <c r="K33" i="27"/>
  <c r="J33" i="27"/>
  <c r="I33" i="27"/>
  <c r="H33" i="27"/>
  <c r="G33" i="27"/>
  <c r="F33" i="27"/>
  <c r="E33" i="27"/>
  <c r="D33" i="27"/>
  <c r="M32" i="27"/>
  <c r="L32" i="27"/>
  <c r="K32" i="27"/>
  <c r="J32" i="27"/>
  <c r="I32" i="27"/>
  <c r="H32" i="27"/>
  <c r="G32" i="27"/>
  <c r="F32" i="27"/>
  <c r="E32" i="27"/>
  <c r="D32" i="27"/>
  <c r="M31" i="27"/>
  <c r="L31" i="27"/>
  <c r="K31" i="27"/>
  <c r="J31" i="27"/>
  <c r="I31" i="27"/>
  <c r="H31" i="27"/>
  <c r="G31" i="27"/>
  <c r="F31" i="27"/>
  <c r="E31" i="27"/>
  <c r="D31" i="27"/>
  <c r="M30" i="27"/>
  <c r="L30" i="27"/>
  <c r="K30" i="27"/>
  <c r="J30" i="27"/>
  <c r="I30" i="27"/>
  <c r="H30" i="27"/>
  <c r="G30" i="27"/>
  <c r="F30" i="27"/>
  <c r="E30" i="27"/>
  <c r="D30" i="27"/>
  <c r="M29" i="27"/>
  <c r="L29" i="27"/>
  <c r="K29" i="27"/>
  <c r="J29" i="27"/>
  <c r="I29" i="27"/>
  <c r="H29" i="27"/>
  <c r="G29" i="27"/>
  <c r="F29" i="27"/>
  <c r="E29" i="27"/>
  <c r="D29" i="27"/>
  <c r="M28" i="27"/>
  <c r="L28" i="27"/>
  <c r="K28" i="27"/>
  <c r="J28" i="27"/>
  <c r="I28" i="27"/>
  <c r="H28" i="27"/>
  <c r="G28" i="27"/>
  <c r="F28" i="27"/>
  <c r="E28" i="27"/>
  <c r="D28" i="27"/>
  <c r="M27" i="27"/>
  <c r="L27" i="27"/>
  <c r="K27" i="27"/>
  <c r="J27" i="27"/>
  <c r="I27" i="27"/>
  <c r="H27" i="27"/>
  <c r="G27" i="27"/>
  <c r="F27" i="27"/>
  <c r="E27" i="27"/>
  <c r="D27" i="27"/>
  <c r="M26" i="27"/>
  <c r="L26" i="27"/>
  <c r="K26" i="27"/>
  <c r="J26" i="27"/>
  <c r="I26" i="27"/>
  <c r="H26" i="27"/>
  <c r="G26" i="27"/>
  <c r="F26" i="27"/>
  <c r="E26" i="27"/>
  <c r="D26" i="27"/>
  <c r="M25" i="27"/>
  <c r="L25" i="27"/>
  <c r="K25" i="27"/>
  <c r="J25" i="27"/>
  <c r="I25" i="27"/>
  <c r="H25" i="27"/>
  <c r="G25" i="27"/>
  <c r="F25" i="27"/>
  <c r="E25" i="27"/>
  <c r="D25" i="27"/>
  <c r="M24" i="27"/>
  <c r="L24" i="27"/>
  <c r="K24" i="27"/>
  <c r="J24" i="27"/>
  <c r="I24" i="27"/>
  <c r="H24" i="27"/>
  <c r="G24" i="27"/>
  <c r="F24" i="27"/>
  <c r="E24" i="27"/>
  <c r="D24" i="27"/>
  <c r="M23" i="27"/>
  <c r="L23" i="27"/>
  <c r="K23" i="27"/>
  <c r="J23" i="27"/>
  <c r="I23" i="27"/>
  <c r="H23" i="27"/>
  <c r="G23" i="27"/>
  <c r="F23" i="27"/>
  <c r="E23" i="27"/>
  <c r="D23" i="27"/>
  <c r="M22" i="27"/>
  <c r="L22" i="27"/>
  <c r="K22" i="27"/>
  <c r="J22" i="27"/>
  <c r="I22" i="27"/>
  <c r="H22" i="27"/>
  <c r="G22" i="27"/>
  <c r="F22" i="27"/>
  <c r="E22" i="27"/>
  <c r="D22" i="27"/>
  <c r="M21" i="27"/>
  <c r="L21" i="27"/>
  <c r="K21" i="27"/>
  <c r="J21" i="27"/>
  <c r="I21" i="27"/>
  <c r="H21" i="27"/>
  <c r="G21" i="27"/>
  <c r="F21" i="27"/>
  <c r="E21" i="27"/>
  <c r="D21" i="27"/>
  <c r="M19" i="27"/>
  <c r="L19" i="27"/>
  <c r="K19" i="27"/>
  <c r="J19" i="27"/>
  <c r="I19" i="27"/>
  <c r="H19" i="27"/>
  <c r="G19" i="27"/>
  <c r="F19" i="27"/>
  <c r="E19" i="27"/>
  <c r="D19" i="27"/>
  <c r="M15" i="27"/>
  <c r="L15" i="27"/>
  <c r="K15" i="27"/>
  <c r="J15" i="27"/>
  <c r="I15" i="27"/>
  <c r="H15" i="27"/>
  <c r="G15" i="27"/>
  <c r="F15" i="27"/>
  <c r="E15" i="27"/>
  <c r="D15" i="27"/>
  <c r="M8" i="27"/>
  <c r="L8" i="27"/>
  <c r="K8" i="27"/>
  <c r="J8" i="27"/>
  <c r="I8" i="27"/>
  <c r="H8" i="27"/>
  <c r="O8" i="27"/>
  <c r="G8" i="27"/>
  <c r="F8" i="27"/>
  <c r="E8" i="27"/>
  <c r="D8" i="27"/>
  <c r="N8" i="27"/>
  <c r="F73" i="27"/>
  <c r="B39" i="27"/>
  <c r="B86" i="27"/>
  <c r="K45" i="27"/>
  <c r="F45" i="27"/>
  <c r="O20" i="27"/>
  <c r="N20" i="27"/>
  <c r="A45" i="27"/>
  <c r="O18" i="27"/>
  <c r="O17" i="27"/>
  <c r="N17" i="27"/>
  <c r="N16" i="27"/>
  <c r="O16" i="27"/>
  <c r="O14" i="27"/>
  <c r="O13" i="27"/>
  <c r="N13" i="27"/>
  <c r="N12" i="27"/>
  <c r="O12" i="27"/>
  <c r="O11" i="27"/>
  <c r="N11" i="27"/>
  <c r="O10" i="27"/>
  <c r="O9" i="27"/>
  <c r="N9" i="27"/>
  <c r="O7" i="27"/>
  <c r="N7" i="27"/>
  <c r="O6" i="27"/>
  <c r="O5" i="27"/>
  <c r="N5" i="27"/>
  <c r="N4" i="27"/>
  <c r="O4" i="27"/>
  <c r="O3" i="27"/>
  <c r="N3" i="27"/>
  <c r="O2" i="27"/>
  <c r="N2" i="27"/>
  <c r="K59" i="27"/>
  <c r="L38" i="26"/>
  <c r="K38" i="26"/>
  <c r="J38" i="26"/>
  <c r="I38" i="26"/>
  <c r="H38" i="26"/>
  <c r="G38" i="26"/>
  <c r="F38" i="26"/>
  <c r="E38" i="26"/>
  <c r="L37" i="26"/>
  <c r="N37" i="26"/>
  <c r="K37" i="26"/>
  <c r="J37" i="26"/>
  <c r="H37" i="26"/>
  <c r="L36" i="26"/>
  <c r="N36" i="26"/>
  <c r="K36" i="26"/>
  <c r="J36" i="26"/>
  <c r="I36" i="26"/>
  <c r="H36" i="26"/>
  <c r="G36" i="26"/>
  <c r="F36" i="26"/>
  <c r="L35" i="26"/>
  <c r="N35" i="26"/>
  <c r="K35" i="26"/>
  <c r="J35" i="26"/>
  <c r="I35" i="26"/>
  <c r="H35" i="26"/>
  <c r="G35" i="26"/>
  <c r="F35" i="26"/>
  <c r="E35" i="26"/>
  <c r="M34" i="26"/>
  <c r="L34" i="26"/>
  <c r="K34" i="26"/>
  <c r="J34" i="26"/>
  <c r="I34" i="26"/>
  <c r="H34" i="26"/>
  <c r="G34" i="26"/>
  <c r="F34" i="26"/>
  <c r="E34" i="26"/>
  <c r="D34" i="26"/>
  <c r="M33" i="26"/>
  <c r="L33" i="26"/>
  <c r="K33" i="26"/>
  <c r="J33" i="26"/>
  <c r="I33" i="26"/>
  <c r="H33" i="26"/>
  <c r="G33" i="26"/>
  <c r="F33" i="26"/>
  <c r="E33" i="26"/>
  <c r="D33" i="26"/>
  <c r="M32" i="26"/>
  <c r="L32" i="26"/>
  <c r="K32" i="26"/>
  <c r="J32" i="26"/>
  <c r="I32" i="26"/>
  <c r="H32" i="26"/>
  <c r="G32" i="26"/>
  <c r="F32" i="26"/>
  <c r="E32" i="26"/>
  <c r="D32" i="26"/>
  <c r="M31" i="26"/>
  <c r="L31" i="26"/>
  <c r="K31" i="26"/>
  <c r="J31" i="26"/>
  <c r="I31" i="26"/>
  <c r="H31" i="26"/>
  <c r="G31" i="26"/>
  <c r="F31" i="26"/>
  <c r="E31" i="26"/>
  <c r="D31" i="26"/>
  <c r="M30" i="26"/>
  <c r="L30" i="26"/>
  <c r="K30" i="26"/>
  <c r="J30" i="26"/>
  <c r="I30" i="26"/>
  <c r="H30" i="26"/>
  <c r="G30" i="26"/>
  <c r="F30" i="26"/>
  <c r="E30" i="26"/>
  <c r="D30" i="26"/>
  <c r="M29" i="26"/>
  <c r="L29" i="26"/>
  <c r="K29" i="26"/>
  <c r="J29" i="26"/>
  <c r="I29" i="26"/>
  <c r="H29" i="26"/>
  <c r="G29" i="26"/>
  <c r="F29" i="26"/>
  <c r="E29" i="26"/>
  <c r="D29" i="26"/>
  <c r="M28" i="26"/>
  <c r="L28" i="26"/>
  <c r="K28" i="26"/>
  <c r="J28" i="26"/>
  <c r="I28" i="26"/>
  <c r="H28" i="26"/>
  <c r="G28" i="26"/>
  <c r="F28" i="26"/>
  <c r="E28" i="26"/>
  <c r="D28" i="26"/>
  <c r="M27" i="26"/>
  <c r="L27" i="26"/>
  <c r="K27" i="26"/>
  <c r="J27" i="26"/>
  <c r="I27" i="26"/>
  <c r="H27" i="26"/>
  <c r="G27" i="26"/>
  <c r="F27" i="26"/>
  <c r="E27" i="26"/>
  <c r="D27" i="26"/>
  <c r="M26" i="26"/>
  <c r="L26" i="26"/>
  <c r="K26" i="26"/>
  <c r="J26" i="26"/>
  <c r="I26" i="26"/>
  <c r="H26" i="26"/>
  <c r="G26" i="26"/>
  <c r="F26" i="26"/>
  <c r="E26" i="26"/>
  <c r="D26" i="26"/>
  <c r="M25" i="26"/>
  <c r="L25" i="26"/>
  <c r="K25" i="26"/>
  <c r="J25" i="26"/>
  <c r="I25" i="26"/>
  <c r="H25" i="26"/>
  <c r="G25" i="26"/>
  <c r="F25" i="26"/>
  <c r="E25" i="26"/>
  <c r="D25" i="26"/>
  <c r="M24" i="26"/>
  <c r="L24" i="26"/>
  <c r="K24" i="26"/>
  <c r="J24" i="26"/>
  <c r="I24" i="26"/>
  <c r="H24" i="26"/>
  <c r="G24" i="26"/>
  <c r="F24" i="26"/>
  <c r="E24" i="26"/>
  <c r="D24" i="26"/>
  <c r="M23" i="26"/>
  <c r="L23" i="26"/>
  <c r="K23" i="26"/>
  <c r="J23" i="26"/>
  <c r="I23" i="26"/>
  <c r="H23" i="26"/>
  <c r="G23" i="26"/>
  <c r="F23" i="26"/>
  <c r="E23" i="26"/>
  <c r="D23" i="26"/>
  <c r="N23" i="26"/>
  <c r="M22" i="26"/>
  <c r="L22" i="26"/>
  <c r="K22" i="26"/>
  <c r="J22" i="26"/>
  <c r="I22" i="26"/>
  <c r="H22" i="26"/>
  <c r="G22" i="26"/>
  <c r="F22" i="26"/>
  <c r="E22" i="26"/>
  <c r="D22" i="26"/>
  <c r="M21" i="26"/>
  <c r="L21" i="26"/>
  <c r="K21" i="26"/>
  <c r="J21" i="26"/>
  <c r="I21" i="26"/>
  <c r="H21" i="26"/>
  <c r="G21" i="26"/>
  <c r="F21" i="26"/>
  <c r="E21" i="26"/>
  <c r="D21" i="26"/>
  <c r="M19" i="26"/>
  <c r="L19" i="26"/>
  <c r="K19" i="26"/>
  <c r="J19" i="26"/>
  <c r="I19" i="26"/>
  <c r="H19" i="26"/>
  <c r="G19" i="26"/>
  <c r="F19" i="26"/>
  <c r="E19" i="26"/>
  <c r="D19" i="26"/>
  <c r="M15" i="26"/>
  <c r="L15" i="26"/>
  <c r="K15" i="26"/>
  <c r="J15" i="26"/>
  <c r="I15" i="26"/>
  <c r="H15" i="26"/>
  <c r="G15" i="26"/>
  <c r="F15" i="26"/>
  <c r="E15" i="26"/>
  <c r="D15" i="26"/>
  <c r="M8" i="26"/>
  <c r="L8" i="26"/>
  <c r="K8" i="26"/>
  <c r="J8" i="26"/>
  <c r="I8" i="26"/>
  <c r="H8" i="26"/>
  <c r="G8" i="26"/>
  <c r="F8" i="26"/>
  <c r="E8" i="26"/>
  <c r="D8" i="26"/>
  <c r="A73" i="26"/>
  <c r="B39" i="26"/>
  <c r="B86" i="26"/>
  <c r="K45" i="26"/>
  <c r="F45" i="26"/>
  <c r="O20" i="26"/>
  <c r="N20" i="26"/>
  <c r="A45" i="26"/>
  <c r="N18" i="26"/>
  <c r="O18" i="26"/>
  <c r="O17" i="26"/>
  <c r="N17" i="26"/>
  <c r="N16" i="26"/>
  <c r="N14" i="26"/>
  <c r="O14" i="26"/>
  <c r="O13" i="26"/>
  <c r="N13" i="26"/>
  <c r="N12" i="26"/>
  <c r="O11" i="26"/>
  <c r="N11" i="26"/>
  <c r="N10" i="26"/>
  <c r="O10" i="26"/>
  <c r="O9" i="26"/>
  <c r="N9" i="26"/>
  <c r="O7" i="26"/>
  <c r="N7" i="26"/>
  <c r="N6" i="26"/>
  <c r="O6" i="26"/>
  <c r="O5" i="26"/>
  <c r="N5" i="26"/>
  <c r="N4" i="26"/>
  <c r="O3" i="26"/>
  <c r="N3" i="26"/>
  <c r="O2" i="26"/>
  <c r="N2" i="26"/>
  <c r="K59" i="26"/>
  <c r="L38" i="25"/>
  <c r="K38" i="25"/>
  <c r="J38" i="25"/>
  <c r="I38" i="25"/>
  <c r="H38" i="25"/>
  <c r="G38" i="25"/>
  <c r="F38" i="25"/>
  <c r="E38" i="25"/>
  <c r="D38" i="25"/>
  <c r="L37" i="25"/>
  <c r="N37" i="25"/>
  <c r="K37" i="25"/>
  <c r="J37" i="25"/>
  <c r="I37" i="25"/>
  <c r="L36" i="25"/>
  <c r="K36" i="25"/>
  <c r="J36" i="25"/>
  <c r="I36" i="25"/>
  <c r="H36" i="25"/>
  <c r="G36" i="25"/>
  <c r="F36" i="25"/>
  <c r="E36" i="25"/>
  <c r="L35" i="25"/>
  <c r="K35" i="25"/>
  <c r="J35" i="25"/>
  <c r="I35" i="25"/>
  <c r="H35" i="25"/>
  <c r="G35" i="25"/>
  <c r="F35" i="25"/>
  <c r="E35" i="25"/>
  <c r="D35" i="25"/>
  <c r="M34" i="25"/>
  <c r="L34" i="25"/>
  <c r="K34" i="25"/>
  <c r="J34" i="25"/>
  <c r="I34" i="25"/>
  <c r="H34" i="25"/>
  <c r="G34" i="25"/>
  <c r="F34" i="25"/>
  <c r="E34" i="25"/>
  <c r="D34" i="25"/>
  <c r="M33" i="25"/>
  <c r="L33" i="25"/>
  <c r="K33" i="25"/>
  <c r="J33" i="25"/>
  <c r="I33" i="25"/>
  <c r="H33" i="25"/>
  <c r="G33" i="25"/>
  <c r="F33" i="25"/>
  <c r="E33" i="25"/>
  <c r="D33" i="25"/>
  <c r="M32" i="25"/>
  <c r="L32" i="25"/>
  <c r="K32" i="25"/>
  <c r="J32" i="25"/>
  <c r="I32" i="25"/>
  <c r="H32" i="25"/>
  <c r="G32" i="25"/>
  <c r="F32" i="25"/>
  <c r="E32" i="25"/>
  <c r="D32" i="25"/>
  <c r="M31" i="25"/>
  <c r="L31" i="25"/>
  <c r="K31" i="25"/>
  <c r="J31" i="25"/>
  <c r="I31" i="25"/>
  <c r="H31" i="25"/>
  <c r="G31" i="25"/>
  <c r="F31" i="25"/>
  <c r="E31" i="25"/>
  <c r="D31" i="25"/>
  <c r="M30" i="25"/>
  <c r="L30" i="25"/>
  <c r="K30" i="25"/>
  <c r="J30" i="25"/>
  <c r="I30" i="25"/>
  <c r="H30" i="25"/>
  <c r="G30" i="25"/>
  <c r="F30" i="25"/>
  <c r="E30" i="25"/>
  <c r="D30" i="25"/>
  <c r="N30" i="25"/>
  <c r="M29" i="25"/>
  <c r="L29" i="25"/>
  <c r="K29" i="25"/>
  <c r="J29" i="25"/>
  <c r="I29" i="25"/>
  <c r="H29" i="25"/>
  <c r="G29" i="25"/>
  <c r="F29" i="25"/>
  <c r="E29" i="25"/>
  <c r="D29" i="25"/>
  <c r="M28" i="25"/>
  <c r="L28" i="25"/>
  <c r="K28" i="25"/>
  <c r="J28" i="25"/>
  <c r="I28" i="25"/>
  <c r="H28" i="25"/>
  <c r="G28" i="25"/>
  <c r="F28" i="25"/>
  <c r="E28" i="25"/>
  <c r="D28" i="25"/>
  <c r="M27" i="25"/>
  <c r="L27" i="25"/>
  <c r="K27" i="25"/>
  <c r="J27" i="25"/>
  <c r="I27" i="25"/>
  <c r="H27" i="25"/>
  <c r="G27" i="25"/>
  <c r="F27" i="25"/>
  <c r="E27" i="25"/>
  <c r="D27" i="25"/>
  <c r="M26" i="25"/>
  <c r="L26" i="25"/>
  <c r="K26" i="25"/>
  <c r="J26" i="25"/>
  <c r="I26" i="25"/>
  <c r="H26" i="25"/>
  <c r="G26" i="25"/>
  <c r="F26" i="25"/>
  <c r="E26" i="25"/>
  <c r="D26" i="25"/>
  <c r="M25" i="25"/>
  <c r="L25" i="25"/>
  <c r="O25" i="25"/>
  <c r="K25" i="25"/>
  <c r="J25" i="25"/>
  <c r="I25" i="25"/>
  <c r="G25" i="25"/>
  <c r="F25" i="25"/>
  <c r="E25" i="25"/>
  <c r="D25" i="25"/>
  <c r="M24" i="25"/>
  <c r="L24" i="25"/>
  <c r="K24" i="25"/>
  <c r="J24" i="25"/>
  <c r="I24" i="25"/>
  <c r="H24" i="25"/>
  <c r="G24" i="25"/>
  <c r="F24" i="25"/>
  <c r="E24" i="25"/>
  <c r="D24" i="25"/>
  <c r="M23" i="25"/>
  <c r="L23" i="25"/>
  <c r="K23" i="25"/>
  <c r="J23" i="25"/>
  <c r="I23" i="25"/>
  <c r="H23" i="25"/>
  <c r="G23" i="25"/>
  <c r="F23" i="25"/>
  <c r="E23" i="25"/>
  <c r="D23" i="25"/>
  <c r="M22" i="25"/>
  <c r="L22" i="25"/>
  <c r="K22" i="25"/>
  <c r="J22" i="25"/>
  <c r="I22" i="25"/>
  <c r="H22" i="25"/>
  <c r="G22" i="25"/>
  <c r="F22" i="25"/>
  <c r="E22" i="25"/>
  <c r="D22" i="25"/>
  <c r="M21" i="25"/>
  <c r="L21" i="25"/>
  <c r="K21" i="25"/>
  <c r="J21" i="25"/>
  <c r="I21" i="25"/>
  <c r="H21" i="25"/>
  <c r="G21" i="25"/>
  <c r="F21" i="25"/>
  <c r="E21" i="25"/>
  <c r="D21" i="25"/>
  <c r="N21" i="25"/>
  <c r="M19" i="25"/>
  <c r="L19" i="25"/>
  <c r="K19" i="25"/>
  <c r="J19" i="25"/>
  <c r="I19" i="25"/>
  <c r="H19" i="25"/>
  <c r="G19" i="25"/>
  <c r="F19" i="25"/>
  <c r="E19" i="25"/>
  <c r="D19" i="25"/>
  <c r="M15" i="25"/>
  <c r="L15" i="25"/>
  <c r="K15" i="25"/>
  <c r="J15" i="25"/>
  <c r="I15" i="25"/>
  <c r="H15" i="25"/>
  <c r="G15" i="25"/>
  <c r="F15" i="25"/>
  <c r="E15" i="25"/>
  <c r="D15" i="25"/>
  <c r="N15" i="25"/>
  <c r="M8" i="25"/>
  <c r="L8" i="25"/>
  <c r="K8" i="25"/>
  <c r="J8" i="25"/>
  <c r="I8" i="25"/>
  <c r="H8" i="25"/>
  <c r="G8" i="25"/>
  <c r="F8" i="25"/>
  <c r="E8" i="25"/>
  <c r="D8" i="25"/>
  <c r="F73" i="25"/>
  <c r="B39" i="25"/>
  <c r="B86" i="25"/>
  <c r="O37" i="25"/>
  <c r="K45" i="25"/>
  <c r="F45" i="25"/>
  <c r="O20" i="25"/>
  <c r="N20" i="25"/>
  <c r="A45" i="25"/>
  <c r="O18" i="25"/>
  <c r="O17" i="25"/>
  <c r="N17" i="25"/>
  <c r="N16" i="25"/>
  <c r="O16" i="25"/>
  <c r="O14" i="25"/>
  <c r="O13" i="25"/>
  <c r="N13" i="25"/>
  <c r="N12" i="25"/>
  <c r="O12" i="25"/>
  <c r="O11" i="25"/>
  <c r="N11" i="25"/>
  <c r="O10" i="25"/>
  <c r="O9" i="25"/>
  <c r="N9" i="25"/>
  <c r="O7" i="25"/>
  <c r="N7" i="25"/>
  <c r="O6" i="25"/>
  <c r="O5" i="25"/>
  <c r="N5" i="25"/>
  <c r="N4" i="25"/>
  <c r="O4" i="25"/>
  <c r="O3" i="25"/>
  <c r="N3" i="25"/>
  <c r="O2" i="25"/>
  <c r="N2" i="25"/>
  <c r="K59" i="25"/>
  <c r="L38" i="24"/>
  <c r="K38" i="24"/>
  <c r="J38" i="24"/>
  <c r="I38" i="24"/>
  <c r="H38" i="24"/>
  <c r="G38" i="24"/>
  <c r="F38" i="24"/>
  <c r="E38" i="24"/>
  <c r="D38" i="24"/>
  <c r="L37" i="24"/>
  <c r="N37" i="24"/>
  <c r="K37" i="24"/>
  <c r="J37" i="24"/>
  <c r="I37" i="24"/>
  <c r="H37" i="24"/>
  <c r="L36" i="24"/>
  <c r="K36" i="24"/>
  <c r="J36" i="24"/>
  <c r="I36" i="24"/>
  <c r="H36" i="24"/>
  <c r="G36" i="24"/>
  <c r="F36" i="24"/>
  <c r="E36" i="24"/>
  <c r="D36" i="24"/>
  <c r="L35" i="24"/>
  <c r="K35" i="24"/>
  <c r="J35" i="24"/>
  <c r="I35" i="24"/>
  <c r="H35" i="24"/>
  <c r="G35" i="24"/>
  <c r="F35" i="24"/>
  <c r="E35" i="24"/>
  <c r="D35" i="24"/>
  <c r="M34" i="24"/>
  <c r="L34" i="24"/>
  <c r="K34" i="24"/>
  <c r="J34" i="24"/>
  <c r="I34" i="24"/>
  <c r="H34" i="24"/>
  <c r="G34" i="24"/>
  <c r="F34" i="24"/>
  <c r="E34" i="24"/>
  <c r="D34" i="24"/>
  <c r="M33" i="24"/>
  <c r="L33" i="24"/>
  <c r="K33" i="24"/>
  <c r="J33" i="24"/>
  <c r="I33" i="24"/>
  <c r="H33" i="24"/>
  <c r="G33" i="24"/>
  <c r="F33" i="24"/>
  <c r="E33" i="24"/>
  <c r="D33" i="24"/>
  <c r="M32" i="24"/>
  <c r="L32" i="24"/>
  <c r="K32" i="24"/>
  <c r="J32" i="24"/>
  <c r="I32" i="24"/>
  <c r="H32" i="24"/>
  <c r="G32" i="24"/>
  <c r="F32" i="24"/>
  <c r="E32" i="24"/>
  <c r="D32" i="24"/>
  <c r="M31" i="24"/>
  <c r="L31" i="24"/>
  <c r="K31" i="24"/>
  <c r="J31" i="24"/>
  <c r="I31" i="24"/>
  <c r="H31" i="24"/>
  <c r="G31" i="24"/>
  <c r="F31" i="24"/>
  <c r="E31" i="24"/>
  <c r="D31" i="24"/>
  <c r="M30" i="24"/>
  <c r="L30" i="24"/>
  <c r="K30" i="24"/>
  <c r="J30" i="24"/>
  <c r="I30" i="24"/>
  <c r="H30" i="24"/>
  <c r="G30" i="24"/>
  <c r="F30" i="24"/>
  <c r="E30" i="24"/>
  <c r="D30" i="24"/>
  <c r="M29" i="24"/>
  <c r="L29" i="24"/>
  <c r="K29" i="24"/>
  <c r="J29" i="24"/>
  <c r="I29" i="24"/>
  <c r="H29" i="24"/>
  <c r="O29" i="24"/>
  <c r="G29" i="24"/>
  <c r="F29" i="24"/>
  <c r="E29" i="24"/>
  <c r="D29" i="24"/>
  <c r="N29" i="24"/>
  <c r="M28" i="24"/>
  <c r="L28" i="24"/>
  <c r="K28" i="24"/>
  <c r="J28" i="24"/>
  <c r="I28" i="24"/>
  <c r="H28" i="24"/>
  <c r="G28" i="24"/>
  <c r="F28" i="24"/>
  <c r="E28" i="24"/>
  <c r="D28" i="24"/>
  <c r="M27" i="24"/>
  <c r="L27" i="24"/>
  <c r="K27" i="24"/>
  <c r="J27" i="24"/>
  <c r="I27" i="24"/>
  <c r="H27" i="24"/>
  <c r="G27" i="24"/>
  <c r="F27" i="24"/>
  <c r="E27" i="24"/>
  <c r="D27" i="24"/>
  <c r="M26" i="24"/>
  <c r="L26" i="24"/>
  <c r="K26" i="24"/>
  <c r="J26" i="24"/>
  <c r="I26" i="24"/>
  <c r="H26" i="24"/>
  <c r="G26" i="24"/>
  <c r="F26" i="24"/>
  <c r="E26" i="24"/>
  <c r="D26" i="24"/>
  <c r="M25" i="24"/>
  <c r="L25" i="24"/>
  <c r="K25" i="24"/>
  <c r="J25" i="24"/>
  <c r="I25" i="24"/>
  <c r="H25" i="24"/>
  <c r="G25" i="24"/>
  <c r="F25" i="24"/>
  <c r="E25" i="24"/>
  <c r="D25" i="24"/>
  <c r="M24" i="24"/>
  <c r="L24" i="24"/>
  <c r="K24" i="24"/>
  <c r="J24" i="24"/>
  <c r="I24" i="24"/>
  <c r="H24" i="24"/>
  <c r="G24" i="24"/>
  <c r="F24" i="24"/>
  <c r="E24" i="24"/>
  <c r="D24" i="24"/>
  <c r="M23" i="24"/>
  <c r="L23" i="24"/>
  <c r="K23" i="24"/>
  <c r="J23" i="24"/>
  <c r="I23" i="24"/>
  <c r="H23" i="24"/>
  <c r="G23" i="24"/>
  <c r="F23" i="24"/>
  <c r="E23" i="24"/>
  <c r="D23" i="24"/>
  <c r="M22" i="24"/>
  <c r="L22" i="24"/>
  <c r="K22" i="24"/>
  <c r="J22" i="24"/>
  <c r="I22" i="24"/>
  <c r="H22" i="24"/>
  <c r="G22" i="24"/>
  <c r="F22" i="24"/>
  <c r="E22" i="24"/>
  <c r="D22" i="24"/>
  <c r="M21" i="24"/>
  <c r="L21" i="24"/>
  <c r="K21" i="24"/>
  <c r="J21" i="24"/>
  <c r="I21" i="24"/>
  <c r="H21" i="24"/>
  <c r="G21" i="24"/>
  <c r="F21" i="24"/>
  <c r="E21" i="24"/>
  <c r="D21" i="24"/>
  <c r="N21" i="24"/>
  <c r="M19" i="24"/>
  <c r="L19" i="24"/>
  <c r="K19" i="24"/>
  <c r="J19" i="24"/>
  <c r="I19" i="24"/>
  <c r="H19" i="24"/>
  <c r="G19" i="24"/>
  <c r="F19" i="24"/>
  <c r="E19" i="24"/>
  <c r="D19" i="24"/>
  <c r="M15" i="24"/>
  <c r="L15" i="24"/>
  <c r="K15" i="24"/>
  <c r="J15" i="24"/>
  <c r="I15" i="24"/>
  <c r="H15" i="24"/>
  <c r="O15" i="24"/>
  <c r="G15" i="24"/>
  <c r="F15" i="24"/>
  <c r="E15" i="24"/>
  <c r="D15" i="24"/>
  <c r="M8" i="24"/>
  <c r="L8" i="24"/>
  <c r="K8" i="24"/>
  <c r="J8" i="24"/>
  <c r="I8" i="24"/>
  <c r="H8" i="24"/>
  <c r="G8" i="24"/>
  <c r="F8" i="24"/>
  <c r="E8" i="24"/>
  <c r="D8" i="24"/>
  <c r="N8" i="24"/>
  <c r="A73" i="24"/>
  <c r="B39" i="24"/>
  <c r="B86" i="24"/>
  <c r="K45" i="24"/>
  <c r="F45" i="24"/>
  <c r="O20" i="24"/>
  <c r="N20" i="24"/>
  <c r="A45" i="24"/>
  <c r="N18" i="24"/>
  <c r="O18" i="24"/>
  <c r="O17" i="24"/>
  <c r="N17" i="24"/>
  <c r="N16" i="24"/>
  <c r="N14" i="24"/>
  <c r="O14" i="24"/>
  <c r="O13" i="24"/>
  <c r="N13" i="24"/>
  <c r="N12" i="24"/>
  <c r="O11" i="24"/>
  <c r="N11" i="24"/>
  <c r="N10" i="24"/>
  <c r="O10" i="24"/>
  <c r="O9" i="24"/>
  <c r="N9" i="24"/>
  <c r="O7" i="24"/>
  <c r="N7" i="24"/>
  <c r="N6" i="24"/>
  <c r="O6" i="24"/>
  <c r="O5" i="24"/>
  <c r="N5" i="24"/>
  <c r="N4" i="24"/>
  <c r="O3" i="24"/>
  <c r="N3" i="24"/>
  <c r="O2" i="24"/>
  <c r="N2" i="24"/>
  <c r="K59" i="24"/>
  <c r="L38" i="23"/>
  <c r="K38" i="23"/>
  <c r="J38" i="23"/>
  <c r="I38" i="23"/>
  <c r="H38" i="23"/>
  <c r="G38" i="23"/>
  <c r="F38" i="23"/>
  <c r="E38" i="23"/>
  <c r="D38" i="23"/>
  <c r="L37" i="23"/>
  <c r="N37" i="23"/>
  <c r="K37" i="23"/>
  <c r="J37" i="23"/>
  <c r="I37" i="23"/>
  <c r="H37" i="23"/>
  <c r="L36" i="23"/>
  <c r="K36" i="23"/>
  <c r="J36" i="23"/>
  <c r="I36" i="23"/>
  <c r="H36" i="23"/>
  <c r="G36" i="23"/>
  <c r="F36" i="23"/>
  <c r="E36" i="23"/>
  <c r="D36" i="23"/>
  <c r="L35" i="23"/>
  <c r="K35" i="23"/>
  <c r="J35" i="23"/>
  <c r="I35" i="23"/>
  <c r="H35" i="23"/>
  <c r="G35" i="23"/>
  <c r="F35" i="23"/>
  <c r="E35" i="23"/>
  <c r="D35" i="23"/>
  <c r="M34" i="23"/>
  <c r="L34" i="23"/>
  <c r="K34" i="23"/>
  <c r="J34" i="23"/>
  <c r="I34" i="23"/>
  <c r="H34" i="23"/>
  <c r="G34" i="23"/>
  <c r="F34" i="23"/>
  <c r="E34" i="23"/>
  <c r="D34" i="23"/>
  <c r="M33" i="23"/>
  <c r="L33" i="23"/>
  <c r="K33" i="23"/>
  <c r="J33" i="23"/>
  <c r="I33" i="23"/>
  <c r="H33" i="23"/>
  <c r="G33" i="23"/>
  <c r="F33" i="23"/>
  <c r="E33" i="23"/>
  <c r="D33" i="23"/>
  <c r="M32" i="23"/>
  <c r="L32" i="23"/>
  <c r="K32" i="23"/>
  <c r="J32" i="23"/>
  <c r="I32" i="23"/>
  <c r="H32" i="23"/>
  <c r="G32" i="23"/>
  <c r="F32" i="23"/>
  <c r="E32" i="23"/>
  <c r="D32" i="23"/>
  <c r="M31" i="23"/>
  <c r="L31" i="23"/>
  <c r="K31" i="23"/>
  <c r="J31" i="23"/>
  <c r="I31" i="23"/>
  <c r="H31" i="23"/>
  <c r="G31" i="23"/>
  <c r="F31" i="23"/>
  <c r="E31" i="23"/>
  <c r="D31" i="23"/>
  <c r="M30" i="23"/>
  <c r="L30" i="23"/>
  <c r="K30" i="23"/>
  <c r="J30" i="23"/>
  <c r="I30" i="23"/>
  <c r="H30" i="23"/>
  <c r="G30" i="23"/>
  <c r="F30" i="23"/>
  <c r="E30" i="23"/>
  <c r="D30" i="23"/>
  <c r="M29" i="23"/>
  <c r="L29" i="23"/>
  <c r="K29" i="23"/>
  <c r="J29" i="23"/>
  <c r="I29" i="23"/>
  <c r="H29" i="23"/>
  <c r="G29" i="23"/>
  <c r="F29" i="23"/>
  <c r="E29" i="23"/>
  <c r="D29" i="23"/>
  <c r="M28" i="23"/>
  <c r="L28" i="23"/>
  <c r="K28" i="23"/>
  <c r="J28" i="23"/>
  <c r="I28" i="23"/>
  <c r="H28" i="23"/>
  <c r="G28" i="23"/>
  <c r="F28" i="23"/>
  <c r="E28" i="23"/>
  <c r="D28" i="23"/>
  <c r="M27" i="23"/>
  <c r="L27" i="23"/>
  <c r="K27" i="23"/>
  <c r="J27" i="23"/>
  <c r="I27" i="23"/>
  <c r="H27" i="23"/>
  <c r="G27" i="23"/>
  <c r="F27" i="23"/>
  <c r="E27" i="23"/>
  <c r="D27" i="23"/>
  <c r="M26" i="23"/>
  <c r="L26" i="23"/>
  <c r="K26" i="23"/>
  <c r="J26" i="23"/>
  <c r="I26" i="23"/>
  <c r="H26" i="23"/>
  <c r="G26" i="23"/>
  <c r="F26" i="23"/>
  <c r="E26" i="23"/>
  <c r="D26" i="23"/>
  <c r="M25" i="23"/>
  <c r="L25" i="23"/>
  <c r="K25" i="23"/>
  <c r="J25" i="23"/>
  <c r="I25" i="23"/>
  <c r="H25" i="23"/>
  <c r="G25" i="23"/>
  <c r="F25" i="23"/>
  <c r="E25" i="23"/>
  <c r="D25" i="23"/>
  <c r="M24" i="23"/>
  <c r="L24" i="23"/>
  <c r="K24" i="23"/>
  <c r="J24" i="23"/>
  <c r="I24" i="23"/>
  <c r="H24" i="23"/>
  <c r="G24" i="23"/>
  <c r="F24" i="23"/>
  <c r="E24" i="23"/>
  <c r="D24" i="23"/>
  <c r="M23" i="23"/>
  <c r="L23" i="23"/>
  <c r="K23" i="23"/>
  <c r="J23" i="23"/>
  <c r="I23" i="23"/>
  <c r="H23" i="23"/>
  <c r="G23" i="23"/>
  <c r="F23" i="23"/>
  <c r="E23" i="23"/>
  <c r="D23" i="23"/>
  <c r="M22" i="23"/>
  <c r="L22" i="23"/>
  <c r="K22" i="23"/>
  <c r="J22" i="23"/>
  <c r="I22" i="23"/>
  <c r="H22" i="23"/>
  <c r="G22" i="23"/>
  <c r="F22" i="23"/>
  <c r="E22" i="23"/>
  <c r="D22" i="23"/>
  <c r="M21" i="23"/>
  <c r="L21" i="23"/>
  <c r="K21" i="23"/>
  <c r="J21" i="23"/>
  <c r="I21" i="23"/>
  <c r="H21" i="23"/>
  <c r="G21" i="23"/>
  <c r="F21" i="23"/>
  <c r="E21" i="23"/>
  <c r="D21" i="23"/>
  <c r="M19" i="23"/>
  <c r="L19" i="23"/>
  <c r="K19" i="23"/>
  <c r="J19" i="23"/>
  <c r="I19" i="23"/>
  <c r="H19" i="23"/>
  <c r="G19" i="23"/>
  <c r="F19" i="23"/>
  <c r="E19" i="23"/>
  <c r="D19" i="23"/>
  <c r="M15" i="23"/>
  <c r="L15" i="23"/>
  <c r="K15" i="23"/>
  <c r="J15" i="23"/>
  <c r="I15" i="23"/>
  <c r="H15" i="23"/>
  <c r="G15" i="23"/>
  <c r="F15" i="23"/>
  <c r="E15" i="23"/>
  <c r="D15" i="23"/>
  <c r="M8" i="23"/>
  <c r="L8" i="23"/>
  <c r="K8" i="23"/>
  <c r="J8" i="23"/>
  <c r="I8" i="23"/>
  <c r="H8" i="23"/>
  <c r="G8" i="23"/>
  <c r="F8" i="23"/>
  <c r="E8" i="23"/>
  <c r="D8" i="23"/>
  <c r="N8" i="23"/>
  <c r="F73" i="23"/>
  <c r="B39" i="23"/>
  <c r="B86" i="23"/>
  <c r="K45" i="23"/>
  <c r="F45" i="23"/>
  <c r="O20" i="23"/>
  <c r="N20" i="23"/>
  <c r="A45" i="23"/>
  <c r="O18" i="23"/>
  <c r="O17" i="23"/>
  <c r="N16" i="23"/>
  <c r="O16" i="23"/>
  <c r="O14" i="23"/>
  <c r="O13" i="23"/>
  <c r="N12" i="23"/>
  <c r="O12" i="23"/>
  <c r="O11" i="23"/>
  <c r="N11" i="23"/>
  <c r="O10" i="23"/>
  <c r="O9" i="23"/>
  <c r="O7" i="23"/>
  <c r="N7" i="23"/>
  <c r="O6" i="23"/>
  <c r="O5" i="23"/>
  <c r="N4" i="23"/>
  <c r="O4" i="23"/>
  <c r="O3" i="23"/>
  <c r="N3" i="23"/>
  <c r="O2" i="23"/>
  <c r="N2" i="23"/>
  <c r="K59" i="23"/>
  <c r="M24" i="22"/>
  <c r="L24" i="22"/>
  <c r="K24" i="22"/>
  <c r="J24" i="22"/>
  <c r="I24" i="22"/>
  <c r="H24" i="22"/>
  <c r="G24" i="22"/>
  <c r="F24" i="22"/>
  <c r="E24" i="22"/>
  <c r="D24" i="22"/>
  <c r="M19" i="22"/>
  <c r="L19" i="22"/>
  <c r="K19" i="22"/>
  <c r="J19" i="22"/>
  <c r="I19" i="22"/>
  <c r="H19" i="22"/>
  <c r="G19" i="22"/>
  <c r="F19" i="22"/>
  <c r="E19" i="22"/>
  <c r="D19" i="22"/>
  <c r="M15" i="22"/>
  <c r="L15" i="22"/>
  <c r="K15" i="22"/>
  <c r="J15" i="22"/>
  <c r="I15" i="22"/>
  <c r="H15" i="22"/>
  <c r="G15" i="22"/>
  <c r="F15" i="22"/>
  <c r="E15" i="22"/>
  <c r="D15" i="22"/>
  <c r="M8" i="22"/>
  <c r="L8" i="22"/>
  <c r="K8" i="22"/>
  <c r="J8" i="22"/>
  <c r="I8" i="22"/>
  <c r="H8" i="22"/>
  <c r="G8" i="22"/>
  <c r="F8" i="22"/>
  <c r="E8" i="22"/>
  <c r="D8" i="22"/>
  <c r="N8" i="22"/>
  <c r="B39" i="22"/>
  <c r="B72" i="22"/>
  <c r="K45" i="22"/>
  <c r="F45" i="22"/>
  <c r="O20" i="22"/>
  <c r="N20" i="22"/>
  <c r="A45" i="22"/>
  <c r="N18" i="22"/>
  <c r="O18" i="22"/>
  <c r="O17" i="22"/>
  <c r="N17" i="22"/>
  <c r="N16" i="22"/>
  <c r="N14" i="22"/>
  <c r="O14" i="22"/>
  <c r="O13" i="22"/>
  <c r="N13" i="22"/>
  <c r="N12" i="22"/>
  <c r="O11" i="22"/>
  <c r="N11" i="22"/>
  <c r="N10" i="22"/>
  <c r="O10" i="22"/>
  <c r="O9" i="22"/>
  <c r="N9" i="22"/>
  <c r="O7" i="22"/>
  <c r="N7" i="22"/>
  <c r="N6" i="22"/>
  <c r="O6" i="22"/>
  <c r="O5" i="22"/>
  <c r="N5" i="22"/>
  <c r="N4" i="22"/>
  <c r="O3" i="22"/>
  <c r="N3" i="22"/>
  <c r="O2" i="22"/>
  <c r="N2" i="22"/>
  <c r="K59" i="22"/>
  <c r="L38" i="21"/>
  <c r="K38" i="21"/>
  <c r="J38" i="21"/>
  <c r="I38" i="21"/>
  <c r="H38" i="21"/>
  <c r="G38" i="21"/>
  <c r="F38" i="21"/>
  <c r="E38" i="21"/>
  <c r="D38" i="21"/>
  <c r="L37" i="21"/>
  <c r="K37" i="21"/>
  <c r="J37" i="21"/>
  <c r="I37" i="21"/>
  <c r="H37" i="21"/>
  <c r="L36" i="21"/>
  <c r="K36" i="21"/>
  <c r="J36" i="21"/>
  <c r="I36" i="21"/>
  <c r="H36" i="21"/>
  <c r="G36" i="21"/>
  <c r="F36" i="21"/>
  <c r="E36" i="21"/>
  <c r="D36" i="21"/>
  <c r="L35" i="21"/>
  <c r="K35" i="21"/>
  <c r="J35" i="21"/>
  <c r="I35" i="21"/>
  <c r="H35" i="21"/>
  <c r="G35" i="21"/>
  <c r="F35" i="21"/>
  <c r="E35" i="21"/>
  <c r="M34" i="21"/>
  <c r="L34" i="21"/>
  <c r="K34" i="21"/>
  <c r="J34" i="21"/>
  <c r="I34" i="21"/>
  <c r="H34" i="21"/>
  <c r="G34" i="21"/>
  <c r="F34" i="21"/>
  <c r="E34" i="21"/>
  <c r="D34" i="21"/>
  <c r="M33" i="21"/>
  <c r="L33" i="21"/>
  <c r="K33" i="21"/>
  <c r="J33" i="21"/>
  <c r="I33" i="21"/>
  <c r="H33" i="21"/>
  <c r="G33" i="21"/>
  <c r="F33" i="21"/>
  <c r="E33" i="21"/>
  <c r="D33" i="21"/>
  <c r="M32" i="21"/>
  <c r="L32" i="21"/>
  <c r="K32" i="21"/>
  <c r="J32" i="21"/>
  <c r="I32" i="21"/>
  <c r="H32" i="21"/>
  <c r="G32" i="21"/>
  <c r="F32" i="21"/>
  <c r="E32" i="21"/>
  <c r="D32" i="21"/>
  <c r="M31" i="21"/>
  <c r="L31" i="21"/>
  <c r="K31" i="21"/>
  <c r="J31" i="21"/>
  <c r="I31" i="21"/>
  <c r="H31" i="21"/>
  <c r="G31" i="21"/>
  <c r="F31" i="21"/>
  <c r="E31" i="21"/>
  <c r="D31" i="21"/>
  <c r="M30" i="21"/>
  <c r="L30" i="21"/>
  <c r="K30" i="21"/>
  <c r="J30" i="21"/>
  <c r="I30" i="21"/>
  <c r="H30" i="21"/>
  <c r="G30" i="21"/>
  <c r="F30" i="21"/>
  <c r="E30" i="21"/>
  <c r="D30" i="21"/>
  <c r="M29" i="21"/>
  <c r="L29" i="21"/>
  <c r="K29" i="21"/>
  <c r="J29" i="21"/>
  <c r="I29" i="21"/>
  <c r="H29" i="21"/>
  <c r="G29" i="21"/>
  <c r="F29" i="21"/>
  <c r="E29" i="21"/>
  <c r="D29" i="21"/>
  <c r="M28" i="21"/>
  <c r="L28" i="21"/>
  <c r="K28" i="21"/>
  <c r="J28" i="21"/>
  <c r="I28" i="21"/>
  <c r="H28" i="21"/>
  <c r="G28" i="21"/>
  <c r="F28" i="21"/>
  <c r="E28" i="21"/>
  <c r="D28" i="21"/>
  <c r="M27" i="21"/>
  <c r="L27" i="21"/>
  <c r="K27" i="21"/>
  <c r="J27" i="21"/>
  <c r="I27" i="21"/>
  <c r="H27" i="21"/>
  <c r="G27" i="21"/>
  <c r="F27" i="21"/>
  <c r="E27" i="21"/>
  <c r="D27" i="21"/>
  <c r="M26" i="21"/>
  <c r="L26" i="21"/>
  <c r="K26" i="21"/>
  <c r="J26" i="21"/>
  <c r="I26" i="21"/>
  <c r="H26" i="21"/>
  <c r="G26" i="21"/>
  <c r="F26" i="21"/>
  <c r="E26" i="21"/>
  <c r="D26" i="21"/>
  <c r="M25" i="21"/>
  <c r="L25" i="21"/>
  <c r="N25" i="21"/>
  <c r="K25" i="21"/>
  <c r="J25" i="21"/>
  <c r="I25" i="21"/>
  <c r="H25" i="21"/>
  <c r="G25" i="21"/>
  <c r="F25" i="21"/>
  <c r="E25" i="21"/>
  <c r="M24" i="21"/>
  <c r="L24" i="21"/>
  <c r="K24" i="21"/>
  <c r="J24" i="21"/>
  <c r="I24" i="21"/>
  <c r="H24" i="21"/>
  <c r="G24" i="21"/>
  <c r="F24" i="21"/>
  <c r="E24" i="21"/>
  <c r="D24" i="21"/>
  <c r="M23" i="21"/>
  <c r="L23" i="21"/>
  <c r="K23" i="21"/>
  <c r="J23" i="21"/>
  <c r="I23" i="21"/>
  <c r="H23" i="21"/>
  <c r="G23" i="21"/>
  <c r="F23" i="21"/>
  <c r="E23" i="21"/>
  <c r="D23" i="21"/>
  <c r="M22" i="21"/>
  <c r="L22" i="21"/>
  <c r="K22" i="21"/>
  <c r="J22" i="21"/>
  <c r="I22" i="21"/>
  <c r="H22" i="21"/>
  <c r="G22" i="21"/>
  <c r="F22" i="21"/>
  <c r="E22" i="21"/>
  <c r="D22" i="21"/>
  <c r="M21" i="21"/>
  <c r="L21" i="21"/>
  <c r="K21" i="21"/>
  <c r="J21" i="21"/>
  <c r="I21" i="21"/>
  <c r="H21" i="21"/>
  <c r="G21" i="21"/>
  <c r="F21" i="21"/>
  <c r="E21" i="21"/>
  <c r="D21" i="21"/>
  <c r="M19" i="21"/>
  <c r="L19" i="21"/>
  <c r="K19" i="21"/>
  <c r="J19" i="21"/>
  <c r="I19" i="21"/>
  <c r="H19" i="21"/>
  <c r="G19" i="21"/>
  <c r="F19" i="21"/>
  <c r="E19" i="21"/>
  <c r="D19" i="21"/>
  <c r="M15" i="21"/>
  <c r="L15" i="21"/>
  <c r="K15" i="21"/>
  <c r="J15" i="21"/>
  <c r="I15" i="21"/>
  <c r="H15" i="21"/>
  <c r="G15" i="21"/>
  <c r="F15" i="21"/>
  <c r="E15" i="21"/>
  <c r="D15" i="21"/>
  <c r="M8" i="21"/>
  <c r="L8" i="21"/>
  <c r="K8" i="21"/>
  <c r="J8" i="21"/>
  <c r="I8" i="21"/>
  <c r="H8" i="21"/>
  <c r="G8" i="21"/>
  <c r="F8" i="21"/>
  <c r="E8" i="21"/>
  <c r="D8" i="21"/>
  <c r="N8" i="21"/>
  <c r="A73" i="21"/>
  <c r="B39" i="21"/>
  <c r="B86" i="21"/>
  <c r="N36" i="21"/>
  <c r="N35" i="21"/>
  <c r="N32" i="21"/>
  <c r="K45" i="21"/>
  <c r="F45" i="21"/>
  <c r="O20" i="21"/>
  <c r="N20" i="21"/>
  <c r="A45" i="21"/>
  <c r="N18" i="21"/>
  <c r="O18" i="21"/>
  <c r="O17" i="21"/>
  <c r="N17" i="21"/>
  <c r="N16" i="21"/>
  <c r="N14" i="21"/>
  <c r="O14" i="21"/>
  <c r="O13" i="21"/>
  <c r="N13" i="21"/>
  <c r="N12" i="21"/>
  <c r="O11" i="21"/>
  <c r="N11" i="21"/>
  <c r="N10" i="21"/>
  <c r="O10" i="21"/>
  <c r="O9" i="21"/>
  <c r="N9" i="21"/>
  <c r="O7" i="21"/>
  <c r="N7" i="21"/>
  <c r="N6" i="21"/>
  <c r="O6" i="21"/>
  <c r="O5" i="21"/>
  <c r="N5" i="21"/>
  <c r="N4" i="21"/>
  <c r="O3" i="21"/>
  <c r="N3" i="21"/>
  <c r="O2" i="21"/>
  <c r="N2" i="21"/>
  <c r="K59" i="21"/>
  <c r="L38" i="20"/>
  <c r="K38" i="20"/>
  <c r="J38" i="20"/>
  <c r="I38" i="20"/>
  <c r="H38" i="20"/>
  <c r="G38" i="20"/>
  <c r="F38" i="20"/>
  <c r="E38" i="20"/>
  <c r="D38" i="20"/>
  <c r="L37" i="20"/>
  <c r="N37" i="20"/>
  <c r="K37" i="20"/>
  <c r="J37" i="20"/>
  <c r="I37" i="20"/>
  <c r="H37" i="20"/>
  <c r="L36" i="20"/>
  <c r="K36" i="20"/>
  <c r="J36" i="20"/>
  <c r="I36" i="20"/>
  <c r="H36" i="20"/>
  <c r="G36" i="20"/>
  <c r="F36" i="20"/>
  <c r="E36" i="20"/>
  <c r="D36" i="20"/>
  <c r="L35" i="20"/>
  <c r="K35" i="20"/>
  <c r="J35" i="20"/>
  <c r="I35" i="20"/>
  <c r="H35" i="20"/>
  <c r="G35" i="20"/>
  <c r="F35" i="20"/>
  <c r="E35" i="20"/>
  <c r="D35" i="20"/>
  <c r="M34" i="20"/>
  <c r="L34" i="20"/>
  <c r="K34" i="20"/>
  <c r="J34" i="20"/>
  <c r="I34" i="20"/>
  <c r="H34" i="20"/>
  <c r="G34" i="20"/>
  <c r="F34" i="20"/>
  <c r="E34" i="20"/>
  <c r="D34" i="20"/>
  <c r="M33" i="20"/>
  <c r="L33" i="20"/>
  <c r="K33" i="20"/>
  <c r="J33" i="20"/>
  <c r="I33" i="20"/>
  <c r="H33" i="20"/>
  <c r="G33" i="20"/>
  <c r="F33" i="20"/>
  <c r="E33" i="20"/>
  <c r="D33" i="20"/>
  <c r="M32" i="20"/>
  <c r="L32" i="20"/>
  <c r="K32" i="20"/>
  <c r="J32" i="20"/>
  <c r="I32" i="20"/>
  <c r="H32" i="20"/>
  <c r="G32" i="20"/>
  <c r="F32" i="20"/>
  <c r="E32" i="20"/>
  <c r="D32" i="20"/>
  <c r="M31" i="20"/>
  <c r="L31" i="20"/>
  <c r="K31" i="20"/>
  <c r="J31" i="20"/>
  <c r="I31" i="20"/>
  <c r="H31" i="20"/>
  <c r="G31" i="20"/>
  <c r="F31" i="20"/>
  <c r="E31" i="20"/>
  <c r="D31" i="20"/>
  <c r="M30" i="20"/>
  <c r="L30" i="20"/>
  <c r="K30" i="20"/>
  <c r="J30" i="20"/>
  <c r="I30" i="20"/>
  <c r="H30" i="20"/>
  <c r="G30" i="20"/>
  <c r="F30" i="20"/>
  <c r="E30" i="20"/>
  <c r="D30" i="20"/>
  <c r="M29" i="20"/>
  <c r="L29" i="20"/>
  <c r="K29" i="20"/>
  <c r="J29" i="20"/>
  <c r="I29" i="20"/>
  <c r="H29" i="20"/>
  <c r="G29" i="20"/>
  <c r="F29" i="20"/>
  <c r="E29" i="20"/>
  <c r="D29" i="20"/>
  <c r="N29" i="20"/>
  <c r="M28" i="20"/>
  <c r="L28" i="20"/>
  <c r="K28" i="20"/>
  <c r="J28" i="20"/>
  <c r="I28" i="20"/>
  <c r="H28" i="20"/>
  <c r="G28" i="20"/>
  <c r="F28" i="20"/>
  <c r="E28" i="20"/>
  <c r="D28" i="20"/>
  <c r="M27" i="20"/>
  <c r="L27" i="20"/>
  <c r="K27" i="20"/>
  <c r="J27" i="20"/>
  <c r="I27" i="20"/>
  <c r="H27" i="20"/>
  <c r="G27" i="20"/>
  <c r="F27" i="20"/>
  <c r="E27" i="20"/>
  <c r="D27" i="20"/>
  <c r="N27" i="20"/>
  <c r="M26" i="20"/>
  <c r="L26" i="20"/>
  <c r="K26" i="20"/>
  <c r="J26" i="20"/>
  <c r="I26" i="20"/>
  <c r="H26" i="20"/>
  <c r="G26" i="20"/>
  <c r="F26" i="20"/>
  <c r="E26" i="20"/>
  <c r="D26" i="20"/>
  <c r="M25" i="20"/>
  <c r="L25" i="20"/>
  <c r="K25" i="20"/>
  <c r="J25" i="20"/>
  <c r="I25" i="20"/>
  <c r="H25" i="20"/>
  <c r="G25" i="20"/>
  <c r="F25" i="20"/>
  <c r="E25" i="20"/>
  <c r="D25" i="20"/>
  <c r="M24" i="20"/>
  <c r="L24" i="20"/>
  <c r="K24" i="20"/>
  <c r="J24" i="20"/>
  <c r="I24" i="20"/>
  <c r="H24" i="20"/>
  <c r="G24" i="20"/>
  <c r="F24" i="20"/>
  <c r="E24" i="20"/>
  <c r="D24" i="20"/>
  <c r="M23" i="20"/>
  <c r="L23" i="20"/>
  <c r="K23" i="20"/>
  <c r="J23" i="20"/>
  <c r="I23" i="20"/>
  <c r="H23" i="20"/>
  <c r="G23" i="20"/>
  <c r="F23" i="20"/>
  <c r="E23" i="20"/>
  <c r="D23" i="20"/>
  <c r="M22" i="20"/>
  <c r="L22" i="20"/>
  <c r="K22" i="20"/>
  <c r="J22" i="20"/>
  <c r="I22" i="20"/>
  <c r="H22" i="20"/>
  <c r="G22" i="20"/>
  <c r="F22" i="20"/>
  <c r="E22" i="20"/>
  <c r="D22" i="20"/>
  <c r="M21" i="20"/>
  <c r="L21" i="20"/>
  <c r="K21" i="20"/>
  <c r="J21" i="20"/>
  <c r="I21" i="20"/>
  <c r="H21" i="20"/>
  <c r="G21" i="20"/>
  <c r="F21" i="20"/>
  <c r="E21" i="20"/>
  <c r="D21" i="20"/>
  <c r="M19" i="20"/>
  <c r="L19" i="20"/>
  <c r="K19" i="20"/>
  <c r="J19" i="20"/>
  <c r="I19" i="20"/>
  <c r="H19" i="20"/>
  <c r="G19" i="20"/>
  <c r="F19" i="20"/>
  <c r="E19" i="20"/>
  <c r="D19" i="20"/>
  <c r="M15" i="20"/>
  <c r="L15" i="20"/>
  <c r="K15" i="20"/>
  <c r="J15" i="20"/>
  <c r="I15" i="20"/>
  <c r="H15" i="20"/>
  <c r="G15" i="20"/>
  <c r="F15" i="20"/>
  <c r="E15" i="20"/>
  <c r="D15" i="20"/>
  <c r="M8" i="20"/>
  <c r="L8" i="20"/>
  <c r="K8" i="20"/>
  <c r="J8" i="20"/>
  <c r="I8" i="20"/>
  <c r="H8" i="20"/>
  <c r="G8" i="20"/>
  <c r="F8" i="20"/>
  <c r="E8" i="20"/>
  <c r="D8" i="20"/>
  <c r="A73" i="20"/>
  <c r="B39" i="20"/>
  <c r="B86" i="20"/>
  <c r="K45" i="20"/>
  <c r="F45" i="20"/>
  <c r="O20" i="20"/>
  <c r="N20" i="20"/>
  <c r="A45" i="20"/>
  <c r="N18" i="20"/>
  <c r="O18" i="20"/>
  <c r="O17" i="20"/>
  <c r="N17" i="20"/>
  <c r="N16" i="20"/>
  <c r="N14" i="20"/>
  <c r="O14" i="20"/>
  <c r="O13" i="20"/>
  <c r="N13" i="20"/>
  <c r="N12" i="20"/>
  <c r="O11" i="20"/>
  <c r="N11" i="20"/>
  <c r="N10" i="20"/>
  <c r="O10" i="20"/>
  <c r="O9" i="20"/>
  <c r="N9" i="20"/>
  <c r="O7" i="20"/>
  <c r="N7" i="20"/>
  <c r="N6" i="20"/>
  <c r="O6" i="20"/>
  <c r="O5" i="20"/>
  <c r="N5" i="20"/>
  <c r="N4" i="20"/>
  <c r="O3" i="20"/>
  <c r="N3" i="20"/>
  <c r="O2" i="20"/>
  <c r="N2" i="20"/>
  <c r="K59" i="20"/>
  <c r="L38" i="19"/>
  <c r="K38" i="19"/>
  <c r="J38" i="19"/>
  <c r="I38" i="19"/>
  <c r="H38" i="19"/>
  <c r="G38" i="19"/>
  <c r="F38" i="19"/>
  <c r="E38" i="19"/>
  <c r="D38" i="19"/>
  <c r="L37" i="19"/>
  <c r="K37" i="19"/>
  <c r="J37" i="19"/>
  <c r="H37" i="19"/>
  <c r="L36" i="19"/>
  <c r="K36" i="19"/>
  <c r="J36" i="19"/>
  <c r="I36" i="19"/>
  <c r="H36" i="19"/>
  <c r="G36" i="19"/>
  <c r="F36" i="19"/>
  <c r="E36" i="19"/>
  <c r="D36" i="19"/>
  <c r="L35" i="19"/>
  <c r="K35" i="19"/>
  <c r="J35" i="19"/>
  <c r="I35" i="19"/>
  <c r="H35" i="19"/>
  <c r="G35" i="19"/>
  <c r="F35" i="19"/>
  <c r="E35" i="19"/>
  <c r="D35" i="19"/>
  <c r="M34" i="19"/>
  <c r="L34" i="19"/>
  <c r="K34" i="19"/>
  <c r="J34" i="19"/>
  <c r="I34" i="19"/>
  <c r="H34" i="19"/>
  <c r="O34" i="19"/>
  <c r="G34" i="19"/>
  <c r="F34" i="19"/>
  <c r="E34" i="19"/>
  <c r="D34" i="19"/>
  <c r="N34" i="19"/>
  <c r="M33" i="19"/>
  <c r="L33" i="19"/>
  <c r="K33" i="19"/>
  <c r="J33" i="19"/>
  <c r="I33" i="19"/>
  <c r="H33" i="19"/>
  <c r="G33" i="19"/>
  <c r="F33" i="19"/>
  <c r="E33" i="19"/>
  <c r="D33" i="19"/>
  <c r="M32" i="19"/>
  <c r="L32" i="19"/>
  <c r="K32" i="19"/>
  <c r="J32" i="19"/>
  <c r="I32" i="19"/>
  <c r="H32" i="19"/>
  <c r="G32" i="19"/>
  <c r="F32" i="19"/>
  <c r="E32" i="19"/>
  <c r="D32" i="19"/>
  <c r="M31" i="19"/>
  <c r="L31" i="19"/>
  <c r="K31" i="19"/>
  <c r="J31" i="19"/>
  <c r="I31" i="19"/>
  <c r="H31" i="19"/>
  <c r="G31" i="19"/>
  <c r="F31" i="19"/>
  <c r="E31" i="19"/>
  <c r="D31" i="19"/>
  <c r="M30" i="19"/>
  <c r="L30" i="19"/>
  <c r="K30" i="19"/>
  <c r="J30" i="19"/>
  <c r="I30" i="19"/>
  <c r="H30" i="19"/>
  <c r="O30" i="19"/>
  <c r="G30" i="19"/>
  <c r="F30" i="19"/>
  <c r="E30" i="19"/>
  <c r="D30" i="19"/>
  <c r="M29" i="19"/>
  <c r="L29" i="19"/>
  <c r="K29" i="19"/>
  <c r="J29" i="19"/>
  <c r="I29" i="19"/>
  <c r="H29" i="19"/>
  <c r="G29" i="19"/>
  <c r="F29" i="19"/>
  <c r="E29" i="19"/>
  <c r="D29" i="19"/>
  <c r="M28" i="19"/>
  <c r="L28" i="19"/>
  <c r="K28" i="19"/>
  <c r="J28" i="19"/>
  <c r="I28" i="19"/>
  <c r="H28" i="19"/>
  <c r="G28" i="19"/>
  <c r="F28" i="19"/>
  <c r="E28" i="19"/>
  <c r="D28" i="19"/>
  <c r="M27" i="19"/>
  <c r="L27" i="19"/>
  <c r="K27" i="19"/>
  <c r="J27" i="19"/>
  <c r="I27" i="19"/>
  <c r="H27" i="19"/>
  <c r="G27" i="19"/>
  <c r="F27" i="19"/>
  <c r="E27" i="19"/>
  <c r="D27" i="19"/>
  <c r="M26" i="19"/>
  <c r="L26" i="19"/>
  <c r="K26" i="19"/>
  <c r="J26" i="19"/>
  <c r="I26" i="19"/>
  <c r="H26" i="19"/>
  <c r="G26" i="19"/>
  <c r="F26" i="19"/>
  <c r="E26" i="19"/>
  <c r="D26" i="19"/>
  <c r="M25" i="19"/>
  <c r="L25" i="19"/>
  <c r="K25" i="19"/>
  <c r="J25" i="19"/>
  <c r="I25" i="19"/>
  <c r="H25" i="19"/>
  <c r="G25" i="19"/>
  <c r="F25" i="19"/>
  <c r="E25" i="19"/>
  <c r="D25" i="19"/>
  <c r="M24" i="19"/>
  <c r="L24" i="19"/>
  <c r="K24" i="19"/>
  <c r="J24" i="19"/>
  <c r="I24" i="19"/>
  <c r="H24" i="19"/>
  <c r="O24" i="19"/>
  <c r="G24" i="19"/>
  <c r="F24" i="19"/>
  <c r="E24" i="19"/>
  <c r="D24" i="19"/>
  <c r="M23" i="19"/>
  <c r="L23" i="19"/>
  <c r="K23" i="19"/>
  <c r="J23" i="19"/>
  <c r="I23" i="19"/>
  <c r="H23" i="19"/>
  <c r="G23" i="19"/>
  <c r="F23" i="19"/>
  <c r="E23" i="19"/>
  <c r="D23" i="19"/>
  <c r="M22" i="19"/>
  <c r="L22" i="19"/>
  <c r="K22" i="19"/>
  <c r="J22" i="19"/>
  <c r="I22" i="19"/>
  <c r="H22" i="19"/>
  <c r="G22" i="19"/>
  <c r="F22" i="19"/>
  <c r="E22" i="19"/>
  <c r="D22" i="19"/>
  <c r="M21" i="19"/>
  <c r="L21" i="19"/>
  <c r="K21" i="19"/>
  <c r="J21" i="19"/>
  <c r="I21" i="19"/>
  <c r="H21" i="19"/>
  <c r="G21" i="19"/>
  <c r="F21" i="19"/>
  <c r="E21" i="19"/>
  <c r="D21" i="19"/>
  <c r="M19" i="19"/>
  <c r="L19" i="19"/>
  <c r="K19" i="19"/>
  <c r="J19" i="19"/>
  <c r="I19" i="19"/>
  <c r="H19" i="19"/>
  <c r="G19" i="19"/>
  <c r="F19" i="19"/>
  <c r="E19" i="19"/>
  <c r="D19" i="19"/>
  <c r="M15" i="19"/>
  <c r="L15" i="19"/>
  <c r="K15" i="19"/>
  <c r="J15" i="19"/>
  <c r="I15" i="19"/>
  <c r="H15" i="19"/>
  <c r="O15" i="19"/>
  <c r="G15" i="19"/>
  <c r="F15" i="19"/>
  <c r="E15" i="19"/>
  <c r="D15" i="19"/>
  <c r="M8" i="19"/>
  <c r="L8" i="19"/>
  <c r="K8" i="19"/>
  <c r="J8" i="19"/>
  <c r="I8" i="19"/>
  <c r="H8" i="19"/>
  <c r="G8" i="19"/>
  <c r="F8" i="19"/>
  <c r="E8" i="19"/>
  <c r="D8" i="19"/>
  <c r="N8" i="19"/>
  <c r="F73" i="19"/>
  <c r="B39" i="19"/>
  <c r="B86" i="19"/>
  <c r="K45" i="19"/>
  <c r="F45" i="19"/>
  <c r="O20" i="19"/>
  <c r="N20" i="19"/>
  <c r="A45" i="19"/>
  <c r="O18" i="19"/>
  <c r="O17" i="19"/>
  <c r="N17" i="19"/>
  <c r="N16" i="19"/>
  <c r="O16" i="19"/>
  <c r="O14" i="19"/>
  <c r="O13" i="19"/>
  <c r="N13" i="19"/>
  <c r="N12" i="19"/>
  <c r="O12" i="19"/>
  <c r="O11" i="19"/>
  <c r="N11" i="19"/>
  <c r="O10" i="19"/>
  <c r="N9" i="19"/>
  <c r="O9" i="19"/>
  <c r="O7" i="19"/>
  <c r="N7" i="19"/>
  <c r="O6" i="19"/>
  <c r="O5" i="19"/>
  <c r="N4" i="19"/>
  <c r="O4" i="19"/>
  <c r="O3" i="19"/>
  <c r="N3" i="19"/>
  <c r="O2" i="19"/>
  <c r="N2" i="19"/>
  <c r="K59" i="19"/>
  <c r="L38" i="18"/>
  <c r="K38" i="18"/>
  <c r="J38" i="18"/>
  <c r="I38" i="18"/>
  <c r="H38" i="18"/>
  <c r="G38" i="18"/>
  <c r="F38" i="18"/>
  <c r="E38" i="18"/>
  <c r="D38" i="18"/>
  <c r="L37" i="18"/>
  <c r="N37" i="18"/>
  <c r="K37" i="18"/>
  <c r="J37" i="18"/>
  <c r="I37" i="18"/>
  <c r="H37" i="18"/>
  <c r="L36" i="18"/>
  <c r="K36" i="18"/>
  <c r="J36" i="18"/>
  <c r="I36" i="18"/>
  <c r="H36" i="18"/>
  <c r="G36" i="18"/>
  <c r="F36" i="18"/>
  <c r="E36" i="18"/>
  <c r="D36" i="18"/>
  <c r="L35" i="18"/>
  <c r="K35" i="18"/>
  <c r="J35" i="18"/>
  <c r="I35" i="18"/>
  <c r="H35" i="18"/>
  <c r="G35" i="18"/>
  <c r="F35" i="18"/>
  <c r="E35" i="18"/>
  <c r="D35" i="18"/>
  <c r="M34" i="18"/>
  <c r="L34" i="18"/>
  <c r="K34" i="18"/>
  <c r="J34" i="18"/>
  <c r="I34" i="18"/>
  <c r="H34" i="18"/>
  <c r="G34" i="18"/>
  <c r="F34" i="18"/>
  <c r="E34" i="18"/>
  <c r="D34" i="18"/>
  <c r="M33" i="18"/>
  <c r="L33" i="18"/>
  <c r="K33" i="18"/>
  <c r="J33" i="18"/>
  <c r="I33" i="18"/>
  <c r="H33" i="18"/>
  <c r="G33" i="18"/>
  <c r="F33" i="18"/>
  <c r="E33" i="18"/>
  <c r="D33" i="18"/>
  <c r="M32" i="18"/>
  <c r="L32" i="18"/>
  <c r="K32" i="18"/>
  <c r="J32" i="18"/>
  <c r="I32" i="18"/>
  <c r="H32" i="18"/>
  <c r="G32" i="18"/>
  <c r="F32" i="18"/>
  <c r="E32" i="18"/>
  <c r="D32" i="18"/>
  <c r="M31" i="18"/>
  <c r="L31" i="18"/>
  <c r="K31" i="18"/>
  <c r="J31" i="18"/>
  <c r="I31" i="18"/>
  <c r="H31" i="18"/>
  <c r="G31" i="18"/>
  <c r="F31" i="18"/>
  <c r="E31" i="18"/>
  <c r="D31" i="18"/>
  <c r="M30" i="18"/>
  <c r="L30" i="18"/>
  <c r="K30" i="18"/>
  <c r="J30" i="18"/>
  <c r="I30" i="18"/>
  <c r="H30" i="18"/>
  <c r="G30" i="18"/>
  <c r="F30" i="18"/>
  <c r="E30" i="18"/>
  <c r="D30" i="18"/>
  <c r="M29" i="18"/>
  <c r="L29" i="18"/>
  <c r="K29" i="18"/>
  <c r="J29" i="18"/>
  <c r="I29" i="18"/>
  <c r="H29" i="18"/>
  <c r="G29" i="18"/>
  <c r="F29" i="18"/>
  <c r="E29" i="18"/>
  <c r="D29" i="18"/>
  <c r="M28" i="18"/>
  <c r="L28" i="18"/>
  <c r="K28" i="18"/>
  <c r="J28" i="18"/>
  <c r="I28" i="18"/>
  <c r="H28" i="18"/>
  <c r="G28" i="18"/>
  <c r="F28" i="18"/>
  <c r="E28" i="18"/>
  <c r="D28" i="18"/>
  <c r="N28" i="18"/>
  <c r="M27" i="18"/>
  <c r="L27" i="18"/>
  <c r="K27" i="18"/>
  <c r="J27" i="18"/>
  <c r="I27" i="18"/>
  <c r="H27" i="18"/>
  <c r="G27" i="18"/>
  <c r="F27" i="18"/>
  <c r="E27" i="18"/>
  <c r="D27" i="18"/>
  <c r="M26" i="18"/>
  <c r="L26" i="18"/>
  <c r="K26" i="18"/>
  <c r="J26" i="18"/>
  <c r="I26" i="18"/>
  <c r="H26" i="18"/>
  <c r="G26" i="18"/>
  <c r="F26" i="18"/>
  <c r="E26" i="18"/>
  <c r="D26" i="18"/>
  <c r="M25" i="18"/>
  <c r="L25" i="18"/>
  <c r="K25" i="18"/>
  <c r="J25" i="18"/>
  <c r="I25" i="18"/>
  <c r="H25" i="18"/>
  <c r="G25" i="18"/>
  <c r="F25" i="18"/>
  <c r="E25" i="18"/>
  <c r="D25" i="18"/>
  <c r="M24" i="18"/>
  <c r="L24" i="18"/>
  <c r="K24" i="18"/>
  <c r="J24" i="18"/>
  <c r="I24" i="18"/>
  <c r="H24" i="18"/>
  <c r="G24" i="18"/>
  <c r="F24" i="18"/>
  <c r="E24" i="18"/>
  <c r="D24" i="18"/>
  <c r="N24" i="18"/>
  <c r="M23" i="18"/>
  <c r="L23" i="18"/>
  <c r="K23" i="18"/>
  <c r="J23" i="18"/>
  <c r="I23" i="18"/>
  <c r="H23" i="18"/>
  <c r="G23" i="18"/>
  <c r="F23" i="18"/>
  <c r="E23" i="18"/>
  <c r="D23" i="18"/>
  <c r="M22" i="18"/>
  <c r="L22" i="18"/>
  <c r="K22" i="18"/>
  <c r="J22" i="18"/>
  <c r="I22" i="18"/>
  <c r="H22" i="18"/>
  <c r="G22" i="18"/>
  <c r="F22" i="18"/>
  <c r="E22" i="18"/>
  <c r="D22" i="18"/>
  <c r="M21" i="18"/>
  <c r="L21" i="18"/>
  <c r="K21" i="18"/>
  <c r="J21" i="18"/>
  <c r="I21" i="18"/>
  <c r="H21" i="18"/>
  <c r="G21" i="18"/>
  <c r="F21" i="18"/>
  <c r="E21" i="18"/>
  <c r="D21" i="18"/>
  <c r="M19" i="18"/>
  <c r="L19" i="18"/>
  <c r="K19" i="18"/>
  <c r="J19" i="18"/>
  <c r="I19" i="18"/>
  <c r="H19" i="18"/>
  <c r="G19" i="18"/>
  <c r="F19" i="18"/>
  <c r="E19" i="18"/>
  <c r="D19" i="18"/>
  <c r="M15" i="18"/>
  <c r="L15" i="18"/>
  <c r="K15" i="18"/>
  <c r="J15" i="18"/>
  <c r="I15" i="18"/>
  <c r="H15" i="18"/>
  <c r="G15" i="18"/>
  <c r="F15" i="18"/>
  <c r="E15" i="18"/>
  <c r="D15" i="18"/>
  <c r="M8" i="18"/>
  <c r="L8" i="18"/>
  <c r="K8" i="18"/>
  <c r="J8" i="18"/>
  <c r="I8" i="18"/>
  <c r="H8" i="18"/>
  <c r="G8" i="18"/>
  <c r="F8" i="18"/>
  <c r="E8" i="18"/>
  <c r="D8" i="18"/>
  <c r="N8" i="18"/>
  <c r="A73" i="18"/>
  <c r="B39" i="18"/>
  <c r="B86" i="18"/>
  <c r="K45" i="18"/>
  <c r="O20" i="18"/>
  <c r="N20" i="18"/>
  <c r="A45" i="18"/>
  <c r="N18" i="18"/>
  <c r="O18" i="18"/>
  <c r="O17" i="18"/>
  <c r="N17" i="18"/>
  <c r="N16" i="18"/>
  <c r="N14" i="18"/>
  <c r="O14" i="18"/>
  <c r="O13" i="18"/>
  <c r="N13" i="18"/>
  <c r="N12" i="18"/>
  <c r="O11" i="18"/>
  <c r="N11" i="18"/>
  <c r="N10" i="18"/>
  <c r="O10" i="18"/>
  <c r="O9" i="18"/>
  <c r="N9" i="18"/>
  <c r="O7" i="18"/>
  <c r="N7" i="18"/>
  <c r="N6" i="18"/>
  <c r="O6" i="18"/>
  <c r="O5" i="18"/>
  <c r="N5" i="18"/>
  <c r="N4" i="18"/>
  <c r="O3" i="18"/>
  <c r="N3" i="18"/>
  <c r="O2" i="18"/>
  <c r="N2" i="18"/>
  <c r="K59" i="18"/>
  <c r="L38" i="17"/>
  <c r="K38" i="17"/>
  <c r="J38" i="17"/>
  <c r="I38" i="17"/>
  <c r="H38" i="17"/>
  <c r="G38" i="17"/>
  <c r="F38" i="17"/>
  <c r="E38" i="17"/>
  <c r="D38" i="17"/>
  <c r="L37" i="17"/>
  <c r="N37" i="17"/>
  <c r="K37" i="17"/>
  <c r="J37" i="17"/>
  <c r="I37" i="17"/>
  <c r="H37" i="17"/>
  <c r="L36" i="17"/>
  <c r="K36" i="17"/>
  <c r="J36" i="17"/>
  <c r="I36" i="17"/>
  <c r="H36" i="17"/>
  <c r="G36" i="17"/>
  <c r="F36" i="17"/>
  <c r="E36" i="17"/>
  <c r="D36" i="17"/>
  <c r="L35" i="17"/>
  <c r="K35" i="17"/>
  <c r="J35" i="17"/>
  <c r="I35" i="17"/>
  <c r="H35" i="17"/>
  <c r="G35" i="17"/>
  <c r="F35" i="17"/>
  <c r="E35" i="17"/>
  <c r="D35" i="17"/>
  <c r="M34" i="17"/>
  <c r="L34" i="17"/>
  <c r="K34" i="17"/>
  <c r="J34" i="17"/>
  <c r="I34" i="17"/>
  <c r="H34" i="17"/>
  <c r="G34" i="17"/>
  <c r="F34" i="17"/>
  <c r="E34" i="17"/>
  <c r="D34" i="17"/>
  <c r="M33" i="17"/>
  <c r="L33" i="17"/>
  <c r="K33" i="17"/>
  <c r="J33" i="17"/>
  <c r="I33" i="17"/>
  <c r="H33" i="17"/>
  <c r="G33" i="17"/>
  <c r="F33" i="17"/>
  <c r="E33" i="17"/>
  <c r="D33" i="17"/>
  <c r="M32" i="17"/>
  <c r="L32" i="17"/>
  <c r="K32" i="17"/>
  <c r="J32" i="17"/>
  <c r="I32" i="17"/>
  <c r="H32" i="17"/>
  <c r="G32" i="17"/>
  <c r="F32" i="17"/>
  <c r="E32" i="17"/>
  <c r="D32" i="17"/>
  <c r="M31" i="17"/>
  <c r="L31" i="17"/>
  <c r="K31" i="17"/>
  <c r="J31" i="17"/>
  <c r="I31" i="17"/>
  <c r="H31" i="17"/>
  <c r="G31" i="17"/>
  <c r="F31" i="17"/>
  <c r="E31" i="17"/>
  <c r="D31" i="17"/>
  <c r="M30" i="17"/>
  <c r="L30" i="17"/>
  <c r="K30" i="17"/>
  <c r="J30" i="17"/>
  <c r="I30" i="17"/>
  <c r="H30" i="17"/>
  <c r="G30" i="17"/>
  <c r="F30" i="17"/>
  <c r="E30" i="17"/>
  <c r="D30" i="17"/>
  <c r="M29" i="17"/>
  <c r="L29" i="17"/>
  <c r="K29" i="17"/>
  <c r="J29" i="17"/>
  <c r="I29" i="17"/>
  <c r="H29" i="17"/>
  <c r="G29" i="17"/>
  <c r="F29" i="17"/>
  <c r="E29" i="17"/>
  <c r="D29" i="17"/>
  <c r="M28" i="17"/>
  <c r="L28" i="17"/>
  <c r="K28" i="17"/>
  <c r="J28" i="17"/>
  <c r="I28" i="17"/>
  <c r="H28" i="17"/>
  <c r="G28" i="17"/>
  <c r="F28" i="17"/>
  <c r="E28" i="17"/>
  <c r="D28" i="17"/>
  <c r="M27" i="17"/>
  <c r="L27" i="17"/>
  <c r="K27" i="17"/>
  <c r="J27" i="17"/>
  <c r="I27" i="17"/>
  <c r="H27" i="17"/>
  <c r="G27" i="17"/>
  <c r="F27" i="17"/>
  <c r="E27" i="17"/>
  <c r="D27" i="17"/>
  <c r="M26" i="17"/>
  <c r="L26" i="17"/>
  <c r="K26" i="17"/>
  <c r="J26" i="17"/>
  <c r="I26" i="17"/>
  <c r="H26" i="17"/>
  <c r="G26" i="17"/>
  <c r="F26" i="17"/>
  <c r="E26" i="17"/>
  <c r="D26" i="17"/>
  <c r="M25" i="17"/>
  <c r="L25" i="17"/>
  <c r="K25" i="17"/>
  <c r="J25" i="17"/>
  <c r="I25" i="17"/>
  <c r="H25" i="17"/>
  <c r="G25" i="17"/>
  <c r="F25" i="17"/>
  <c r="E25" i="17"/>
  <c r="D25" i="17"/>
  <c r="M24" i="17"/>
  <c r="L24" i="17"/>
  <c r="K24" i="17"/>
  <c r="J24" i="17"/>
  <c r="I24" i="17"/>
  <c r="H24" i="17"/>
  <c r="G24" i="17"/>
  <c r="F24" i="17"/>
  <c r="E24" i="17"/>
  <c r="D24" i="17"/>
  <c r="M23" i="17"/>
  <c r="L23" i="17"/>
  <c r="K23" i="17"/>
  <c r="J23" i="17"/>
  <c r="I23" i="17"/>
  <c r="H23" i="17"/>
  <c r="G23" i="17"/>
  <c r="F23" i="17"/>
  <c r="E23" i="17"/>
  <c r="D23" i="17"/>
  <c r="M22" i="17"/>
  <c r="L22" i="17"/>
  <c r="K22" i="17"/>
  <c r="J22" i="17"/>
  <c r="I22" i="17"/>
  <c r="H22" i="17"/>
  <c r="G22" i="17"/>
  <c r="F22" i="17"/>
  <c r="E22" i="17"/>
  <c r="D22" i="17"/>
  <c r="M21" i="17"/>
  <c r="L21" i="17"/>
  <c r="K21" i="17"/>
  <c r="J21" i="17"/>
  <c r="I21" i="17"/>
  <c r="H21" i="17"/>
  <c r="G21" i="17"/>
  <c r="F21" i="17"/>
  <c r="E21" i="17"/>
  <c r="D21" i="17"/>
  <c r="N21" i="17"/>
  <c r="M19" i="17"/>
  <c r="L19" i="17"/>
  <c r="K19" i="17"/>
  <c r="J19" i="17"/>
  <c r="I19" i="17"/>
  <c r="H19" i="17"/>
  <c r="G19" i="17"/>
  <c r="F19" i="17"/>
  <c r="E19" i="17"/>
  <c r="D19" i="17"/>
  <c r="M15" i="17"/>
  <c r="L15" i="17"/>
  <c r="K15" i="17"/>
  <c r="J15" i="17"/>
  <c r="I15" i="17"/>
  <c r="H15" i="17"/>
  <c r="G15" i="17"/>
  <c r="F15" i="17"/>
  <c r="E15" i="17"/>
  <c r="D15" i="17"/>
  <c r="M8" i="17"/>
  <c r="L8" i="17"/>
  <c r="K8" i="17"/>
  <c r="J8" i="17"/>
  <c r="I8" i="17"/>
  <c r="H8" i="17"/>
  <c r="G8" i="17"/>
  <c r="F8" i="17"/>
  <c r="E8" i="17"/>
  <c r="D8" i="17"/>
  <c r="F73" i="17"/>
  <c r="B39" i="17"/>
  <c r="B86" i="17"/>
  <c r="K45" i="17"/>
  <c r="F45" i="17"/>
  <c r="O20" i="17"/>
  <c r="N20" i="17"/>
  <c r="A45" i="17"/>
  <c r="O18" i="17"/>
  <c r="O17" i="17"/>
  <c r="N16" i="17"/>
  <c r="O16" i="17"/>
  <c r="O14" i="17"/>
  <c r="O13" i="17"/>
  <c r="N12" i="17"/>
  <c r="O12" i="17"/>
  <c r="O11" i="17"/>
  <c r="N11" i="17"/>
  <c r="O10" i="17"/>
  <c r="O9" i="17"/>
  <c r="O7" i="17"/>
  <c r="N7" i="17"/>
  <c r="O6" i="17"/>
  <c r="O5" i="17"/>
  <c r="N4" i="17"/>
  <c r="O4" i="17"/>
  <c r="O3" i="17"/>
  <c r="N3" i="17"/>
  <c r="O2" i="17"/>
  <c r="N2" i="17"/>
  <c r="K59" i="17"/>
  <c r="L38" i="16"/>
  <c r="K38" i="16"/>
  <c r="J38" i="16"/>
  <c r="I38" i="16"/>
  <c r="H38" i="16"/>
  <c r="G38" i="16"/>
  <c r="F38" i="16"/>
  <c r="E38" i="16"/>
  <c r="D38" i="16"/>
  <c r="L37" i="16"/>
  <c r="N37" i="16"/>
  <c r="K37" i="16"/>
  <c r="J37" i="16"/>
  <c r="I37" i="16"/>
  <c r="H37" i="16"/>
  <c r="L36" i="16"/>
  <c r="K36" i="16"/>
  <c r="J36" i="16"/>
  <c r="I36" i="16"/>
  <c r="H36" i="16"/>
  <c r="G36" i="16"/>
  <c r="F36" i="16"/>
  <c r="E36" i="16"/>
  <c r="D36" i="16"/>
  <c r="L35" i="16"/>
  <c r="K35" i="16"/>
  <c r="J35" i="16"/>
  <c r="I35" i="16"/>
  <c r="H35" i="16"/>
  <c r="G35" i="16"/>
  <c r="F35" i="16"/>
  <c r="E35" i="16"/>
  <c r="D35" i="16"/>
  <c r="M34" i="16"/>
  <c r="L34" i="16"/>
  <c r="K34" i="16"/>
  <c r="J34" i="16"/>
  <c r="I34" i="16"/>
  <c r="H34" i="16"/>
  <c r="G34" i="16"/>
  <c r="F34" i="16"/>
  <c r="E34" i="16"/>
  <c r="D34" i="16"/>
  <c r="M33" i="16"/>
  <c r="L33" i="16"/>
  <c r="K33" i="16"/>
  <c r="J33" i="16"/>
  <c r="I33" i="16"/>
  <c r="H33" i="16"/>
  <c r="G33" i="16"/>
  <c r="F33" i="16"/>
  <c r="E33" i="16"/>
  <c r="D33" i="16"/>
  <c r="M32" i="16"/>
  <c r="L32" i="16"/>
  <c r="K32" i="16"/>
  <c r="J32" i="16"/>
  <c r="I32" i="16"/>
  <c r="H32" i="16"/>
  <c r="G32" i="16"/>
  <c r="F32" i="16"/>
  <c r="E32" i="16"/>
  <c r="D32" i="16"/>
  <c r="M31" i="16"/>
  <c r="L31" i="16"/>
  <c r="K31" i="16"/>
  <c r="J31" i="16"/>
  <c r="I31" i="16"/>
  <c r="H31" i="16"/>
  <c r="G31" i="16"/>
  <c r="F31" i="16"/>
  <c r="E31" i="16"/>
  <c r="D31" i="16"/>
  <c r="M30" i="16"/>
  <c r="L30" i="16"/>
  <c r="K30" i="16"/>
  <c r="J30" i="16"/>
  <c r="I30" i="16"/>
  <c r="H30" i="16"/>
  <c r="G30" i="16"/>
  <c r="F30" i="16"/>
  <c r="E30" i="16"/>
  <c r="D30" i="16"/>
  <c r="M29" i="16"/>
  <c r="L29" i="16"/>
  <c r="K29" i="16"/>
  <c r="J29" i="16"/>
  <c r="I29" i="16"/>
  <c r="H29" i="16"/>
  <c r="G29" i="16"/>
  <c r="F29" i="16"/>
  <c r="E29" i="16"/>
  <c r="D29" i="16"/>
  <c r="M28" i="16"/>
  <c r="L28" i="16"/>
  <c r="K28" i="16"/>
  <c r="J28" i="16"/>
  <c r="I28" i="16"/>
  <c r="H28" i="16"/>
  <c r="G28" i="16"/>
  <c r="F28" i="16"/>
  <c r="E28" i="16"/>
  <c r="D28" i="16"/>
  <c r="M27" i="16"/>
  <c r="L27" i="16"/>
  <c r="K27" i="16"/>
  <c r="J27" i="16"/>
  <c r="I27" i="16"/>
  <c r="H27" i="16"/>
  <c r="G27" i="16"/>
  <c r="F27" i="16"/>
  <c r="E27" i="16"/>
  <c r="D27" i="16"/>
  <c r="M26" i="16"/>
  <c r="L26" i="16"/>
  <c r="K26" i="16"/>
  <c r="J26" i="16"/>
  <c r="I26" i="16"/>
  <c r="H26" i="16"/>
  <c r="G26" i="16"/>
  <c r="F26" i="16"/>
  <c r="E26" i="16"/>
  <c r="D26" i="16"/>
  <c r="M25" i="16"/>
  <c r="L25" i="16"/>
  <c r="K25" i="16"/>
  <c r="J25" i="16"/>
  <c r="I25" i="16"/>
  <c r="H25" i="16"/>
  <c r="G25" i="16"/>
  <c r="F25" i="16"/>
  <c r="E25" i="16"/>
  <c r="D25" i="16"/>
  <c r="M24" i="16"/>
  <c r="L24" i="16"/>
  <c r="K24" i="16"/>
  <c r="J24" i="16"/>
  <c r="I24" i="16"/>
  <c r="H24" i="16"/>
  <c r="G24" i="16"/>
  <c r="F24" i="16"/>
  <c r="E24" i="16"/>
  <c r="D24" i="16"/>
  <c r="M23" i="16"/>
  <c r="L23" i="16"/>
  <c r="K23" i="16"/>
  <c r="J23" i="16"/>
  <c r="I23" i="16"/>
  <c r="H23" i="16"/>
  <c r="G23" i="16"/>
  <c r="F23" i="16"/>
  <c r="E23" i="16"/>
  <c r="D23" i="16"/>
  <c r="M22" i="16"/>
  <c r="L22" i="16"/>
  <c r="K22" i="16"/>
  <c r="J22" i="16"/>
  <c r="I22" i="16"/>
  <c r="H22" i="16"/>
  <c r="G22" i="16"/>
  <c r="F22" i="16"/>
  <c r="E22" i="16"/>
  <c r="D22" i="16"/>
  <c r="M21" i="16"/>
  <c r="L21" i="16"/>
  <c r="K21" i="16"/>
  <c r="J21" i="16"/>
  <c r="I21" i="16"/>
  <c r="H21" i="16"/>
  <c r="G21" i="16"/>
  <c r="F21" i="16"/>
  <c r="E21" i="16"/>
  <c r="D21" i="16"/>
  <c r="N21" i="16"/>
  <c r="M19" i="16"/>
  <c r="L19" i="16"/>
  <c r="K19" i="16"/>
  <c r="J19" i="16"/>
  <c r="I19" i="16"/>
  <c r="H19" i="16"/>
  <c r="G19" i="16"/>
  <c r="F19" i="16"/>
  <c r="E19" i="16"/>
  <c r="D19" i="16"/>
  <c r="M15" i="16"/>
  <c r="L15" i="16"/>
  <c r="K15" i="16"/>
  <c r="J15" i="16"/>
  <c r="I15" i="16"/>
  <c r="H15" i="16"/>
  <c r="G15" i="16"/>
  <c r="F15" i="16"/>
  <c r="E15" i="16"/>
  <c r="D15" i="16"/>
  <c r="M8" i="16"/>
  <c r="L8" i="16"/>
  <c r="K8" i="16"/>
  <c r="J8" i="16"/>
  <c r="I8" i="16"/>
  <c r="H8" i="16"/>
  <c r="G8" i="16"/>
  <c r="F8" i="16"/>
  <c r="E8" i="16"/>
  <c r="D8" i="16"/>
  <c r="N8" i="16"/>
  <c r="F73" i="16"/>
  <c r="B39" i="16"/>
  <c r="B86" i="16"/>
  <c r="K45" i="16"/>
  <c r="O20" i="16"/>
  <c r="N20" i="16"/>
  <c r="A45" i="16"/>
  <c r="O18" i="16"/>
  <c r="O17" i="16"/>
  <c r="N17" i="16"/>
  <c r="N16" i="16"/>
  <c r="O16" i="16"/>
  <c r="O14" i="16"/>
  <c r="O13" i="16"/>
  <c r="N13" i="16"/>
  <c r="N12" i="16"/>
  <c r="O12" i="16"/>
  <c r="O11" i="16"/>
  <c r="N11" i="16"/>
  <c r="O10" i="16"/>
  <c r="O9" i="16"/>
  <c r="N9" i="16"/>
  <c r="O7" i="16"/>
  <c r="N7" i="16"/>
  <c r="O6" i="16"/>
  <c r="O5" i="16"/>
  <c r="N5" i="16"/>
  <c r="N4" i="16"/>
  <c r="O4" i="16"/>
  <c r="O3" i="16"/>
  <c r="N3" i="16"/>
  <c r="O2" i="16"/>
  <c r="N2" i="16"/>
  <c r="K59" i="16"/>
  <c r="L38" i="15"/>
  <c r="K38" i="15"/>
  <c r="J38" i="15"/>
  <c r="I38" i="15"/>
  <c r="H38" i="15"/>
  <c r="G38" i="15"/>
  <c r="F38" i="15"/>
  <c r="E38" i="15"/>
  <c r="D38" i="15"/>
  <c r="L37" i="15"/>
  <c r="N37" i="15"/>
  <c r="K37" i="15"/>
  <c r="J37" i="15"/>
  <c r="I37" i="15"/>
  <c r="H37" i="15"/>
  <c r="O37" i="15"/>
  <c r="L36" i="15"/>
  <c r="K36" i="15"/>
  <c r="J36" i="15"/>
  <c r="I36" i="15"/>
  <c r="H36" i="15"/>
  <c r="G36" i="15"/>
  <c r="F36" i="15"/>
  <c r="E36" i="15"/>
  <c r="D36" i="15"/>
  <c r="L35" i="15"/>
  <c r="K35" i="15"/>
  <c r="J35" i="15"/>
  <c r="I35" i="15"/>
  <c r="H35" i="15"/>
  <c r="G35" i="15"/>
  <c r="F35" i="15"/>
  <c r="E35" i="15"/>
  <c r="D35" i="15"/>
  <c r="M34" i="15"/>
  <c r="L34" i="15"/>
  <c r="K34" i="15"/>
  <c r="J34" i="15"/>
  <c r="I34" i="15"/>
  <c r="H34" i="15"/>
  <c r="G34" i="15"/>
  <c r="F34" i="15"/>
  <c r="E34" i="15"/>
  <c r="D34" i="15"/>
  <c r="M33" i="15"/>
  <c r="L33" i="15"/>
  <c r="K33" i="15"/>
  <c r="J33" i="15"/>
  <c r="I33" i="15"/>
  <c r="H33" i="15"/>
  <c r="G33" i="15"/>
  <c r="F33" i="15"/>
  <c r="E33" i="15"/>
  <c r="D33" i="15"/>
  <c r="M32" i="15"/>
  <c r="L32" i="15"/>
  <c r="K32" i="15"/>
  <c r="J32" i="15"/>
  <c r="I32" i="15"/>
  <c r="H32" i="15"/>
  <c r="G32" i="15"/>
  <c r="F32" i="15"/>
  <c r="E32" i="15"/>
  <c r="D32" i="15"/>
  <c r="M31" i="15"/>
  <c r="L31" i="15"/>
  <c r="K31" i="15"/>
  <c r="J31" i="15"/>
  <c r="I31" i="15"/>
  <c r="H31" i="15"/>
  <c r="G31" i="15"/>
  <c r="F31" i="15"/>
  <c r="E31" i="15"/>
  <c r="D31" i="15"/>
  <c r="M30" i="15"/>
  <c r="L30" i="15"/>
  <c r="K30" i="15"/>
  <c r="J30" i="15"/>
  <c r="I30" i="15"/>
  <c r="H30" i="15"/>
  <c r="G30" i="15"/>
  <c r="F30" i="15"/>
  <c r="E30" i="15"/>
  <c r="D30" i="15"/>
  <c r="M29" i="15"/>
  <c r="L29" i="15"/>
  <c r="K29" i="15"/>
  <c r="J29" i="15"/>
  <c r="I29" i="15"/>
  <c r="H29" i="15"/>
  <c r="G29" i="15"/>
  <c r="F29" i="15"/>
  <c r="E29" i="15"/>
  <c r="D29" i="15"/>
  <c r="M28" i="15"/>
  <c r="L28" i="15"/>
  <c r="K28" i="15"/>
  <c r="J28" i="15"/>
  <c r="I28" i="15"/>
  <c r="H28" i="15"/>
  <c r="G28" i="15"/>
  <c r="F28" i="15"/>
  <c r="E28" i="15"/>
  <c r="D28" i="15"/>
  <c r="M27" i="15"/>
  <c r="L27" i="15"/>
  <c r="K27" i="15"/>
  <c r="J27" i="15"/>
  <c r="I27" i="15"/>
  <c r="H27" i="15"/>
  <c r="G27" i="15"/>
  <c r="F27" i="15"/>
  <c r="E27" i="15"/>
  <c r="D27" i="15"/>
  <c r="M26" i="15"/>
  <c r="L26" i="15"/>
  <c r="K26" i="15"/>
  <c r="J26" i="15"/>
  <c r="I26" i="15"/>
  <c r="H26" i="15"/>
  <c r="G26" i="15"/>
  <c r="F26" i="15"/>
  <c r="E26" i="15"/>
  <c r="D26" i="15"/>
  <c r="M25" i="15"/>
  <c r="L25" i="15"/>
  <c r="K25" i="15"/>
  <c r="J25" i="15"/>
  <c r="I25" i="15"/>
  <c r="H25" i="15"/>
  <c r="G25" i="15"/>
  <c r="F25" i="15"/>
  <c r="E25" i="15"/>
  <c r="D25" i="15"/>
  <c r="M24" i="15"/>
  <c r="L24" i="15"/>
  <c r="K24" i="15"/>
  <c r="J24" i="15"/>
  <c r="I24" i="15"/>
  <c r="H24" i="15"/>
  <c r="O24" i="15"/>
  <c r="G24" i="15"/>
  <c r="F24" i="15"/>
  <c r="E24" i="15"/>
  <c r="D24" i="15"/>
  <c r="M23" i="15"/>
  <c r="L23" i="15"/>
  <c r="K23" i="15"/>
  <c r="J23" i="15"/>
  <c r="I23" i="15"/>
  <c r="H23" i="15"/>
  <c r="G23" i="15"/>
  <c r="F23" i="15"/>
  <c r="E23" i="15"/>
  <c r="D23" i="15"/>
  <c r="N23" i="15"/>
  <c r="M22" i="15"/>
  <c r="L22" i="15"/>
  <c r="K22" i="15"/>
  <c r="J22" i="15"/>
  <c r="I22" i="15"/>
  <c r="H22" i="15"/>
  <c r="G22" i="15"/>
  <c r="F22" i="15"/>
  <c r="E22" i="15"/>
  <c r="D22" i="15"/>
  <c r="M21" i="15"/>
  <c r="L21" i="15"/>
  <c r="K21" i="15"/>
  <c r="J21" i="15"/>
  <c r="I21" i="15"/>
  <c r="H21" i="15"/>
  <c r="G21" i="15"/>
  <c r="F21" i="15"/>
  <c r="E21" i="15"/>
  <c r="D21" i="15"/>
  <c r="M19" i="15"/>
  <c r="L19" i="15"/>
  <c r="K19" i="15"/>
  <c r="J19" i="15"/>
  <c r="I19" i="15"/>
  <c r="H19" i="15"/>
  <c r="G19" i="15"/>
  <c r="F19" i="15"/>
  <c r="E19" i="15"/>
  <c r="D19" i="15"/>
  <c r="M15" i="15"/>
  <c r="L15" i="15"/>
  <c r="K15" i="15"/>
  <c r="J15" i="15"/>
  <c r="I15" i="15"/>
  <c r="H15" i="15"/>
  <c r="G15" i="15"/>
  <c r="F15" i="15"/>
  <c r="E15" i="15"/>
  <c r="D15" i="15"/>
  <c r="N15" i="15"/>
  <c r="M8" i="15"/>
  <c r="L8" i="15"/>
  <c r="K8" i="15"/>
  <c r="J8" i="15"/>
  <c r="I8" i="15"/>
  <c r="H8" i="15"/>
  <c r="G8" i="15"/>
  <c r="F8" i="15"/>
  <c r="E8" i="15"/>
  <c r="D8" i="15"/>
  <c r="N8" i="15"/>
  <c r="A73" i="15"/>
  <c r="B39" i="15"/>
  <c r="B86" i="15"/>
  <c r="K45" i="15"/>
  <c r="F45" i="15"/>
  <c r="O20" i="15"/>
  <c r="N20" i="15"/>
  <c r="A45" i="15"/>
  <c r="N18" i="15"/>
  <c r="O18" i="15"/>
  <c r="O17" i="15"/>
  <c r="N17" i="15"/>
  <c r="N16" i="15"/>
  <c r="N14" i="15"/>
  <c r="O14" i="15"/>
  <c r="O13" i="15"/>
  <c r="N13" i="15"/>
  <c r="N12" i="15"/>
  <c r="O11" i="15"/>
  <c r="N11" i="15"/>
  <c r="N10" i="15"/>
  <c r="O10" i="15"/>
  <c r="O9" i="15"/>
  <c r="N9" i="15"/>
  <c r="O7" i="15"/>
  <c r="N7" i="15"/>
  <c r="N6" i="15"/>
  <c r="O6" i="15"/>
  <c r="O5" i="15"/>
  <c r="N5" i="15"/>
  <c r="N4" i="15"/>
  <c r="O3" i="15"/>
  <c r="N3" i="15"/>
  <c r="O2" i="15"/>
  <c r="N2" i="15"/>
  <c r="K59" i="15"/>
  <c r="L38" i="14"/>
  <c r="K38" i="14"/>
  <c r="J38" i="14"/>
  <c r="I38" i="14"/>
  <c r="H38" i="14"/>
  <c r="G38" i="14"/>
  <c r="F38" i="14"/>
  <c r="L37" i="14"/>
  <c r="K37" i="14"/>
  <c r="J37" i="14"/>
  <c r="I37" i="14"/>
  <c r="H37" i="14"/>
  <c r="J36" i="14"/>
  <c r="I36" i="14"/>
  <c r="H36" i="14"/>
  <c r="L35" i="14"/>
  <c r="K35" i="14"/>
  <c r="J35" i="14"/>
  <c r="I35" i="14"/>
  <c r="H35" i="14"/>
  <c r="G35" i="14"/>
  <c r="F35" i="14"/>
  <c r="M34" i="14"/>
  <c r="L34" i="14"/>
  <c r="K34" i="14"/>
  <c r="J34" i="14"/>
  <c r="I34" i="14"/>
  <c r="H34" i="14"/>
  <c r="G34" i="14"/>
  <c r="F34" i="14"/>
  <c r="E34" i="14"/>
  <c r="D34" i="14"/>
  <c r="M33" i="14"/>
  <c r="L33" i="14"/>
  <c r="K33" i="14"/>
  <c r="J33" i="14"/>
  <c r="I33" i="14"/>
  <c r="H33" i="14"/>
  <c r="G33" i="14"/>
  <c r="F33" i="14"/>
  <c r="E33" i="14"/>
  <c r="D33" i="14"/>
  <c r="M32" i="14"/>
  <c r="L32" i="14"/>
  <c r="K32" i="14"/>
  <c r="J32" i="14"/>
  <c r="I32" i="14"/>
  <c r="H32" i="14"/>
  <c r="G32" i="14"/>
  <c r="F32" i="14"/>
  <c r="E32" i="14"/>
  <c r="D32" i="14"/>
  <c r="M31" i="14"/>
  <c r="L31" i="14"/>
  <c r="K31" i="14"/>
  <c r="J31" i="14"/>
  <c r="I31" i="14"/>
  <c r="H31" i="14"/>
  <c r="G31" i="14"/>
  <c r="F31" i="14"/>
  <c r="E31" i="14"/>
  <c r="D31" i="14"/>
  <c r="M30" i="14"/>
  <c r="L30" i="14"/>
  <c r="K30" i="14"/>
  <c r="J30" i="14"/>
  <c r="I30" i="14"/>
  <c r="H30" i="14"/>
  <c r="G30" i="14"/>
  <c r="F30" i="14"/>
  <c r="E30" i="14"/>
  <c r="D30" i="14"/>
  <c r="M29" i="14"/>
  <c r="L29" i="14"/>
  <c r="K29" i="14"/>
  <c r="J29" i="14"/>
  <c r="I29" i="14"/>
  <c r="H29" i="14"/>
  <c r="G29" i="14"/>
  <c r="F29" i="14"/>
  <c r="E29" i="14"/>
  <c r="D29" i="14"/>
  <c r="M28" i="14"/>
  <c r="L28" i="14"/>
  <c r="K28" i="14"/>
  <c r="J28" i="14"/>
  <c r="I28" i="14"/>
  <c r="H28" i="14"/>
  <c r="G28" i="14"/>
  <c r="F28" i="14"/>
  <c r="E28" i="14"/>
  <c r="D28" i="14"/>
  <c r="M27" i="14"/>
  <c r="L27" i="14"/>
  <c r="K27" i="14"/>
  <c r="J27" i="14"/>
  <c r="I27" i="14"/>
  <c r="H27" i="14"/>
  <c r="G27" i="14"/>
  <c r="F27" i="14"/>
  <c r="E27" i="14"/>
  <c r="D27" i="14"/>
  <c r="M26" i="14"/>
  <c r="L26" i="14"/>
  <c r="K26" i="14"/>
  <c r="J26" i="14"/>
  <c r="I26" i="14"/>
  <c r="H26" i="14"/>
  <c r="G26" i="14"/>
  <c r="F26" i="14"/>
  <c r="E26" i="14"/>
  <c r="D26" i="14"/>
  <c r="M25" i="14"/>
  <c r="L25" i="14"/>
  <c r="K25" i="14"/>
  <c r="J25" i="14"/>
  <c r="I25" i="14"/>
  <c r="H25" i="14"/>
  <c r="F25" i="14"/>
  <c r="E25" i="14"/>
  <c r="D25" i="14"/>
  <c r="M24" i="14"/>
  <c r="L24" i="14"/>
  <c r="K24" i="14"/>
  <c r="J24" i="14"/>
  <c r="I24" i="14"/>
  <c r="H24" i="14"/>
  <c r="G24" i="14"/>
  <c r="F24" i="14"/>
  <c r="E24" i="14"/>
  <c r="D24" i="14"/>
  <c r="M23" i="14"/>
  <c r="L23" i="14"/>
  <c r="K23" i="14"/>
  <c r="J23" i="14"/>
  <c r="I23" i="14"/>
  <c r="H23" i="14"/>
  <c r="G23" i="14"/>
  <c r="F23" i="14"/>
  <c r="E23" i="14"/>
  <c r="D23" i="14"/>
  <c r="M22" i="14"/>
  <c r="L22" i="14"/>
  <c r="K22" i="14"/>
  <c r="J22" i="14"/>
  <c r="I22" i="14"/>
  <c r="H22" i="14"/>
  <c r="G22" i="14"/>
  <c r="F22" i="14"/>
  <c r="E22" i="14"/>
  <c r="D22" i="14"/>
  <c r="M21" i="14"/>
  <c r="L21" i="14"/>
  <c r="K21" i="14"/>
  <c r="J21" i="14"/>
  <c r="I21" i="14"/>
  <c r="H21" i="14"/>
  <c r="G21" i="14"/>
  <c r="F21" i="14"/>
  <c r="E21" i="14"/>
  <c r="D21" i="14"/>
  <c r="M19" i="14"/>
  <c r="L19" i="14"/>
  <c r="K19" i="14"/>
  <c r="J19" i="14"/>
  <c r="I19" i="14"/>
  <c r="H19" i="14"/>
  <c r="G19" i="14"/>
  <c r="F19" i="14"/>
  <c r="E19" i="14"/>
  <c r="D19" i="14"/>
  <c r="M15" i="14"/>
  <c r="L15" i="14"/>
  <c r="K15" i="14"/>
  <c r="J15" i="14"/>
  <c r="I15" i="14"/>
  <c r="H15" i="14"/>
  <c r="G15" i="14"/>
  <c r="F15" i="14"/>
  <c r="E15" i="14"/>
  <c r="D15" i="14"/>
  <c r="M8" i="14"/>
  <c r="L8" i="14"/>
  <c r="K8" i="14"/>
  <c r="J8" i="14"/>
  <c r="I8" i="14"/>
  <c r="H8" i="14"/>
  <c r="G8" i="14"/>
  <c r="F8" i="14"/>
  <c r="E8" i="14"/>
  <c r="D8" i="14"/>
  <c r="A73" i="14"/>
  <c r="B39" i="14"/>
  <c r="B86" i="14"/>
  <c r="N36" i="14"/>
  <c r="O36" i="14"/>
  <c r="N34" i="14"/>
  <c r="K45" i="14"/>
  <c r="F45" i="14"/>
  <c r="O20" i="14"/>
  <c r="N20" i="14"/>
  <c r="A45" i="14"/>
  <c r="N18" i="14"/>
  <c r="O18" i="14"/>
  <c r="O17" i="14"/>
  <c r="N17" i="14"/>
  <c r="N16" i="14"/>
  <c r="N14" i="14"/>
  <c r="O14" i="14"/>
  <c r="O13" i="14"/>
  <c r="N13" i="14"/>
  <c r="N12" i="14"/>
  <c r="O11" i="14"/>
  <c r="N11" i="14"/>
  <c r="N10" i="14"/>
  <c r="O10" i="14"/>
  <c r="O9" i="14"/>
  <c r="N9" i="14"/>
  <c r="O7" i="14"/>
  <c r="N7" i="14"/>
  <c r="N6" i="14"/>
  <c r="O6" i="14"/>
  <c r="O5" i="14"/>
  <c r="N5" i="14"/>
  <c r="N4" i="14"/>
  <c r="O3" i="14"/>
  <c r="N3" i="14"/>
  <c r="O2" i="14"/>
  <c r="N2" i="14"/>
  <c r="K59" i="14"/>
  <c r="L38" i="13"/>
  <c r="K38" i="13"/>
  <c r="J38" i="13"/>
  <c r="I38" i="13"/>
  <c r="H38" i="13"/>
  <c r="G38" i="13"/>
  <c r="F38" i="13"/>
  <c r="E38" i="13"/>
  <c r="D38" i="13"/>
  <c r="L37" i="13"/>
  <c r="O37" i="13"/>
  <c r="L36" i="13"/>
  <c r="K36" i="13"/>
  <c r="J36" i="13"/>
  <c r="I36" i="13"/>
  <c r="H36" i="13"/>
  <c r="G36" i="13"/>
  <c r="F36" i="13"/>
  <c r="E36" i="13"/>
  <c r="D36" i="13"/>
  <c r="L35" i="13"/>
  <c r="K35" i="13"/>
  <c r="J35" i="13"/>
  <c r="I35" i="13"/>
  <c r="H35" i="13"/>
  <c r="G35" i="13"/>
  <c r="F35" i="13"/>
  <c r="E35" i="13"/>
  <c r="D35" i="13"/>
  <c r="M34" i="13"/>
  <c r="L34" i="13"/>
  <c r="K34" i="13"/>
  <c r="J34" i="13"/>
  <c r="I34" i="13"/>
  <c r="H34" i="13"/>
  <c r="G34" i="13"/>
  <c r="F34" i="13"/>
  <c r="E34" i="13"/>
  <c r="D34" i="13"/>
  <c r="M33" i="13"/>
  <c r="L33" i="13"/>
  <c r="K33" i="13"/>
  <c r="J33" i="13"/>
  <c r="I33" i="13"/>
  <c r="H33" i="13"/>
  <c r="G33" i="13"/>
  <c r="F33" i="13"/>
  <c r="E33" i="13"/>
  <c r="D33" i="13"/>
  <c r="M32" i="13"/>
  <c r="L32" i="13"/>
  <c r="K32" i="13"/>
  <c r="J32" i="13"/>
  <c r="I32" i="13"/>
  <c r="H32" i="13"/>
  <c r="G32" i="13"/>
  <c r="F32" i="13"/>
  <c r="E32" i="13"/>
  <c r="D32" i="13"/>
  <c r="M31" i="13"/>
  <c r="L31" i="13"/>
  <c r="K31" i="13"/>
  <c r="J31" i="13"/>
  <c r="I31" i="13"/>
  <c r="H31" i="13"/>
  <c r="G31" i="13"/>
  <c r="F31" i="13"/>
  <c r="E31" i="13"/>
  <c r="D31" i="13"/>
  <c r="M30" i="13"/>
  <c r="L30" i="13"/>
  <c r="K30" i="13"/>
  <c r="J30" i="13"/>
  <c r="I30" i="13"/>
  <c r="H30" i="13"/>
  <c r="G30" i="13"/>
  <c r="F30" i="13"/>
  <c r="E30" i="13"/>
  <c r="D30" i="13"/>
  <c r="M29" i="13"/>
  <c r="L29" i="13"/>
  <c r="K29" i="13"/>
  <c r="J29" i="13"/>
  <c r="I29" i="13"/>
  <c r="H29" i="13"/>
  <c r="G29" i="13"/>
  <c r="F29" i="13"/>
  <c r="E29" i="13"/>
  <c r="D29" i="13"/>
  <c r="M28" i="13"/>
  <c r="L28" i="13"/>
  <c r="K28" i="13"/>
  <c r="J28" i="13"/>
  <c r="I28" i="13"/>
  <c r="H28" i="13"/>
  <c r="G28" i="13"/>
  <c r="F28" i="13"/>
  <c r="E28" i="13"/>
  <c r="D28" i="13"/>
  <c r="M27" i="13"/>
  <c r="L27" i="13"/>
  <c r="K27" i="13"/>
  <c r="J27" i="13"/>
  <c r="I27" i="13"/>
  <c r="H27" i="13"/>
  <c r="G27" i="13"/>
  <c r="F27" i="13"/>
  <c r="E27" i="13"/>
  <c r="D27" i="13"/>
  <c r="N27" i="13"/>
  <c r="M26" i="13"/>
  <c r="L26" i="13"/>
  <c r="K26" i="13"/>
  <c r="J26" i="13"/>
  <c r="I26" i="13"/>
  <c r="H26" i="13"/>
  <c r="G26" i="13"/>
  <c r="F26" i="13"/>
  <c r="E26" i="13"/>
  <c r="D26" i="13"/>
  <c r="M25" i="13"/>
  <c r="L25" i="13"/>
  <c r="K25" i="13"/>
  <c r="J25" i="13"/>
  <c r="I25" i="13"/>
  <c r="H25" i="13"/>
  <c r="G25" i="13"/>
  <c r="F25" i="13"/>
  <c r="E25" i="13"/>
  <c r="D25" i="13"/>
  <c r="M24" i="13"/>
  <c r="L24" i="13"/>
  <c r="K24" i="13"/>
  <c r="J24" i="13"/>
  <c r="I24" i="13"/>
  <c r="H24" i="13"/>
  <c r="G24" i="13"/>
  <c r="F24" i="13"/>
  <c r="E24" i="13"/>
  <c r="D24" i="13"/>
  <c r="M23" i="13"/>
  <c r="L23" i="13"/>
  <c r="K23" i="13"/>
  <c r="J23" i="13"/>
  <c r="I23" i="13"/>
  <c r="H23" i="13"/>
  <c r="G23" i="13"/>
  <c r="F23" i="13"/>
  <c r="E23" i="13"/>
  <c r="D23" i="13"/>
  <c r="M22" i="13"/>
  <c r="L22" i="13"/>
  <c r="K22" i="13"/>
  <c r="J22" i="13"/>
  <c r="I22" i="13"/>
  <c r="H22" i="13"/>
  <c r="G22" i="13"/>
  <c r="F22" i="13"/>
  <c r="E22" i="13"/>
  <c r="D22" i="13"/>
  <c r="M21" i="13"/>
  <c r="L21" i="13"/>
  <c r="K21" i="13"/>
  <c r="J21" i="13"/>
  <c r="I21" i="13"/>
  <c r="H21" i="13"/>
  <c r="G21" i="13"/>
  <c r="F21" i="13"/>
  <c r="E21" i="13"/>
  <c r="D21" i="13"/>
  <c r="M19" i="13"/>
  <c r="L19" i="13"/>
  <c r="K19" i="13"/>
  <c r="J19" i="13"/>
  <c r="I19" i="13"/>
  <c r="H19" i="13"/>
  <c r="G19" i="13"/>
  <c r="F19" i="13"/>
  <c r="E19" i="13"/>
  <c r="D19" i="13"/>
  <c r="M15" i="13"/>
  <c r="L15" i="13"/>
  <c r="K15" i="13"/>
  <c r="J15" i="13"/>
  <c r="I15" i="13"/>
  <c r="H15" i="13"/>
  <c r="G15" i="13"/>
  <c r="F15" i="13"/>
  <c r="E15" i="13"/>
  <c r="D15" i="13"/>
  <c r="M8" i="13"/>
  <c r="L8" i="13"/>
  <c r="K8" i="13"/>
  <c r="J8" i="13"/>
  <c r="I8" i="13"/>
  <c r="H8" i="13"/>
  <c r="G8" i="13"/>
  <c r="F8" i="13"/>
  <c r="E8" i="13"/>
  <c r="D8" i="13"/>
  <c r="N8" i="13"/>
  <c r="A73" i="13"/>
  <c r="B39" i="13"/>
  <c r="B86" i="13"/>
  <c r="K45" i="13"/>
  <c r="F45" i="13"/>
  <c r="O20" i="13"/>
  <c r="N20" i="13"/>
  <c r="A45" i="13"/>
  <c r="N18" i="13"/>
  <c r="O18" i="13"/>
  <c r="O17" i="13"/>
  <c r="N17" i="13"/>
  <c r="N16" i="13"/>
  <c r="N14" i="13"/>
  <c r="O14" i="13"/>
  <c r="O13" i="13"/>
  <c r="N13" i="13"/>
  <c r="N12" i="13"/>
  <c r="O11" i="13"/>
  <c r="N11" i="13"/>
  <c r="N10" i="13"/>
  <c r="O10" i="13"/>
  <c r="O9" i="13"/>
  <c r="N9" i="13"/>
  <c r="O7" i="13"/>
  <c r="N7" i="13"/>
  <c r="N6" i="13"/>
  <c r="O6" i="13"/>
  <c r="O5" i="13"/>
  <c r="N5" i="13"/>
  <c r="N4" i="13"/>
  <c r="O3" i="13"/>
  <c r="N3" i="13"/>
  <c r="O2" i="13"/>
  <c r="N2" i="13"/>
  <c r="K59" i="13"/>
  <c r="L38" i="12"/>
  <c r="K38" i="12"/>
  <c r="J38" i="12"/>
  <c r="I38" i="12"/>
  <c r="H38" i="12"/>
  <c r="G38" i="12"/>
  <c r="E38" i="12"/>
  <c r="D38" i="12"/>
  <c r="K37" i="12"/>
  <c r="L36" i="12"/>
  <c r="O36" i="12"/>
  <c r="K36" i="12"/>
  <c r="I36" i="12"/>
  <c r="G36" i="12"/>
  <c r="D36" i="12"/>
  <c r="L35" i="12"/>
  <c r="K35" i="12"/>
  <c r="J35" i="12"/>
  <c r="I35" i="12"/>
  <c r="H35" i="12"/>
  <c r="G35" i="12"/>
  <c r="E35" i="12"/>
  <c r="M34" i="12"/>
  <c r="L34" i="12"/>
  <c r="K34" i="12"/>
  <c r="J34" i="12"/>
  <c r="I34" i="12"/>
  <c r="H34" i="12"/>
  <c r="G34" i="12"/>
  <c r="F34" i="12"/>
  <c r="E34" i="12"/>
  <c r="D34" i="12"/>
  <c r="M33" i="12"/>
  <c r="L33" i="12"/>
  <c r="K33" i="12"/>
  <c r="J33" i="12"/>
  <c r="I33" i="12"/>
  <c r="H33" i="12"/>
  <c r="G33" i="12"/>
  <c r="F33" i="12"/>
  <c r="E33" i="12"/>
  <c r="D33" i="12"/>
  <c r="M32" i="12"/>
  <c r="L32" i="12"/>
  <c r="K32" i="12"/>
  <c r="J32" i="12"/>
  <c r="I32" i="12"/>
  <c r="H32" i="12"/>
  <c r="G32" i="12"/>
  <c r="F32" i="12"/>
  <c r="E32" i="12"/>
  <c r="D32" i="12"/>
  <c r="M31" i="12"/>
  <c r="L31" i="12"/>
  <c r="K31" i="12"/>
  <c r="J31" i="12"/>
  <c r="I31" i="12"/>
  <c r="H31" i="12"/>
  <c r="G31" i="12"/>
  <c r="F31" i="12"/>
  <c r="E31" i="12"/>
  <c r="D31" i="12"/>
  <c r="M30" i="12"/>
  <c r="L30" i="12"/>
  <c r="K30" i="12"/>
  <c r="J30" i="12"/>
  <c r="I30" i="12"/>
  <c r="H30" i="12"/>
  <c r="G30" i="12"/>
  <c r="F30" i="12"/>
  <c r="E30" i="12"/>
  <c r="D30" i="12"/>
  <c r="M29" i="12"/>
  <c r="L29" i="12"/>
  <c r="K29" i="12"/>
  <c r="J29" i="12"/>
  <c r="I29" i="12"/>
  <c r="H29" i="12"/>
  <c r="G29" i="12"/>
  <c r="F29" i="12"/>
  <c r="E29" i="12"/>
  <c r="D29" i="12"/>
  <c r="M28" i="12"/>
  <c r="L28" i="12"/>
  <c r="K28" i="12"/>
  <c r="J28" i="12"/>
  <c r="I28" i="12"/>
  <c r="H28" i="12"/>
  <c r="O28" i="12"/>
  <c r="G28" i="12"/>
  <c r="F28" i="12"/>
  <c r="E28" i="12"/>
  <c r="D28" i="12"/>
  <c r="N28" i="12"/>
  <c r="M27" i="12"/>
  <c r="L27" i="12"/>
  <c r="K27" i="12"/>
  <c r="J27" i="12"/>
  <c r="I27" i="12"/>
  <c r="H27" i="12"/>
  <c r="G27" i="12"/>
  <c r="F27" i="12"/>
  <c r="E27" i="12"/>
  <c r="D27" i="12"/>
  <c r="M26" i="12"/>
  <c r="L26" i="12"/>
  <c r="K26" i="12"/>
  <c r="J26" i="12"/>
  <c r="I26" i="12"/>
  <c r="H26" i="12"/>
  <c r="G26" i="12"/>
  <c r="F26" i="12"/>
  <c r="E26" i="12"/>
  <c r="D26" i="12"/>
  <c r="I25" i="12"/>
  <c r="H25" i="12"/>
  <c r="G25" i="12"/>
  <c r="F25" i="12"/>
  <c r="E25" i="12"/>
  <c r="D25" i="12"/>
  <c r="M24" i="12"/>
  <c r="L24" i="12"/>
  <c r="K24" i="12"/>
  <c r="J24" i="12"/>
  <c r="I24" i="12"/>
  <c r="H24" i="12"/>
  <c r="G24" i="12"/>
  <c r="F24" i="12"/>
  <c r="E24" i="12"/>
  <c r="D24" i="12"/>
  <c r="M23" i="12"/>
  <c r="L23" i="12"/>
  <c r="K23" i="12"/>
  <c r="J23" i="12"/>
  <c r="I23" i="12"/>
  <c r="H23" i="12"/>
  <c r="G23" i="12"/>
  <c r="F23" i="12"/>
  <c r="E23" i="12"/>
  <c r="D23" i="12"/>
  <c r="M22" i="12"/>
  <c r="L22" i="12"/>
  <c r="K22" i="12"/>
  <c r="J22" i="12"/>
  <c r="I22" i="12"/>
  <c r="H22" i="12"/>
  <c r="G22" i="12"/>
  <c r="F22" i="12"/>
  <c r="E22" i="12"/>
  <c r="D22" i="12"/>
  <c r="M21" i="12"/>
  <c r="L21" i="12"/>
  <c r="K21" i="12"/>
  <c r="J21" i="12"/>
  <c r="I21" i="12"/>
  <c r="H21" i="12"/>
  <c r="G21" i="12"/>
  <c r="F21" i="12"/>
  <c r="E21" i="12"/>
  <c r="D21" i="12"/>
  <c r="M19" i="12"/>
  <c r="L19" i="12"/>
  <c r="K19" i="12"/>
  <c r="J19" i="12"/>
  <c r="I19" i="12"/>
  <c r="H19" i="12"/>
  <c r="G19" i="12"/>
  <c r="F19" i="12"/>
  <c r="E19" i="12"/>
  <c r="D19" i="12"/>
  <c r="M15" i="12"/>
  <c r="L15" i="12"/>
  <c r="K15" i="12"/>
  <c r="J15" i="12"/>
  <c r="I15" i="12"/>
  <c r="H15" i="12"/>
  <c r="G15" i="12"/>
  <c r="F15" i="12"/>
  <c r="E15" i="12"/>
  <c r="D15" i="12"/>
  <c r="M8" i="12"/>
  <c r="L8" i="12"/>
  <c r="K8" i="12"/>
  <c r="J8" i="12"/>
  <c r="I8" i="12"/>
  <c r="H8" i="12"/>
  <c r="G8" i="12"/>
  <c r="F8" i="12"/>
  <c r="E8" i="12"/>
  <c r="D8" i="12"/>
  <c r="N8" i="12"/>
  <c r="A73" i="12"/>
  <c r="B39" i="12"/>
  <c r="B86" i="12"/>
  <c r="O37" i="12"/>
  <c r="N37" i="12"/>
  <c r="O25" i="12"/>
  <c r="N25" i="12"/>
  <c r="K45" i="12"/>
  <c r="F45" i="12"/>
  <c r="O20" i="12"/>
  <c r="N20" i="12"/>
  <c r="A45" i="12"/>
  <c r="N18" i="12"/>
  <c r="O18" i="12"/>
  <c r="O17" i="12"/>
  <c r="N17" i="12"/>
  <c r="N16" i="12"/>
  <c r="N14" i="12"/>
  <c r="O14" i="12"/>
  <c r="O13" i="12"/>
  <c r="N13" i="12"/>
  <c r="N12" i="12"/>
  <c r="O11" i="12"/>
  <c r="N11" i="12"/>
  <c r="N10" i="12"/>
  <c r="O10" i="12"/>
  <c r="O9" i="12"/>
  <c r="N9" i="12"/>
  <c r="O7" i="12"/>
  <c r="N7" i="12"/>
  <c r="N6" i="12"/>
  <c r="O6" i="12"/>
  <c r="O5" i="12"/>
  <c r="N5" i="12"/>
  <c r="N4" i="12"/>
  <c r="O3" i="12"/>
  <c r="N3" i="12"/>
  <c r="O2" i="12"/>
  <c r="N2" i="12"/>
  <c r="K59" i="12"/>
  <c r="L38" i="11"/>
  <c r="K38" i="11"/>
  <c r="J38" i="11"/>
  <c r="H38" i="11"/>
  <c r="F38" i="11"/>
  <c r="E38" i="11"/>
  <c r="D38" i="11"/>
  <c r="K37" i="11"/>
  <c r="J37" i="11"/>
  <c r="F36" i="11"/>
  <c r="D36" i="11"/>
  <c r="L35" i="11"/>
  <c r="K35" i="11"/>
  <c r="J35" i="11"/>
  <c r="H35" i="11"/>
  <c r="F35" i="11"/>
  <c r="E35" i="11"/>
  <c r="D35" i="11"/>
  <c r="M34" i="11"/>
  <c r="L34" i="11"/>
  <c r="K34" i="11"/>
  <c r="J34" i="11"/>
  <c r="I34" i="11"/>
  <c r="H34" i="11"/>
  <c r="G34" i="11"/>
  <c r="F34" i="11"/>
  <c r="E34" i="11"/>
  <c r="D34" i="11"/>
  <c r="M33" i="11"/>
  <c r="L33" i="11"/>
  <c r="K33" i="11"/>
  <c r="J33" i="11"/>
  <c r="I33" i="11"/>
  <c r="H33" i="11"/>
  <c r="G33" i="11"/>
  <c r="F33" i="11"/>
  <c r="E33" i="11"/>
  <c r="D33" i="11"/>
  <c r="M32" i="11"/>
  <c r="L32" i="11"/>
  <c r="K32" i="11"/>
  <c r="J32" i="11"/>
  <c r="I32" i="11"/>
  <c r="H32" i="11"/>
  <c r="G32" i="11"/>
  <c r="F32" i="11"/>
  <c r="E32" i="11"/>
  <c r="D32" i="11"/>
  <c r="M31" i="11"/>
  <c r="L31" i="11"/>
  <c r="K31" i="11"/>
  <c r="J31" i="11"/>
  <c r="I31" i="11"/>
  <c r="H31" i="11"/>
  <c r="G31" i="11"/>
  <c r="F31" i="11"/>
  <c r="E31" i="11"/>
  <c r="D31" i="11"/>
  <c r="M30" i="11"/>
  <c r="L30" i="11"/>
  <c r="K30" i="11"/>
  <c r="J30" i="11"/>
  <c r="I30" i="11"/>
  <c r="H30" i="11"/>
  <c r="G30" i="11"/>
  <c r="F30" i="11"/>
  <c r="E30" i="11"/>
  <c r="D30" i="11"/>
  <c r="M29" i="11"/>
  <c r="L29" i="11"/>
  <c r="K29" i="11"/>
  <c r="J29" i="11"/>
  <c r="I29" i="11"/>
  <c r="H29" i="11"/>
  <c r="G29" i="11"/>
  <c r="F29" i="11"/>
  <c r="E29" i="11"/>
  <c r="D29" i="11"/>
  <c r="M28" i="11"/>
  <c r="L28" i="11"/>
  <c r="K28" i="11"/>
  <c r="J28" i="11"/>
  <c r="I28" i="11"/>
  <c r="H28" i="11"/>
  <c r="G28" i="11"/>
  <c r="F28" i="11"/>
  <c r="E28" i="11"/>
  <c r="D28" i="11"/>
  <c r="M27" i="11"/>
  <c r="L27" i="11"/>
  <c r="K27" i="11"/>
  <c r="J27" i="11"/>
  <c r="I27" i="11"/>
  <c r="H27" i="11"/>
  <c r="G27" i="11"/>
  <c r="F27" i="11"/>
  <c r="E27" i="11"/>
  <c r="D27" i="11"/>
  <c r="M26" i="11"/>
  <c r="L26" i="11"/>
  <c r="K26" i="11"/>
  <c r="J26" i="11"/>
  <c r="I26" i="11"/>
  <c r="H26" i="11"/>
  <c r="G26" i="11"/>
  <c r="F26" i="11"/>
  <c r="E26" i="11"/>
  <c r="D26" i="11"/>
  <c r="N26" i="11"/>
  <c r="M25" i="11"/>
  <c r="L25" i="11"/>
  <c r="K25" i="11"/>
  <c r="J25" i="11"/>
  <c r="H25" i="11"/>
  <c r="G25" i="11"/>
  <c r="F25" i="11"/>
  <c r="D25" i="11"/>
  <c r="M24" i="11"/>
  <c r="L24" i="11"/>
  <c r="K24" i="11"/>
  <c r="J24" i="11"/>
  <c r="I24" i="11"/>
  <c r="H24" i="11"/>
  <c r="G24" i="11"/>
  <c r="F24" i="11"/>
  <c r="E24" i="11"/>
  <c r="D24" i="11"/>
  <c r="M23" i="11"/>
  <c r="L23" i="11"/>
  <c r="K23" i="11"/>
  <c r="J23" i="11"/>
  <c r="I23" i="11"/>
  <c r="H23" i="11"/>
  <c r="G23" i="11"/>
  <c r="F23" i="11"/>
  <c r="E23" i="11"/>
  <c r="D23" i="11"/>
  <c r="M22" i="11"/>
  <c r="L22" i="11"/>
  <c r="K22" i="11"/>
  <c r="J22" i="11"/>
  <c r="I22" i="11"/>
  <c r="H22" i="11"/>
  <c r="G22" i="11"/>
  <c r="F22" i="11"/>
  <c r="E22" i="11"/>
  <c r="D22" i="11"/>
  <c r="M21" i="11"/>
  <c r="L21" i="11"/>
  <c r="K21" i="11"/>
  <c r="J21" i="11"/>
  <c r="I21" i="11"/>
  <c r="H21" i="11"/>
  <c r="G21" i="11"/>
  <c r="F21" i="11"/>
  <c r="E21" i="11"/>
  <c r="D21" i="11"/>
  <c r="M19" i="11"/>
  <c r="L19" i="11"/>
  <c r="K19" i="11"/>
  <c r="J19" i="11"/>
  <c r="I19" i="11"/>
  <c r="H19" i="11"/>
  <c r="G19" i="11"/>
  <c r="F19" i="11"/>
  <c r="E19" i="11"/>
  <c r="D19" i="11"/>
  <c r="M15" i="11"/>
  <c r="L15" i="11"/>
  <c r="K15" i="11"/>
  <c r="J15" i="11"/>
  <c r="I15" i="11"/>
  <c r="H15" i="11"/>
  <c r="G15" i="11"/>
  <c r="F15" i="11"/>
  <c r="E15" i="11"/>
  <c r="D15" i="11"/>
  <c r="M8" i="11"/>
  <c r="L8" i="11"/>
  <c r="K8" i="11"/>
  <c r="J8" i="11"/>
  <c r="I8" i="11"/>
  <c r="H8" i="11"/>
  <c r="G8" i="11"/>
  <c r="F8" i="11"/>
  <c r="E8" i="11"/>
  <c r="D8" i="11"/>
  <c r="N8" i="11"/>
  <c r="A73" i="11"/>
  <c r="B39" i="11"/>
  <c r="B86" i="11"/>
  <c r="O37" i="11"/>
  <c r="N37" i="11"/>
  <c r="O36" i="11"/>
  <c r="K45" i="11"/>
  <c r="F45" i="11"/>
  <c r="O20" i="11"/>
  <c r="N20" i="11"/>
  <c r="A45" i="11"/>
  <c r="O18" i="11"/>
  <c r="O17" i="11"/>
  <c r="N17" i="11"/>
  <c r="N16" i="11"/>
  <c r="O16" i="11"/>
  <c r="O14" i="11"/>
  <c r="O13" i="11"/>
  <c r="N13" i="11"/>
  <c r="N12" i="11"/>
  <c r="O12" i="11"/>
  <c r="O11" i="11"/>
  <c r="N11" i="11"/>
  <c r="O10" i="11"/>
  <c r="O9" i="11"/>
  <c r="N9" i="11"/>
  <c r="O7" i="11"/>
  <c r="N7" i="11"/>
  <c r="O6" i="11"/>
  <c r="O5" i="11"/>
  <c r="N5" i="11"/>
  <c r="N4" i="11"/>
  <c r="O4" i="11"/>
  <c r="O3" i="11"/>
  <c r="N3" i="11"/>
  <c r="O2" i="11"/>
  <c r="N2" i="11"/>
  <c r="K59" i="11"/>
  <c r="L38" i="10"/>
  <c r="K38" i="10"/>
  <c r="J38" i="10"/>
  <c r="I38" i="10"/>
  <c r="H38" i="10"/>
  <c r="F38" i="10"/>
  <c r="E38" i="10"/>
  <c r="I37" i="10"/>
  <c r="K36" i="10"/>
  <c r="J36" i="10"/>
  <c r="H36" i="10"/>
  <c r="F36" i="10"/>
  <c r="L35" i="10"/>
  <c r="N35" i="10"/>
  <c r="K35" i="10"/>
  <c r="J35" i="10"/>
  <c r="I35" i="10"/>
  <c r="H35" i="10"/>
  <c r="F35" i="10"/>
  <c r="E35" i="10"/>
  <c r="M34" i="10"/>
  <c r="L34" i="10"/>
  <c r="K34" i="10"/>
  <c r="J34" i="10"/>
  <c r="I34" i="10"/>
  <c r="H34" i="10"/>
  <c r="G34" i="10"/>
  <c r="F34" i="10"/>
  <c r="E34" i="10"/>
  <c r="D34" i="10"/>
  <c r="M33" i="10"/>
  <c r="L33" i="10"/>
  <c r="K33" i="10"/>
  <c r="J33" i="10"/>
  <c r="H33" i="10"/>
  <c r="G33" i="10"/>
  <c r="E33" i="10"/>
  <c r="D33" i="10"/>
  <c r="M32" i="10"/>
  <c r="L32" i="10"/>
  <c r="K32" i="10"/>
  <c r="J32" i="10"/>
  <c r="I32" i="10"/>
  <c r="H32" i="10"/>
  <c r="G32" i="10"/>
  <c r="F32" i="10"/>
  <c r="E32" i="10"/>
  <c r="D32" i="10"/>
  <c r="M31" i="10"/>
  <c r="L31" i="10"/>
  <c r="K31" i="10"/>
  <c r="J31" i="10"/>
  <c r="I31" i="10"/>
  <c r="H31" i="10"/>
  <c r="O31" i="10"/>
  <c r="G31" i="10"/>
  <c r="F31" i="10"/>
  <c r="E31" i="10"/>
  <c r="D31" i="10"/>
  <c r="M30" i="10"/>
  <c r="L30" i="10"/>
  <c r="K30" i="10"/>
  <c r="J30" i="10"/>
  <c r="I30" i="10"/>
  <c r="H30" i="10"/>
  <c r="G30" i="10"/>
  <c r="F30" i="10"/>
  <c r="E30" i="10"/>
  <c r="D30" i="10"/>
  <c r="M29" i="10"/>
  <c r="L29" i="10"/>
  <c r="K29" i="10"/>
  <c r="J29" i="10"/>
  <c r="I29" i="10"/>
  <c r="H29" i="10"/>
  <c r="G29" i="10"/>
  <c r="F29" i="10"/>
  <c r="E29" i="10"/>
  <c r="D29" i="10"/>
  <c r="M28" i="10"/>
  <c r="L28" i="10"/>
  <c r="K28" i="10"/>
  <c r="J28" i="10"/>
  <c r="I28" i="10"/>
  <c r="H28" i="10"/>
  <c r="G28" i="10"/>
  <c r="F28" i="10"/>
  <c r="E28" i="10"/>
  <c r="D28" i="10"/>
  <c r="M27" i="10"/>
  <c r="L27" i="10"/>
  <c r="K27" i="10"/>
  <c r="J27" i="10"/>
  <c r="I27" i="10"/>
  <c r="H27" i="10"/>
  <c r="G27" i="10"/>
  <c r="F27" i="10"/>
  <c r="E27" i="10"/>
  <c r="D27" i="10"/>
  <c r="M26" i="10"/>
  <c r="L26" i="10"/>
  <c r="K26" i="10"/>
  <c r="J26" i="10"/>
  <c r="I26" i="10"/>
  <c r="H26" i="10"/>
  <c r="G26" i="10"/>
  <c r="F26" i="10"/>
  <c r="E26" i="10"/>
  <c r="D26" i="10"/>
  <c r="M25" i="10"/>
  <c r="L25" i="10"/>
  <c r="K25" i="10"/>
  <c r="J25" i="10"/>
  <c r="I25" i="10"/>
  <c r="H25" i="10"/>
  <c r="G25" i="10"/>
  <c r="F25" i="10"/>
  <c r="E25" i="10"/>
  <c r="D25" i="10"/>
  <c r="M24" i="10"/>
  <c r="L24" i="10"/>
  <c r="K24" i="10"/>
  <c r="J24" i="10"/>
  <c r="I24" i="10"/>
  <c r="H24" i="10"/>
  <c r="G24" i="10"/>
  <c r="F24" i="10"/>
  <c r="E24" i="10"/>
  <c r="D24" i="10"/>
  <c r="M23" i="10"/>
  <c r="L23" i="10"/>
  <c r="K23" i="10"/>
  <c r="J23" i="10"/>
  <c r="I23" i="10"/>
  <c r="H23" i="10"/>
  <c r="G23" i="10"/>
  <c r="F23" i="10"/>
  <c r="E23" i="10"/>
  <c r="D23" i="10"/>
  <c r="N23" i="10"/>
  <c r="M22" i="10"/>
  <c r="L22" i="10"/>
  <c r="K22" i="10"/>
  <c r="J22" i="10"/>
  <c r="I22" i="10"/>
  <c r="H22" i="10"/>
  <c r="G22" i="10"/>
  <c r="F22" i="10"/>
  <c r="E22" i="10"/>
  <c r="D22" i="10"/>
  <c r="M21" i="10"/>
  <c r="L21" i="10"/>
  <c r="K21" i="10"/>
  <c r="J21" i="10"/>
  <c r="I21" i="10"/>
  <c r="H21" i="10"/>
  <c r="G21" i="10"/>
  <c r="F21" i="10"/>
  <c r="E21" i="10"/>
  <c r="D21" i="10"/>
  <c r="N21" i="10"/>
  <c r="M19" i="10"/>
  <c r="L19" i="10"/>
  <c r="K19" i="10"/>
  <c r="J19" i="10"/>
  <c r="I19" i="10"/>
  <c r="H19" i="10"/>
  <c r="G19" i="10"/>
  <c r="F19" i="10"/>
  <c r="E19" i="10"/>
  <c r="D19" i="10"/>
  <c r="M15" i="10"/>
  <c r="L15" i="10"/>
  <c r="K15" i="10"/>
  <c r="J15" i="10"/>
  <c r="I15" i="10"/>
  <c r="H15" i="10"/>
  <c r="G15" i="10"/>
  <c r="F15" i="10"/>
  <c r="E15" i="10"/>
  <c r="D15" i="10"/>
  <c r="M8" i="10"/>
  <c r="L8" i="10"/>
  <c r="K8" i="10"/>
  <c r="J8" i="10"/>
  <c r="I8" i="10"/>
  <c r="H8" i="10"/>
  <c r="G8" i="10"/>
  <c r="F8" i="10"/>
  <c r="E8" i="10"/>
  <c r="D8" i="10"/>
  <c r="A73" i="10"/>
  <c r="B39" i="10"/>
  <c r="B86" i="10"/>
  <c r="O37" i="10"/>
  <c r="N37" i="10"/>
  <c r="N36" i="10"/>
  <c r="O36" i="10"/>
  <c r="K45" i="10"/>
  <c r="F45" i="10"/>
  <c r="O20" i="10"/>
  <c r="N20" i="10"/>
  <c r="A45" i="10"/>
  <c r="N18" i="10"/>
  <c r="O18" i="10"/>
  <c r="O17" i="10"/>
  <c r="N17" i="10"/>
  <c r="N16" i="10"/>
  <c r="N14" i="10"/>
  <c r="O14" i="10"/>
  <c r="O13" i="10"/>
  <c r="N13" i="10"/>
  <c r="N12" i="10"/>
  <c r="O11" i="10"/>
  <c r="N11" i="10"/>
  <c r="N10" i="10"/>
  <c r="O10" i="10"/>
  <c r="O9" i="10"/>
  <c r="N9" i="10"/>
  <c r="O7" i="10"/>
  <c r="N7" i="10"/>
  <c r="N6" i="10"/>
  <c r="O6" i="10"/>
  <c r="O5" i="10"/>
  <c r="N5" i="10"/>
  <c r="N4" i="10"/>
  <c r="O3" i="10"/>
  <c r="N3" i="10"/>
  <c r="O2" i="10"/>
  <c r="N2" i="10"/>
  <c r="K59" i="10"/>
  <c r="L38" i="9"/>
  <c r="K38" i="9"/>
  <c r="J38" i="9"/>
  <c r="I38" i="9"/>
  <c r="H38" i="9"/>
  <c r="G38" i="9"/>
  <c r="F38" i="9"/>
  <c r="D38" i="9"/>
  <c r="L37" i="9"/>
  <c r="N37" i="9"/>
  <c r="K37" i="9"/>
  <c r="I37" i="9"/>
  <c r="L36" i="9"/>
  <c r="I36" i="9"/>
  <c r="D36" i="9"/>
  <c r="L35" i="9"/>
  <c r="K35" i="9"/>
  <c r="J35" i="9"/>
  <c r="I35" i="9"/>
  <c r="H35" i="9"/>
  <c r="G35" i="9"/>
  <c r="F35" i="9"/>
  <c r="M34" i="9"/>
  <c r="L34" i="9"/>
  <c r="K34" i="9"/>
  <c r="J34" i="9"/>
  <c r="I34" i="9"/>
  <c r="H34" i="9"/>
  <c r="G34" i="9"/>
  <c r="F34" i="9"/>
  <c r="E34" i="9"/>
  <c r="D34" i="9"/>
  <c r="M33" i="9"/>
  <c r="L33" i="9"/>
  <c r="K33" i="9"/>
  <c r="J33" i="9"/>
  <c r="I33" i="9"/>
  <c r="H33" i="9"/>
  <c r="G33" i="9"/>
  <c r="F33" i="9"/>
  <c r="E33" i="9"/>
  <c r="D33" i="9"/>
  <c r="M32" i="9"/>
  <c r="L32" i="9"/>
  <c r="K32" i="9"/>
  <c r="J32" i="9"/>
  <c r="I32" i="9"/>
  <c r="H32" i="9"/>
  <c r="G32" i="9"/>
  <c r="F32" i="9"/>
  <c r="E32" i="9"/>
  <c r="D32" i="9"/>
  <c r="M31" i="9"/>
  <c r="L31" i="9"/>
  <c r="K31" i="9"/>
  <c r="J31" i="9"/>
  <c r="I31" i="9"/>
  <c r="H31" i="9"/>
  <c r="G31" i="9"/>
  <c r="F31" i="9"/>
  <c r="E31" i="9"/>
  <c r="D31" i="9"/>
  <c r="M30" i="9"/>
  <c r="L30" i="9"/>
  <c r="K30" i="9"/>
  <c r="J30" i="9"/>
  <c r="I30" i="9"/>
  <c r="H30" i="9"/>
  <c r="G30" i="9"/>
  <c r="F30" i="9"/>
  <c r="E30" i="9"/>
  <c r="D30" i="9"/>
  <c r="M29" i="9"/>
  <c r="L29" i="9"/>
  <c r="K29" i="9"/>
  <c r="J29" i="9"/>
  <c r="I29" i="9"/>
  <c r="H29" i="9"/>
  <c r="G29" i="9"/>
  <c r="F29" i="9"/>
  <c r="E29" i="9"/>
  <c r="D29" i="9"/>
  <c r="M28" i="9"/>
  <c r="L28" i="9"/>
  <c r="K28" i="9"/>
  <c r="J28" i="9"/>
  <c r="I28" i="9"/>
  <c r="H28" i="9"/>
  <c r="G28" i="9"/>
  <c r="F28" i="9"/>
  <c r="E28" i="9"/>
  <c r="D28" i="9"/>
  <c r="M27" i="9"/>
  <c r="L27" i="9"/>
  <c r="K27" i="9"/>
  <c r="J27" i="9"/>
  <c r="I27" i="9"/>
  <c r="H27" i="9"/>
  <c r="O27" i="9"/>
  <c r="G27" i="9"/>
  <c r="F27" i="9"/>
  <c r="E27" i="9"/>
  <c r="D27" i="9"/>
  <c r="N27" i="9"/>
  <c r="M26" i="9"/>
  <c r="L26" i="9"/>
  <c r="K26" i="9"/>
  <c r="J26" i="9"/>
  <c r="I26" i="9"/>
  <c r="H26" i="9"/>
  <c r="G26" i="9"/>
  <c r="F26" i="9"/>
  <c r="E26" i="9"/>
  <c r="D26" i="9"/>
  <c r="M25" i="9"/>
  <c r="L25" i="9"/>
  <c r="K25" i="9"/>
  <c r="J25" i="9"/>
  <c r="I25" i="9"/>
  <c r="H25" i="9"/>
  <c r="G25" i="9"/>
  <c r="F25" i="9"/>
  <c r="E25" i="9"/>
  <c r="D25" i="9"/>
  <c r="M24" i="9"/>
  <c r="L24" i="9"/>
  <c r="K24" i="9"/>
  <c r="J24" i="9"/>
  <c r="I24" i="9"/>
  <c r="H24" i="9"/>
  <c r="G24" i="9"/>
  <c r="F24" i="9"/>
  <c r="E24" i="9"/>
  <c r="D24" i="9"/>
  <c r="M23" i="9"/>
  <c r="L23" i="9"/>
  <c r="K23" i="9"/>
  <c r="J23" i="9"/>
  <c r="I23" i="9"/>
  <c r="H23" i="9"/>
  <c r="G23" i="9"/>
  <c r="F23" i="9"/>
  <c r="E23" i="9"/>
  <c r="D23" i="9"/>
  <c r="M22" i="9"/>
  <c r="L22" i="9"/>
  <c r="K22" i="9"/>
  <c r="J22" i="9"/>
  <c r="I22" i="9"/>
  <c r="H22" i="9"/>
  <c r="G22" i="9"/>
  <c r="F22" i="9"/>
  <c r="E22" i="9"/>
  <c r="D22" i="9"/>
  <c r="M21" i="9"/>
  <c r="L21" i="9"/>
  <c r="K21" i="9"/>
  <c r="J21" i="9"/>
  <c r="I21" i="9"/>
  <c r="H21" i="9"/>
  <c r="G21" i="9"/>
  <c r="F21" i="9"/>
  <c r="E21" i="9"/>
  <c r="D21" i="9"/>
  <c r="M19" i="9"/>
  <c r="L19" i="9"/>
  <c r="K19" i="9"/>
  <c r="J19" i="9"/>
  <c r="I19" i="9"/>
  <c r="H19" i="9"/>
  <c r="G19" i="9"/>
  <c r="F19" i="9"/>
  <c r="E19" i="9"/>
  <c r="D19" i="9"/>
  <c r="N19" i="9"/>
  <c r="M15" i="9"/>
  <c r="L15" i="9"/>
  <c r="K15" i="9"/>
  <c r="J15" i="9"/>
  <c r="I15" i="9"/>
  <c r="H15" i="9"/>
  <c r="G15" i="9"/>
  <c r="F15" i="9"/>
  <c r="E15" i="9"/>
  <c r="D15" i="9"/>
  <c r="M8" i="9"/>
  <c r="L8" i="9"/>
  <c r="K8" i="9"/>
  <c r="J8" i="9"/>
  <c r="I8" i="9"/>
  <c r="H8" i="9"/>
  <c r="G8" i="9"/>
  <c r="F8" i="9"/>
  <c r="E8" i="9"/>
  <c r="D8" i="9"/>
  <c r="A73" i="9"/>
  <c r="B39" i="9"/>
  <c r="B86" i="9"/>
  <c r="K45" i="9"/>
  <c r="F45" i="9"/>
  <c r="O20" i="9"/>
  <c r="N20" i="9"/>
  <c r="A45" i="9"/>
  <c r="N18" i="9"/>
  <c r="O18" i="9"/>
  <c r="O17" i="9"/>
  <c r="N17" i="9"/>
  <c r="N16" i="9"/>
  <c r="N14" i="9"/>
  <c r="O14" i="9"/>
  <c r="O13" i="9"/>
  <c r="N13" i="9"/>
  <c r="N12" i="9"/>
  <c r="O11" i="9"/>
  <c r="N11" i="9"/>
  <c r="N10" i="9"/>
  <c r="O10" i="9"/>
  <c r="O9" i="9"/>
  <c r="N9" i="9"/>
  <c r="O7" i="9"/>
  <c r="N7" i="9"/>
  <c r="N6" i="9"/>
  <c r="O6" i="9"/>
  <c r="O5" i="9"/>
  <c r="N5" i="9"/>
  <c r="N4" i="9"/>
  <c r="O3" i="9"/>
  <c r="N3" i="9"/>
  <c r="O2" i="9"/>
  <c r="N2" i="9"/>
  <c r="K59" i="9"/>
  <c r="A73" i="8"/>
  <c r="B39" i="8"/>
  <c r="O37" i="8"/>
  <c r="N37" i="8"/>
  <c r="N36" i="8"/>
  <c r="O36" i="8"/>
  <c r="O35" i="8"/>
  <c r="N34" i="8"/>
  <c r="N32" i="8"/>
  <c r="O32" i="8"/>
  <c r="O31" i="8"/>
  <c r="N31" i="8"/>
  <c r="N30" i="8"/>
  <c r="O29" i="8"/>
  <c r="N29" i="8"/>
  <c r="N28" i="8"/>
  <c r="O28" i="8"/>
  <c r="O27" i="8"/>
  <c r="N27" i="8"/>
  <c r="N26" i="8"/>
  <c r="O25" i="8"/>
  <c r="N25" i="8"/>
  <c r="N24" i="8"/>
  <c r="O24" i="8"/>
  <c r="O23" i="8"/>
  <c r="N23" i="8"/>
  <c r="K45" i="8"/>
  <c r="N21" i="8"/>
  <c r="F45" i="8"/>
  <c r="O20" i="8"/>
  <c r="N20" i="8"/>
  <c r="A45" i="8"/>
  <c r="N19" i="8"/>
  <c r="O19" i="8"/>
  <c r="N18" i="8"/>
  <c r="O18" i="8"/>
  <c r="O17" i="8"/>
  <c r="N17" i="8"/>
  <c r="N16" i="8"/>
  <c r="O15" i="8"/>
  <c r="N15" i="8"/>
  <c r="N14" i="8"/>
  <c r="O14" i="8"/>
  <c r="O13" i="8"/>
  <c r="N13" i="8"/>
  <c r="N12" i="8"/>
  <c r="O11" i="8"/>
  <c r="N11" i="8"/>
  <c r="N10" i="8"/>
  <c r="O10" i="8"/>
  <c r="O9" i="8"/>
  <c r="N9" i="8"/>
  <c r="N8" i="8"/>
  <c r="O7" i="8"/>
  <c r="N7" i="8"/>
  <c r="N6" i="8"/>
  <c r="O6" i="8"/>
  <c r="O5" i="8"/>
  <c r="N5" i="8"/>
  <c r="N4" i="8"/>
  <c r="O3" i="8"/>
  <c r="N3" i="8"/>
  <c r="O2" i="8"/>
  <c r="N2" i="8"/>
  <c r="K59" i="8"/>
  <c r="L38" i="7"/>
  <c r="K38" i="7"/>
  <c r="J38" i="7"/>
  <c r="I38" i="7"/>
  <c r="H38" i="7"/>
  <c r="G38" i="7"/>
  <c r="E38" i="7"/>
  <c r="D38" i="7"/>
  <c r="H37" i="7"/>
  <c r="J36" i="7"/>
  <c r="I36" i="7"/>
  <c r="H36" i="7"/>
  <c r="G36" i="7"/>
  <c r="D36" i="7"/>
  <c r="L35" i="7"/>
  <c r="K35" i="7"/>
  <c r="J35" i="7"/>
  <c r="I35" i="7"/>
  <c r="H35" i="7"/>
  <c r="G35" i="7"/>
  <c r="E35" i="7"/>
  <c r="D35" i="7"/>
  <c r="M34" i="7"/>
  <c r="L34" i="7"/>
  <c r="K34" i="7"/>
  <c r="J34" i="7"/>
  <c r="I34" i="7"/>
  <c r="H34" i="7"/>
  <c r="G34" i="7"/>
  <c r="F34" i="7"/>
  <c r="E34" i="7"/>
  <c r="D34" i="7"/>
  <c r="M33" i="7"/>
  <c r="L33" i="7"/>
  <c r="K33" i="7"/>
  <c r="J33" i="7"/>
  <c r="I33" i="7"/>
  <c r="H33" i="7"/>
  <c r="G33" i="7"/>
  <c r="F33" i="7"/>
  <c r="E33" i="7"/>
  <c r="D33" i="7"/>
  <c r="M32" i="7"/>
  <c r="L32" i="7"/>
  <c r="K32" i="7"/>
  <c r="J32" i="7"/>
  <c r="I32" i="7"/>
  <c r="H32" i="7"/>
  <c r="G32" i="7"/>
  <c r="F32" i="7"/>
  <c r="E32" i="7"/>
  <c r="D32" i="7"/>
  <c r="M31" i="7"/>
  <c r="L31" i="7"/>
  <c r="K31" i="7"/>
  <c r="J31" i="7"/>
  <c r="I31" i="7"/>
  <c r="H31" i="7"/>
  <c r="G31" i="7"/>
  <c r="F31" i="7"/>
  <c r="E31" i="7"/>
  <c r="D31" i="7"/>
  <c r="M30" i="7"/>
  <c r="L30" i="7"/>
  <c r="K30" i="7"/>
  <c r="J30" i="7"/>
  <c r="I30" i="7"/>
  <c r="H30" i="7"/>
  <c r="G30" i="7"/>
  <c r="F30" i="7"/>
  <c r="E30" i="7"/>
  <c r="D30" i="7"/>
  <c r="M29" i="7"/>
  <c r="L29" i="7"/>
  <c r="K29" i="7"/>
  <c r="J29" i="7"/>
  <c r="I29" i="7"/>
  <c r="H29" i="7"/>
  <c r="G29" i="7"/>
  <c r="F29" i="7"/>
  <c r="E29" i="7"/>
  <c r="D29" i="7"/>
  <c r="M28" i="7"/>
  <c r="L28" i="7"/>
  <c r="K28" i="7"/>
  <c r="J28" i="7"/>
  <c r="I28" i="7"/>
  <c r="H28" i="7"/>
  <c r="G28" i="7"/>
  <c r="F28" i="7"/>
  <c r="E28" i="7"/>
  <c r="D28" i="7"/>
  <c r="M27" i="7"/>
  <c r="L27" i="7"/>
  <c r="K27" i="7"/>
  <c r="J27" i="7"/>
  <c r="I27" i="7"/>
  <c r="H27" i="7"/>
  <c r="G27" i="7"/>
  <c r="F27" i="7"/>
  <c r="E27" i="7"/>
  <c r="D27" i="7"/>
  <c r="M26" i="7"/>
  <c r="L26" i="7"/>
  <c r="K26" i="7"/>
  <c r="J26" i="7"/>
  <c r="I26" i="7"/>
  <c r="H26" i="7"/>
  <c r="G26" i="7"/>
  <c r="F26" i="7"/>
  <c r="E26" i="7"/>
  <c r="D26" i="7"/>
  <c r="J25" i="7"/>
  <c r="G25" i="7"/>
  <c r="F25" i="7"/>
  <c r="E25" i="7"/>
  <c r="D25" i="7"/>
  <c r="M24" i="7"/>
  <c r="L24" i="7"/>
  <c r="K24" i="7"/>
  <c r="J24" i="7"/>
  <c r="I24" i="7"/>
  <c r="H24" i="7"/>
  <c r="G24" i="7"/>
  <c r="F24" i="7"/>
  <c r="E24" i="7"/>
  <c r="D24" i="7"/>
  <c r="M23" i="7"/>
  <c r="L23" i="7"/>
  <c r="K23" i="7"/>
  <c r="J23" i="7"/>
  <c r="I23" i="7"/>
  <c r="H23" i="7"/>
  <c r="G23" i="7"/>
  <c r="F23" i="7"/>
  <c r="E23" i="7"/>
  <c r="D23" i="7"/>
  <c r="N23" i="7"/>
  <c r="M22" i="7"/>
  <c r="L22" i="7"/>
  <c r="K22" i="7"/>
  <c r="J22" i="7"/>
  <c r="I22" i="7"/>
  <c r="H22" i="7"/>
  <c r="G22" i="7"/>
  <c r="F22" i="7"/>
  <c r="E22" i="7"/>
  <c r="D22" i="7"/>
  <c r="M21" i="7"/>
  <c r="L21" i="7"/>
  <c r="K21" i="7"/>
  <c r="J21" i="7"/>
  <c r="I21" i="7"/>
  <c r="H21" i="7"/>
  <c r="G21" i="7"/>
  <c r="F21" i="7"/>
  <c r="E21" i="7"/>
  <c r="D21" i="7"/>
  <c r="M19" i="7"/>
  <c r="L19" i="7"/>
  <c r="K19" i="7"/>
  <c r="J19" i="7"/>
  <c r="I19" i="7"/>
  <c r="H19" i="7"/>
  <c r="G19" i="7"/>
  <c r="F19" i="7"/>
  <c r="E19" i="7"/>
  <c r="D19" i="7"/>
  <c r="M15" i="7"/>
  <c r="L15" i="7"/>
  <c r="K15" i="7"/>
  <c r="J15" i="7"/>
  <c r="I15" i="7"/>
  <c r="H15" i="7"/>
  <c r="G15" i="7"/>
  <c r="F15" i="7"/>
  <c r="E15" i="7"/>
  <c r="D15" i="7"/>
  <c r="M8" i="7"/>
  <c r="L8" i="7"/>
  <c r="K8" i="7"/>
  <c r="J8" i="7"/>
  <c r="I8" i="7"/>
  <c r="H8" i="7"/>
  <c r="G8" i="7"/>
  <c r="F8" i="7"/>
  <c r="E8" i="7"/>
  <c r="D8" i="7"/>
  <c r="A73" i="7"/>
  <c r="B39" i="7"/>
  <c r="B86" i="7"/>
  <c r="O37" i="7"/>
  <c r="N37" i="7"/>
  <c r="N36" i="7"/>
  <c r="O36" i="7"/>
  <c r="O25" i="7"/>
  <c r="N25" i="7"/>
  <c r="K45" i="7"/>
  <c r="F45" i="7"/>
  <c r="O20" i="7"/>
  <c r="N20" i="7"/>
  <c r="A45" i="7"/>
  <c r="N18" i="7"/>
  <c r="O18" i="7"/>
  <c r="O17" i="7"/>
  <c r="N17" i="7"/>
  <c r="N16" i="7"/>
  <c r="N14" i="7"/>
  <c r="O14" i="7"/>
  <c r="O13" i="7"/>
  <c r="N13" i="7"/>
  <c r="N12" i="7"/>
  <c r="O11" i="7"/>
  <c r="N11" i="7"/>
  <c r="N10" i="7"/>
  <c r="O10" i="7"/>
  <c r="O9" i="7"/>
  <c r="N9" i="7"/>
  <c r="O7" i="7"/>
  <c r="N7" i="7"/>
  <c r="N6" i="7"/>
  <c r="O6" i="7"/>
  <c r="O5" i="7"/>
  <c r="N5" i="7"/>
  <c r="N4" i="7"/>
  <c r="O3" i="7"/>
  <c r="N3" i="7"/>
  <c r="O2" i="7"/>
  <c r="N2" i="7"/>
  <c r="K59" i="7"/>
  <c r="L38" i="6"/>
  <c r="K38" i="6"/>
  <c r="J38" i="6"/>
  <c r="I38" i="6"/>
  <c r="H38" i="6"/>
  <c r="G38" i="6"/>
  <c r="F38" i="6"/>
  <c r="E38" i="6"/>
  <c r="D38" i="6"/>
  <c r="L37" i="6"/>
  <c r="N37" i="6"/>
  <c r="K37" i="6"/>
  <c r="J37" i="6"/>
  <c r="I37" i="6"/>
  <c r="H37" i="6"/>
  <c r="L36" i="6"/>
  <c r="K36" i="6"/>
  <c r="J36" i="6"/>
  <c r="I36" i="6"/>
  <c r="H36" i="6"/>
  <c r="G36" i="6"/>
  <c r="F36" i="6"/>
  <c r="E36" i="6"/>
  <c r="D36" i="6"/>
  <c r="L35" i="6"/>
  <c r="K35" i="6"/>
  <c r="J35" i="6"/>
  <c r="I35" i="6"/>
  <c r="H35" i="6"/>
  <c r="G35" i="6"/>
  <c r="F35" i="6"/>
  <c r="E35" i="6"/>
  <c r="D35" i="6"/>
  <c r="M34" i="6"/>
  <c r="L34" i="6"/>
  <c r="K34" i="6"/>
  <c r="J34" i="6"/>
  <c r="I34" i="6"/>
  <c r="H34" i="6"/>
  <c r="G34" i="6"/>
  <c r="F34" i="6"/>
  <c r="E34" i="6"/>
  <c r="D34" i="6"/>
  <c r="M33" i="6"/>
  <c r="L33" i="6"/>
  <c r="K33" i="6"/>
  <c r="J33" i="6"/>
  <c r="I33" i="6"/>
  <c r="H33" i="6"/>
  <c r="G33" i="6"/>
  <c r="F33" i="6"/>
  <c r="E33" i="6"/>
  <c r="D33" i="6"/>
  <c r="M32" i="6"/>
  <c r="L32" i="6"/>
  <c r="K32" i="6"/>
  <c r="J32" i="6"/>
  <c r="I32" i="6"/>
  <c r="H32" i="6"/>
  <c r="G32" i="6"/>
  <c r="F32" i="6"/>
  <c r="E32" i="6"/>
  <c r="D32" i="6"/>
  <c r="M31" i="6"/>
  <c r="L31" i="6"/>
  <c r="K31" i="6"/>
  <c r="J31" i="6"/>
  <c r="I31" i="6"/>
  <c r="H31" i="6"/>
  <c r="G31" i="6"/>
  <c r="F31" i="6"/>
  <c r="E31" i="6"/>
  <c r="D31" i="6"/>
  <c r="M30" i="6"/>
  <c r="L30" i="6"/>
  <c r="K30" i="6"/>
  <c r="J30" i="6"/>
  <c r="I30" i="6"/>
  <c r="H30" i="6"/>
  <c r="G30" i="6"/>
  <c r="F30" i="6"/>
  <c r="E30" i="6"/>
  <c r="D30" i="6"/>
  <c r="M29" i="6"/>
  <c r="L29" i="6"/>
  <c r="K29" i="6"/>
  <c r="J29" i="6"/>
  <c r="I29" i="6"/>
  <c r="H29" i="6"/>
  <c r="G29" i="6"/>
  <c r="F29" i="6"/>
  <c r="E29" i="6"/>
  <c r="D29" i="6"/>
  <c r="M28" i="6"/>
  <c r="L28" i="6"/>
  <c r="K28" i="6"/>
  <c r="J28" i="6"/>
  <c r="I28" i="6"/>
  <c r="H28" i="6"/>
  <c r="G28" i="6"/>
  <c r="F28" i="6"/>
  <c r="E28" i="6"/>
  <c r="D28" i="6"/>
  <c r="M27" i="6"/>
  <c r="L27" i="6"/>
  <c r="K27" i="6"/>
  <c r="J27" i="6"/>
  <c r="I27" i="6"/>
  <c r="H27" i="6"/>
  <c r="G27" i="6"/>
  <c r="F27" i="6"/>
  <c r="E27" i="6"/>
  <c r="D27" i="6"/>
  <c r="M26" i="6"/>
  <c r="L26" i="6"/>
  <c r="K26" i="6"/>
  <c r="J26" i="6"/>
  <c r="I26" i="6"/>
  <c r="H26" i="6"/>
  <c r="G26" i="6"/>
  <c r="F26" i="6"/>
  <c r="E26" i="6"/>
  <c r="D26" i="6"/>
  <c r="M25" i="6"/>
  <c r="L25" i="6"/>
  <c r="N25" i="6"/>
  <c r="K25" i="6"/>
  <c r="I25" i="6"/>
  <c r="H25" i="6"/>
  <c r="G25" i="6"/>
  <c r="F25" i="6"/>
  <c r="E25" i="6"/>
  <c r="M24" i="6"/>
  <c r="L24" i="6"/>
  <c r="K24" i="6"/>
  <c r="J24" i="6"/>
  <c r="I24" i="6"/>
  <c r="H24" i="6"/>
  <c r="G24" i="6"/>
  <c r="F24" i="6"/>
  <c r="E24" i="6"/>
  <c r="D24" i="6"/>
  <c r="M23" i="6"/>
  <c r="L23" i="6"/>
  <c r="K23" i="6"/>
  <c r="J23" i="6"/>
  <c r="I23" i="6"/>
  <c r="H23" i="6"/>
  <c r="G23" i="6"/>
  <c r="F23" i="6"/>
  <c r="E23" i="6"/>
  <c r="D23" i="6"/>
  <c r="M22" i="6"/>
  <c r="L22" i="6"/>
  <c r="K22" i="6"/>
  <c r="J22" i="6"/>
  <c r="I22" i="6"/>
  <c r="H22" i="6"/>
  <c r="G22" i="6"/>
  <c r="F22" i="6"/>
  <c r="E22" i="6"/>
  <c r="D22" i="6"/>
  <c r="M21" i="6"/>
  <c r="L21" i="6"/>
  <c r="K21" i="6"/>
  <c r="J21" i="6"/>
  <c r="I21" i="6"/>
  <c r="H21" i="6"/>
  <c r="G21" i="6"/>
  <c r="F21" i="6"/>
  <c r="E21" i="6"/>
  <c r="D21" i="6"/>
  <c r="N21" i="6"/>
  <c r="M19" i="6"/>
  <c r="L19" i="6"/>
  <c r="K19" i="6"/>
  <c r="J19" i="6"/>
  <c r="I19" i="6"/>
  <c r="H19" i="6"/>
  <c r="G19" i="6"/>
  <c r="F19" i="6"/>
  <c r="E19" i="6"/>
  <c r="D19" i="6"/>
  <c r="M15" i="6"/>
  <c r="L15" i="6"/>
  <c r="K15" i="6"/>
  <c r="J15" i="6"/>
  <c r="I15" i="6"/>
  <c r="H15" i="6"/>
  <c r="G15" i="6"/>
  <c r="F15" i="6"/>
  <c r="E15" i="6"/>
  <c r="D15" i="6"/>
  <c r="M8" i="6"/>
  <c r="L8" i="6"/>
  <c r="K8" i="6"/>
  <c r="J8" i="6"/>
  <c r="I8" i="6"/>
  <c r="H8" i="6"/>
  <c r="G8" i="6"/>
  <c r="F8" i="6"/>
  <c r="E8" i="6"/>
  <c r="D8" i="6"/>
  <c r="N8" i="6"/>
  <c r="A73" i="6"/>
  <c r="B39" i="6"/>
  <c r="B86" i="6"/>
  <c r="K45" i="6"/>
  <c r="F45" i="6"/>
  <c r="O20" i="6"/>
  <c r="N20" i="6"/>
  <c r="A45" i="6"/>
  <c r="N18" i="6"/>
  <c r="O18" i="6"/>
  <c r="O17" i="6"/>
  <c r="N17" i="6"/>
  <c r="N16" i="6"/>
  <c r="N14" i="6"/>
  <c r="O14" i="6"/>
  <c r="O13" i="6"/>
  <c r="N13" i="6"/>
  <c r="N12" i="6"/>
  <c r="O11" i="6"/>
  <c r="N11" i="6"/>
  <c r="N10" i="6"/>
  <c r="O10" i="6"/>
  <c r="O9" i="6"/>
  <c r="N9" i="6"/>
  <c r="O7" i="6"/>
  <c r="N7" i="6"/>
  <c r="N6" i="6"/>
  <c r="O6" i="6"/>
  <c r="O5" i="6"/>
  <c r="N5" i="6"/>
  <c r="N4" i="6"/>
  <c r="O3" i="6"/>
  <c r="N3" i="6"/>
  <c r="O2" i="6"/>
  <c r="N2" i="6"/>
  <c r="K59" i="6"/>
  <c r="J38" i="5"/>
  <c r="I38" i="5"/>
  <c r="H38" i="5"/>
  <c r="E38" i="5"/>
  <c r="J36" i="5"/>
  <c r="I36" i="5"/>
  <c r="H36" i="5"/>
  <c r="J35" i="5"/>
  <c r="I35" i="5"/>
  <c r="H35" i="5"/>
  <c r="E35" i="5"/>
  <c r="M34" i="5"/>
  <c r="L34" i="5"/>
  <c r="K34" i="5"/>
  <c r="J34" i="5"/>
  <c r="I34" i="5"/>
  <c r="H34" i="5"/>
  <c r="G34" i="5"/>
  <c r="F34" i="5"/>
  <c r="E34" i="5"/>
  <c r="D34" i="5"/>
  <c r="M33" i="5"/>
  <c r="L33" i="5"/>
  <c r="K33" i="5"/>
  <c r="J33" i="5"/>
  <c r="I33" i="5"/>
  <c r="H33" i="5"/>
  <c r="G33" i="5"/>
  <c r="F33" i="5"/>
  <c r="E33" i="5"/>
  <c r="D33" i="5"/>
  <c r="M32" i="5"/>
  <c r="L32" i="5"/>
  <c r="K32" i="5"/>
  <c r="J32" i="5"/>
  <c r="I32" i="5"/>
  <c r="H32" i="5"/>
  <c r="G32" i="5"/>
  <c r="F32" i="5"/>
  <c r="E32" i="5"/>
  <c r="D32" i="5"/>
  <c r="M31" i="5"/>
  <c r="L31" i="5"/>
  <c r="K31" i="5"/>
  <c r="J31" i="5"/>
  <c r="I31" i="5"/>
  <c r="H31" i="5"/>
  <c r="G31" i="5"/>
  <c r="F31" i="5"/>
  <c r="E31" i="5"/>
  <c r="D31" i="5"/>
  <c r="M30" i="5"/>
  <c r="L30" i="5"/>
  <c r="K30" i="5"/>
  <c r="J30" i="5"/>
  <c r="I30" i="5"/>
  <c r="H30" i="5"/>
  <c r="G30" i="5"/>
  <c r="F30" i="5"/>
  <c r="E30" i="5"/>
  <c r="D30" i="5"/>
  <c r="M29" i="5"/>
  <c r="L29" i="5"/>
  <c r="K29" i="5"/>
  <c r="J29" i="5"/>
  <c r="I29" i="5"/>
  <c r="H29" i="5"/>
  <c r="G29" i="5"/>
  <c r="F29" i="5"/>
  <c r="E29" i="5"/>
  <c r="D29" i="5"/>
  <c r="M28" i="5"/>
  <c r="L28" i="5"/>
  <c r="K28" i="5"/>
  <c r="J28" i="5"/>
  <c r="I28" i="5"/>
  <c r="H28" i="5"/>
  <c r="G28" i="5"/>
  <c r="F28" i="5"/>
  <c r="E28" i="5"/>
  <c r="D28" i="5"/>
  <c r="M27" i="5"/>
  <c r="L27" i="5"/>
  <c r="K27" i="5"/>
  <c r="J27" i="5"/>
  <c r="I27" i="5"/>
  <c r="H27" i="5"/>
  <c r="G27" i="5"/>
  <c r="F27" i="5"/>
  <c r="E27" i="5"/>
  <c r="D27" i="5"/>
  <c r="M26" i="5"/>
  <c r="L26" i="5"/>
  <c r="K26" i="5"/>
  <c r="J26" i="5"/>
  <c r="I26" i="5"/>
  <c r="H26" i="5"/>
  <c r="G26" i="5"/>
  <c r="F26" i="5"/>
  <c r="E26" i="5"/>
  <c r="D26" i="5"/>
  <c r="M25" i="5"/>
  <c r="L25" i="5"/>
  <c r="K25" i="5"/>
  <c r="J25" i="5"/>
  <c r="I25" i="5"/>
  <c r="H25" i="5"/>
  <c r="G25" i="5"/>
  <c r="F25" i="5"/>
  <c r="E25" i="5"/>
  <c r="D25" i="5"/>
  <c r="M24" i="5"/>
  <c r="L24" i="5"/>
  <c r="K24" i="5"/>
  <c r="J24" i="5"/>
  <c r="I24" i="5"/>
  <c r="H24" i="5"/>
  <c r="G24" i="5"/>
  <c r="F24" i="5"/>
  <c r="E24" i="5"/>
  <c r="D24" i="5"/>
  <c r="M23" i="5"/>
  <c r="L23" i="5"/>
  <c r="K23" i="5"/>
  <c r="J23" i="5"/>
  <c r="I23" i="5"/>
  <c r="H23" i="5"/>
  <c r="G23" i="5"/>
  <c r="F23" i="5"/>
  <c r="E23" i="5"/>
  <c r="D23" i="5"/>
  <c r="M22" i="5"/>
  <c r="L22" i="5"/>
  <c r="K22" i="5"/>
  <c r="J22" i="5"/>
  <c r="I22" i="5"/>
  <c r="H22" i="5"/>
  <c r="G22" i="5"/>
  <c r="F22" i="5"/>
  <c r="E22" i="5"/>
  <c r="D22" i="5"/>
  <c r="M21" i="5"/>
  <c r="L21" i="5"/>
  <c r="K21" i="5"/>
  <c r="J21" i="5"/>
  <c r="I21" i="5"/>
  <c r="H21" i="5"/>
  <c r="G21" i="5"/>
  <c r="F21" i="5"/>
  <c r="E21" i="5"/>
  <c r="D21" i="5"/>
  <c r="M19" i="5"/>
  <c r="L19" i="5"/>
  <c r="K19" i="5"/>
  <c r="J19" i="5"/>
  <c r="I19" i="5"/>
  <c r="H19" i="5"/>
  <c r="G19" i="5"/>
  <c r="F19" i="5"/>
  <c r="E19" i="5"/>
  <c r="D19" i="5"/>
  <c r="M15" i="5"/>
  <c r="L15" i="5"/>
  <c r="K15" i="5"/>
  <c r="J15" i="5"/>
  <c r="I15" i="5"/>
  <c r="H15" i="5"/>
  <c r="G15" i="5"/>
  <c r="F15" i="5"/>
  <c r="E15" i="5"/>
  <c r="D15" i="5"/>
  <c r="M8" i="5"/>
  <c r="L8" i="5"/>
  <c r="K8" i="5"/>
  <c r="J8" i="5"/>
  <c r="I8" i="5"/>
  <c r="H8" i="5"/>
  <c r="G8" i="5"/>
  <c r="F8" i="5"/>
  <c r="E8" i="5"/>
  <c r="D8" i="5"/>
  <c r="F73" i="5"/>
  <c r="B39" i="5"/>
  <c r="B86" i="5"/>
  <c r="O37" i="5"/>
  <c r="N37" i="5"/>
  <c r="O36" i="5"/>
  <c r="O35" i="5"/>
  <c r="K45" i="5"/>
  <c r="O20" i="5"/>
  <c r="N20" i="5"/>
  <c r="A45" i="5"/>
  <c r="O18" i="5"/>
  <c r="O17" i="5"/>
  <c r="N17" i="5"/>
  <c r="N16" i="5"/>
  <c r="O16" i="5"/>
  <c r="O14" i="5"/>
  <c r="O13" i="5"/>
  <c r="N13" i="5"/>
  <c r="N12" i="5"/>
  <c r="O12" i="5"/>
  <c r="O11" i="5"/>
  <c r="N11" i="5"/>
  <c r="O10" i="5"/>
  <c r="O9" i="5"/>
  <c r="N9" i="5"/>
  <c r="O7" i="5"/>
  <c r="N7" i="5"/>
  <c r="O6" i="5"/>
  <c r="O5" i="5"/>
  <c r="N5" i="5"/>
  <c r="N4" i="5"/>
  <c r="O4" i="5"/>
  <c r="O3" i="5"/>
  <c r="N3" i="5"/>
  <c r="O2" i="5"/>
  <c r="N2" i="5"/>
  <c r="K59" i="5"/>
  <c r="L38" i="4"/>
  <c r="K38" i="4"/>
  <c r="J38" i="4"/>
  <c r="I38" i="4"/>
  <c r="H38" i="4"/>
  <c r="G38" i="4"/>
  <c r="F38" i="4"/>
  <c r="E38" i="4"/>
  <c r="D38" i="4"/>
  <c r="L37" i="4"/>
  <c r="N37" i="4"/>
  <c r="K37" i="4"/>
  <c r="J37" i="4"/>
  <c r="H37" i="4"/>
  <c r="L36" i="4"/>
  <c r="K36" i="4"/>
  <c r="J36" i="4"/>
  <c r="I36" i="4"/>
  <c r="H36" i="4"/>
  <c r="G36" i="4"/>
  <c r="F36" i="4"/>
  <c r="E36" i="4"/>
  <c r="D36" i="4"/>
  <c r="L35" i="4"/>
  <c r="K35" i="4"/>
  <c r="J35" i="4"/>
  <c r="I35" i="4"/>
  <c r="H35" i="4"/>
  <c r="G35" i="4"/>
  <c r="F35" i="4"/>
  <c r="E35" i="4"/>
  <c r="D35" i="4"/>
  <c r="M34" i="4"/>
  <c r="L34" i="4"/>
  <c r="K34" i="4"/>
  <c r="J34" i="4"/>
  <c r="I34" i="4"/>
  <c r="H34" i="4"/>
  <c r="G34" i="4"/>
  <c r="F34" i="4"/>
  <c r="E34" i="4"/>
  <c r="D34" i="4"/>
  <c r="M33" i="4"/>
  <c r="L33" i="4"/>
  <c r="K33" i="4"/>
  <c r="J33" i="4"/>
  <c r="I33" i="4"/>
  <c r="H33" i="4"/>
  <c r="G33" i="4"/>
  <c r="F33" i="4"/>
  <c r="E33" i="4"/>
  <c r="D33" i="4"/>
  <c r="M32" i="4"/>
  <c r="L32" i="4"/>
  <c r="K32" i="4"/>
  <c r="J32" i="4"/>
  <c r="I32" i="4"/>
  <c r="H32" i="4"/>
  <c r="G32" i="4"/>
  <c r="F32" i="4"/>
  <c r="E32" i="4"/>
  <c r="D32" i="4"/>
  <c r="N32" i="4"/>
  <c r="M31" i="4"/>
  <c r="L31" i="4"/>
  <c r="K31" i="4"/>
  <c r="J31" i="4"/>
  <c r="I31" i="4"/>
  <c r="H31" i="4"/>
  <c r="G31" i="4"/>
  <c r="F31" i="4"/>
  <c r="E31" i="4"/>
  <c r="D31" i="4"/>
  <c r="N31" i="4"/>
  <c r="M30" i="4"/>
  <c r="L30" i="4"/>
  <c r="K30" i="4"/>
  <c r="J30" i="4"/>
  <c r="I30" i="4"/>
  <c r="H30" i="4"/>
  <c r="G30" i="4"/>
  <c r="F30" i="4"/>
  <c r="E30" i="4"/>
  <c r="D30" i="4"/>
  <c r="M29" i="4"/>
  <c r="L29" i="4"/>
  <c r="K29" i="4"/>
  <c r="J29" i="4"/>
  <c r="I29" i="4"/>
  <c r="H29" i="4"/>
  <c r="G29" i="4"/>
  <c r="F29" i="4"/>
  <c r="E29" i="4"/>
  <c r="D29" i="4"/>
  <c r="M28" i="4"/>
  <c r="L28" i="4"/>
  <c r="K28" i="4"/>
  <c r="J28" i="4"/>
  <c r="I28" i="4"/>
  <c r="H28" i="4"/>
  <c r="G28" i="4"/>
  <c r="F28" i="4"/>
  <c r="E28" i="4"/>
  <c r="D28" i="4"/>
  <c r="M27" i="4"/>
  <c r="L27" i="4"/>
  <c r="K27" i="4"/>
  <c r="J27" i="4"/>
  <c r="I27" i="4"/>
  <c r="H27" i="4"/>
  <c r="G27" i="4"/>
  <c r="F27" i="4"/>
  <c r="E27" i="4"/>
  <c r="D27" i="4"/>
  <c r="M26" i="4"/>
  <c r="L26" i="4"/>
  <c r="K26" i="4"/>
  <c r="J26" i="4"/>
  <c r="I26" i="4"/>
  <c r="H26" i="4"/>
  <c r="G26" i="4"/>
  <c r="F26" i="4"/>
  <c r="E26" i="4"/>
  <c r="D26" i="4"/>
  <c r="M25" i="4"/>
  <c r="L25" i="4"/>
  <c r="K25" i="4"/>
  <c r="I25" i="4"/>
  <c r="H25" i="4"/>
  <c r="G25" i="4"/>
  <c r="F25" i="4"/>
  <c r="E25" i="4"/>
  <c r="D25" i="4"/>
  <c r="M24" i="4"/>
  <c r="L24" i="4"/>
  <c r="K24" i="4"/>
  <c r="J24" i="4"/>
  <c r="I24" i="4"/>
  <c r="H24" i="4"/>
  <c r="G24" i="4"/>
  <c r="F24" i="4"/>
  <c r="E24" i="4"/>
  <c r="D24" i="4"/>
  <c r="M23" i="4"/>
  <c r="L23" i="4"/>
  <c r="K23" i="4"/>
  <c r="J23" i="4"/>
  <c r="I23" i="4"/>
  <c r="H23" i="4"/>
  <c r="G23" i="4"/>
  <c r="F23" i="4"/>
  <c r="E23" i="4"/>
  <c r="D23" i="4"/>
  <c r="M22" i="4"/>
  <c r="L22" i="4"/>
  <c r="K22" i="4"/>
  <c r="J22" i="4"/>
  <c r="I22" i="4"/>
  <c r="H22" i="4"/>
  <c r="G22" i="4"/>
  <c r="F22" i="4"/>
  <c r="E22" i="4"/>
  <c r="D22" i="4"/>
  <c r="M21" i="4"/>
  <c r="L21" i="4"/>
  <c r="K21" i="4"/>
  <c r="J21" i="4"/>
  <c r="I21" i="4"/>
  <c r="H21" i="4"/>
  <c r="G21" i="4"/>
  <c r="F21" i="4"/>
  <c r="E21" i="4"/>
  <c r="D21" i="4"/>
  <c r="M19" i="4"/>
  <c r="L19" i="4"/>
  <c r="K19" i="4"/>
  <c r="J19" i="4"/>
  <c r="I19" i="4"/>
  <c r="H19" i="4"/>
  <c r="G19" i="4"/>
  <c r="F19" i="4"/>
  <c r="E19" i="4"/>
  <c r="D19" i="4"/>
  <c r="N19" i="4"/>
  <c r="M15" i="4"/>
  <c r="L15" i="4"/>
  <c r="K15" i="4"/>
  <c r="J15" i="4"/>
  <c r="I15" i="4"/>
  <c r="H15" i="4"/>
  <c r="G15" i="4"/>
  <c r="F15" i="4"/>
  <c r="E15" i="4"/>
  <c r="D15" i="4"/>
  <c r="M8" i="4"/>
  <c r="L8" i="4"/>
  <c r="K8" i="4"/>
  <c r="J8" i="4"/>
  <c r="I8" i="4"/>
  <c r="H8" i="4"/>
  <c r="G8" i="4"/>
  <c r="F8" i="4"/>
  <c r="E8" i="4"/>
  <c r="D8" i="4"/>
  <c r="A73" i="4"/>
  <c r="B39" i="4"/>
  <c r="B86" i="4"/>
  <c r="K45" i="4"/>
  <c r="F45" i="4"/>
  <c r="O20" i="4"/>
  <c r="N20" i="4"/>
  <c r="A45" i="4"/>
  <c r="N18" i="4"/>
  <c r="O18" i="4"/>
  <c r="O17" i="4"/>
  <c r="N17" i="4"/>
  <c r="N16" i="4"/>
  <c r="N14" i="4"/>
  <c r="O14" i="4"/>
  <c r="O13" i="4"/>
  <c r="N13" i="4"/>
  <c r="N12" i="4"/>
  <c r="O11" i="4"/>
  <c r="N11" i="4"/>
  <c r="N10" i="4"/>
  <c r="O10" i="4"/>
  <c r="O9" i="4"/>
  <c r="N9" i="4"/>
  <c r="O7" i="4"/>
  <c r="N7" i="4"/>
  <c r="N6" i="4"/>
  <c r="O6" i="4"/>
  <c r="O5" i="4"/>
  <c r="N5" i="4"/>
  <c r="N4" i="4"/>
  <c r="O3" i="4"/>
  <c r="N3" i="4"/>
  <c r="O2" i="4"/>
  <c r="N2" i="4"/>
  <c r="K59" i="4"/>
  <c r="L38" i="3"/>
  <c r="K38" i="3"/>
  <c r="J38" i="3"/>
  <c r="I38" i="3"/>
  <c r="H38" i="3"/>
  <c r="G38" i="3"/>
  <c r="F38" i="3"/>
  <c r="E38" i="3"/>
  <c r="D38" i="3"/>
  <c r="L37" i="3"/>
  <c r="N37" i="3"/>
  <c r="K37" i="3"/>
  <c r="J37" i="3"/>
  <c r="H37" i="3"/>
  <c r="L36" i="3"/>
  <c r="K36" i="3"/>
  <c r="J36" i="3"/>
  <c r="I36" i="3"/>
  <c r="H36" i="3"/>
  <c r="G36" i="3"/>
  <c r="F36" i="3"/>
  <c r="E36" i="3"/>
  <c r="D36" i="3"/>
  <c r="L35" i="3"/>
  <c r="K35" i="3"/>
  <c r="J35" i="3"/>
  <c r="I35" i="3"/>
  <c r="H35" i="3"/>
  <c r="G35" i="3"/>
  <c r="F35" i="3"/>
  <c r="E35" i="3"/>
  <c r="D35" i="3"/>
  <c r="M34" i="3"/>
  <c r="L34" i="3"/>
  <c r="K34" i="3"/>
  <c r="J34" i="3"/>
  <c r="I34" i="3"/>
  <c r="H34" i="3"/>
  <c r="G34" i="3"/>
  <c r="F34" i="3"/>
  <c r="E34" i="3"/>
  <c r="D34" i="3"/>
  <c r="M33" i="3"/>
  <c r="L33" i="3"/>
  <c r="K33" i="3"/>
  <c r="J33" i="3"/>
  <c r="I33" i="3"/>
  <c r="H33" i="3"/>
  <c r="G33" i="3"/>
  <c r="F33" i="3"/>
  <c r="E33" i="3"/>
  <c r="D33" i="3"/>
  <c r="M32" i="3"/>
  <c r="L32" i="3"/>
  <c r="K32" i="3"/>
  <c r="J32" i="3"/>
  <c r="I32" i="3"/>
  <c r="H32" i="3"/>
  <c r="G32" i="3"/>
  <c r="F32" i="3"/>
  <c r="E32" i="3"/>
  <c r="D32" i="3"/>
  <c r="M31" i="3"/>
  <c r="L31" i="3"/>
  <c r="K31" i="3"/>
  <c r="J31" i="3"/>
  <c r="I31" i="3"/>
  <c r="H31" i="3"/>
  <c r="G31" i="3"/>
  <c r="F31" i="3"/>
  <c r="E31" i="3"/>
  <c r="D31" i="3"/>
  <c r="M30" i="3"/>
  <c r="L30" i="3"/>
  <c r="K30" i="3"/>
  <c r="J30" i="3"/>
  <c r="I30" i="3"/>
  <c r="H30" i="3"/>
  <c r="G30" i="3"/>
  <c r="F30" i="3"/>
  <c r="E30" i="3"/>
  <c r="D30" i="3"/>
  <c r="M29" i="3"/>
  <c r="L29" i="3"/>
  <c r="K29" i="3"/>
  <c r="J29" i="3"/>
  <c r="I29" i="3"/>
  <c r="H29" i="3"/>
  <c r="G29" i="3"/>
  <c r="F29" i="3"/>
  <c r="E29" i="3"/>
  <c r="D29" i="3"/>
  <c r="M28" i="3"/>
  <c r="L28" i="3"/>
  <c r="K28" i="3"/>
  <c r="J28" i="3"/>
  <c r="I28" i="3"/>
  <c r="H28" i="3"/>
  <c r="G28" i="3"/>
  <c r="F28" i="3"/>
  <c r="E28" i="3"/>
  <c r="D28" i="3"/>
  <c r="M27" i="3"/>
  <c r="L27" i="3"/>
  <c r="K27" i="3"/>
  <c r="J27" i="3"/>
  <c r="I27" i="3"/>
  <c r="H27" i="3"/>
  <c r="G27" i="3"/>
  <c r="F27" i="3"/>
  <c r="E27" i="3"/>
  <c r="D27" i="3"/>
  <c r="M26" i="3"/>
  <c r="L26" i="3"/>
  <c r="K26" i="3"/>
  <c r="J26" i="3"/>
  <c r="I26" i="3"/>
  <c r="H26" i="3"/>
  <c r="G26" i="3"/>
  <c r="F26" i="3"/>
  <c r="E26" i="3"/>
  <c r="D26" i="3"/>
  <c r="M25" i="3"/>
  <c r="L25" i="3"/>
  <c r="O25" i="3"/>
  <c r="K25" i="3"/>
  <c r="J25" i="3"/>
  <c r="I25" i="3"/>
  <c r="F25" i="3"/>
  <c r="E25" i="3"/>
  <c r="D25" i="3"/>
  <c r="M24" i="3"/>
  <c r="L24" i="3"/>
  <c r="K24" i="3"/>
  <c r="J24" i="3"/>
  <c r="I24" i="3"/>
  <c r="H24" i="3"/>
  <c r="G24" i="3"/>
  <c r="F24" i="3"/>
  <c r="E24" i="3"/>
  <c r="D24" i="3"/>
  <c r="M23" i="3"/>
  <c r="L23" i="3"/>
  <c r="K23" i="3"/>
  <c r="J23" i="3"/>
  <c r="I23" i="3"/>
  <c r="H23" i="3"/>
  <c r="G23" i="3"/>
  <c r="F23" i="3"/>
  <c r="E23" i="3"/>
  <c r="D23" i="3"/>
  <c r="M22" i="3"/>
  <c r="L22" i="3"/>
  <c r="K22" i="3"/>
  <c r="J22" i="3"/>
  <c r="I22" i="3"/>
  <c r="H22" i="3"/>
  <c r="G22" i="3"/>
  <c r="F22" i="3"/>
  <c r="E22" i="3"/>
  <c r="D22" i="3"/>
  <c r="M21" i="3"/>
  <c r="L21" i="3"/>
  <c r="K21" i="3"/>
  <c r="J21" i="3"/>
  <c r="I21" i="3"/>
  <c r="H21" i="3"/>
  <c r="G21" i="3"/>
  <c r="F21" i="3"/>
  <c r="E21" i="3"/>
  <c r="D21" i="3"/>
  <c r="M19" i="3"/>
  <c r="L19" i="3"/>
  <c r="K19" i="3"/>
  <c r="J19" i="3"/>
  <c r="I19" i="3"/>
  <c r="H19" i="3"/>
  <c r="G19" i="3"/>
  <c r="F19" i="3"/>
  <c r="E19" i="3"/>
  <c r="D19" i="3"/>
  <c r="M15" i="3"/>
  <c r="L15" i="3"/>
  <c r="K15" i="3"/>
  <c r="J15" i="3"/>
  <c r="I15" i="3"/>
  <c r="H15" i="3"/>
  <c r="G15" i="3"/>
  <c r="F15" i="3"/>
  <c r="E15" i="3"/>
  <c r="D15" i="3"/>
  <c r="M8" i="3"/>
  <c r="L8" i="3"/>
  <c r="K8" i="3"/>
  <c r="J8" i="3"/>
  <c r="I8" i="3"/>
  <c r="H8" i="3"/>
  <c r="G8" i="3"/>
  <c r="F8" i="3"/>
  <c r="E8" i="3"/>
  <c r="D8" i="3"/>
  <c r="A73" i="3"/>
  <c r="B39" i="3"/>
  <c r="B86" i="3"/>
  <c r="K45" i="3"/>
  <c r="F45" i="3"/>
  <c r="O20" i="3"/>
  <c r="N20" i="3"/>
  <c r="A45" i="3"/>
  <c r="N18" i="3"/>
  <c r="O18" i="3"/>
  <c r="O17" i="3"/>
  <c r="N17" i="3"/>
  <c r="N16" i="3"/>
  <c r="N14" i="3"/>
  <c r="O14" i="3"/>
  <c r="O13" i="3"/>
  <c r="N13" i="3"/>
  <c r="N12" i="3"/>
  <c r="O11" i="3"/>
  <c r="N11" i="3"/>
  <c r="N10" i="3"/>
  <c r="O10" i="3"/>
  <c r="O9" i="3"/>
  <c r="N9" i="3"/>
  <c r="O7" i="3"/>
  <c r="N7" i="3"/>
  <c r="N6" i="3"/>
  <c r="O6" i="3"/>
  <c r="O5" i="3"/>
  <c r="N5" i="3"/>
  <c r="O4" i="3"/>
  <c r="O3" i="3"/>
  <c r="N3" i="3"/>
  <c r="O2" i="3"/>
  <c r="N2" i="3"/>
  <c r="K59" i="3"/>
  <c r="L38" i="2"/>
  <c r="J38" i="2"/>
  <c r="I38" i="2"/>
  <c r="H38" i="2"/>
  <c r="G38" i="2"/>
  <c r="F38" i="2"/>
  <c r="E38" i="2"/>
  <c r="D38" i="2"/>
  <c r="L36" i="2"/>
  <c r="I36" i="2"/>
  <c r="H36" i="2"/>
  <c r="G36" i="2"/>
  <c r="E36" i="2"/>
  <c r="D36" i="2"/>
  <c r="L35" i="2"/>
  <c r="J35" i="2"/>
  <c r="I35" i="2"/>
  <c r="H35" i="2"/>
  <c r="G35" i="2"/>
  <c r="F35" i="2"/>
  <c r="E35" i="2"/>
  <c r="D35" i="2"/>
  <c r="M34" i="2"/>
  <c r="L34" i="2"/>
  <c r="K34" i="2"/>
  <c r="J34" i="2"/>
  <c r="I34" i="2"/>
  <c r="H34" i="2"/>
  <c r="G34" i="2"/>
  <c r="F34" i="2"/>
  <c r="E34" i="2"/>
  <c r="D34" i="2"/>
  <c r="M33" i="2"/>
  <c r="L33" i="2"/>
  <c r="K33" i="2"/>
  <c r="J33" i="2"/>
  <c r="I33" i="2"/>
  <c r="H33" i="2"/>
  <c r="G33" i="2"/>
  <c r="F33" i="2"/>
  <c r="E33" i="2"/>
  <c r="D33" i="2"/>
  <c r="M32" i="2"/>
  <c r="L32" i="2"/>
  <c r="K32" i="2"/>
  <c r="J32" i="2"/>
  <c r="I32" i="2"/>
  <c r="H32" i="2"/>
  <c r="G32" i="2"/>
  <c r="F32" i="2"/>
  <c r="E32" i="2"/>
  <c r="D32" i="2"/>
  <c r="M31" i="2"/>
  <c r="L31" i="2"/>
  <c r="K31" i="2"/>
  <c r="J31" i="2"/>
  <c r="I31" i="2"/>
  <c r="H31" i="2"/>
  <c r="G31" i="2"/>
  <c r="F31" i="2"/>
  <c r="E31" i="2"/>
  <c r="D31" i="2"/>
  <c r="M30" i="2"/>
  <c r="L30" i="2"/>
  <c r="K30" i="2"/>
  <c r="J30" i="2"/>
  <c r="I30" i="2"/>
  <c r="H30" i="2"/>
  <c r="G30" i="2"/>
  <c r="F30" i="2"/>
  <c r="E30" i="2"/>
  <c r="D30" i="2"/>
  <c r="M29" i="2"/>
  <c r="L29" i="2"/>
  <c r="K29" i="2"/>
  <c r="J29" i="2"/>
  <c r="I29" i="2"/>
  <c r="H29" i="2"/>
  <c r="G29" i="2"/>
  <c r="F29" i="2"/>
  <c r="E29" i="2"/>
  <c r="D29" i="2"/>
  <c r="M28" i="2"/>
  <c r="L28" i="2"/>
  <c r="K28" i="2"/>
  <c r="J28" i="2"/>
  <c r="I28" i="2"/>
  <c r="H28" i="2"/>
  <c r="G28" i="2"/>
  <c r="F28" i="2"/>
  <c r="E28" i="2"/>
  <c r="D28" i="2"/>
  <c r="M27" i="2"/>
  <c r="L27" i="2"/>
  <c r="K27" i="2"/>
  <c r="J27" i="2"/>
  <c r="I27" i="2"/>
  <c r="H27" i="2"/>
  <c r="G27" i="2"/>
  <c r="F27" i="2"/>
  <c r="E27" i="2"/>
  <c r="D27" i="2"/>
  <c r="M26" i="2"/>
  <c r="L26" i="2"/>
  <c r="K26" i="2"/>
  <c r="J26" i="2"/>
  <c r="I26" i="2"/>
  <c r="H26" i="2"/>
  <c r="G26" i="2"/>
  <c r="F26" i="2"/>
  <c r="E26" i="2"/>
  <c r="D26" i="2"/>
  <c r="M25" i="2"/>
  <c r="L25" i="2"/>
  <c r="K25" i="2"/>
  <c r="J25" i="2"/>
  <c r="I25" i="2"/>
  <c r="H25" i="2"/>
  <c r="G25" i="2"/>
  <c r="F25" i="2"/>
  <c r="E25" i="2"/>
  <c r="D25" i="2"/>
  <c r="M24" i="2"/>
  <c r="L24" i="2"/>
  <c r="K24" i="2"/>
  <c r="J24" i="2"/>
  <c r="I24" i="2"/>
  <c r="H24" i="2"/>
  <c r="G24" i="2"/>
  <c r="F24" i="2"/>
  <c r="E24" i="2"/>
  <c r="D24" i="2"/>
  <c r="M23" i="2"/>
  <c r="L23" i="2"/>
  <c r="K23" i="2"/>
  <c r="J23" i="2"/>
  <c r="I23" i="2"/>
  <c r="H23" i="2"/>
  <c r="G23" i="2"/>
  <c r="F23" i="2"/>
  <c r="E23" i="2"/>
  <c r="D23" i="2"/>
  <c r="M22" i="2"/>
  <c r="L22" i="2"/>
  <c r="K22" i="2"/>
  <c r="J22" i="2"/>
  <c r="I22" i="2"/>
  <c r="H22" i="2"/>
  <c r="G22" i="2"/>
  <c r="F22" i="2"/>
  <c r="E22" i="2"/>
  <c r="D22" i="2"/>
  <c r="M21" i="2"/>
  <c r="L21" i="2"/>
  <c r="K21" i="2"/>
  <c r="J21" i="2"/>
  <c r="I21" i="2"/>
  <c r="H21" i="2"/>
  <c r="G21" i="2"/>
  <c r="F21" i="2"/>
  <c r="E21" i="2"/>
  <c r="D21" i="2"/>
  <c r="M19" i="2"/>
  <c r="L19" i="2"/>
  <c r="K19" i="2"/>
  <c r="J19" i="2"/>
  <c r="I19" i="2"/>
  <c r="H19" i="2"/>
  <c r="G19" i="2"/>
  <c r="F19" i="2"/>
  <c r="E19" i="2"/>
  <c r="D19" i="2"/>
  <c r="M15" i="2"/>
  <c r="L15" i="2"/>
  <c r="K15" i="2"/>
  <c r="J15" i="2"/>
  <c r="I15" i="2"/>
  <c r="H15" i="2"/>
  <c r="G15" i="2"/>
  <c r="F15" i="2"/>
  <c r="E15" i="2"/>
  <c r="D15" i="2"/>
  <c r="M8" i="2"/>
  <c r="L8" i="2"/>
  <c r="K8" i="2"/>
  <c r="J8" i="2"/>
  <c r="I8" i="2"/>
  <c r="H8" i="2"/>
  <c r="G8" i="2"/>
  <c r="F8" i="2"/>
  <c r="E8" i="2"/>
  <c r="D8" i="2"/>
  <c r="F73" i="2"/>
  <c r="B39" i="2"/>
  <c r="B86" i="2"/>
  <c r="O37" i="2"/>
  <c r="K45" i="2"/>
  <c r="F45" i="2"/>
  <c r="O20" i="2"/>
  <c r="A45" i="2"/>
  <c r="O18" i="2"/>
  <c r="N17" i="2"/>
  <c r="O17" i="2"/>
  <c r="O16" i="2"/>
  <c r="N16" i="2"/>
  <c r="O14" i="2"/>
  <c r="N13" i="2"/>
  <c r="O13" i="2"/>
  <c r="O12" i="2"/>
  <c r="N12" i="2"/>
  <c r="O11" i="2"/>
  <c r="O10" i="2"/>
  <c r="N9" i="2"/>
  <c r="O9" i="2"/>
  <c r="O7" i="2"/>
  <c r="O6" i="2"/>
  <c r="N5" i="2"/>
  <c r="O5" i="2"/>
  <c r="O4" i="2"/>
  <c r="N4" i="2"/>
  <c r="O3" i="2"/>
  <c r="O2" i="2"/>
  <c r="N2" i="2"/>
  <c r="K59" i="2"/>
  <c r="O24" i="5"/>
  <c r="O37" i="34"/>
  <c r="N37" i="34"/>
  <c r="O36" i="34"/>
  <c r="N19" i="34"/>
  <c r="N24" i="34"/>
  <c r="O23" i="34"/>
  <c r="N27" i="34"/>
  <c r="N31" i="34"/>
  <c r="O25" i="34"/>
  <c r="O27" i="34"/>
  <c r="O29" i="34"/>
  <c r="O31" i="34"/>
  <c r="N25" i="34"/>
  <c r="N29" i="34"/>
  <c r="O24" i="34"/>
  <c r="N26" i="34"/>
  <c r="O28" i="34"/>
  <c r="N30" i="34"/>
  <c r="N32" i="34"/>
  <c r="N28" i="34"/>
  <c r="O32" i="34"/>
  <c r="O19" i="34"/>
  <c r="N31" i="33"/>
  <c r="N23" i="34"/>
  <c r="O31" i="33"/>
  <c r="O36" i="33"/>
  <c r="O15" i="34"/>
  <c r="N21" i="34"/>
  <c r="N15" i="34"/>
  <c r="N8" i="34"/>
  <c r="O37" i="33"/>
  <c r="O4" i="34"/>
  <c r="O8" i="34"/>
  <c r="O12" i="34"/>
  <c r="O16" i="34"/>
  <c r="O21" i="34"/>
  <c r="O26" i="34"/>
  <c r="O30" i="34"/>
  <c r="O34" i="34"/>
  <c r="B59" i="34"/>
  <c r="F73" i="34"/>
  <c r="F59" i="34"/>
  <c r="O30" i="33"/>
  <c r="O32" i="33"/>
  <c r="O34" i="33"/>
  <c r="N26" i="33"/>
  <c r="O28" i="33"/>
  <c r="N30" i="33"/>
  <c r="O26" i="33"/>
  <c r="N29" i="33"/>
  <c r="N21" i="33"/>
  <c r="O25" i="33"/>
  <c r="O27" i="33"/>
  <c r="O29" i="33"/>
  <c r="N25" i="33"/>
  <c r="N27" i="33"/>
  <c r="O24" i="33"/>
  <c r="O15" i="11"/>
  <c r="N23" i="33"/>
  <c r="O23" i="33"/>
  <c r="O15" i="33"/>
  <c r="N15" i="33"/>
  <c r="O8" i="33"/>
  <c r="O32" i="32"/>
  <c r="O35" i="32"/>
  <c r="O36" i="32"/>
  <c r="N35" i="32"/>
  <c r="N29" i="32"/>
  <c r="O37" i="32"/>
  <c r="N25" i="32"/>
  <c r="N22" i="33"/>
  <c r="O22" i="33"/>
  <c r="N38" i="33"/>
  <c r="O38" i="33"/>
  <c r="O21" i="33"/>
  <c r="N35" i="33"/>
  <c r="A73" i="33"/>
  <c r="N6" i="33"/>
  <c r="N10" i="33"/>
  <c r="N14" i="33"/>
  <c r="N18" i="33"/>
  <c r="N19" i="33"/>
  <c r="N24" i="33"/>
  <c r="N28" i="33"/>
  <c r="N32" i="33"/>
  <c r="O35" i="33"/>
  <c r="N36" i="33"/>
  <c r="B59" i="33"/>
  <c r="F59" i="33"/>
  <c r="O30" i="31"/>
  <c r="O36" i="31"/>
  <c r="O15" i="32"/>
  <c r="O23" i="32"/>
  <c r="O25" i="32"/>
  <c r="O27" i="32"/>
  <c r="O29" i="32"/>
  <c r="O31" i="32"/>
  <c r="N15" i="32"/>
  <c r="N23" i="32"/>
  <c r="N27" i="32"/>
  <c r="N31" i="32"/>
  <c r="N24" i="32"/>
  <c r="N29" i="31"/>
  <c r="O19" i="32"/>
  <c r="O24" i="32"/>
  <c r="N26" i="32"/>
  <c r="N28" i="32"/>
  <c r="N30" i="32"/>
  <c r="O28" i="32"/>
  <c r="N25" i="31"/>
  <c r="O31" i="31"/>
  <c r="N26" i="31"/>
  <c r="O32" i="31"/>
  <c r="N34" i="31"/>
  <c r="N21" i="13"/>
  <c r="N21" i="31"/>
  <c r="O23" i="31"/>
  <c r="O25" i="31"/>
  <c r="O27" i="31"/>
  <c r="O29" i="31"/>
  <c r="N31" i="31"/>
  <c r="N30" i="31"/>
  <c r="O34" i="31"/>
  <c r="O37" i="31"/>
  <c r="O4" i="32"/>
  <c r="O8" i="32"/>
  <c r="O12" i="32"/>
  <c r="O16" i="32"/>
  <c r="O21" i="32"/>
  <c r="O26" i="32"/>
  <c r="O30" i="32"/>
  <c r="O34" i="32"/>
  <c r="B59" i="32"/>
  <c r="F73" i="32"/>
  <c r="F59" i="32"/>
  <c r="O26" i="31"/>
  <c r="O28" i="31"/>
  <c r="O15" i="31"/>
  <c r="O19" i="31"/>
  <c r="N29" i="4"/>
  <c r="N8" i="31"/>
  <c r="O8" i="31"/>
  <c r="N15" i="31"/>
  <c r="O37" i="30"/>
  <c r="N15" i="10"/>
  <c r="O36" i="30"/>
  <c r="N38" i="31"/>
  <c r="O38" i="31"/>
  <c r="N22" i="31"/>
  <c r="O22" i="31"/>
  <c r="N5" i="31"/>
  <c r="N9" i="31"/>
  <c r="N13" i="31"/>
  <c r="N17" i="31"/>
  <c r="O21" i="31"/>
  <c r="N23" i="31"/>
  <c r="N27" i="31"/>
  <c r="N35" i="31"/>
  <c r="A73" i="31"/>
  <c r="N6" i="31"/>
  <c r="N10" i="31"/>
  <c r="N14" i="31"/>
  <c r="N18" i="31"/>
  <c r="N19" i="31"/>
  <c r="N24" i="31"/>
  <c r="N28" i="31"/>
  <c r="N32" i="31"/>
  <c r="O35" i="31"/>
  <c r="N36" i="31"/>
  <c r="B59" i="31"/>
  <c r="F59" i="31"/>
  <c r="N29" i="30"/>
  <c r="O32" i="30"/>
  <c r="O34" i="30"/>
  <c r="N34" i="30"/>
  <c r="O29" i="23"/>
  <c r="O27" i="30"/>
  <c r="O29" i="30"/>
  <c r="O31" i="30"/>
  <c r="N30" i="30"/>
  <c r="O30" i="30"/>
  <c r="O19" i="30"/>
  <c r="N27" i="2"/>
  <c r="O24" i="30"/>
  <c r="N21" i="30"/>
  <c r="O23" i="30"/>
  <c r="O26" i="30"/>
  <c r="N15" i="30"/>
  <c r="O15" i="30"/>
  <c r="O36" i="29"/>
  <c r="N22" i="30"/>
  <c r="O22" i="30"/>
  <c r="N38" i="30"/>
  <c r="O38" i="30"/>
  <c r="N5" i="30"/>
  <c r="N9" i="30"/>
  <c r="N13" i="30"/>
  <c r="N17" i="30"/>
  <c r="O21" i="30"/>
  <c r="N23" i="30"/>
  <c r="N27" i="30"/>
  <c r="N31" i="30"/>
  <c r="N35" i="30"/>
  <c r="A73" i="30"/>
  <c r="N6" i="30"/>
  <c r="N10" i="30"/>
  <c r="N14" i="30"/>
  <c r="N18" i="30"/>
  <c r="N19" i="30"/>
  <c r="N24" i="30"/>
  <c r="N28" i="30"/>
  <c r="N32" i="30"/>
  <c r="O35" i="30"/>
  <c r="N36" i="30"/>
  <c r="B59" i="30"/>
  <c r="F59" i="30"/>
  <c r="N27" i="29"/>
  <c r="O35" i="29"/>
  <c r="O31" i="29"/>
  <c r="N30" i="29"/>
  <c r="O32" i="29"/>
  <c r="N34" i="29"/>
  <c r="O34" i="29"/>
  <c r="O29" i="29"/>
  <c r="N31" i="29"/>
  <c r="N37" i="29"/>
  <c r="O26" i="29"/>
  <c r="O28" i="29"/>
  <c r="O30" i="29"/>
  <c r="O23" i="29"/>
  <c r="O25" i="29"/>
  <c r="O27" i="29"/>
  <c r="N26" i="29"/>
  <c r="N15" i="3"/>
  <c r="O24" i="29"/>
  <c r="O29" i="28"/>
  <c r="O19" i="29"/>
  <c r="N15" i="29"/>
  <c r="N21" i="29"/>
  <c r="N32" i="28"/>
  <c r="O36" i="28"/>
  <c r="N37" i="28"/>
  <c r="O8" i="29"/>
  <c r="O15" i="29"/>
  <c r="O32" i="28"/>
  <c r="N34" i="28"/>
  <c r="N38" i="29"/>
  <c r="O38" i="29"/>
  <c r="N22" i="29"/>
  <c r="O22" i="29"/>
  <c r="O21" i="29"/>
  <c r="N35" i="29"/>
  <c r="A73" i="29"/>
  <c r="N6" i="29"/>
  <c r="N10" i="29"/>
  <c r="N14" i="29"/>
  <c r="N18" i="29"/>
  <c r="N19" i="29"/>
  <c r="N24" i="29"/>
  <c r="N28" i="29"/>
  <c r="N32" i="29"/>
  <c r="N36" i="29"/>
  <c r="B59" i="29"/>
  <c r="F59" i="29"/>
  <c r="F45" i="29"/>
  <c r="O35" i="27"/>
  <c r="O23" i="28"/>
  <c r="O27" i="28"/>
  <c r="N29" i="28"/>
  <c r="O31" i="28"/>
  <c r="O35" i="28"/>
  <c r="N31" i="28"/>
  <c r="N35" i="28"/>
  <c r="N27" i="27"/>
  <c r="O29" i="27"/>
  <c r="O28" i="28"/>
  <c r="N30" i="28"/>
  <c r="O31" i="27"/>
  <c r="N23" i="28"/>
  <c r="O25" i="28"/>
  <c r="N27" i="28"/>
  <c r="N25" i="28"/>
  <c r="O24" i="28"/>
  <c r="N26" i="28"/>
  <c r="N24" i="28"/>
  <c r="N28" i="14"/>
  <c r="N15" i="28"/>
  <c r="N21" i="28"/>
  <c r="N8" i="28"/>
  <c r="N19" i="28"/>
  <c r="O26" i="27"/>
  <c r="N30" i="27"/>
  <c r="O34" i="27"/>
  <c r="O19" i="28"/>
  <c r="O36" i="27"/>
  <c r="N26" i="27"/>
  <c r="O28" i="27"/>
  <c r="O30" i="27"/>
  <c r="O32" i="27"/>
  <c r="N34" i="27"/>
  <c r="O37" i="27"/>
  <c r="N21" i="27"/>
  <c r="N25" i="27"/>
  <c r="N31" i="27"/>
  <c r="O4" i="28"/>
  <c r="O8" i="28"/>
  <c r="O12" i="28"/>
  <c r="O16" i="28"/>
  <c r="O21" i="28"/>
  <c r="O26" i="28"/>
  <c r="O30" i="28"/>
  <c r="O34" i="28"/>
  <c r="B59" i="28"/>
  <c r="F73" i="28"/>
  <c r="F59" i="28"/>
  <c r="N29" i="26"/>
  <c r="O19" i="27"/>
  <c r="O15" i="27"/>
  <c r="N23" i="27"/>
  <c r="O25" i="27"/>
  <c r="O27" i="27"/>
  <c r="N29" i="27"/>
  <c r="N25" i="26"/>
  <c r="O29" i="26"/>
  <c r="N31" i="26"/>
  <c r="O31" i="26"/>
  <c r="O23" i="27"/>
  <c r="O24" i="27"/>
  <c r="N15" i="27"/>
  <c r="O37" i="26"/>
  <c r="N38" i="27"/>
  <c r="O38" i="27"/>
  <c r="N22" i="27"/>
  <c r="O22" i="27"/>
  <c r="O21" i="27"/>
  <c r="N35" i="27"/>
  <c r="A73" i="27"/>
  <c r="N6" i="27"/>
  <c r="N10" i="27"/>
  <c r="N14" i="27"/>
  <c r="N18" i="27"/>
  <c r="N19" i="27"/>
  <c r="N24" i="27"/>
  <c r="N28" i="27"/>
  <c r="N32" i="27"/>
  <c r="N36" i="27"/>
  <c r="B59" i="27"/>
  <c r="F59" i="27"/>
  <c r="O35" i="26"/>
  <c r="N35" i="4"/>
  <c r="O36" i="26"/>
  <c r="N24" i="26"/>
  <c r="N28" i="26"/>
  <c r="N30" i="26"/>
  <c r="N32" i="26"/>
  <c r="N34" i="26"/>
  <c r="O32" i="26"/>
  <c r="O28" i="26"/>
  <c r="N19" i="26"/>
  <c r="O23" i="26"/>
  <c r="O25" i="26"/>
  <c r="N27" i="26"/>
  <c r="O27" i="26"/>
  <c r="O24" i="26"/>
  <c r="N26" i="26"/>
  <c r="O19" i="26"/>
  <c r="N15" i="26"/>
  <c r="N21" i="26"/>
  <c r="O15" i="26"/>
  <c r="O36" i="24"/>
  <c r="N8" i="26"/>
  <c r="N31" i="25"/>
  <c r="O35" i="25"/>
  <c r="O36" i="25"/>
  <c r="O4" i="26"/>
  <c r="O8" i="26"/>
  <c r="O12" i="26"/>
  <c r="O16" i="26"/>
  <c r="O21" i="26"/>
  <c r="O26" i="26"/>
  <c r="O30" i="26"/>
  <c r="O34" i="26"/>
  <c r="B59" i="26"/>
  <c r="F73" i="26"/>
  <c r="F59" i="26"/>
  <c r="O32" i="25"/>
  <c r="N34" i="25"/>
  <c r="O34" i="25"/>
  <c r="O27" i="25"/>
  <c r="O29" i="25"/>
  <c r="O31" i="25"/>
  <c r="N25" i="25"/>
  <c r="N29" i="25"/>
  <c r="O30" i="25"/>
  <c r="O8" i="25"/>
  <c r="N27" i="25"/>
  <c r="N26" i="25"/>
  <c r="O28" i="25"/>
  <c r="O26" i="25"/>
  <c r="O15" i="25"/>
  <c r="O23" i="25"/>
  <c r="N23" i="25"/>
  <c r="N36" i="24"/>
  <c r="N8" i="25"/>
  <c r="O24" i="25"/>
  <c r="O19" i="25"/>
  <c r="O35" i="24"/>
  <c r="O37" i="24"/>
  <c r="N38" i="25"/>
  <c r="O38" i="25"/>
  <c r="N22" i="25"/>
  <c r="O22" i="25"/>
  <c r="O21" i="25"/>
  <c r="N35" i="25"/>
  <c r="A73" i="25"/>
  <c r="N6" i="25"/>
  <c r="N10" i="25"/>
  <c r="N14" i="25"/>
  <c r="N18" i="25"/>
  <c r="N19" i="25"/>
  <c r="N24" i="25"/>
  <c r="N28" i="25"/>
  <c r="N32" i="25"/>
  <c r="N36" i="25"/>
  <c r="B59" i="25"/>
  <c r="F59" i="25"/>
  <c r="O31" i="24"/>
  <c r="N35" i="24"/>
  <c r="N31" i="24"/>
  <c r="O31" i="7"/>
  <c r="O28" i="24"/>
  <c r="N32" i="24"/>
  <c r="N34" i="24"/>
  <c r="O32" i="24"/>
  <c r="N19" i="24"/>
  <c r="N24" i="24"/>
  <c r="N26" i="24"/>
  <c r="N28" i="24"/>
  <c r="N30" i="24"/>
  <c r="O24" i="24"/>
  <c r="O27" i="21"/>
  <c r="O23" i="24"/>
  <c r="O25" i="24"/>
  <c r="N25" i="24"/>
  <c r="N27" i="24"/>
  <c r="O27" i="24"/>
  <c r="O19" i="24"/>
  <c r="O29" i="21"/>
  <c r="N29" i="23"/>
  <c r="O31" i="23"/>
  <c r="N23" i="24"/>
  <c r="N15" i="24"/>
  <c r="N26" i="23"/>
  <c r="O36" i="23"/>
  <c r="N15" i="23"/>
  <c r="N21" i="23"/>
  <c r="O23" i="23"/>
  <c r="N25" i="23"/>
  <c r="O15" i="23"/>
  <c r="O25" i="23"/>
  <c r="O27" i="23"/>
  <c r="O24" i="23"/>
  <c r="O32" i="23"/>
  <c r="O4" i="24"/>
  <c r="O8" i="24"/>
  <c r="O12" i="24"/>
  <c r="O16" i="24"/>
  <c r="O21" i="24"/>
  <c r="O26" i="24"/>
  <c r="O30" i="24"/>
  <c r="O34" i="24"/>
  <c r="B59" i="24"/>
  <c r="F73" i="24"/>
  <c r="F59" i="24"/>
  <c r="O19" i="23"/>
  <c r="O26" i="23"/>
  <c r="O28" i="23"/>
  <c r="O30" i="23"/>
  <c r="O34" i="23"/>
  <c r="O37" i="23"/>
  <c r="N30" i="23"/>
  <c r="N34" i="23"/>
  <c r="N24" i="22"/>
  <c r="N23" i="4"/>
  <c r="O8" i="23"/>
  <c r="N38" i="23"/>
  <c r="O38" i="23"/>
  <c r="N22" i="23"/>
  <c r="O22" i="23"/>
  <c r="N5" i="23"/>
  <c r="N9" i="23"/>
  <c r="N13" i="23"/>
  <c r="N17" i="23"/>
  <c r="O21" i="23"/>
  <c r="N23" i="23"/>
  <c r="N27" i="23"/>
  <c r="N31" i="23"/>
  <c r="N35" i="23"/>
  <c r="A73" i="23"/>
  <c r="N6" i="23"/>
  <c r="N10" i="23"/>
  <c r="N14" i="23"/>
  <c r="N18" i="23"/>
  <c r="N19" i="23"/>
  <c r="N24" i="23"/>
  <c r="N28" i="23"/>
  <c r="N32" i="23"/>
  <c r="O35" i="23"/>
  <c r="N36" i="23"/>
  <c r="B59" i="23"/>
  <c r="F59" i="23"/>
  <c r="N24" i="21"/>
  <c r="N19" i="21"/>
  <c r="N30" i="20"/>
  <c r="N26" i="21"/>
  <c r="O19" i="22"/>
  <c r="O24" i="22"/>
  <c r="O23" i="21"/>
  <c r="N8" i="5"/>
  <c r="O8" i="5"/>
  <c r="N15" i="22"/>
  <c r="N36" i="20"/>
  <c r="N28" i="21"/>
  <c r="O36" i="20"/>
  <c r="O15" i="22"/>
  <c r="N19" i="22"/>
  <c r="O28" i="21"/>
  <c r="N30" i="21"/>
  <c r="N34" i="21"/>
  <c r="O25" i="21"/>
  <c r="N27" i="21"/>
  <c r="N29" i="21"/>
  <c r="O31" i="21"/>
  <c r="O36" i="21"/>
  <c r="N29" i="13"/>
  <c r="N31" i="21"/>
  <c r="N24" i="20"/>
  <c r="O28" i="20"/>
  <c r="N32" i="20"/>
  <c r="O37" i="20"/>
  <c r="O37" i="21"/>
  <c r="O32" i="21"/>
  <c r="O31" i="20"/>
  <c r="O19" i="21"/>
  <c r="O24" i="21"/>
  <c r="O35" i="21"/>
  <c r="N37" i="21"/>
  <c r="O4" i="22"/>
  <c r="O8" i="22"/>
  <c r="O12" i="22"/>
  <c r="O16" i="22"/>
  <c r="B59" i="22"/>
  <c r="F73" i="22"/>
  <c r="F59" i="22"/>
  <c r="N15" i="21"/>
  <c r="O15" i="21"/>
  <c r="N21" i="21"/>
  <c r="N23" i="21"/>
  <c r="N23" i="20"/>
  <c r="O29" i="20"/>
  <c r="N35" i="20"/>
  <c r="O35" i="20"/>
  <c r="N21" i="20"/>
  <c r="O25" i="20"/>
  <c r="O23" i="20"/>
  <c r="N25" i="20"/>
  <c r="O27" i="20"/>
  <c r="N31" i="20"/>
  <c r="N26" i="20"/>
  <c r="N28" i="20"/>
  <c r="O32" i="20"/>
  <c r="N34" i="20"/>
  <c r="O4" i="21"/>
  <c r="O8" i="21"/>
  <c r="O12" i="21"/>
  <c r="O16" i="21"/>
  <c r="O21" i="21"/>
  <c r="O26" i="21"/>
  <c r="O30" i="21"/>
  <c r="O34" i="21"/>
  <c r="B59" i="21"/>
  <c r="F73" i="21"/>
  <c r="F59" i="21"/>
  <c r="O24" i="20"/>
  <c r="N23" i="5"/>
  <c r="O36" i="19"/>
  <c r="O35" i="19"/>
  <c r="O37" i="19"/>
  <c r="O15" i="20"/>
  <c r="N15" i="20"/>
  <c r="N8" i="20"/>
  <c r="N19" i="20"/>
  <c r="N37" i="19"/>
  <c r="O19" i="20"/>
  <c r="N32" i="9"/>
  <c r="O4" i="20"/>
  <c r="O8" i="20"/>
  <c r="O12" i="20"/>
  <c r="O16" i="20"/>
  <c r="O21" i="20"/>
  <c r="O26" i="20"/>
  <c r="O30" i="20"/>
  <c r="O34" i="20"/>
  <c r="B59" i="20"/>
  <c r="F73" i="20"/>
  <c r="F59" i="20"/>
  <c r="O31" i="19"/>
  <c r="O26" i="19"/>
  <c r="O28" i="19"/>
  <c r="O32" i="19"/>
  <c r="N30" i="19"/>
  <c r="N29" i="19"/>
  <c r="N31" i="19"/>
  <c r="N25" i="19"/>
  <c r="O27" i="19"/>
  <c r="O29" i="19"/>
  <c r="N27" i="19"/>
  <c r="N26" i="19"/>
  <c r="O25" i="19"/>
  <c r="N23" i="19"/>
  <c r="O23" i="19"/>
  <c r="O24" i="13"/>
  <c r="O36" i="18"/>
  <c r="O19" i="19"/>
  <c r="N21" i="19"/>
  <c r="O27" i="17"/>
  <c r="N29" i="17"/>
  <c r="O31" i="17"/>
  <c r="N32" i="18"/>
  <c r="N15" i="19"/>
  <c r="N36" i="18"/>
  <c r="O8" i="19"/>
  <c r="O28" i="18"/>
  <c r="N30" i="18"/>
  <c r="N34" i="18"/>
  <c r="O37" i="18"/>
  <c r="O27" i="18"/>
  <c r="O36" i="17"/>
  <c r="O32" i="18"/>
  <c r="N22" i="19"/>
  <c r="O22" i="19"/>
  <c r="N38" i="19"/>
  <c r="O38" i="19"/>
  <c r="N5" i="19"/>
  <c r="O21" i="19"/>
  <c r="N35" i="19"/>
  <c r="A73" i="19"/>
  <c r="N6" i="19"/>
  <c r="N10" i="19"/>
  <c r="N14" i="19"/>
  <c r="N18" i="19"/>
  <c r="N19" i="19"/>
  <c r="N24" i="19"/>
  <c r="N28" i="19"/>
  <c r="N32" i="19"/>
  <c r="N36" i="19"/>
  <c r="B59" i="19"/>
  <c r="F59" i="19"/>
  <c r="O15" i="3"/>
  <c r="O19" i="18"/>
  <c r="O23" i="18"/>
  <c r="O25" i="18"/>
  <c r="N27" i="18"/>
  <c r="N29" i="18"/>
  <c r="O31" i="18"/>
  <c r="N35" i="18"/>
  <c r="O29" i="18"/>
  <c r="O35" i="18"/>
  <c r="N25" i="18"/>
  <c r="N31" i="18"/>
  <c r="O25" i="17"/>
  <c r="N19" i="18"/>
  <c r="O24" i="18"/>
  <c r="N26" i="18"/>
  <c r="N23" i="16"/>
  <c r="O30" i="17"/>
  <c r="O32" i="17"/>
  <c r="N34" i="17"/>
  <c r="O37" i="17"/>
  <c r="O15" i="18"/>
  <c r="N21" i="18"/>
  <c r="N23" i="18"/>
  <c r="N15" i="18"/>
  <c r="O24" i="17"/>
  <c r="O23" i="17"/>
  <c r="N25" i="17"/>
  <c r="O29" i="17"/>
  <c r="N31" i="17"/>
  <c r="O19" i="17"/>
  <c r="N26" i="17"/>
  <c r="O28" i="17"/>
  <c r="N30" i="17"/>
  <c r="O34" i="17"/>
  <c r="O4" i="18"/>
  <c r="O8" i="18"/>
  <c r="O12" i="18"/>
  <c r="O16" i="18"/>
  <c r="O21" i="18"/>
  <c r="O26" i="18"/>
  <c r="O30" i="18"/>
  <c r="O34" i="18"/>
  <c r="B59" i="18"/>
  <c r="F73" i="18"/>
  <c r="F59" i="18"/>
  <c r="F45" i="18"/>
  <c r="O36" i="16"/>
  <c r="N36" i="15"/>
  <c r="O36" i="15"/>
  <c r="O28" i="16"/>
  <c r="O34" i="16"/>
  <c r="O26" i="17"/>
  <c r="N32" i="15"/>
  <c r="N29" i="16"/>
  <c r="O31" i="16"/>
  <c r="O35" i="16"/>
  <c r="N8" i="17"/>
  <c r="O15" i="17"/>
  <c r="O8" i="17"/>
  <c r="N30" i="16"/>
  <c r="N34" i="16"/>
  <c r="O37" i="16"/>
  <c r="N15" i="17"/>
  <c r="O26" i="16"/>
  <c r="O32" i="16"/>
  <c r="N15" i="16"/>
  <c r="O23" i="16"/>
  <c r="O25" i="16"/>
  <c r="O27" i="16"/>
  <c r="O29" i="16"/>
  <c r="N31" i="16"/>
  <c r="N38" i="17"/>
  <c r="O38" i="17"/>
  <c r="N22" i="17"/>
  <c r="O22" i="17"/>
  <c r="N27" i="16"/>
  <c r="N5" i="17"/>
  <c r="N9" i="17"/>
  <c r="N13" i="17"/>
  <c r="N17" i="17"/>
  <c r="O21" i="17"/>
  <c r="N23" i="17"/>
  <c r="N27" i="17"/>
  <c r="N35" i="17"/>
  <c r="A73" i="17"/>
  <c r="N25" i="16"/>
  <c r="N6" i="17"/>
  <c r="N10" i="17"/>
  <c r="N14" i="17"/>
  <c r="N18" i="17"/>
  <c r="N19" i="17"/>
  <c r="N24" i="17"/>
  <c r="N28" i="17"/>
  <c r="N32" i="17"/>
  <c r="O35" i="17"/>
  <c r="N36" i="17"/>
  <c r="B59" i="17"/>
  <c r="F59" i="17"/>
  <c r="N24" i="15"/>
  <c r="O8" i="16"/>
  <c r="O19" i="16"/>
  <c r="O24" i="16"/>
  <c r="N26" i="16"/>
  <c r="O30" i="16"/>
  <c r="N28" i="15"/>
  <c r="N30" i="15"/>
  <c r="N34" i="15"/>
  <c r="N24" i="14"/>
  <c r="O28" i="15"/>
  <c r="O15" i="16"/>
  <c r="O35" i="13"/>
  <c r="N26" i="15"/>
  <c r="O32" i="15"/>
  <c r="N26" i="14"/>
  <c r="N38" i="16"/>
  <c r="O38" i="16"/>
  <c r="N22" i="16"/>
  <c r="O22" i="16"/>
  <c r="O21" i="16"/>
  <c r="N35" i="16"/>
  <c r="A73" i="16"/>
  <c r="N6" i="16"/>
  <c r="N10" i="16"/>
  <c r="N14" i="16"/>
  <c r="N18" i="16"/>
  <c r="N19" i="16"/>
  <c r="N24" i="16"/>
  <c r="N28" i="16"/>
  <c r="N32" i="16"/>
  <c r="N36" i="16"/>
  <c r="B59" i="16"/>
  <c r="F59" i="16"/>
  <c r="F45" i="16"/>
  <c r="N29" i="14"/>
  <c r="O23" i="15"/>
  <c r="O25" i="15"/>
  <c r="O29" i="15"/>
  <c r="O31" i="15"/>
  <c r="O35" i="15"/>
  <c r="O32" i="13"/>
  <c r="N37" i="13"/>
  <c r="N31" i="15"/>
  <c r="N29" i="15"/>
  <c r="N35" i="15"/>
  <c r="O36" i="13"/>
  <c r="N25" i="15"/>
  <c r="O27" i="15"/>
  <c r="N27" i="15"/>
  <c r="N21" i="4"/>
  <c r="O15" i="15"/>
  <c r="N21" i="15"/>
  <c r="N19" i="14"/>
  <c r="N26" i="13"/>
  <c r="N28" i="13"/>
  <c r="N34" i="13"/>
  <c r="N19" i="15"/>
  <c r="O19" i="15"/>
  <c r="N31" i="14"/>
  <c r="O27" i="13"/>
  <c r="O31" i="13"/>
  <c r="N19" i="13"/>
  <c r="O27" i="14"/>
  <c r="O23" i="14"/>
  <c r="O25" i="14"/>
  <c r="N27" i="14"/>
  <c r="O29" i="14"/>
  <c r="O31" i="14"/>
  <c r="O4" i="15"/>
  <c r="O8" i="15"/>
  <c r="O12" i="15"/>
  <c r="O16" i="15"/>
  <c r="O21" i="15"/>
  <c r="O26" i="15"/>
  <c r="O30" i="15"/>
  <c r="O34" i="15"/>
  <c r="B59" i="15"/>
  <c r="F73" i="15"/>
  <c r="F59" i="15"/>
  <c r="O28" i="14"/>
  <c r="N30" i="14"/>
  <c r="N32" i="14"/>
  <c r="O35" i="14"/>
  <c r="O37" i="14"/>
  <c r="N35" i="14"/>
  <c r="N37" i="14"/>
  <c r="O32" i="14"/>
  <c r="N25" i="14"/>
  <c r="N15" i="14"/>
  <c r="N8" i="14"/>
  <c r="O19" i="14"/>
  <c r="O24" i="14"/>
  <c r="O15" i="14"/>
  <c r="N21" i="14"/>
  <c r="N23" i="14"/>
  <c r="N25" i="13"/>
  <c r="O29" i="13"/>
  <c r="N31" i="13"/>
  <c r="N35" i="13"/>
  <c r="N23" i="13"/>
  <c r="O23" i="13"/>
  <c r="O25" i="13"/>
  <c r="N24" i="13"/>
  <c r="O28" i="13"/>
  <c r="N30" i="13"/>
  <c r="N32" i="13"/>
  <c r="O4" i="14"/>
  <c r="O8" i="14"/>
  <c r="O12" i="14"/>
  <c r="O16" i="14"/>
  <c r="O21" i="14"/>
  <c r="O26" i="14"/>
  <c r="O30" i="14"/>
  <c r="O34" i="14"/>
  <c r="B59" i="14"/>
  <c r="F73" i="14"/>
  <c r="F59" i="14"/>
  <c r="O28" i="2"/>
  <c r="N32" i="12"/>
  <c r="O32" i="12"/>
  <c r="N34" i="12"/>
  <c r="O35" i="12"/>
  <c r="N35" i="12"/>
  <c r="O19" i="13"/>
  <c r="O15" i="13"/>
  <c r="N15" i="13"/>
  <c r="N36" i="12"/>
  <c r="N30" i="12"/>
  <c r="O27" i="11"/>
  <c r="N31" i="11"/>
  <c r="N29" i="11"/>
  <c r="O4" i="13"/>
  <c r="O8" i="13"/>
  <c r="O12" i="13"/>
  <c r="O16" i="13"/>
  <c r="O21" i="13"/>
  <c r="O26" i="13"/>
  <c r="O30" i="13"/>
  <c r="O34" i="13"/>
  <c r="N36" i="13"/>
  <c r="B59" i="13"/>
  <c r="F73" i="13"/>
  <c r="F59" i="13"/>
  <c r="N23" i="11"/>
  <c r="O15" i="12"/>
  <c r="N23" i="12"/>
  <c r="N27" i="12"/>
  <c r="O30" i="11"/>
  <c r="N15" i="12"/>
  <c r="N21" i="12"/>
  <c r="O23" i="12"/>
  <c r="O27" i="12"/>
  <c r="O29" i="12"/>
  <c r="O31" i="12"/>
  <c r="N31" i="12"/>
  <c r="N29" i="12"/>
  <c r="O35" i="11"/>
  <c r="N19" i="12"/>
  <c r="O24" i="12"/>
  <c r="N26" i="12"/>
  <c r="O19" i="12"/>
  <c r="N24" i="12"/>
  <c r="O26" i="11"/>
  <c r="O32" i="11"/>
  <c r="N34" i="11"/>
  <c r="N35" i="11"/>
  <c r="O28" i="11"/>
  <c r="N30" i="11"/>
  <c r="O34" i="11"/>
  <c r="O24" i="11"/>
  <c r="N27" i="11"/>
  <c r="O29" i="11"/>
  <c r="O31" i="11"/>
  <c r="O4" i="12"/>
  <c r="O8" i="12"/>
  <c r="O12" i="12"/>
  <c r="O16" i="12"/>
  <c r="O21" i="12"/>
  <c r="O26" i="12"/>
  <c r="O30" i="12"/>
  <c r="O34" i="12"/>
  <c r="B59" i="12"/>
  <c r="F73" i="12"/>
  <c r="F59" i="12"/>
  <c r="O25" i="11"/>
  <c r="N25" i="11"/>
  <c r="N21" i="11"/>
  <c r="O23" i="11"/>
  <c r="O19" i="11"/>
  <c r="N34" i="10"/>
  <c r="N15" i="11"/>
  <c r="O8" i="11"/>
  <c r="O35" i="10"/>
  <c r="N22" i="11"/>
  <c r="O22" i="11"/>
  <c r="O21" i="11"/>
  <c r="N6" i="11"/>
  <c r="N10" i="11"/>
  <c r="N14" i="11"/>
  <c r="N18" i="11"/>
  <c r="N19" i="11"/>
  <c r="N24" i="11"/>
  <c r="N28" i="11"/>
  <c r="N32" i="11"/>
  <c r="N36" i="11"/>
  <c r="B59" i="11"/>
  <c r="F73" i="11"/>
  <c r="F59" i="11"/>
  <c r="N24" i="10"/>
  <c r="N32" i="10"/>
  <c r="O32" i="10"/>
  <c r="O25" i="10"/>
  <c r="O29" i="10"/>
  <c r="N31" i="10"/>
  <c r="O23" i="10"/>
  <c r="N25" i="10"/>
  <c r="O27" i="10"/>
  <c r="N29" i="10"/>
  <c r="N27" i="10"/>
  <c r="O24" i="10"/>
  <c r="N26" i="10"/>
  <c r="O28" i="10"/>
  <c r="N30" i="10"/>
  <c r="N28" i="10"/>
  <c r="O19" i="10"/>
  <c r="N19" i="10"/>
  <c r="O15" i="10"/>
  <c r="N8" i="10"/>
  <c r="O4" i="10"/>
  <c r="O8" i="10"/>
  <c r="O12" i="10"/>
  <c r="O16" i="10"/>
  <c r="O21" i="10"/>
  <c r="O26" i="10"/>
  <c r="O30" i="10"/>
  <c r="O34" i="10"/>
  <c r="B59" i="10"/>
  <c r="F73" i="10"/>
  <c r="F59" i="10"/>
  <c r="N36" i="9"/>
  <c r="N29" i="9"/>
  <c r="N31" i="9"/>
  <c r="O36" i="9"/>
  <c r="O37" i="9"/>
  <c r="O32" i="9"/>
  <c r="N34" i="9"/>
  <c r="N30" i="9"/>
  <c r="O35" i="9"/>
  <c r="N35" i="9"/>
  <c r="O25" i="9"/>
  <c r="O29" i="9"/>
  <c r="O31" i="9"/>
  <c r="N27" i="7"/>
  <c r="N24" i="9"/>
  <c r="N26" i="9"/>
  <c r="N28" i="9"/>
  <c r="O24" i="9"/>
  <c r="O28" i="9"/>
  <c r="O23" i="9"/>
  <c r="N23" i="9"/>
  <c r="N25" i="9"/>
  <c r="O27" i="7"/>
  <c r="N29" i="7"/>
  <c r="N31" i="7"/>
  <c r="N21" i="9"/>
  <c r="O19" i="9"/>
  <c r="O15" i="9"/>
  <c r="N15" i="9"/>
  <c r="N8" i="9"/>
  <c r="N34" i="7"/>
  <c r="O35" i="7"/>
  <c r="O4" i="9"/>
  <c r="O8" i="9"/>
  <c r="O12" i="9"/>
  <c r="O16" i="9"/>
  <c r="O21" i="9"/>
  <c r="O26" i="9"/>
  <c r="O30" i="9"/>
  <c r="O34" i="9"/>
  <c r="B59" i="9"/>
  <c r="F73" i="9"/>
  <c r="F59" i="9"/>
  <c r="N35" i="7"/>
  <c r="O29" i="7"/>
  <c r="N38" i="8"/>
  <c r="O38" i="8"/>
  <c r="O4" i="8"/>
  <c r="O8" i="8"/>
  <c r="O12" i="8"/>
  <c r="O16" i="8"/>
  <c r="O21" i="8"/>
  <c r="O26" i="8"/>
  <c r="O30" i="8"/>
  <c r="O34" i="8"/>
  <c r="N35" i="8"/>
  <c r="B59" i="8"/>
  <c r="F73" i="8"/>
  <c r="F59" i="8"/>
  <c r="N28" i="7"/>
  <c r="N26" i="7"/>
  <c r="N30" i="7"/>
  <c r="O32" i="7"/>
  <c r="O24" i="7"/>
  <c r="N32" i="7"/>
  <c r="O23" i="7"/>
  <c r="N24" i="7"/>
  <c r="O28" i="7"/>
  <c r="N15" i="7"/>
  <c r="O31" i="6"/>
  <c r="N21" i="7"/>
  <c r="N27" i="6"/>
  <c r="N29" i="6"/>
  <c r="N31" i="6"/>
  <c r="N35" i="6"/>
  <c r="N19" i="7"/>
  <c r="O19" i="7"/>
  <c r="O15" i="7"/>
  <c r="N30" i="6"/>
  <c r="N32" i="6"/>
  <c r="O29" i="5"/>
  <c r="N8" i="7"/>
  <c r="O36" i="6"/>
  <c r="N36" i="6"/>
  <c r="O27" i="6"/>
  <c r="O29" i="6"/>
  <c r="O35" i="6"/>
  <c r="O32" i="6"/>
  <c r="N34" i="6"/>
  <c r="O37" i="6"/>
  <c r="O25" i="6"/>
  <c r="O4" i="7"/>
  <c r="O8" i="7"/>
  <c r="O12" i="7"/>
  <c r="O16" i="7"/>
  <c r="O21" i="7"/>
  <c r="O26" i="7"/>
  <c r="O30" i="7"/>
  <c r="O34" i="7"/>
  <c r="B59" i="7"/>
  <c r="F73" i="7"/>
  <c r="F59" i="7"/>
  <c r="O28" i="5"/>
  <c r="N30" i="5"/>
  <c r="O34" i="5"/>
  <c r="O28" i="6"/>
  <c r="N28" i="6"/>
  <c r="N25" i="5"/>
  <c r="N27" i="5"/>
  <c r="O31" i="5"/>
  <c r="N15" i="6"/>
  <c r="O23" i="6"/>
  <c r="N26" i="6"/>
  <c r="N23" i="6"/>
  <c r="N24" i="6"/>
  <c r="O24" i="6"/>
  <c r="O32" i="2"/>
  <c r="O26" i="5"/>
  <c r="N26" i="5"/>
  <c r="O30" i="5"/>
  <c r="O32" i="5"/>
  <c r="N34" i="5"/>
  <c r="O15" i="6"/>
  <c r="O25" i="5"/>
  <c r="O27" i="5"/>
  <c r="N29" i="5"/>
  <c r="N31" i="5"/>
  <c r="N19" i="6"/>
  <c r="O19" i="6"/>
  <c r="O19" i="2"/>
  <c r="O4" i="6"/>
  <c r="O8" i="6"/>
  <c r="O12" i="6"/>
  <c r="O16" i="6"/>
  <c r="O21" i="6"/>
  <c r="O26" i="6"/>
  <c r="O30" i="6"/>
  <c r="O34" i="6"/>
  <c r="B59" i="6"/>
  <c r="F73" i="6"/>
  <c r="F59" i="6"/>
  <c r="O23" i="5"/>
  <c r="N21" i="5"/>
  <c r="O19" i="5"/>
  <c r="N15" i="5"/>
  <c r="O15" i="5"/>
  <c r="N36" i="4"/>
  <c r="O36" i="4"/>
  <c r="O32" i="4"/>
  <c r="N34" i="4"/>
  <c r="O35" i="4"/>
  <c r="O37" i="4"/>
  <c r="N22" i="5"/>
  <c r="O22" i="5"/>
  <c r="N38" i="5"/>
  <c r="O38" i="5"/>
  <c r="O21" i="5"/>
  <c r="N35" i="5"/>
  <c r="A73" i="5"/>
  <c r="N6" i="5"/>
  <c r="N10" i="5"/>
  <c r="N14" i="5"/>
  <c r="N18" i="5"/>
  <c r="N19" i="5"/>
  <c r="N24" i="5"/>
  <c r="N28" i="5"/>
  <c r="N32" i="5"/>
  <c r="N36" i="5"/>
  <c r="B59" i="5"/>
  <c r="F59" i="5"/>
  <c r="F45" i="5"/>
  <c r="O31" i="4"/>
  <c r="O29" i="4"/>
  <c r="N30" i="4"/>
  <c r="N27" i="4"/>
  <c r="O24" i="4"/>
  <c r="N26" i="4"/>
  <c r="N28" i="4"/>
  <c r="O27" i="4"/>
  <c r="O25" i="4"/>
  <c r="O28" i="4"/>
  <c r="O19" i="4"/>
  <c r="N24" i="4"/>
  <c r="O35" i="3"/>
  <c r="O23" i="4"/>
  <c r="N25" i="4"/>
  <c r="N32" i="3"/>
  <c r="O37" i="3"/>
  <c r="O15" i="4"/>
  <c r="N15" i="4"/>
  <c r="O28" i="3"/>
  <c r="N30" i="3"/>
  <c r="N34" i="3"/>
  <c r="N8" i="4"/>
  <c r="N29" i="3"/>
  <c r="O31" i="3"/>
  <c r="O24" i="3"/>
  <c r="O27" i="3"/>
  <c r="O29" i="3"/>
  <c r="N31" i="3"/>
  <c r="N35" i="3"/>
  <c r="N24" i="3"/>
  <c r="N27" i="3"/>
  <c r="O23" i="3"/>
  <c r="O32" i="3"/>
  <c r="O4" i="4"/>
  <c r="O8" i="4"/>
  <c r="O12" i="4"/>
  <c r="O16" i="4"/>
  <c r="O21" i="4"/>
  <c r="O26" i="4"/>
  <c r="O30" i="4"/>
  <c r="O34" i="4"/>
  <c r="B59" i="4"/>
  <c r="F73" i="4"/>
  <c r="F59" i="4"/>
  <c r="O33" i="2"/>
  <c r="N36" i="3"/>
  <c r="O36" i="3"/>
  <c r="N25" i="3"/>
  <c r="N26" i="3"/>
  <c r="N28" i="3"/>
  <c r="N23" i="3"/>
  <c r="N21" i="3"/>
  <c r="O19" i="3"/>
  <c r="N19" i="3"/>
  <c r="N8" i="3"/>
  <c r="O36" i="2"/>
  <c r="N35" i="2"/>
  <c r="N8" i="2"/>
  <c r="O29" i="2"/>
  <c r="O31" i="2"/>
  <c r="N4" i="3"/>
  <c r="N31" i="2"/>
  <c r="O8" i="3"/>
  <c r="O12" i="3"/>
  <c r="O16" i="3"/>
  <c r="O21" i="3"/>
  <c r="O26" i="3"/>
  <c r="O30" i="3"/>
  <c r="O34" i="3"/>
  <c r="B59" i="3"/>
  <c r="F73" i="3"/>
  <c r="F59" i="3"/>
  <c r="O30" i="2"/>
  <c r="O34" i="2"/>
  <c r="N26" i="2"/>
  <c r="N34" i="2"/>
  <c r="N30" i="2"/>
  <c r="O26" i="2"/>
  <c r="O27" i="2"/>
  <c r="N23" i="2"/>
  <c r="O25" i="2"/>
  <c r="O24" i="2"/>
  <c r="O23" i="2"/>
  <c r="N21" i="2"/>
  <c r="O21" i="2"/>
  <c r="O15" i="2"/>
  <c r="O8" i="2"/>
  <c r="N38" i="2"/>
  <c r="O38" i="2"/>
  <c r="N22" i="2"/>
  <c r="O22" i="2"/>
  <c r="A73" i="2"/>
  <c r="N6" i="2"/>
  <c r="N10" i="2"/>
  <c r="N14" i="2"/>
  <c r="N18" i="2"/>
  <c r="N19" i="2"/>
  <c r="N24" i="2"/>
  <c r="N28" i="2"/>
  <c r="N32" i="2"/>
  <c r="O35" i="2"/>
  <c r="N36" i="2"/>
  <c r="B59" i="2"/>
  <c r="N3" i="2"/>
  <c r="N7" i="2"/>
  <c r="N11" i="2"/>
  <c r="N15" i="2"/>
  <c r="N20" i="2"/>
  <c r="N25" i="2"/>
  <c r="N29" i="2"/>
  <c r="N33" i="2"/>
  <c r="N37" i="2"/>
  <c r="F59" i="2"/>
  <c r="O33" i="34"/>
  <c r="N33" i="34"/>
  <c r="N38" i="34"/>
  <c r="O38" i="34"/>
  <c r="N22" i="34"/>
  <c r="O22" i="34"/>
  <c r="O33" i="33"/>
  <c r="N33" i="33"/>
  <c r="O33" i="32"/>
  <c r="N33" i="32"/>
  <c r="N38" i="32"/>
  <c r="O38" i="32"/>
  <c r="N22" i="32"/>
  <c r="O22" i="32"/>
  <c r="O33" i="31"/>
  <c r="N33" i="31"/>
  <c r="O33" i="30"/>
  <c r="N33" i="30"/>
  <c r="O33" i="29"/>
  <c r="N33" i="29"/>
  <c r="O33" i="28"/>
  <c r="N33" i="28"/>
  <c r="N38" i="28"/>
  <c r="O38" i="28"/>
  <c r="N22" i="28"/>
  <c r="O22" i="28"/>
  <c r="O33" i="27"/>
  <c r="N33" i="27"/>
  <c r="O33" i="26"/>
  <c r="N33" i="26"/>
  <c r="N38" i="26"/>
  <c r="O38" i="26"/>
  <c r="N22" i="26"/>
  <c r="O22" i="26"/>
  <c r="O33" i="25"/>
  <c r="N33" i="25"/>
  <c r="O33" i="24"/>
  <c r="N33" i="24"/>
  <c r="N38" i="24"/>
  <c r="O38" i="24"/>
  <c r="N22" i="24"/>
  <c r="O22" i="24"/>
  <c r="O33" i="23"/>
  <c r="N33" i="23"/>
  <c r="O33" i="21"/>
  <c r="N33" i="21"/>
  <c r="N38" i="21"/>
  <c r="O38" i="21"/>
  <c r="N22" i="21"/>
  <c r="O22" i="21"/>
  <c r="O33" i="20"/>
  <c r="N33" i="20"/>
  <c r="N38" i="20"/>
  <c r="O38" i="20"/>
  <c r="N22" i="20"/>
  <c r="O22" i="20"/>
  <c r="O33" i="19"/>
  <c r="N33" i="19"/>
  <c r="O33" i="18"/>
  <c r="N33" i="18"/>
  <c r="N38" i="18"/>
  <c r="O38" i="18"/>
  <c r="N22" i="18"/>
  <c r="O22" i="18"/>
  <c r="O33" i="17"/>
  <c r="N33" i="17"/>
  <c r="O33" i="16"/>
  <c r="N33" i="16"/>
  <c r="O33" i="15"/>
  <c r="N33" i="15"/>
  <c r="N38" i="15"/>
  <c r="O38" i="15"/>
  <c r="N22" i="15"/>
  <c r="O22" i="15"/>
  <c r="O33" i="14"/>
  <c r="N33" i="14"/>
  <c r="N38" i="14"/>
  <c r="O38" i="14"/>
  <c r="N22" i="14"/>
  <c r="O22" i="14"/>
  <c r="N38" i="13"/>
  <c r="O38" i="13"/>
  <c r="O33" i="13"/>
  <c r="N33" i="13"/>
  <c r="N22" i="13"/>
  <c r="O22" i="13"/>
  <c r="O33" i="12"/>
  <c r="N33" i="12"/>
  <c r="N38" i="12"/>
  <c r="O38" i="12"/>
  <c r="N22" i="12"/>
  <c r="O22" i="12"/>
  <c r="O33" i="11"/>
  <c r="N33" i="11"/>
  <c r="N38" i="11"/>
  <c r="O38" i="11"/>
  <c r="O33" i="10"/>
  <c r="N33" i="10"/>
  <c r="N38" i="10"/>
  <c r="O38" i="10"/>
  <c r="N22" i="10"/>
  <c r="O22" i="10"/>
  <c r="O33" i="9"/>
  <c r="N33" i="9"/>
  <c r="N38" i="9"/>
  <c r="O38" i="9"/>
  <c r="N22" i="9"/>
  <c r="O22" i="9"/>
  <c r="O33" i="8"/>
  <c r="N33" i="8"/>
  <c r="N22" i="8"/>
  <c r="O22" i="8"/>
  <c r="N38" i="7"/>
  <c r="O38" i="7"/>
  <c r="N22" i="7"/>
  <c r="O22" i="7"/>
  <c r="O33" i="7"/>
  <c r="N33" i="7"/>
  <c r="O33" i="6"/>
  <c r="N33" i="6"/>
  <c r="N38" i="6"/>
  <c r="O38" i="6"/>
  <c r="N22" i="6"/>
  <c r="O22" i="6"/>
  <c r="O33" i="5"/>
  <c r="N33" i="5"/>
  <c r="O33" i="4"/>
  <c r="N33" i="4"/>
  <c r="N38" i="4"/>
  <c r="O38" i="4"/>
  <c r="N22" i="4"/>
  <c r="O22" i="4"/>
  <c r="O33" i="3"/>
  <c r="N33" i="3"/>
  <c r="N38" i="3"/>
  <c r="O38" i="3"/>
  <c r="N22" i="3"/>
  <c r="O22" i="3"/>
</calcChain>
</file>

<file path=xl/sharedStrings.xml><?xml version="1.0" encoding="utf-8"?>
<sst xmlns="http://schemas.openxmlformats.org/spreadsheetml/2006/main" count="2825" uniqueCount="636">
  <si>
    <t>Contents</t>
  </si>
  <si>
    <t>Segments in this document:</t>
  </si>
  <si>
    <t>Nominal values (£)</t>
  </si>
  <si>
    <t>Back to home page</t>
  </si>
  <si>
    <t>Variable</t>
  </si>
  <si>
    <t>Trend
2005-2013</t>
  </si>
  <si>
    <t>Segment totals</t>
  </si>
  <si>
    <t>Vessel characteristics
(Average per vessel)</t>
  </si>
  <si>
    <t>Average price per tonne landed (£)</t>
  </si>
  <si>
    <t>Performance indicators</t>
  </si>
  <si>
    <t>Total cost per kW day at sea (£)</t>
  </si>
  <si>
    <t>Income, costs and profit
(Average per vessel)</t>
  </si>
  <si>
    <t>Notes:</t>
  </si>
  <si>
    <t xml:space="preserve">Sample rate for vessel characteristics and fishing income is 100%, taken from official data. Sample rates for non-fishing income and costs vary due to availability of financial accounts. See sample rate tab for details. </t>
  </si>
  <si>
    <t>Graphical Interpretation</t>
  </si>
  <si>
    <t>adjusted to 2014 prices</t>
  </si>
  <si>
    <t>Adjusted values (£)</t>
  </si>
  <si>
    <t>nominal values</t>
  </si>
  <si>
    <t>Area VIIA demersal trawl</t>
  </si>
  <si>
    <t>Active vessels (#)</t>
  </si>
  <si>
    <t>Power (kW)</t>
  </si>
  <si>
    <t>Registered Tonnage (GT)</t>
  </si>
  <si>
    <t>VCU (unit)</t>
  </si>
  <si>
    <t>Landings (tonnes)</t>
  </si>
  <si>
    <t>Fishing Income (£ million)</t>
  </si>
  <si>
    <t>Days at Sea (days)</t>
  </si>
  <si>
    <t>Length (m)</t>
  </si>
  <si>
    <t>Fishing Income (£'000)</t>
  </si>
  <si>
    <t>Vessel Age (year)</t>
  </si>
  <si>
    <t>Landings per day at sea (tonnes)</t>
  </si>
  <si>
    <t>Landings per kW day at sea (kg)</t>
  </si>
  <si>
    <t>Income per kW day at sea (£)</t>
  </si>
  <si>
    <t>Operating profit per kW day at sea (£)</t>
  </si>
  <si>
    <t>Non Fishing Income (£'000)</t>
  </si>
  <si>
    <t>Total Income (£'000)</t>
  </si>
  <si>
    <t>Fuel (£'000)</t>
  </si>
  <si>
    <t>Crew share (£'000)</t>
  </si>
  <si>
    <t>Other Fishing Costs (£'000)</t>
  </si>
  <si>
    <t>Total Fishing Costs (£'000)</t>
  </si>
  <si>
    <t>Total Vessel Costs (£'000)</t>
  </si>
  <si>
    <t>Total Costs (£'000)</t>
  </si>
  <si>
    <t>Gross Value Added (£'000)</t>
  </si>
  <si>
    <t>Operating Profit (£'000)</t>
  </si>
  <si>
    <t>Depreciation (£'000)</t>
  </si>
  <si>
    <t>Interest (£'000)</t>
  </si>
  <si>
    <t>Other Finance Costs (£'000)</t>
  </si>
  <si>
    <t>Net Profit (£'000)</t>
  </si>
  <si>
    <t>Queen Scallops - 30.5%</t>
  </si>
  <si>
    <t>Scallops - 38.1%</t>
  </si>
  <si>
    <t>Scallops - 26.5%</t>
  </si>
  <si>
    <t>Nephrops - 26.2%</t>
  </si>
  <si>
    <t>Brown Crab - 22.6%</t>
  </si>
  <si>
    <t>Brown Crab - 17.2%</t>
  </si>
  <si>
    <t>Nephrops - 13.0%</t>
  </si>
  <si>
    <t>Queen Scallops - 11.0%</t>
  </si>
  <si>
    <t>Thornback Ray - 3.6%</t>
  </si>
  <si>
    <t>Thornback Ray - 2.8%</t>
  </si>
  <si>
    <t>Others - 3.8%</t>
  </si>
  <si>
    <t>Others - 4.6%</t>
  </si>
  <si>
    <t>Scallops</t>
  </si>
  <si>
    <t>Nephrops</t>
  </si>
  <si>
    <t>Brown Crab</t>
  </si>
  <si>
    <t>Queen Scallops</t>
  </si>
  <si>
    <t>Thornback Ray</t>
  </si>
  <si>
    <t>Haddock</t>
  </si>
  <si>
    <t>Cod</t>
  </si>
  <si>
    <t>Hake</t>
  </si>
  <si>
    <t>Skates and Rays</t>
  </si>
  <si>
    <t>Others</t>
  </si>
  <si>
    <t>Area VIIA nephrops over 250kW</t>
  </si>
  <si>
    <t>Nephrops - 75.7%</t>
  </si>
  <si>
    <t>Nephrops - 84.2%</t>
  </si>
  <si>
    <t>Queen Scallops - 4.1%</t>
  </si>
  <si>
    <t>Anglerfish - 2.8%</t>
  </si>
  <si>
    <t>Haddock - 3.7%</t>
  </si>
  <si>
    <t>Cod - 2.5%</t>
  </si>
  <si>
    <t>Les. Spot. Dog - 3.5%</t>
  </si>
  <si>
    <t>Haddock - 1.5%</t>
  </si>
  <si>
    <t>Anglerfish - 2.3%</t>
  </si>
  <si>
    <t>Queen Scallops - 1.2%</t>
  </si>
  <si>
    <t>Others - 10.7%</t>
  </si>
  <si>
    <t>Others - 7.8%</t>
  </si>
  <si>
    <t>Anglerfish</t>
  </si>
  <si>
    <t>Albacore</t>
  </si>
  <si>
    <t>Sole</t>
  </si>
  <si>
    <t>Plaice</t>
  </si>
  <si>
    <t>Area VIIA nephrops under 250kW</t>
  </si>
  <si>
    <t>Nephrops - 79.9%</t>
  </si>
  <si>
    <t>Nephrops - 85.8%</t>
  </si>
  <si>
    <t>Scallops - 6.3%</t>
  </si>
  <si>
    <t>Scallops - 6.2%</t>
  </si>
  <si>
    <t>Queen Scallops - 5.3%</t>
  </si>
  <si>
    <t>Queen Scallops - 1.5%</t>
  </si>
  <si>
    <t>Les. Spot. Dog - 1.7%</t>
  </si>
  <si>
    <t>Anglerfish - 1.0%</t>
  </si>
  <si>
    <t>Thornback Ray - 1.1%</t>
  </si>
  <si>
    <t>Thornback Ray - 0.6%</t>
  </si>
  <si>
    <t>Others - 5.6%</t>
  </si>
  <si>
    <t>Others - 4.9%</t>
  </si>
  <si>
    <t>Mussels</t>
  </si>
  <si>
    <t>Squid</t>
  </si>
  <si>
    <t>Turbot</t>
  </si>
  <si>
    <t>Area VIIBCDEFGHK 24-40m</t>
  </si>
  <si>
    <t>Anglerfish - 28.6%</t>
  </si>
  <si>
    <t>Anglerfish - 39.2%</t>
  </si>
  <si>
    <t>Megrim - 27.3%</t>
  </si>
  <si>
    <t>Megrim - 31.4%</t>
  </si>
  <si>
    <t>Haddock - 14.3%</t>
  </si>
  <si>
    <t>Haddock - 5.4%</t>
  </si>
  <si>
    <t>Hake - 5.0%</t>
  </si>
  <si>
    <t>Squid - 3.8%</t>
  </si>
  <si>
    <t>Whiting - 3.6%</t>
  </si>
  <si>
    <t>Hake - 3.1%</t>
  </si>
  <si>
    <t>Others - 21.3%</t>
  </si>
  <si>
    <t>Others - 17.1%</t>
  </si>
  <si>
    <t>Megrim</t>
  </si>
  <si>
    <t>Witch</t>
  </si>
  <si>
    <t>Red Mullet</t>
  </si>
  <si>
    <t>John Dory</t>
  </si>
  <si>
    <t>Area VIIBCDEFGHK trawlers 10-24m</t>
  </si>
  <si>
    <t>Sprats - 38.1%</t>
  </si>
  <si>
    <t>Lemon Sole - 22.5%</t>
  </si>
  <si>
    <t>Lemon Sole - 10.3%</t>
  </si>
  <si>
    <t>Squid - 11.1%</t>
  </si>
  <si>
    <t>Haddock - 7.4%</t>
  </si>
  <si>
    <t>Haddock - 7.8%</t>
  </si>
  <si>
    <t>Scallops - 5.2%</t>
  </si>
  <si>
    <t>Anglerfish - 6.8%</t>
  </si>
  <si>
    <t>Whiting - 4.7%</t>
  </si>
  <si>
    <t>Scallops - 6.1%</t>
  </si>
  <si>
    <t>Others - 34.3%</t>
  </si>
  <si>
    <t>Others - 45.7%</t>
  </si>
  <si>
    <t>Lemon Sole</t>
  </si>
  <si>
    <t>Cuttlefish</t>
  </si>
  <si>
    <t>Sprats</t>
  </si>
  <si>
    <t>Bass</t>
  </si>
  <si>
    <t>Anchovy</t>
  </si>
  <si>
    <t>Gill netters</t>
  </si>
  <si>
    <t>Anglerfish - 34.4%</t>
  </si>
  <si>
    <t>Anglerfish - 50.5%</t>
  </si>
  <si>
    <t>Pilchards - 29.2%</t>
  </si>
  <si>
    <t>Hake - 14.0%</t>
  </si>
  <si>
    <t>Hake - 10.7%</t>
  </si>
  <si>
    <t>Pollack - 12.4%</t>
  </si>
  <si>
    <t>Pollack - 9.8%</t>
  </si>
  <si>
    <t>Turbot - 4.6%</t>
  </si>
  <si>
    <t>Ling - 3.8%</t>
  </si>
  <si>
    <t>Pilchards - 4.2%</t>
  </si>
  <si>
    <t>Others - 12.1%</t>
  </si>
  <si>
    <t>Others - 14.3%</t>
  </si>
  <si>
    <t>Pollack</t>
  </si>
  <si>
    <t>Pilchards</t>
  </si>
  <si>
    <t>Leafscale Gulper Shark</t>
  </si>
  <si>
    <t>Deepwater Red Crab</t>
  </si>
  <si>
    <t>Inactive</t>
  </si>
  <si>
    <t>Longliners</t>
  </si>
  <si>
    <t>Hake - 58.4%</t>
  </si>
  <si>
    <t>Hake - 70.0%</t>
  </si>
  <si>
    <t>Ling - 16.7%</t>
  </si>
  <si>
    <t>Ling - 8.4%</t>
  </si>
  <si>
    <t>Swordfish - 8.3%</t>
  </si>
  <si>
    <t>Swordfish - 6.5%</t>
  </si>
  <si>
    <t>Razor Clam - 4.0%</t>
  </si>
  <si>
    <t>Razor Clam - 5.5%</t>
  </si>
  <si>
    <t>Blue Shark - 2.9%</t>
  </si>
  <si>
    <t>Scallops - 2.1%</t>
  </si>
  <si>
    <t>Others - 9.7%</t>
  </si>
  <si>
    <t>Others - 7.6%</t>
  </si>
  <si>
    <t>Ling</t>
  </si>
  <si>
    <t>Swordfish</t>
  </si>
  <si>
    <t>Razor Clam</t>
  </si>
  <si>
    <t>Greater Forked Beard</t>
  </si>
  <si>
    <t>Bream - Ray's</t>
  </si>
  <si>
    <t>Blue Shark</t>
  </si>
  <si>
    <t>Spurdog</t>
  </si>
  <si>
    <t>Sharks</t>
  </si>
  <si>
    <t>Livers</t>
  </si>
  <si>
    <t>Conger Eels</t>
  </si>
  <si>
    <t>Low activity over 10m</t>
  </si>
  <si>
    <t>Cockles - 13.3%</t>
  </si>
  <si>
    <t>Nephrops - 18.3%</t>
  </si>
  <si>
    <t>Nephrops - 11.0%</t>
  </si>
  <si>
    <t>Lobsters - 12.8%</t>
  </si>
  <si>
    <t>Plaice - 9.4%</t>
  </si>
  <si>
    <t>Scallops - 10.8%</t>
  </si>
  <si>
    <t>Scallops - 9.1%</t>
  </si>
  <si>
    <t>Sole - 7.6%</t>
  </si>
  <si>
    <t>Whelks - 7.7%</t>
  </si>
  <si>
    <t>Brown Shrimps - 6.4%</t>
  </si>
  <si>
    <t>Others - 49.5%</t>
  </si>
  <si>
    <t>Others - 44.1%</t>
  </si>
  <si>
    <t>Lobsters</t>
  </si>
  <si>
    <t>Brown Shrimps</t>
  </si>
  <si>
    <t>Cockles</t>
  </si>
  <si>
    <t>Velvet Crab</t>
  </si>
  <si>
    <t>Whelks</t>
  </si>
  <si>
    <t>Low activity under 10m</t>
  </si>
  <si>
    <t>Mackerel - 18.6%</t>
  </si>
  <si>
    <t>Lobsters - 28.7%</t>
  </si>
  <si>
    <t>Brown Crab - 18.1%</t>
  </si>
  <si>
    <t>Bass - 13.8%</t>
  </si>
  <si>
    <t>Velvet Crab - 7.3%</t>
  </si>
  <si>
    <t>Sole - 11.4%</t>
  </si>
  <si>
    <t>Lobsters - 6.7%</t>
  </si>
  <si>
    <t>Mackerel - 9.0%</t>
  </si>
  <si>
    <t>Herring - 6.4%</t>
  </si>
  <si>
    <t>Brown Crab - 8.8%</t>
  </si>
  <si>
    <t>Others - 42.9%</t>
  </si>
  <si>
    <t>Others - 28.3%</t>
  </si>
  <si>
    <t>Mackerel</t>
  </si>
  <si>
    <t>Miscellaneous</t>
  </si>
  <si>
    <t>Cod - 93.6%</t>
  </si>
  <si>
    <t>Cod - 92.8%</t>
  </si>
  <si>
    <t>Haddock - 3.9%</t>
  </si>
  <si>
    <t>Haddock - 3.0%</t>
  </si>
  <si>
    <t>Saithe - 0.7%</t>
  </si>
  <si>
    <t>Squid - 1.1%</t>
  </si>
  <si>
    <t>Redfishes - 0.4%</t>
  </si>
  <si>
    <t>Saithe - 0.6%</t>
  </si>
  <si>
    <t>Catfish - 0.3%</t>
  </si>
  <si>
    <t>Nephrops - 0.5%</t>
  </si>
  <si>
    <t>Others - 1.0%</t>
  </si>
  <si>
    <t>Others - 2.0%</t>
  </si>
  <si>
    <t>Saithe</t>
  </si>
  <si>
    <t>Herring</t>
  </si>
  <si>
    <t>Horse Mackerel</t>
  </si>
  <si>
    <t>Patagonian squid</t>
  </si>
  <si>
    <t>Greenland Halibut</t>
  </si>
  <si>
    <t>Argentine Hake</t>
  </si>
  <si>
    <t>Argentine shortfin squid</t>
  </si>
  <si>
    <t>Redfishes</t>
  </si>
  <si>
    <t>North Sea beam trawl over 300kW</t>
  </si>
  <si>
    <t>Plaice - 85.5%</t>
  </si>
  <si>
    <t>Plaice - 59.7%</t>
  </si>
  <si>
    <t>Sole - 4.4%</t>
  </si>
  <si>
    <t>Sole - 21.1%</t>
  </si>
  <si>
    <t>Dabs - 3.0%</t>
  </si>
  <si>
    <t>Turbot - 9.0%</t>
  </si>
  <si>
    <t>Turbot - 1.9%</t>
  </si>
  <si>
    <t>Brill - 2.6%</t>
  </si>
  <si>
    <t>Lemon Sole - 1.4%</t>
  </si>
  <si>
    <t>Lemon Sole - 2.2%</t>
  </si>
  <si>
    <t>Others - 5.4%</t>
  </si>
  <si>
    <t>Brill</t>
  </si>
  <si>
    <t>Dabs</t>
  </si>
  <si>
    <t>North Sea beam trawl under 300kW</t>
  </si>
  <si>
    <t>Brown Shrimps - 61.5%</t>
  </si>
  <si>
    <t>Brown Shrimps - 84.6%</t>
  </si>
  <si>
    <t>Cockles - 35.1%</t>
  </si>
  <si>
    <t>Cockles - 9.6%</t>
  </si>
  <si>
    <t>Pink Shrimps - 1.2%</t>
  </si>
  <si>
    <t>Sole - 2.4%</t>
  </si>
  <si>
    <t>Sole - 0.8%</t>
  </si>
  <si>
    <t>Pink Shrimps - 0.7%</t>
  </si>
  <si>
    <t>Thornback Ray - 0.5%</t>
  </si>
  <si>
    <t>Others - 0.8%</t>
  </si>
  <si>
    <t>Others - 2.2%</t>
  </si>
  <si>
    <t>Pink Shrimps</t>
  </si>
  <si>
    <t>North Sea nephrops over 300kW</t>
  </si>
  <si>
    <t>Nephrops - 38.1%</t>
  </si>
  <si>
    <t>Nephrops - 64.4%</t>
  </si>
  <si>
    <t>Haddock - 21.0%</t>
  </si>
  <si>
    <t>Anglerfish - 9.6%</t>
  </si>
  <si>
    <t>Whiting - 13.9%</t>
  </si>
  <si>
    <t>Haddock - 7.6%</t>
  </si>
  <si>
    <t>Anglerfish - 7.1%</t>
  </si>
  <si>
    <t>Whiting - 4.8%</t>
  </si>
  <si>
    <t>Cod - 3.6%</t>
  </si>
  <si>
    <t>Cod - 2.9%</t>
  </si>
  <si>
    <t>Others - 16.4%</t>
  </si>
  <si>
    <t>Others - 10.8%</t>
  </si>
  <si>
    <t>Whiting</t>
  </si>
  <si>
    <t>North Sea nephrops under 300kW</t>
  </si>
  <si>
    <t>Nephrops - 69.5%</t>
  </si>
  <si>
    <t>Nephrops - 85.1%</t>
  </si>
  <si>
    <t>Whiting - 10.2%</t>
  </si>
  <si>
    <t>Whiting - 2.3%</t>
  </si>
  <si>
    <t>Haddock - 6.8%</t>
  </si>
  <si>
    <t>Haddock - 2.3%</t>
  </si>
  <si>
    <t>Plaice - 3.3%</t>
  </si>
  <si>
    <t>Anglerfish - 2.0%</t>
  </si>
  <si>
    <t>Anglerfish - 1.8%</t>
  </si>
  <si>
    <t>Squid - 1.6%</t>
  </si>
  <si>
    <t>Others - 8.4%</t>
  </si>
  <si>
    <t>Others - 6.6%</t>
  </si>
  <si>
    <t>NSWOS demersal over 24m</t>
  </si>
  <si>
    <t>Haddock - 25.7%</t>
  </si>
  <si>
    <t>Haddock - 21.6%</t>
  </si>
  <si>
    <t>Saithe - 21.4%</t>
  </si>
  <si>
    <t>Cod - 13.6%</t>
  </si>
  <si>
    <t>Plaice - 14.0%</t>
  </si>
  <si>
    <t>Saithe - 12.8%</t>
  </si>
  <si>
    <t>Cod - 9.4%</t>
  </si>
  <si>
    <t>Anglerfish - 11.3%</t>
  </si>
  <si>
    <t>Whiting - 6.2%</t>
  </si>
  <si>
    <t>Plaice - 9.8%</t>
  </si>
  <si>
    <t>Others - 23.4%</t>
  </si>
  <si>
    <t>Others - 30.9%</t>
  </si>
  <si>
    <t>NSWOS demersal pair trawl seine</t>
  </si>
  <si>
    <t>Haddock - 48.1%</t>
  </si>
  <si>
    <t>Haddock - 40.8%</t>
  </si>
  <si>
    <t>Cod - 17.4%</t>
  </si>
  <si>
    <t>Cod - 25.6%</t>
  </si>
  <si>
    <t>Saithe - 11.9%</t>
  </si>
  <si>
    <t>Whiting - 9.6%</t>
  </si>
  <si>
    <t>Whiting - 11.8%</t>
  </si>
  <si>
    <t>Hake - 8.3%</t>
  </si>
  <si>
    <t>Hake - 6.9%</t>
  </si>
  <si>
    <t>Saithe - 7.8%</t>
  </si>
  <si>
    <t>Others - 7.9%</t>
  </si>
  <si>
    <t>NSWOS demersal seiners</t>
  </si>
  <si>
    <t>Haddock - 45.0%</t>
  </si>
  <si>
    <t>Haddock - 35.9%</t>
  </si>
  <si>
    <t>Plaice - 14.7%</t>
  </si>
  <si>
    <t>Cod - 16.3%</t>
  </si>
  <si>
    <t>Whiting - 13.5%</t>
  </si>
  <si>
    <t>Plaice - 11.2%</t>
  </si>
  <si>
    <t>Cod - 10.7%</t>
  </si>
  <si>
    <t>Whiting - 11.0%</t>
  </si>
  <si>
    <t>Saithe - 3.3%</t>
  </si>
  <si>
    <t>Hake - 3.6%</t>
  </si>
  <si>
    <t>Others - 12.7%</t>
  </si>
  <si>
    <t>Others - 22.2%</t>
  </si>
  <si>
    <t>NSWOS demersal under 24m over 300kW</t>
  </si>
  <si>
    <t>Haddock - 29.6%</t>
  </si>
  <si>
    <t>Anglerfish - 20.0%</t>
  </si>
  <si>
    <t>Cod - 13.2%</t>
  </si>
  <si>
    <t>Haddock - 19.1%</t>
  </si>
  <si>
    <t>Whiting - 10.6%</t>
  </si>
  <si>
    <t>Cod - 15.0%</t>
  </si>
  <si>
    <t>Anglerfish - 10.5%</t>
  </si>
  <si>
    <t>Nephrops - 9.2%</t>
  </si>
  <si>
    <t>Saithe - 9.4%</t>
  </si>
  <si>
    <t>Megrim - 8.7%</t>
  </si>
  <si>
    <t>Others - 26.7%</t>
  </si>
  <si>
    <t>Others - 28.1%</t>
  </si>
  <si>
    <t>NSWOS demersal under 24m under 300kW</t>
  </si>
  <si>
    <t>Haddock - 21.1%</t>
  </si>
  <si>
    <t>Haddock - 15.1%</t>
  </si>
  <si>
    <t>Queen Scallops - 18.2%</t>
  </si>
  <si>
    <t>Nephrops - 14.8%</t>
  </si>
  <si>
    <t>Plaice - 16.3%</t>
  </si>
  <si>
    <t>Whiting - 6.9%</t>
  </si>
  <si>
    <t>Anglerfish - 9.0%</t>
  </si>
  <si>
    <t>Nephrops - 6.5%</t>
  </si>
  <si>
    <t>Cod - 6.7%</t>
  </si>
  <si>
    <t>Others - 31.0%</t>
  </si>
  <si>
    <t>Others - 43.3%</t>
  </si>
  <si>
    <t>Pelagic over 40m</t>
  </si>
  <si>
    <t>Mackerel - 56.5%</t>
  </si>
  <si>
    <t>Mackerel - 73.0%</t>
  </si>
  <si>
    <t>Herring - 32.4%</t>
  </si>
  <si>
    <t>Herring - 16.5%</t>
  </si>
  <si>
    <t>Blue Whiting - 4.7%</t>
  </si>
  <si>
    <t>Horse Mackerel - 2.4%</t>
  </si>
  <si>
    <t>Horse Mackerel - 3.9%</t>
  </si>
  <si>
    <t>Blue Whiting - 1.5%</t>
  </si>
  <si>
    <t>Boarfish - 1.5%</t>
  </si>
  <si>
    <t>Boarfish - 0.3%</t>
  </si>
  <si>
    <t>Others - 6.3%</t>
  </si>
  <si>
    <t>Blue Whiting</t>
  </si>
  <si>
    <t>Boarfish</t>
  </si>
  <si>
    <t>Other or mixed Demersal</t>
  </si>
  <si>
    <t>Sardinelle Aurita</t>
  </si>
  <si>
    <t>Pots and traps 10-12m</t>
  </si>
  <si>
    <t>Whelks - 43.7%</t>
  </si>
  <si>
    <t>Lobsters - 28.5%</t>
  </si>
  <si>
    <t>Brown Crab - 39.8%</t>
  </si>
  <si>
    <t>Brown Crab - 27.6%</t>
  </si>
  <si>
    <t>Lobsters - 4.9%</t>
  </si>
  <si>
    <t>Nephrops - 21.7%</t>
  </si>
  <si>
    <t>Nephrops - 4.8%</t>
  </si>
  <si>
    <t>Whelks - 12.2%</t>
  </si>
  <si>
    <t>Velvet Crab - 2.8%</t>
  </si>
  <si>
    <t>Velvet Crab - 4.2%</t>
  </si>
  <si>
    <t>Others - 4.1%</t>
  </si>
  <si>
    <t>Others - 5.7%</t>
  </si>
  <si>
    <t>Pots and traps over 12m</t>
  </si>
  <si>
    <t>Brown Crab - 73.2%</t>
  </si>
  <si>
    <t>Brown Crab - 66.2%</t>
  </si>
  <si>
    <t>Whelks - 22.6%</t>
  </si>
  <si>
    <t>Lobsters - 15.6%</t>
  </si>
  <si>
    <t>Lobsters - 2.3%</t>
  </si>
  <si>
    <t>Whelks - 10.7%</t>
  </si>
  <si>
    <t>Nephrops - 0.8%</t>
  </si>
  <si>
    <t>Nephrops - 4.3%</t>
  </si>
  <si>
    <t>Pollack - 0.3%</t>
  </si>
  <si>
    <t>Pollack - 0.5%</t>
  </si>
  <si>
    <t>Others - 2.7%</t>
  </si>
  <si>
    <t>South West beamers over 250kW</t>
  </si>
  <si>
    <t>Anglerfish - 22.9%</t>
  </si>
  <si>
    <t>Anglerfish - 28.1%</t>
  </si>
  <si>
    <t>Cuttlefish - 19.1%</t>
  </si>
  <si>
    <t>Sole - 17.2%</t>
  </si>
  <si>
    <t>Megrim - 14.8%</t>
  </si>
  <si>
    <t>Cuttlefish - 13.8%</t>
  </si>
  <si>
    <t>Scallops - 7.0%</t>
  </si>
  <si>
    <t>Megrim - 11.4%</t>
  </si>
  <si>
    <t>Gurnard and Latchet - 6.2%</t>
  </si>
  <si>
    <t>Lemon Sole - 4.3%</t>
  </si>
  <si>
    <t>Others - 29.9%</t>
  </si>
  <si>
    <t>Others - 25.1%</t>
  </si>
  <si>
    <t>South West beamers under 250kW</t>
  </si>
  <si>
    <t>Cuttlefish - 24.7%</t>
  </si>
  <si>
    <t>Sole - 29.6%</t>
  </si>
  <si>
    <t>Anglerfish - 13.4%</t>
  </si>
  <si>
    <t>Cuttlefish - 17.4%</t>
  </si>
  <si>
    <t>Plaice - 11.0%</t>
  </si>
  <si>
    <t>Anglerfish - 15.7%</t>
  </si>
  <si>
    <t>Gurnard and Latchet - 9.0%</t>
  </si>
  <si>
    <t>Scallops - 5.7%</t>
  </si>
  <si>
    <t>Scallops - 8.8%</t>
  </si>
  <si>
    <t>Plaice - 5.1%</t>
  </si>
  <si>
    <t>Others - 33.2%</t>
  </si>
  <si>
    <t>Others - 26.5%</t>
  </si>
  <si>
    <t>UK scallop dredge over 15m</t>
  </si>
  <si>
    <t>Scallops - 54.4%</t>
  </si>
  <si>
    <t>Scallops - 77.3%</t>
  </si>
  <si>
    <t>Queen Scallops - 39.2%</t>
  </si>
  <si>
    <t>Queen Scallops - 15.5%</t>
  </si>
  <si>
    <t>Mussels - 3.9%</t>
  </si>
  <si>
    <t>Cuttlefish - 0.9%</t>
  </si>
  <si>
    <t>Cuttlefish - 0.7%</t>
  </si>
  <si>
    <t>Turbot - 0.8%</t>
  </si>
  <si>
    <t>Anglerfish - 0.4%</t>
  </si>
  <si>
    <t>Anglerfish - 0.8%</t>
  </si>
  <si>
    <t>Others - 1.5%</t>
  </si>
  <si>
    <t>UK scallop dredge under 15m</t>
  </si>
  <si>
    <t>Cockles - 42.3%</t>
  </si>
  <si>
    <t>Scallops - 61.4%</t>
  </si>
  <si>
    <t>Scallops - 36.7%</t>
  </si>
  <si>
    <t>Cockles - 21.2%</t>
  </si>
  <si>
    <t>Queen Scallops - 14.9%</t>
  </si>
  <si>
    <t>Queen Scallops - 6.1%</t>
  </si>
  <si>
    <t>Mussels - 1.9%</t>
  </si>
  <si>
    <t>Manilla Clam - 1.2%</t>
  </si>
  <si>
    <t>Manilla Clam - 0.5%</t>
  </si>
  <si>
    <t>Sole - 1.1%</t>
  </si>
  <si>
    <t>Others - 3.6%</t>
  </si>
  <si>
    <t>Others - 9.0%</t>
  </si>
  <si>
    <t>Manilla Clam</t>
  </si>
  <si>
    <t>Mixed Clams</t>
  </si>
  <si>
    <t>Native Oysters</t>
  </si>
  <si>
    <t>Under 10m demersal trawl/seine</t>
  </si>
  <si>
    <t>Nephrops - 34.0%</t>
  </si>
  <si>
    <t>Nephrops - 47.4%</t>
  </si>
  <si>
    <t>Cockles - 9.5%</t>
  </si>
  <si>
    <t>Sole - 11.7%</t>
  </si>
  <si>
    <t>Whiting - 8.4%</t>
  </si>
  <si>
    <t>Lemon Sole - 5.4%</t>
  </si>
  <si>
    <t>Scallops - 7.4%</t>
  </si>
  <si>
    <t>Scallops - 4.9%</t>
  </si>
  <si>
    <t>Squid - 4.3%</t>
  </si>
  <si>
    <t>Others - 35.6%</t>
  </si>
  <si>
    <t>Others - 26.3%</t>
  </si>
  <si>
    <t>Under 10m drift and/or fixed nets</t>
  </si>
  <si>
    <t>Pilchards - 20.0%</t>
  </si>
  <si>
    <t>Sole - 25.2%</t>
  </si>
  <si>
    <t>Whelks - 9.1%</t>
  </si>
  <si>
    <t>Bass - 18.7%</t>
  </si>
  <si>
    <t>Sole - 9.0%</t>
  </si>
  <si>
    <t>Pollack - 5.9%</t>
  </si>
  <si>
    <t>Brown Crab - 8.6%</t>
  </si>
  <si>
    <t>Anglerfish - 5.8%</t>
  </si>
  <si>
    <t>Pollack - 6.4%</t>
  </si>
  <si>
    <t>Brown Crab - 4.7%</t>
  </si>
  <si>
    <t>Others - 46.9%</t>
  </si>
  <si>
    <t>Others - 39.7%</t>
  </si>
  <si>
    <t>Under 10m pots and traps</t>
  </si>
  <si>
    <t>Whelks - 40.3%</t>
  </si>
  <si>
    <t>Lobsters - 33.6%</t>
  </si>
  <si>
    <t>Brown Crab - 36.2%</t>
  </si>
  <si>
    <t>Brown Crab - 21.6%</t>
  </si>
  <si>
    <t>Nephrops - 15.7%</t>
  </si>
  <si>
    <t>Velvet Crab - 4.9%</t>
  </si>
  <si>
    <t>Whelks - 14.8%</t>
  </si>
  <si>
    <t>Nephrops - 4.0%</t>
  </si>
  <si>
    <t>Velvet Crab - 5.9%</t>
  </si>
  <si>
    <t>Others - 8.0%</t>
  </si>
  <si>
    <t>Under 10m using hooks</t>
  </si>
  <si>
    <t>Razor Clam - 28.5%</t>
  </si>
  <si>
    <t>Razor Clam - 30.6%</t>
  </si>
  <si>
    <t>Scallops - 21.0%</t>
  </si>
  <si>
    <t>Bass - 22.3%</t>
  </si>
  <si>
    <t>Mackerel - 19.3%</t>
  </si>
  <si>
    <t>Scallops - 16.7%</t>
  </si>
  <si>
    <t>Pollack - 8.7%</t>
  </si>
  <si>
    <t>Mackerel - 10.5%</t>
  </si>
  <si>
    <t>Bass - 7.2%</t>
  </si>
  <si>
    <t>Pollack - 7.2%</t>
  </si>
  <si>
    <t>Others - 15.3%</t>
  </si>
  <si>
    <t>WOS nephrops over 250kW</t>
  </si>
  <si>
    <t>Nephrops - 74.3%</t>
  </si>
  <si>
    <t>Nephrops - 91.9%</t>
  </si>
  <si>
    <t>Sprats - 17.2%</t>
  </si>
  <si>
    <t>Sprats - 1.8%</t>
  </si>
  <si>
    <t>Haddock - 2.7%</t>
  </si>
  <si>
    <t>Anglerfish - 1.4%</t>
  </si>
  <si>
    <t>Anglerfish - 1.1%</t>
  </si>
  <si>
    <t>Haddock - 1.0%</t>
  </si>
  <si>
    <t>Whiting - 1.1%</t>
  </si>
  <si>
    <t>Whiting - 0.3%</t>
  </si>
  <si>
    <t>WOS nephrops under 250kW</t>
  </si>
  <si>
    <t>Nephrops - 90.3%</t>
  </si>
  <si>
    <t>Nephrops - 93.8%</t>
  </si>
  <si>
    <t>Queen Scallops - 3.8%</t>
  </si>
  <si>
    <t>Scallops - 1.3%</t>
  </si>
  <si>
    <t>Scallops - 1.7%</t>
  </si>
  <si>
    <t>Queen Scallops - 0.7%</t>
  </si>
  <si>
    <t>Haddock - 0.9%</t>
  </si>
  <si>
    <t>Razor Clam - 0.5%</t>
  </si>
  <si>
    <t>Brown Crab - 0.5%</t>
  </si>
  <si>
    <t>Haddock - 0.4%</t>
  </si>
  <si>
    <t>Others - 3.3%</t>
  </si>
  <si>
    <t>Net profit margin</t>
  </si>
  <si>
    <t>Back to
home page</t>
  </si>
  <si>
    <t>Segment</t>
  </si>
  <si>
    <t>Trend</t>
  </si>
  <si>
    <t>2014*</t>
  </si>
  <si>
    <t>* 2014: projection</t>
  </si>
  <si>
    <t>Operating profit margin</t>
  </si>
  <si>
    <t>Sample Rates</t>
  </si>
  <si>
    <t>Sample rate for vessel characteristics and fishing income is 100%, taken from official data.
Sample rates on this page are for non-fishing income and costs, taken from financial accounts.</t>
  </si>
  <si>
    <t>Sample rates</t>
  </si>
  <si>
    <t xml:space="preserve">Qualifying criteria for Seafish fleet segments </t>
  </si>
  <si>
    <t>Seafish Segments</t>
  </si>
  <si>
    <t>Main Area</t>
  </si>
  <si>
    <t>Main DAS Gear</t>
  </si>
  <si>
    <t>Main Species by value</t>
  </si>
  <si>
    <t>Main Gear Type</t>
  </si>
  <si>
    <t>Power Main Engine</t>
  </si>
  <si>
    <t>Vessel Length</t>
  </si>
  <si>
    <t>Value of landings</t>
  </si>
  <si>
    <t>Area VIIA demersal trawl over 10m</t>
  </si>
  <si>
    <t>VIIA</t>
  </si>
  <si>
    <t>Demersal trawls and seines</t>
  </si>
  <si>
    <t>&gt;= 10m</t>
  </si>
  <si>
    <t xml:space="preserve">Nephrops </t>
  </si>
  <si>
    <t>&gt;= 250 kW</t>
  </si>
  <si>
    <t>&lt;250 kW</t>
  </si>
  <si>
    <t>Area VIIb-k trawlers 10-24m</t>
  </si>
  <si>
    <t>VIIDE, VIIFG, VII other</t>
  </si>
  <si>
    <t>Not Nephrops</t>
  </si>
  <si>
    <t>&gt;= 10m &amp; &lt;24m</t>
  </si>
  <si>
    <t>Area VIIb-k trawlers 24-40m</t>
  </si>
  <si>
    <t>&gt;= 24m &amp; &lt;40m</t>
  </si>
  <si>
    <t xml:space="preserve">UK Gill netters over 10m </t>
  </si>
  <si>
    <t>Drift Nets and Fixed Nets</t>
  </si>
  <si>
    <t>UK Longliners over 10m</t>
  </si>
  <si>
    <t>Gears using hooks</t>
  </si>
  <si>
    <t>Low activity vessels over 10m</t>
  </si>
  <si>
    <t>&lt; £10,000</t>
  </si>
  <si>
    <t>Low activity vessels under 10m</t>
  </si>
  <si>
    <t>&lt; 10m</t>
  </si>
  <si>
    <t>Miscellaneous vessels over 10m</t>
  </si>
  <si>
    <t>NS</t>
  </si>
  <si>
    <t>Beam Trawl</t>
  </si>
  <si>
    <t>&gt;= 300 kW</t>
  </si>
  <si>
    <t>&lt; 300 kW</t>
  </si>
  <si>
    <t>North Sea nephrops trawl over 300kW</t>
  </si>
  <si>
    <t>North Sea nephrops trawl under 300kW</t>
  </si>
  <si>
    <t>North Sea and West of Scotland demersal trawl over 24m</t>
  </si>
  <si>
    <t>NS, WoS</t>
  </si>
  <si>
    <t>&gt;= 24m</t>
  </si>
  <si>
    <t>North Sea and West of Scotland demersal pair trawls and seines</t>
  </si>
  <si>
    <t>Paired Trawl</t>
  </si>
  <si>
    <t>North Sea and West of Scotland demersal seiners</t>
  </si>
  <si>
    <t>Scottish Seiner</t>
  </si>
  <si>
    <t>North Sea and West of Scotland demersal trawl under 24m, over 300kW</t>
  </si>
  <si>
    <t>North Sea and West of Scotland demersal trawl under 24m, under 300kW</t>
  </si>
  <si>
    <t>UK pelagic trawl over 40m</t>
  </si>
  <si>
    <t>Pelagic: Trawl, Seiner / Purse Seiner</t>
  </si>
  <si>
    <t>&gt;= 40m</t>
  </si>
  <si>
    <t>UK pots and traps 10m-12m</t>
  </si>
  <si>
    <t>Pots and Traps</t>
  </si>
  <si>
    <t>&gt;= 10m &amp; &lt;12m</t>
  </si>
  <si>
    <t>UK Pots and traps over 12m</t>
  </si>
  <si>
    <t>&gt;= 12m</t>
  </si>
  <si>
    <t xml:space="preserve">South West beam trawl under 250kW </t>
  </si>
  <si>
    <t>&lt; 250 kW</t>
  </si>
  <si>
    <t>South West beam trawl over 250kW</t>
  </si>
  <si>
    <t>UK demersal trawls and seines under 10m</t>
  </si>
  <si>
    <t>UK drift and fixed nets under 10m</t>
  </si>
  <si>
    <t>UK pots and traps under 10m</t>
  </si>
  <si>
    <t>UK hooks under 10m</t>
  </si>
  <si>
    <t>West of Scotland nephrops trawl over 250kW</t>
  </si>
  <si>
    <t>WoS</t>
  </si>
  <si>
    <t>West of Scotland nephrops trawl under 250kW</t>
  </si>
  <si>
    <t>Dredges</t>
  </si>
  <si>
    <t>Scallops, queen scallops, cockles</t>
  </si>
  <si>
    <t>&gt;= 15m</t>
  </si>
  <si>
    <t>&lt;= 15m</t>
  </si>
  <si>
    <t>Segmentation Criteria</t>
  </si>
  <si>
    <t>Seafish 2005 to 2014 Fleet economic data set Highlights</t>
  </si>
  <si>
    <t xml:space="preserve">Nb. 2014 estimates are based on provisional official data for 2014, 2014 fuel prices and 2013 cost structure derived from 2013 vessel accounts submitted to Seafish.  </t>
  </si>
  <si>
    <t xml:space="preserve">The UK fleet as a whole saw an increase in fishing revenues from £751 million in 2013 to around £830 million (provisional figure) in 2014.   </t>
  </si>
  <si>
    <t>The number of active fishing vessels fell from 4,631 in 2013 to 4,530 (provisional figure) in 2014.</t>
  </si>
  <si>
    <r>
      <rPr>
        <b/>
        <sz val="11"/>
        <color theme="1"/>
        <rFont val="Calibri"/>
        <family val="2"/>
        <scheme val="minor"/>
      </rPr>
      <t>UK scallop dredge</t>
    </r>
    <r>
      <rPr>
        <sz val="11"/>
        <color theme="1"/>
        <rFont val="Calibri"/>
        <family val="2"/>
        <scheme val="minor"/>
      </rPr>
      <t xml:space="preserve"> </t>
    </r>
    <r>
      <rPr>
        <b/>
        <sz val="11"/>
        <color theme="1"/>
        <rFont val="Calibri"/>
        <family val="2"/>
        <scheme val="minor"/>
      </rPr>
      <t>over 15m and under 15m</t>
    </r>
    <r>
      <rPr>
        <sz val="11"/>
        <color theme="1"/>
        <rFont val="Calibri"/>
        <family val="2"/>
        <scheme val="minor"/>
      </rPr>
      <t xml:space="preserve"> segments both saw a drop in operating profit margin from 21-22% in 2012 to 14-16% in 2013.  Data suggest a minimal improvement on these margins for 2014.  For over 15m vessels, average revenue per vessel has decreased annually from £552,000 in 2011 to £413,000 in 2014, while average operating profit per vessel declined from £133 to £69,000 over the same  period.</t>
    </r>
  </si>
  <si>
    <r>
      <t xml:space="preserve"> From 2012 to 2013, </t>
    </r>
    <r>
      <rPr>
        <b/>
        <sz val="11"/>
        <color theme="1"/>
        <rFont val="Calibri"/>
        <family val="2"/>
        <scheme val="minor"/>
      </rPr>
      <t>West of Scotland nephrops trawlers</t>
    </r>
    <r>
      <rPr>
        <sz val="11"/>
        <color theme="1"/>
        <rFont val="Calibri"/>
        <family val="2"/>
        <scheme val="minor"/>
      </rPr>
      <t xml:space="preserve"> saw a decrease in average revenues per vessel and a drop in operating profit margin from 21-22% in 2012 to 14-15% in 2013.   2014 data suggest a minor increase in average revenues and operating profit per vessel.</t>
    </r>
  </si>
  <si>
    <r>
      <rPr>
        <b/>
        <sz val="11"/>
        <color theme="1"/>
        <rFont val="Calibri"/>
        <family val="2"/>
        <scheme val="minor"/>
      </rPr>
      <t>South West beam trawlers</t>
    </r>
    <r>
      <rPr>
        <sz val="11"/>
        <color theme="1"/>
        <rFont val="Calibri"/>
        <family val="2"/>
        <scheme val="minor"/>
      </rPr>
      <t xml:space="preserve"> saw a halving of profit margins from 2012 to 2013 with only a small improvement suggested by 2014 estimates.</t>
    </r>
  </si>
  <si>
    <r>
      <t xml:space="preserve"> From 2013 to 2014, operating profit margins increased slightly for </t>
    </r>
    <r>
      <rPr>
        <b/>
        <sz val="11"/>
        <color theme="1"/>
        <rFont val="Calibri"/>
        <family val="2"/>
        <scheme val="minor"/>
      </rPr>
      <t>North Sea and West of Scotland white fish vessels.</t>
    </r>
  </si>
  <si>
    <r>
      <t>For</t>
    </r>
    <r>
      <rPr>
        <b/>
        <sz val="11"/>
        <color theme="1"/>
        <rFont val="Calibri"/>
        <family val="2"/>
        <scheme val="minor"/>
      </rPr>
      <t xml:space="preserve"> North Sea and West of Scotland white fish</t>
    </r>
    <r>
      <rPr>
        <sz val="11"/>
        <color theme="1"/>
        <rFont val="Calibri"/>
        <family val="2"/>
        <scheme val="minor"/>
      </rPr>
      <t xml:space="preserve"> segments, the </t>
    </r>
    <r>
      <rPr>
        <b/>
        <sz val="11"/>
        <color theme="1"/>
        <rFont val="Calibri"/>
        <family val="2"/>
        <scheme val="minor"/>
      </rPr>
      <t>seine netters</t>
    </r>
    <r>
      <rPr>
        <sz val="11"/>
        <color theme="1"/>
        <rFont val="Calibri"/>
        <family val="2"/>
        <scheme val="minor"/>
      </rPr>
      <t xml:space="preserve"> and </t>
    </r>
    <r>
      <rPr>
        <b/>
        <sz val="11"/>
        <color theme="1"/>
        <rFont val="Calibri"/>
        <family val="2"/>
        <scheme val="minor"/>
      </rPr>
      <t>under 24m trawl</t>
    </r>
    <r>
      <rPr>
        <sz val="11"/>
        <color theme="1"/>
        <rFont val="Calibri"/>
        <family val="2"/>
        <scheme val="minor"/>
      </rPr>
      <t xml:space="preserve"> segments had higher operating margins (10%, 18%, 13%) than the over 24m trawl and the pair trawlers (7%, 8%) in 2013.  From 2012 to 2014 the </t>
    </r>
    <r>
      <rPr>
        <b/>
        <sz val="11"/>
        <color theme="1"/>
        <rFont val="Calibri"/>
        <family val="2"/>
        <scheme val="minor"/>
      </rPr>
      <t>over 24m trawl</t>
    </r>
    <r>
      <rPr>
        <sz val="11"/>
        <color theme="1"/>
        <rFont val="Calibri"/>
        <family val="2"/>
        <scheme val="minor"/>
      </rPr>
      <t xml:space="preserve"> segment and the under 24m, over 300kW segment saw increases in average revenues and operating profit per vessel.</t>
    </r>
  </si>
  <si>
    <r>
      <t xml:space="preserve">Having seen a dip in operating profit margin from 2012 to 2013, </t>
    </r>
    <r>
      <rPr>
        <b/>
        <sz val="11"/>
        <color theme="1"/>
        <rFont val="Calibri"/>
        <family val="2"/>
        <scheme val="minor"/>
      </rPr>
      <t>North Sea nephrops trawlers</t>
    </r>
    <r>
      <rPr>
        <sz val="11"/>
        <color theme="1"/>
        <rFont val="Calibri"/>
        <family val="2"/>
        <scheme val="minor"/>
      </rPr>
      <t xml:space="preserve"> generated an increase in operating margin from 2013 to 2014.</t>
    </r>
  </si>
  <si>
    <r>
      <rPr>
        <b/>
        <sz val="11"/>
        <color theme="1"/>
        <rFont val="Calibri"/>
        <family val="2"/>
        <scheme val="minor"/>
      </rPr>
      <t>North Sea beam trawlers</t>
    </r>
    <r>
      <rPr>
        <sz val="11"/>
        <color theme="1"/>
        <rFont val="Calibri"/>
        <family val="2"/>
        <scheme val="minor"/>
      </rPr>
      <t xml:space="preserve"> remain unprofitable on average.  For the over 300kW vessels, revenues per vessel remained steady from 2013 to 2014 and operating profit improved from a loss in 2013 but margin was still only 1%.  Under 300kW vessels saw a substantial drop in average revenues and operating profit from 2013 to 2014.</t>
    </r>
  </si>
  <si>
    <r>
      <rPr>
        <b/>
        <sz val="11"/>
        <color theme="1"/>
        <rFont val="Calibri"/>
        <family val="2"/>
        <scheme val="minor"/>
      </rPr>
      <t>Irish Sea nephrops trawlers</t>
    </r>
    <r>
      <rPr>
        <sz val="11"/>
        <color theme="1"/>
        <rFont val="Calibri"/>
        <family val="2"/>
        <scheme val="minor"/>
      </rPr>
      <t xml:space="preserve"> show a small increase in operating profit margin from 2013 to 2014 after an overall dip in margin from 2012 to 2013.  Vessel numbers in the under 250kW segment continued to decline from 57 vessels in 2012 to 44 in 2014 while vessel numbers in the over 250kW segment remained approximately stable over the period at 39 to 38 vessels.</t>
    </r>
  </si>
  <si>
    <r>
      <t xml:space="preserve"> After a dip in total and average per vessel revenues from 2012 to 2013, the </t>
    </r>
    <r>
      <rPr>
        <b/>
        <sz val="11"/>
        <color theme="1"/>
        <rFont val="Calibri"/>
        <family val="2"/>
        <scheme val="minor"/>
      </rPr>
      <t>south west (Area VIIb-k) trawlers 24m – 40m</t>
    </r>
    <r>
      <rPr>
        <sz val="11"/>
        <color theme="1"/>
        <rFont val="Calibri"/>
        <family val="2"/>
        <scheme val="minor"/>
      </rPr>
      <t xml:space="preserve"> saw an increase in both total and average revenues from 2013 to 2014. Average operating profit margin has around break-even point however from 2012 to 2014.</t>
    </r>
  </si>
  <si>
    <r>
      <t xml:space="preserve">The smaller </t>
    </r>
    <r>
      <rPr>
        <b/>
        <sz val="11"/>
        <color theme="1"/>
        <rFont val="Calibri"/>
        <family val="2"/>
        <scheme val="minor"/>
      </rPr>
      <t>south west trawlers, 10m – 24m</t>
    </r>
    <r>
      <rPr>
        <sz val="11"/>
        <color theme="1"/>
        <rFont val="Calibri"/>
        <family val="2"/>
        <scheme val="minor"/>
      </rPr>
      <t>, fared better in terms of operating profit margins, moving from 23% of revenues in 2012 to an estimated 26% of revenues in 2014.</t>
    </r>
  </si>
  <si>
    <r>
      <rPr>
        <b/>
        <sz val="11"/>
        <color theme="1"/>
        <rFont val="Calibri"/>
        <family val="2"/>
        <scheme val="minor"/>
      </rPr>
      <t>Pots and traps vessels 10-12m</t>
    </r>
    <r>
      <rPr>
        <sz val="11"/>
        <color theme="1"/>
        <rFont val="Calibri"/>
        <family val="2"/>
        <scheme val="minor"/>
      </rPr>
      <t xml:space="preserve"> and saw slight increases in average revenues per vessel from 2012 to 2014 but a slight decrease in operating profit over the same period.</t>
    </r>
    <r>
      <rPr>
        <b/>
        <sz val="11"/>
        <color theme="1"/>
        <rFont val="Calibri"/>
        <family val="2"/>
        <scheme val="minor"/>
      </rPr>
      <t xml:space="preserve">  Vessels over 12m </t>
    </r>
    <r>
      <rPr>
        <sz val="11"/>
        <color theme="1"/>
        <rFont val="Calibri"/>
        <family val="2"/>
        <scheme val="minor"/>
      </rPr>
      <t>saw a bigger increase in revenues over the period and an increase in operating profit.</t>
    </r>
  </si>
  <si>
    <t xml:space="preserve"> 2,000 registered vessels were not active during 2014.  Average length of these vessels was 7.3m.</t>
  </si>
  <si>
    <r>
      <t xml:space="preserve"> A further 1,500 under 10m vessels and 57 over 10m vessels in the UK fleet were classed as </t>
    </r>
    <r>
      <rPr>
        <b/>
        <sz val="11"/>
        <color theme="1"/>
        <rFont val="Calibri"/>
        <family val="2"/>
        <scheme val="minor"/>
      </rPr>
      <t>low-activity</t>
    </r>
    <r>
      <rPr>
        <sz val="11"/>
        <color theme="1"/>
        <rFont val="Calibri"/>
        <family val="2"/>
        <scheme val="minor"/>
      </rPr>
      <t xml:space="preserve"> having generated less than £10,000 revenues in 2014.  These under 10m vessels had average revenues of £3,100 and spent an average of 27 days at sea during 2014.</t>
    </r>
  </si>
  <si>
    <t>Highlights</t>
  </si>
  <si>
    <t>Seafish fleet economic performance dataset 2005 - 2014</t>
  </si>
  <si>
    <t>This dataset contains financial, economic and operational performance indicators for approximately 30 UK fleet segments for the period 2005-2014.  2014 estimates are based on provisional official activity and landings statistics so should be considered as provisional estimates.  Once vessel accounts for 2014 have been collected and official data finalised, Seafish will publish new estimates for the year.</t>
  </si>
  <si>
    <t>How to use the dataset</t>
  </si>
  <si>
    <t xml:space="preserve">For each of the 30 UK fleet segments we have produced one table and nine graphs. </t>
  </si>
  <si>
    <t xml:space="preserve">Financial values are available as nominal and adjusted to 2014 values. The orange button on the top line allows you to switch between the two. Graphs and trend lines will adjust automatically. </t>
  </si>
  <si>
    <t>Methodology</t>
  </si>
  <si>
    <t>Seafish produces the dataset by combining costs and earnings information from vessel accounts provide by vessel owners to the annual Seafish UK Fleet Survey with official effort, landings and capacity data for all active UK fishing vessels provided by the UK Marine Management Organisation (MMO).</t>
  </si>
  <si>
    <t>The outputs for all years are produced using a consistent methodology and fleet segmentation criteria so that trends in key indicators can be observed over time.  Note that vessels can be in different segments in different years if they change their gear, area or target species.</t>
  </si>
  <si>
    <t>First developed in 2008, the methodology was used to produce single year estimates that were reported in the 2008, 2009 and 2010 Seafish economic survey reports of the UK fishing fleet.</t>
  </si>
  <si>
    <t>The methodology was again revised in February 2013. The revision involved changing the way that the sample cost structure for each fleet segment was calculated, resulting in a more robust approach when dealing with outlying (far from average) cost data.</t>
  </si>
  <si>
    <t xml:space="preserve">This is a summary of the method we used to estimate the earnings, cost structure and profits of the UK fleet and fleet segments:                                                                                                           </t>
  </si>
  <si>
    <t xml:space="preserve">1. The UK fleet is stratified into approximately 30 relatively homogeneous fleet segments using MMO data on capacity, effort and landings for each vessel (see segmentation criteria worksheet). </t>
  </si>
  <si>
    <t xml:space="preserve">2. Seafish uses a self-selecting stratified sampling approach to obtain an adequate sample size of vessel financial accounts for each fleet segment. </t>
  </si>
  <si>
    <t>3. Costs and earnings data from vessel accounts are allocated to particular fleet segments following the segmentation procedure, giving approximately 30 costs and earnings segment samples. Sample sizes for vessel accounts in each fleet segment and each year can be found at the end of this workbook.</t>
  </si>
  <si>
    <t xml:space="preserve">4. To estimate the cost structure of all vessels in each fleet segment, we:                                                                                                                                                                                                                                                                                                                                  </t>
  </si>
  <si>
    <t xml:space="preserve">a) add together the individual cost and earnings items from vessel accounts within each segment sample to create a 'combined segment sample cost structure'. </t>
  </si>
  <si>
    <t xml:space="preserve">b) calculate the sum of each cost item in the 'combined segment sample cost structure' as a proportion of the sum of fishing income e.g. sum of gear cost is 10% of sum of fishing income, sum of commission is 3% of sum of fishing income etc.       </t>
  </si>
  <si>
    <t xml:space="preserve">c) calculate fuel costs and crew costs differently from the other costs. For crew share, we give a minimum £100 per day in instances where the actual observed amount within the 'combined segment sample cost structure' is lower. For fuel costs, the capacity (VCUs) and fishing effort (days at sea) of each vessel are used to estimate fuel consumption in litres, which is then combined with the average annual red diesel price (excluding duty) to calculate the fuel cost estimates for each vessel. </t>
  </si>
  <si>
    <t>d) Following calculation of fuel cost and crew share, we apply the proportions from all the other costs within the 'combined segment sample cost structure' to the official declared fishing income for each vessel within each fleet segment, which enables use to calculate Gross Value Added, operating profit and net profit for each vessel.</t>
  </si>
  <si>
    <t>5. UK fleet totals and fleet segment totals and averages are then calculated from the estimates produced for each vessel.</t>
  </si>
  <si>
    <t>Where we have low sample size for a particular segment in a particular year we take into account previous years' estimates along with the reference year fuel price data to estimate costs.</t>
  </si>
  <si>
    <r>
      <t xml:space="preserve">Data for the years 2005-2013 are estimates based on same year costs and earnings samples collected by Seafish. Data for 2014 are estimates using </t>
    </r>
    <r>
      <rPr>
        <b/>
        <u/>
        <sz val="11"/>
        <color theme="1"/>
        <rFont val="Calibri"/>
        <family val="2"/>
        <scheme val="minor"/>
      </rPr>
      <t>provisional</t>
    </r>
    <r>
      <rPr>
        <sz val="11"/>
        <color theme="1"/>
        <rFont val="Calibri"/>
        <family val="2"/>
        <scheme val="minor"/>
      </rPr>
      <t xml:space="preserve"> official statistics on landings, capacity and effort, along with 2014 fuel price and previous years' cost structures. Therefore, </t>
    </r>
    <r>
      <rPr>
        <b/>
        <u/>
        <sz val="11"/>
        <color theme="1"/>
        <rFont val="Calibri"/>
        <family val="2"/>
        <scheme val="minor"/>
      </rPr>
      <t xml:space="preserve">2014 estimates should be considered preliminary estimates. </t>
    </r>
    <r>
      <rPr>
        <sz val="11"/>
        <color theme="1"/>
        <rFont val="Calibri"/>
        <family val="2"/>
        <scheme val="minor"/>
      </rPr>
      <t>Seafish will revise these estimates when sufficient 2014 costs and earnings sample data are available later in the year.</t>
    </r>
  </si>
  <si>
    <t xml:space="preserve">All the costs and profits data contained within these worksheets are Seafish estimates based on the latest available data. Additional vessel accounts data for latter years may become available and be incorporated into future analyses. </t>
  </si>
  <si>
    <t>Notes</t>
  </si>
  <si>
    <t>Each table has four main sections (Segment totals, Vessel characteristics (average per vessel), productivity indicators and income, costs and profits (average per vessel)).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</si>
</sst>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27" x14ac:knownFonts="1">
    <font>
      <sz val="11"/>
      <color theme="1"/>
      <name val="Arial"/>
      <family val="2"/>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1"/>
      <name val="Arial"/>
      <family val="2"/>
    </font>
    <font>
      <b/>
      <u/>
      <sz val="14"/>
      <color theme="1"/>
      <name val="Arial"/>
      <family val="2"/>
    </font>
    <font>
      <sz val="10"/>
      <color theme="1"/>
      <name val="Arial"/>
      <family val="2"/>
    </font>
    <font>
      <sz val="10"/>
      <color theme="1"/>
      <name val="Calibri"/>
      <family val="2"/>
      <scheme val="minor"/>
    </font>
    <font>
      <b/>
      <sz val="10"/>
      <color theme="1"/>
      <name val="Calibri"/>
      <family val="2"/>
      <scheme val="minor"/>
    </font>
    <font>
      <sz val="11"/>
      <name val="Calibri"/>
      <family val="2"/>
    </font>
    <font>
      <sz val="10"/>
      <name val="Arial"/>
      <family val="2"/>
    </font>
    <font>
      <b/>
      <sz val="14"/>
      <color theme="1"/>
      <name val="Calibri"/>
      <family val="2"/>
      <scheme val="minor"/>
    </font>
    <font>
      <sz val="10"/>
      <color theme="1"/>
      <name val="Calibri"/>
      <family val="2"/>
    </font>
    <font>
      <sz val="10"/>
      <name val="Calibri"/>
      <family val="2"/>
      <scheme val="minor"/>
    </font>
    <font>
      <sz val="9"/>
      <color theme="1"/>
      <name val="Calibri"/>
      <family val="2"/>
      <scheme val="minor"/>
    </font>
    <font>
      <b/>
      <u/>
      <sz val="12"/>
      <color theme="1"/>
      <name val="Calibri"/>
      <family val="2"/>
      <scheme val="minor"/>
    </font>
    <font>
      <b/>
      <sz val="11"/>
      <name val="Calibri"/>
      <family val="2"/>
      <scheme val="minor"/>
    </font>
    <font>
      <sz val="11"/>
      <name val="Calibri"/>
      <family val="2"/>
      <scheme val="minor"/>
    </font>
    <font>
      <u/>
      <sz val="11"/>
      <color theme="10"/>
      <name val="Arial"/>
      <family val="2"/>
    </font>
    <font>
      <u/>
      <sz val="11"/>
      <name val="Calibri"/>
      <family val="2"/>
    </font>
    <font>
      <u/>
      <sz val="10"/>
      <color indexed="8"/>
      <name val="Calibri"/>
      <family val="2"/>
    </font>
    <font>
      <i/>
      <sz val="10"/>
      <color theme="1"/>
      <name val="Calibri"/>
      <family val="2"/>
      <scheme val="minor"/>
    </font>
    <font>
      <u/>
      <sz val="10"/>
      <name val="Calibri"/>
      <family val="2"/>
    </font>
    <font>
      <b/>
      <sz val="10"/>
      <name val="Calibri"/>
      <family val="2"/>
      <scheme val="minor"/>
    </font>
    <font>
      <b/>
      <u/>
      <sz val="11"/>
      <color theme="1"/>
      <name val="Calibri"/>
      <family val="2"/>
      <scheme val="minor"/>
    </font>
    <font>
      <b/>
      <u/>
      <sz val="10"/>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FFFFFF"/>
        <bgColor indexed="64"/>
      </patternFill>
    </fill>
  </fills>
  <borders count="24">
    <border>
      <left/>
      <right/>
      <top/>
      <bottom/>
      <diagonal/>
    </border>
    <border>
      <left style="medium">
        <color indexed="64"/>
      </left>
      <right style="medium">
        <color indexed="64"/>
      </right>
      <top style="medium">
        <color indexed="64"/>
      </top>
      <bottom style="medium">
        <color indexed="64"/>
      </bottom>
      <diagonal/>
    </border>
    <border>
      <left/>
      <right/>
      <top style="medium">
        <color auto="1"/>
      </top>
      <bottom style="medium">
        <color auto="1"/>
      </bottom>
      <diagonal/>
    </border>
    <border>
      <left/>
      <right/>
      <top style="medium">
        <color auto="1"/>
      </top>
      <bottom/>
      <diagonal/>
    </border>
    <border>
      <left/>
      <right/>
      <top style="thin">
        <color auto="1"/>
      </top>
      <bottom/>
      <diagonal/>
    </border>
    <border>
      <left/>
      <right/>
      <top/>
      <bottom style="thin">
        <color auto="1"/>
      </bottom>
      <diagonal/>
    </border>
    <border>
      <left/>
      <right/>
      <top/>
      <bottom style="medium">
        <color auto="1"/>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10" fillId="0" borderId="0"/>
    <xf numFmtId="0" fontId="11" fillId="0" borderId="0"/>
    <xf numFmtId="0" fontId="10" fillId="0" borderId="0"/>
    <xf numFmtId="9" fontId="5" fillId="0" borderId="0" applyFont="0" applyFill="0" applyBorder="0" applyAlignment="0" applyProtection="0"/>
    <xf numFmtId="0" fontId="19" fillId="0" borderId="0" applyNumberFormat="0" applyFill="0" applyBorder="0" applyAlignment="0" applyProtection="0"/>
  </cellStyleXfs>
  <cellXfs count="154">
    <xf numFmtId="0" fontId="0" fillId="0" borderId="0" xfId="0"/>
    <xf numFmtId="0" fontId="6" fillId="2" borderId="0" xfId="0" applyFont="1" applyFill="1"/>
    <xf numFmtId="0" fontId="7" fillId="2" borderId="0" xfId="0" applyFont="1" applyFill="1"/>
    <xf numFmtId="0" fontId="8" fillId="2" borderId="0" xfId="0" applyFont="1" applyFill="1"/>
    <xf numFmtId="0" fontId="9" fillId="2" borderId="0" xfId="0" applyFont="1" applyFill="1"/>
    <xf numFmtId="0" fontId="12" fillId="2" borderId="0" xfId="0" applyFont="1" applyFill="1" applyAlignment="1">
      <alignment vertical="center"/>
    </xf>
    <xf numFmtId="0" fontId="2" fillId="2" borderId="0" xfId="0" applyFont="1" applyFill="1" applyAlignment="1">
      <alignment vertical="center"/>
    </xf>
    <xf numFmtId="0" fontId="8" fillId="3" borderId="1" xfId="0" applyFont="1" applyFill="1" applyBorder="1" applyAlignment="1">
      <alignment horizontal="center" vertical="center" wrapText="1"/>
    </xf>
    <xf numFmtId="0" fontId="2" fillId="2" borderId="2" xfId="0" applyFont="1" applyFill="1" applyBorder="1" applyAlignment="1">
      <alignment vertical="center" wrapText="1"/>
    </xf>
    <xf numFmtId="0" fontId="9" fillId="2" borderId="2" xfId="0" applyFont="1" applyFill="1" applyBorder="1" applyAlignment="1">
      <alignment vertical="center" wrapText="1"/>
    </xf>
    <xf numFmtId="0" fontId="13" fillId="2" borderId="2" xfId="0" applyNumberFormat="1" applyFont="1" applyFill="1" applyBorder="1" applyAlignment="1">
      <alignment horizontal="center" vertical="center" wrapText="1"/>
    </xf>
    <xf numFmtId="0" fontId="8" fillId="2" borderId="2" xfId="0" applyNumberFormat="1" applyFont="1" applyFill="1" applyBorder="1" applyAlignment="1">
      <alignment horizontal="right" vertical="center" wrapText="1"/>
    </xf>
    <xf numFmtId="0" fontId="8" fillId="4" borderId="2" xfId="0" applyNumberFormat="1" applyFont="1" applyFill="1" applyBorder="1" applyAlignment="1">
      <alignment horizontal="right" vertical="center" wrapText="1"/>
    </xf>
    <xf numFmtId="0" fontId="2" fillId="2" borderId="0" xfId="0" applyFont="1" applyFill="1" applyBorder="1" applyAlignment="1">
      <alignment vertical="center" wrapText="1"/>
    </xf>
    <xf numFmtId="0" fontId="14" fillId="2" borderId="3" xfId="0" applyFont="1" applyFill="1" applyBorder="1" applyAlignment="1">
      <alignment horizontal="right" vertical="center"/>
    </xf>
    <xf numFmtId="3" fontId="2" fillId="2" borderId="3" xfId="0" applyNumberFormat="1" applyFont="1" applyFill="1" applyBorder="1" applyAlignment="1">
      <alignment vertical="center"/>
    </xf>
    <xf numFmtId="3" fontId="8" fillId="2" borderId="3" xfId="0" applyNumberFormat="1" applyFont="1" applyFill="1" applyBorder="1" applyAlignment="1">
      <alignment vertical="center"/>
    </xf>
    <xf numFmtId="3" fontId="8" fillId="4" borderId="3" xfId="0" applyNumberFormat="1" applyFont="1" applyFill="1" applyBorder="1" applyAlignment="1">
      <alignment vertical="center"/>
    </xf>
    <xf numFmtId="9" fontId="8" fillId="2" borderId="3" xfId="4" applyFont="1" applyFill="1" applyBorder="1" applyAlignment="1">
      <alignment horizontal="center" vertical="center"/>
    </xf>
    <xf numFmtId="0" fontId="2" fillId="2" borderId="0" xfId="0" applyFont="1" applyFill="1" applyBorder="1" applyAlignment="1">
      <alignment vertical="center"/>
    </xf>
    <xf numFmtId="0" fontId="14" fillId="2" borderId="0" xfId="0" applyFont="1" applyFill="1" applyBorder="1" applyAlignment="1">
      <alignment horizontal="right" vertical="center"/>
    </xf>
    <xf numFmtId="3" fontId="2" fillId="2" borderId="0" xfId="0" applyNumberFormat="1" applyFont="1" applyFill="1" applyBorder="1" applyAlignment="1">
      <alignment vertical="center"/>
    </xf>
    <xf numFmtId="3" fontId="8" fillId="2" borderId="0" xfId="0" applyNumberFormat="1" applyFont="1" applyFill="1" applyBorder="1" applyAlignment="1">
      <alignment vertical="center"/>
    </xf>
    <xf numFmtId="3" fontId="8" fillId="4" borderId="0" xfId="0" applyNumberFormat="1" applyFont="1" applyFill="1" applyBorder="1" applyAlignment="1">
      <alignment vertical="center"/>
    </xf>
    <xf numFmtId="9" fontId="8" fillId="2" borderId="0" xfId="4" applyFont="1" applyFill="1" applyBorder="1" applyAlignment="1">
      <alignment horizontal="center" vertical="center"/>
    </xf>
    <xf numFmtId="164" fontId="2" fillId="2" borderId="0" xfId="0" applyNumberFormat="1" applyFont="1" applyFill="1" applyBorder="1" applyAlignment="1">
      <alignment vertical="center"/>
    </xf>
    <xf numFmtId="164" fontId="8" fillId="2" borderId="0" xfId="0" applyNumberFormat="1" applyFont="1" applyFill="1" applyBorder="1" applyAlignment="1">
      <alignment vertical="center"/>
    </xf>
    <xf numFmtId="164" fontId="8" fillId="4" borderId="0" xfId="0" applyNumberFormat="1" applyFont="1" applyFill="1" applyBorder="1" applyAlignment="1">
      <alignment vertical="center"/>
    </xf>
    <xf numFmtId="0" fontId="8" fillId="2" borderId="4" xfId="0" applyFont="1" applyFill="1" applyBorder="1" applyAlignment="1">
      <alignment horizontal="right" vertical="center"/>
    </xf>
    <xf numFmtId="164" fontId="2" fillId="2" borderId="4" xfId="0" applyNumberFormat="1" applyFont="1" applyFill="1" applyBorder="1" applyAlignment="1">
      <alignment vertical="center"/>
    </xf>
    <xf numFmtId="164" fontId="8" fillId="2" borderId="4" xfId="0" applyNumberFormat="1" applyFont="1" applyFill="1" applyBorder="1" applyAlignment="1">
      <alignment vertical="center"/>
    </xf>
    <xf numFmtId="164" fontId="8" fillId="4" borderId="4" xfId="0" applyNumberFormat="1" applyFont="1" applyFill="1" applyBorder="1" applyAlignment="1">
      <alignment vertical="center"/>
    </xf>
    <xf numFmtId="9" fontId="8" fillId="2" borderId="4" xfId="4" applyFont="1" applyFill="1" applyBorder="1" applyAlignment="1">
      <alignment horizontal="center" vertical="center"/>
    </xf>
    <xf numFmtId="0" fontId="8" fillId="2" borderId="0" xfId="0" applyFont="1" applyFill="1" applyBorder="1" applyAlignment="1">
      <alignment horizontal="right" vertical="center"/>
    </xf>
    <xf numFmtId="4" fontId="8" fillId="2" borderId="0" xfId="0" applyNumberFormat="1" applyFont="1" applyFill="1" applyBorder="1" applyAlignment="1">
      <alignment vertical="center"/>
    </xf>
    <xf numFmtId="4" fontId="8" fillId="4" borderId="0" xfId="0" applyNumberFormat="1" applyFont="1" applyFill="1" applyBorder="1" applyAlignment="1">
      <alignment vertical="center"/>
    </xf>
    <xf numFmtId="0" fontId="8" fillId="2" borderId="5" xfId="0" applyFont="1" applyFill="1" applyBorder="1" applyAlignment="1">
      <alignment horizontal="right" vertical="center"/>
    </xf>
    <xf numFmtId="3" fontId="2" fillId="2" borderId="5" xfId="0" applyNumberFormat="1" applyFont="1" applyFill="1" applyBorder="1" applyAlignment="1">
      <alignment vertical="center"/>
    </xf>
    <xf numFmtId="3" fontId="8" fillId="2" borderId="5" xfId="0" applyNumberFormat="1" applyFont="1" applyFill="1" applyBorder="1" applyAlignment="1">
      <alignment vertical="center"/>
    </xf>
    <xf numFmtId="3" fontId="8" fillId="4" borderId="5" xfId="0" applyNumberFormat="1" applyFont="1" applyFill="1" applyBorder="1" applyAlignment="1">
      <alignment vertical="center"/>
    </xf>
    <xf numFmtId="9" fontId="8" fillId="2" borderId="5" xfId="4" applyFont="1" applyFill="1" applyBorder="1" applyAlignment="1">
      <alignment horizontal="center" vertical="center"/>
    </xf>
    <xf numFmtId="3" fontId="2" fillId="2" borderId="4" xfId="0" applyNumberFormat="1" applyFont="1" applyFill="1" applyBorder="1" applyAlignment="1">
      <alignment vertical="center"/>
    </xf>
    <xf numFmtId="4" fontId="8" fillId="2" borderId="4" xfId="0" applyNumberFormat="1" applyFont="1" applyFill="1" applyBorder="1" applyAlignment="1">
      <alignment vertical="center"/>
    </xf>
    <xf numFmtId="4" fontId="8" fillId="4" borderId="4" xfId="0" applyNumberFormat="1" applyFont="1" applyFill="1" applyBorder="1" applyAlignment="1">
      <alignment vertical="center"/>
    </xf>
    <xf numFmtId="4" fontId="2" fillId="2" borderId="0" xfId="0" applyNumberFormat="1" applyFont="1" applyFill="1" applyBorder="1" applyAlignment="1">
      <alignment vertical="center"/>
    </xf>
    <xf numFmtId="0" fontId="9" fillId="2" borderId="0" xfId="0" applyFont="1" applyFill="1" applyBorder="1" applyAlignment="1">
      <alignment horizontal="right" vertical="center"/>
    </xf>
    <xf numFmtId="164" fontId="3" fillId="2" borderId="0" xfId="0" applyNumberFormat="1" applyFont="1" applyFill="1" applyBorder="1" applyAlignment="1">
      <alignment vertical="center"/>
    </xf>
    <xf numFmtId="164" fontId="9" fillId="2" borderId="0" xfId="0" applyNumberFormat="1" applyFont="1" applyFill="1" applyBorder="1" applyAlignment="1">
      <alignment vertical="center"/>
    </xf>
    <xf numFmtId="164" fontId="9" fillId="4" borderId="0" xfId="0" applyNumberFormat="1" applyFont="1" applyFill="1" applyBorder="1" applyAlignment="1">
      <alignment vertical="center"/>
    </xf>
    <xf numFmtId="9" fontId="9" fillId="2" borderId="0" xfId="4" applyFont="1" applyFill="1" applyBorder="1" applyAlignment="1">
      <alignment horizontal="center" vertical="center"/>
    </xf>
    <xf numFmtId="0" fontId="9" fillId="2" borderId="6" xfId="0" applyFont="1" applyFill="1" applyBorder="1" applyAlignment="1">
      <alignment horizontal="right" vertical="center"/>
    </xf>
    <xf numFmtId="164" fontId="3" fillId="2" borderId="6" xfId="0" applyNumberFormat="1" applyFont="1" applyFill="1" applyBorder="1" applyAlignment="1">
      <alignment vertical="center"/>
    </xf>
    <xf numFmtId="164" fontId="9" fillId="2" borderId="6" xfId="0" applyNumberFormat="1" applyFont="1" applyFill="1" applyBorder="1" applyAlignment="1">
      <alignment vertical="center"/>
    </xf>
    <xf numFmtId="164" fontId="9" fillId="4" borderId="6" xfId="0" applyNumberFormat="1" applyFont="1" applyFill="1" applyBorder="1" applyAlignment="1">
      <alignment vertical="center"/>
    </xf>
    <xf numFmtId="9" fontId="9" fillId="2" borderId="6" xfId="4" applyFont="1" applyFill="1" applyBorder="1" applyAlignment="1">
      <alignment horizontal="center" vertical="center"/>
    </xf>
    <xf numFmtId="0" fontId="15" fillId="2" borderId="0" xfId="0" applyFont="1" applyFill="1" applyAlignment="1">
      <alignment vertical="center"/>
    </xf>
    <xf numFmtId="0" fontId="12" fillId="9" borderId="0" xfId="0" applyFont="1" applyFill="1" applyAlignment="1">
      <alignment vertical="center"/>
    </xf>
    <xf numFmtId="0" fontId="3" fillId="9" borderId="0" xfId="0" applyFont="1" applyFill="1" applyAlignment="1">
      <alignment vertical="center"/>
    </xf>
    <xf numFmtId="0" fontId="2" fillId="9" borderId="0" xfId="0" applyFont="1" applyFill="1" applyAlignment="1">
      <alignment vertical="center"/>
    </xf>
    <xf numFmtId="0" fontId="15" fillId="9" borderId="0" xfId="0" applyFont="1" applyFill="1" applyAlignment="1">
      <alignment vertical="center"/>
    </xf>
    <xf numFmtId="0" fontId="16" fillId="9" borderId="0" xfId="0" applyFont="1" applyFill="1" applyAlignment="1">
      <alignment vertical="center"/>
    </xf>
    <xf numFmtId="0" fontId="4" fillId="9" borderId="0" xfId="0" applyFont="1" applyFill="1" applyAlignment="1">
      <alignment vertical="center"/>
    </xf>
    <xf numFmtId="165" fontId="4" fillId="9" borderId="0" xfId="4" applyNumberFormat="1" applyFont="1" applyFill="1" applyAlignment="1">
      <alignment vertical="center"/>
    </xf>
    <xf numFmtId="0" fontId="4" fillId="9" borderId="0" xfId="4" applyNumberFormat="1" applyFont="1" applyFill="1" applyAlignment="1">
      <alignment vertical="center"/>
    </xf>
    <xf numFmtId="0" fontId="17" fillId="9" borderId="0" xfId="0" applyFont="1" applyFill="1" applyAlignment="1">
      <alignment vertical="center"/>
    </xf>
    <xf numFmtId="0" fontId="18" fillId="9" borderId="0" xfId="0" applyFont="1" applyFill="1" applyAlignment="1">
      <alignment vertical="center"/>
    </xf>
    <xf numFmtId="9" fontId="4" fillId="9" borderId="0" xfId="4" applyNumberFormat="1" applyFont="1" applyFill="1" applyAlignment="1">
      <alignment vertical="center"/>
    </xf>
    <xf numFmtId="0" fontId="4" fillId="9" borderId="0" xfId="0" applyFont="1" applyFill="1" applyAlignment="1">
      <alignment horizontal="right" vertical="center"/>
    </xf>
    <xf numFmtId="4" fontId="4" fillId="9" borderId="0" xfId="0" applyNumberFormat="1" applyFont="1" applyFill="1" applyAlignment="1">
      <alignment vertical="center"/>
    </xf>
    <xf numFmtId="0" fontId="20" fillId="9" borderId="1" xfId="5" applyFont="1" applyFill="1" applyBorder="1" applyAlignment="1">
      <alignment horizontal="center" vertical="center" wrapText="1"/>
    </xf>
    <xf numFmtId="0" fontId="21" fillId="2" borderId="0" xfId="5" applyFont="1" applyFill="1" applyAlignment="1">
      <alignment horizontal="left" indent="2"/>
    </xf>
    <xf numFmtId="0" fontId="7" fillId="2" borderId="0" xfId="0" applyFont="1" applyFill="1" applyAlignment="1">
      <alignment vertical="center"/>
    </xf>
    <xf numFmtId="0" fontId="9" fillId="2" borderId="2" xfId="0" applyFont="1" applyFill="1" applyBorder="1" applyAlignment="1">
      <alignment vertical="center"/>
    </xf>
    <xf numFmtId="0" fontId="8" fillId="2" borderId="2" xfId="0" applyFont="1" applyFill="1" applyBorder="1" applyAlignment="1">
      <alignment horizontal="center" vertical="center"/>
    </xf>
    <xf numFmtId="0" fontId="8" fillId="2" borderId="2" xfId="0" applyFont="1" applyFill="1" applyBorder="1" applyAlignment="1">
      <alignment horizontal="right" vertical="center"/>
    </xf>
    <xf numFmtId="0" fontId="22" fillId="4" borderId="2" xfId="0" applyFont="1" applyFill="1" applyBorder="1" applyAlignment="1">
      <alignment horizontal="right" vertical="center"/>
    </xf>
    <xf numFmtId="1" fontId="8" fillId="2" borderId="0" xfId="0" applyNumberFormat="1" applyFont="1" applyFill="1" applyBorder="1" applyAlignment="1">
      <alignment horizontal="left" vertical="center"/>
    </xf>
    <xf numFmtId="9" fontId="8" fillId="2" borderId="0" xfId="4" applyFont="1" applyFill="1" applyBorder="1" applyAlignment="1">
      <alignment horizontal="right" vertical="center"/>
    </xf>
    <xf numFmtId="9" fontId="22" fillId="4" borderId="0" xfId="4" applyFont="1" applyFill="1" applyBorder="1" applyAlignment="1">
      <alignment horizontal="right" vertical="center"/>
    </xf>
    <xf numFmtId="0" fontId="8" fillId="2" borderId="0" xfId="0" applyFont="1" applyFill="1" applyBorder="1" applyAlignment="1">
      <alignment horizontal="left" vertical="center"/>
    </xf>
    <xf numFmtId="0" fontId="8" fillId="2" borderId="6" xfId="0" applyFont="1" applyFill="1" applyBorder="1" applyAlignment="1">
      <alignment horizontal="left" vertical="center"/>
    </xf>
    <xf numFmtId="9" fontId="8" fillId="2" borderId="6" xfId="4" applyFont="1" applyFill="1" applyBorder="1" applyAlignment="1">
      <alignment horizontal="center" vertical="center"/>
    </xf>
    <xf numFmtId="9" fontId="8" fillId="2" borderId="6" xfId="4" applyFont="1" applyFill="1" applyBorder="1" applyAlignment="1">
      <alignment horizontal="right" vertical="center"/>
    </xf>
    <xf numFmtId="0" fontId="7" fillId="2" borderId="0" xfId="0" applyFont="1" applyFill="1" applyAlignment="1">
      <alignment horizontal="right" vertical="center"/>
    </xf>
    <xf numFmtId="0" fontId="21" fillId="2" borderId="0" xfId="5" applyFont="1" applyFill="1" applyAlignment="1">
      <alignment horizontal="left"/>
    </xf>
    <xf numFmtId="0" fontId="8" fillId="2" borderId="0" xfId="0" applyFont="1" applyFill="1" applyAlignment="1">
      <alignment vertical="center"/>
    </xf>
    <xf numFmtId="0" fontId="8" fillId="2" borderId="0" xfId="0" applyFont="1" applyFill="1" applyAlignment="1">
      <alignment horizontal="right" vertical="center"/>
    </xf>
    <xf numFmtId="0" fontId="23" fillId="2" borderId="0" xfId="5" applyFont="1" applyFill="1" applyAlignment="1">
      <alignment horizontal="left"/>
    </xf>
    <xf numFmtId="0" fontId="9" fillId="2" borderId="0" xfId="0" applyFont="1" applyFill="1" applyBorder="1" applyAlignment="1">
      <alignment vertical="center"/>
    </xf>
    <xf numFmtId="0" fontId="9" fillId="2" borderId="6" xfId="0" applyFont="1" applyFill="1" applyBorder="1" applyAlignment="1">
      <alignment vertical="center"/>
    </xf>
    <xf numFmtId="0" fontId="8" fillId="2" borderId="6" xfId="0" applyFont="1" applyFill="1" applyBorder="1" applyAlignment="1">
      <alignment horizontal="right" vertical="center"/>
    </xf>
    <xf numFmtId="0" fontId="8" fillId="2" borderId="7" xfId="0" applyFont="1" applyFill="1" applyBorder="1" applyAlignment="1">
      <alignment horizontal="left" vertical="center"/>
    </xf>
    <xf numFmtId="9" fontId="8" fillId="2" borderId="7" xfId="4" applyFont="1" applyFill="1" applyBorder="1" applyAlignment="1">
      <alignment horizontal="right" vertical="center"/>
    </xf>
    <xf numFmtId="0" fontId="24" fillId="2" borderId="8" xfId="2" applyFont="1" applyFill="1" applyBorder="1" applyAlignment="1">
      <alignment vertical="center"/>
    </xf>
    <xf numFmtId="0" fontId="14" fillId="2" borderId="0" xfId="2" applyFont="1" applyFill="1"/>
    <xf numFmtId="0" fontId="24" fillId="2" borderId="10" xfId="2" applyFont="1" applyFill="1" applyBorder="1" applyAlignment="1">
      <alignment horizontal="center" wrapText="1"/>
    </xf>
    <xf numFmtId="0" fontId="24" fillId="2" borderId="11" xfId="2" applyFont="1" applyFill="1" applyBorder="1" applyAlignment="1">
      <alignment horizontal="center" wrapText="1"/>
    </xf>
    <xf numFmtId="0" fontId="14" fillId="2" borderId="12" xfId="2" applyFont="1" applyFill="1" applyBorder="1" applyAlignment="1">
      <alignment horizontal="center" vertical="center"/>
    </xf>
    <xf numFmtId="0" fontId="14" fillId="2" borderId="13" xfId="2" applyFont="1" applyFill="1" applyBorder="1" applyAlignment="1">
      <alignment vertical="center" wrapText="1"/>
    </xf>
    <xf numFmtId="0" fontId="14" fillId="2" borderId="13" xfId="2" applyFont="1" applyFill="1" applyBorder="1" applyAlignment="1">
      <alignment horizontal="center" vertical="center" wrapText="1"/>
    </xf>
    <xf numFmtId="0" fontId="14" fillId="2" borderId="1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15" xfId="2" applyFont="1" applyFill="1" applyBorder="1" applyAlignment="1">
      <alignment horizontal="center" vertical="center"/>
    </xf>
    <xf numFmtId="0" fontId="14" fillId="2" borderId="16" xfId="2" applyFont="1" applyFill="1" applyBorder="1" applyAlignment="1">
      <alignment vertical="center" wrapText="1"/>
    </xf>
    <xf numFmtId="0" fontId="14" fillId="2" borderId="16" xfId="2" applyFont="1" applyFill="1" applyBorder="1" applyAlignment="1">
      <alignment horizontal="center" vertical="center" wrapText="1"/>
    </xf>
    <xf numFmtId="0" fontId="14" fillId="2" borderId="16" xfId="2" applyFont="1" applyFill="1" applyBorder="1" applyAlignment="1">
      <alignment horizontal="center" vertical="center"/>
    </xf>
    <xf numFmtId="0" fontId="14" fillId="2" borderId="17" xfId="2" applyFont="1" applyFill="1" applyBorder="1" applyAlignment="1">
      <alignment horizontal="center" vertical="center"/>
    </xf>
    <xf numFmtId="0" fontId="14" fillId="2" borderId="18" xfId="2" applyFont="1" applyFill="1" applyBorder="1" applyAlignment="1">
      <alignment horizontal="center" vertical="center"/>
    </xf>
    <xf numFmtId="0" fontId="14" fillId="2" borderId="19" xfId="2" applyFont="1" applyFill="1" applyBorder="1" applyAlignment="1">
      <alignment vertical="center" wrapText="1"/>
    </xf>
    <xf numFmtId="0" fontId="14" fillId="2" borderId="19" xfId="2" applyFont="1" applyFill="1" applyBorder="1" applyAlignment="1">
      <alignment horizontal="center" vertical="center" wrapText="1"/>
    </xf>
    <xf numFmtId="0" fontId="14" fillId="2" borderId="19"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1" xfId="2" applyFont="1" applyFill="1" applyBorder="1" applyAlignment="1">
      <alignment horizontal="center" vertical="center"/>
    </xf>
    <xf numFmtId="0" fontId="14" fillId="2" borderId="22" xfId="2" applyFont="1" applyFill="1" applyBorder="1" applyAlignment="1">
      <alignment vertical="center" wrapText="1"/>
    </xf>
    <xf numFmtId="0" fontId="14" fillId="2" borderId="22" xfId="2" applyFont="1" applyFill="1" applyBorder="1" applyAlignment="1">
      <alignment horizontal="center" vertical="center" wrapText="1"/>
    </xf>
    <xf numFmtId="0" fontId="14" fillId="2" borderId="22" xfId="2" applyFont="1" applyFill="1" applyBorder="1" applyAlignment="1">
      <alignment horizontal="center" vertical="center"/>
    </xf>
    <xf numFmtId="0" fontId="14" fillId="2" borderId="23" xfId="2" applyFont="1" applyFill="1" applyBorder="1" applyAlignment="1">
      <alignment horizontal="center" vertical="center"/>
    </xf>
    <xf numFmtId="0" fontId="14" fillId="2" borderId="0" xfId="2" applyFont="1" applyFill="1" applyAlignment="1">
      <alignment horizontal="center"/>
    </xf>
    <xf numFmtId="0" fontId="14" fillId="2" borderId="0" xfId="2" applyFont="1" applyFill="1" applyAlignment="1">
      <alignment horizontal="center" wrapText="1"/>
    </xf>
    <xf numFmtId="0" fontId="23" fillId="2" borderId="1" xfId="5" applyFont="1" applyFill="1" applyBorder="1" applyAlignment="1">
      <alignment horizontal="center" vertical="center" wrapText="1"/>
    </xf>
    <xf numFmtId="0" fontId="2" fillId="2" borderId="0" xfId="0" applyFont="1" applyFill="1"/>
    <xf numFmtId="0" fontId="25" fillId="2" borderId="0" xfId="0" applyFont="1" applyFill="1" applyAlignment="1">
      <alignment horizontal="center" vertical="top" wrapText="1"/>
    </xf>
    <xf numFmtId="0" fontId="2" fillId="2" borderId="0" xfId="0" applyFont="1" applyFill="1" applyAlignment="1">
      <alignment vertical="center" wrapText="1"/>
    </xf>
    <xf numFmtId="0" fontId="25" fillId="2" borderId="0" xfId="0" applyFont="1" applyFill="1" applyAlignment="1">
      <alignment horizontal="center" vertical="top"/>
    </xf>
    <xf numFmtId="0" fontId="8" fillId="2" borderId="0" xfId="0" applyFont="1" applyFill="1" applyBorder="1"/>
    <xf numFmtId="0" fontId="2" fillId="2" borderId="0" xfId="0" applyFont="1" applyFill="1" applyAlignment="1">
      <alignment horizontal="left" vertical="center" wrapText="1"/>
    </xf>
    <xf numFmtId="9" fontId="22" fillId="4" borderId="6" xfId="4" applyFont="1" applyFill="1" applyBorder="1" applyAlignment="1">
      <alignment horizontal="right" vertical="center"/>
    </xf>
    <xf numFmtId="0" fontId="2" fillId="2" borderId="0" xfId="0" applyFont="1" applyFill="1" applyAlignment="1">
      <alignment horizontal="left" vertical="center" wrapText="1"/>
    </xf>
    <xf numFmtId="0" fontId="8" fillId="2" borderId="0" xfId="0" applyFont="1" applyFill="1"/>
    <xf numFmtId="0" fontId="25" fillId="2" borderId="0" xfId="0" applyFont="1" applyFill="1" applyAlignment="1">
      <alignment horizontal="left" vertical="center" wrapText="1"/>
    </xf>
    <xf numFmtId="0" fontId="26" fillId="2" borderId="0" xfId="0" applyFont="1" applyFill="1"/>
    <xf numFmtId="0" fontId="9" fillId="2" borderId="0" xfId="0" applyFont="1" applyFill="1" applyAlignment="1">
      <alignment horizontal="left" wrapText="1"/>
    </xf>
    <xf numFmtId="0" fontId="9" fillId="2" borderId="0" xfId="0" applyFont="1" applyFill="1" applyAlignment="1">
      <alignment horizontal="left" vertical="center" wrapText="1"/>
    </xf>
    <xf numFmtId="0" fontId="24" fillId="2" borderId="0" xfId="0" applyFont="1" applyFill="1" applyAlignment="1">
      <alignment horizontal="left" wrapText="1"/>
    </xf>
    <xf numFmtId="0" fontId="8" fillId="2" borderId="0" xfId="0" applyFont="1" applyFill="1" applyAlignment="1">
      <alignment wrapText="1"/>
    </xf>
    <xf numFmtId="0" fontId="2" fillId="2" borderId="0" xfId="0" applyFont="1" applyFill="1" applyAlignment="1">
      <alignment vertical="center" wrapText="1"/>
    </xf>
    <xf numFmtId="0" fontId="2" fillId="2" borderId="0" xfId="0" applyFont="1" applyFill="1"/>
    <xf numFmtId="0" fontId="24" fillId="2" borderId="2" xfId="2" applyFont="1" applyFill="1" applyBorder="1" applyAlignment="1">
      <alignment horizontal="center" vertical="center"/>
    </xf>
    <xf numFmtId="0" fontId="24" fillId="2" borderId="8" xfId="2" applyFont="1" applyFill="1" applyBorder="1" applyAlignment="1">
      <alignment horizontal="center"/>
    </xf>
    <xf numFmtId="0" fontId="24" fillId="2" borderId="9" xfId="2" applyFont="1" applyFill="1" applyBorder="1" applyAlignment="1">
      <alignment horizontal="center"/>
    </xf>
    <xf numFmtId="0" fontId="3" fillId="5" borderId="3" xfId="0" applyFont="1" applyFill="1" applyBorder="1" applyAlignment="1">
      <alignment horizontal="center" vertical="center" textRotation="90" wrapText="1"/>
    </xf>
    <xf numFmtId="0" fontId="3" fillId="5" borderId="0" xfId="0" applyFont="1" applyFill="1" applyBorder="1" applyAlignment="1">
      <alignment horizontal="center" vertical="center" textRotation="90"/>
    </xf>
    <xf numFmtId="0" fontId="3" fillId="6" borderId="4" xfId="0" applyFont="1" applyFill="1" applyBorder="1" applyAlignment="1">
      <alignment horizontal="center" vertical="center" textRotation="90" wrapText="1"/>
    </xf>
    <xf numFmtId="0" fontId="3" fillId="6" borderId="0" xfId="0" applyFont="1" applyFill="1" applyBorder="1" applyAlignment="1">
      <alignment horizontal="center" vertical="center" textRotation="90"/>
    </xf>
    <xf numFmtId="0" fontId="3" fillId="6" borderId="5" xfId="0" applyFont="1" applyFill="1" applyBorder="1" applyAlignment="1">
      <alignment horizontal="center" vertical="center" textRotation="90"/>
    </xf>
    <xf numFmtId="0" fontId="3" fillId="7" borderId="0" xfId="0" applyFont="1" applyFill="1" applyBorder="1" applyAlignment="1">
      <alignment horizontal="center" vertical="center" textRotation="90" wrapText="1"/>
    </xf>
    <xf numFmtId="0" fontId="3" fillId="7" borderId="5" xfId="0" applyFont="1" applyFill="1" applyBorder="1" applyAlignment="1">
      <alignment horizontal="center" vertical="center" textRotation="90" wrapText="1"/>
    </xf>
    <xf numFmtId="0" fontId="3" fillId="8" borderId="4" xfId="0" applyFont="1" applyFill="1" applyBorder="1" applyAlignment="1">
      <alignment horizontal="center" vertical="center" textRotation="90" wrapText="1"/>
    </xf>
    <xf numFmtId="0" fontId="3" fillId="8" borderId="0" xfId="0" applyFont="1" applyFill="1" applyBorder="1" applyAlignment="1">
      <alignment horizontal="center" vertical="center" textRotation="90"/>
    </xf>
    <xf numFmtId="0" fontId="3" fillId="8" borderId="6" xfId="0" applyFont="1" applyFill="1" applyBorder="1" applyAlignment="1">
      <alignment horizontal="center" vertical="center" textRotation="90"/>
    </xf>
    <xf numFmtId="0" fontId="23" fillId="2" borderId="0" xfId="5" applyFont="1" applyFill="1" applyAlignment="1">
      <alignment horizontal="right" vertical="center" wrapText="1"/>
    </xf>
    <xf numFmtId="0" fontId="3" fillId="2" borderId="0" xfId="0" applyFont="1" applyFill="1" applyAlignment="1">
      <alignment horizontal="left" vertical="center" wrapText="1"/>
    </xf>
    <xf numFmtId="0" fontId="1" fillId="2" borderId="0" xfId="0" applyFont="1" applyFill="1" applyAlignment="1">
      <alignment horizontal="left" vertical="center" wrapText="1"/>
    </xf>
    <xf numFmtId="0" fontId="24" fillId="2" borderId="0" xfId="0" applyFont="1" applyFill="1" applyAlignment="1">
      <alignment horizontal="left" vertical="top" wrapText="1"/>
    </xf>
  </cellXfs>
  <cellStyles count="6">
    <cellStyle name="Hyperlink" xfId="5" builtinId="8"/>
    <cellStyle name="Normal" xfId="0" builtinId="0"/>
    <cellStyle name="Normal 2" xfId="1"/>
    <cellStyle name="Normal 2 2" xfId="2"/>
    <cellStyle name="Normal 3" xfId="3"/>
    <cellStyle name="Percent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trawl'!$A$45</c:f>
          <c:strCache>
            <c:ptCount val="1"/>
            <c:pt idx="0">
              <c:v>Landings per kW day at sea (kg)
Area VIIA demersal trawl</c:v>
            </c:pt>
          </c:strCache>
        </c:strRef>
      </c:tx>
      <c:layout/>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'Area VIIa demersal trawl'!$D$2:$M$2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trawl'!$D$20:$M$20</c:f>
              <c:numCache>
                <c:formatCode>#,##0.00</c:formatCode>
                <c:ptCount val="10"/>
                <c:pt idx="0">
                  <c:v>1.8155621620717677</c:v>
                </c:pt>
                <c:pt idx="1">
                  <c:v>1.4930104585169528</c:v>
                </c:pt>
                <c:pt idx="2">
                  <c:v>3.0456922629406376</c:v>
                </c:pt>
                <c:pt idx="3">
                  <c:v>2.2239682260779587</c:v>
                </c:pt>
                <c:pt idx="4">
                  <c:v>2.6562271389861589</c:v>
                </c:pt>
                <c:pt idx="5">
                  <c:v>3.6379490117466236</c:v>
                </c:pt>
                <c:pt idx="6">
                  <c:v>3.0996407831590771</c:v>
                </c:pt>
                <c:pt idx="7">
                  <c:v>9.018085410723268</c:v>
                </c:pt>
                <c:pt idx="8">
                  <c:v>5.0518609748318095</c:v>
                </c:pt>
                <c:pt idx="9">
                  <c:v>4.2826917526602744</c:v>
                </c:pt>
              </c:numCache>
            </c:numRef>
          </c:val>
          <c:smooth val="0"/>
        </c:ser>
        <c:dLbls>
          <c:showLegendKey val="0"/>
          <c:showVal val="0"/>
          <c:showCatName val="0"/>
          <c:showSerName val="0"/>
          <c:showPercent val="0"/>
          <c:showBubbleSize val="0"/>
        </c:dLbls>
        <c:marker val="1"/>
        <c:smooth val="0"/>
        <c:axId val="43394944"/>
        <c:axId val="43396480"/>
      </c:lineChart>
      <c:catAx>
        <c:axId val="43394944"/>
        <c:scaling>
          <c:orientation val="minMax"/>
        </c:scaling>
        <c:delete val="0"/>
        <c:axPos val="b"/>
        <c:numFmt formatCode="General" sourceLinked="1"/>
        <c:majorTickMark val="out"/>
        <c:minorTickMark val="none"/>
        <c:tickLblPos val="nextTo"/>
        <c:crossAx val="43396480"/>
        <c:crosses val="autoZero"/>
        <c:auto val="1"/>
        <c:lblAlgn val="ctr"/>
        <c:lblOffset val="100"/>
        <c:noMultiLvlLbl val="0"/>
      </c:catAx>
      <c:valAx>
        <c:axId val="43396480"/>
        <c:scaling>
          <c:orientation val="minMax"/>
        </c:scaling>
        <c:delete val="0"/>
        <c:axPos val="l"/>
        <c:majorGridlines>
          <c:spPr>
            <a:ln w="3175">
              <a:prstDash val="sysDot"/>
            </a:ln>
          </c:spPr>
        </c:majorGridlines>
        <c:numFmt formatCode="#,##0.00" sourceLinked="1"/>
        <c:majorTickMark val="out"/>
        <c:minorTickMark val="none"/>
        <c:tickLblPos val="nextTo"/>
        <c:crossAx val="43394944"/>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o250kW'!$A$45</c:f>
          <c:strCache>
            <c:ptCount val="1"/>
            <c:pt idx="0">
              <c:v>Landings per kW day at sea (kg)
Area VIIA nephrops over 250kW</c:v>
            </c:pt>
          </c:strCache>
        </c:strRef>
      </c:tx>
      <c:layout/>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'Area VIIa nephrops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o250kW'!$D$20:$M$20</c:f>
              <c:numCache>
                <c:formatCode>#,##0.00</c:formatCode>
                <c:ptCount val="10"/>
                <c:pt idx="0">
                  <c:v>1.6011559405504525</c:v>
                </c:pt>
                <c:pt idx="1">
                  <c:v>1.9220504248957275</c:v>
                </c:pt>
                <c:pt idx="2">
                  <c:v>1.9553924475751312</c:v>
                </c:pt>
                <c:pt idx="3">
                  <c:v>2.2214701631698244</c:v>
                </c:pt>
                <c:pt idx="4">
                  <c:v>2.1733914316884606</c:v>
                </c:pt>
                <c:pt idx="5">
                  <c:v>2.2958026809654788</c:v>
                </c:pt>
                <c:pt idx="6">
                  <c:v>2.6618199642261544</c:v>
                </c:pt>
                <c:pt idx="7">
                  <c:v>2.5754633498767623</c:v>
                </c:pt>
                <c:pt idx="8">
                  <c:v>2.2483893912547437</c:v>
                </c:pt>
                <c:pt idx="9">
                  <c:v>2.1653766226921616</c:v>
                </c:pt>
              </c:numCache>
            </c:numRef>
          </c:val>
          <c:smooth val="0"/>
        </c:ser>
        <c:dLbls>
          <c:showLegendKey val="0"/>
          <c:showVal val="0"/>
          <c:showCatName val="0"/>
          <c:showSerName val="0"/>
          <c:showPercent val="0"/>
          <c:showBubbleSize val="0"/>
        </c:dLbls>
        <c:marker val="1"/>
        <c:smooth val="0"/>
        <c:axId val="94105984"/>
        <c:axId val="94107520"/>
      </c:lineChart>
      <c:catAx>
        <c:axId val="94105984"/>
        <c:scaling>
          <c:orientation val="minMax"/>
        </c:scaling>
        <c:delete val="0"/>
        <c:axPos val="b"/>
        <c:numFmt formatCode="General" sourceLinked="1"/>
        <c:majorTickMark val="out"/>
        <c:minorTickMark val="none"/>
        <c:tickLblPos val="nextTo"/>
        <c:crossAx val="94107520"/>
        <c:crosses val="autoZero"/>
        <c:auto val="1"/>
        <c:lblAlgn val="ctr"/>
        <c:lblOffset val="100"/>
        <c:noMultiLvlLbl val="0"/>
      </c:catAx>
      <c:valAx>
        <c:axId val="94107520"/>
        <c:scaling>
          <c:orientation val="minMax"/>
        </c:scaling>
        <c:delete val="0"/>
        <c:axPos val="l"/>
        <c:majorGridlines>
          <c:spPr>
            <a:ln w="3175">
              <a:prstDash val="sysDot"/>
            </a:ln>
          </c:spPr>
        </c:majorGridlines>
        <c:numFmt formatCode="#,##0.00" sourceLinked="1"/>
        <c:majorTickMark val="out"/>
        <c:minorTickMark val="none"/>
        <c:tickLblPos val="nextTo"/>
        <c:crossAx val="94105984"/>
        <c:crosses val="autoZero"/>
        <c:crossBetween val="between"/>
      </c:valAx>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300kW'!$A$45</c:f>
          <c:strCache>
            <c:ptCount val="1"/>
            <c:pt idx="0">
              <c:v>Landings per kW day at sea (kg)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'NS beam trawl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300kW'!$D$20:$M$20</c:f>
              <c:numCache>
                <c:formatCode>#,##0.00</c:formatCode>
                <c:ptCount val="10"/>
                <c:pt idx="0">
                  <c:v>1.2760747106638126</c:v>
                </c:pt>
                <c:pt idx="1">
                  <c:v>2.8186015304220184</c:v>
                </c:pt>
                <c:pt idx="2">
                  <c:v>3.2578053239572484</c:v>
                </c:pt>
                <c:pt idx="3">
                  <c:v>2.4248766166914622</c:v>
                </c:pt>
                <c:pt idx="4">
                  <c:v>2.2310586297920501</c:v>
                </c:pt>
                <c:pt idx="5">
                  <c:v>3.0424162359557529</c:v>
                </c:pt>
                <c:pt idx="6">
                  <c:v>3.1974267392220748</c:v>
                </c:pt>
                <c:pt idx="7">
                  <c:v>3.9252069574454178</c:v>
                </c:pt>
                <c:pt idx="8">
                  <c:v>2.7217057438375556</c:v>
                </c:pt>
                <c:pt idx="9">
                  <c:v>3.3328015549013221</c:v>
                </c:pt>
              </c:numCache>
            </c:numRef>
          </c:val>
          <c:smooth val="0"/>
        </c:ser>
        <c:dLbls>
          <c:showLegendKey val="0"/>
          <c:showVal val="0"/>
          <c:showCatName val="0"/>
          <c:showSerName val="0"/>
          <c:showPercent val="0"/>
          <c:showBubbleSize val="0"/>
        </c:dLbls>
        <c:marker val="1"/>
        <c:smooth val="0"/>
        <c:axId val="46399488"/>
        <c:axId val="46401024"/>
      </c:lineChart>
      <c:catAx>
        <c:axId val="46399488"/>
        <c:scaling>
          <c:orientation val="minMax"/>
        </c:scaling>
        <c:delete val="0"/>
        <c:axPos val="b"/>
        <c:numFmt formatCode="General" sourceLinked="1"/>
        <c:majorTickMark val="out"/>
        <c:minorTickMark val="none"/>
        <c:tickLblPos val="nextTo"/>
        <c:crossAx val="46401024"/>
        <c:crosses val="autoZero"/>
        <c:auto val="1"/>
        <c:lblAlgn val="ctr"/>
        <c:lblOffset val="100"/>
        <c:noMultiLvlLbl val="0"/>
      </c:catAx>
      <c:valAx>
        <c:axId val="46401024"/>
        <c:scaling>
          <c:orientation val="minMax"/>
        </c:scaling>
        <c:delete val="0"/>
        <c:axPos val="l"/>
        <c:majorGridlines>
          <c:spPr>
            <a:ln w="3175">
              <a:prstDash val="sysDot"/>
            </a:ln>
          </c:spPr>
        </c:majorGridlines>
        <c:numFmt formatCode="#,##0.00" sourceLinked="1"/>
        <c:majorTickMark val="out"/>
        <c:minorTickMark val="none"/>
        <c:tickLblPos val="nextTo"/>
        <c:crossAx val="46399488"/>
        <c:crosses val="autoZero"/>
        <c:crossBetween val="between"/>
      </c:valAx>
    </c:plotArea>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300kW'!$F$45</c:f>
          <c:strCache>
            <c:ptCount val="1"/>
            <c:pt idx="0">
              <c:v>Income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'NS beam trawl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300kW'!$D$21:$M$21</c:f>
              <c:numCache>
                <c:formatCode>#,##0.00</c:formatCode>
                <c:ptCount val="10"/>
                <c:pt idx="0">
                  <c:v>2.0528984833451376</c:v>
                </c:pt>
                <c:pt idx="1">
                  <c:v>4.2682308562958768</c:v>
                </c:pt>
                <c:pt idx="2">
                  <c:v>8.3474390132733429</c:v>
                </c:pt>
                <c:pt idx="3">
                  <c:v>5.3977136010971734</c:v>
                </c:pt>
                <c:pt idx="4">
                  <c:v>3.1982837209586745</c:v>
                </c:pt>
                <c:pt idx="5">
                  <c:v>5.2713400422828753</c:v>
                </c:pt>
                <c:pt idx="6">
                  <c:v>4.7083922714699655</c:v>
                </c:pt>
                <c:pt idx="7">
                  <c:v>6.5963207648483104</c:v>
                </c:pt>
                <c:pt idx="8">
                  <c:v>5.1437607886568681</c:v>
                </c:pt>
                <c:pt idx="9">
                  <c:v>2.9947356635312832</c:v>
                </c:pt>
              </c:numCache>
            </c:numRef>
          </c:val>
          <c:smooth val="0"/>
        </c:ser>
        <c:dLbls>
          <c:showLegendKey val="0"/>
          <c:showVal val="0"/>
          <c:showCatName val="0"/>
          <c:showSerName val="0"/>
          <c:showPercent val="0"/>
          <c:showBubbleSize val="0"/>
        </c:dLbls>
        <c:marker val="1"/>
        <c:smooth val="0"/>
        <c:axId val="45987328"/>
        <c:axId val="45988864"/>
      </c:lineChart>
      <c:catAx>
        <c:axId val="45987328"/>
        <c:scaling>
          <c:orientation val="minMax"/>
        </c:scaling>
        <c:delete val="0"/>
        <c:axPos val="b"/>
        <c:numFmt formatCode="General" sourceLinked="1"/>
        <c:majorTickMark val="out"/>
        <c:minorTickMark val="none"/>
        <c:tickLblPos val="nextTo"/>
        <c:crossAx val="45988864"/>
        <c:crosses val="autoZero"/>
        <c:auto val="1"/>
        <c:lblAlgn val="ctr"/>
        <c:lblOffset val="100"/>
        <c:noMultiLvlLbl val="0"/>
      </c:catAx>
      <c:valAx>
        <c:axId val="45988864"/>
        <c:scaling>
          <c:orientation val="minMax"/>
        </c:scaling>
        <c:delete val="0"/>
        <c:axPos val="l"/>
        <c:majorGridlines>
          <c:spPr>
            <a:ln w="3175">
              <a:prstDash val="sysDot"/>
            </a:ln>
          </c:spPr>
        </c:majorGridlines>
        <c:numFmt formatCode="#,##0.00" sourceLinked="1"/>
        <c:majorTickMark val="out"/>
        <c:minorTickMark val="none"/>
        <c:tickLblPos val="nextTo"/>
        <c:crossAx val="45987328"/>
        <c:crosses val="autoZero"/>
        <c:crossBetween val="between"/>
      </c:valAx>
    </c:plotArea>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300kW'!$K$45</c:f>
          <c:strCache>
            <c:ptCount val="1"/>
            <c:pt idx="0">
              <c:v>Operating profit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'NS beam trawl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300kW'!$D$23:$M$23</c:f>
              <c:numCache>
                <c:formatCode>#,##0.00</c:formatCode>
                <c:ptCount val="10"/>
                <c:pt idx="0">
                  <c:v>-0.35998991170883249</c:v>
                </c:pt>
                <c:pt idx="1">
                  <c:v>-0.66160956645883029</c:v>
                </c:pt>
                <c:pt idx="2">
                  <c:v>1.6493602005807937</c:v>
                </c:pt>
                <c:pt idx="3">
                  <c:v>-2.0261815438917266</c:v>
                </c:pt>
                <c:pt idx="4">
                  <c:v>0.14699542268964833</c:v>
                </c:pt>
                <c:pt idx="5">
                  <c:v>-0.15733067120103444</c:v>
                </c:pt>
                <c:pt idx="6">
                  <c:v>-1.2412808018220525</c:v>
                </c:pt>
                <c:pt idx="7">
                  <c:v>0.20878254442700486</c:v>
                </c:pt>
                <c:pt idx="8">
                  <c:v>-0.29152168785600263</c:v>
                </c:pt>
                <c:pt idx="9">
                  <c:v>-1.1660870598566131</c:v>
                </c:pt>
              </c:numCache>
            </c:numRef>
          </c:val>
          <c:smooth val="0"/>
        </c:ser>
        <c:dLbls>
          <c:showLegendKey val="0"/>
          <c:showVal val="0"/>
          <c:showCatName val="0"/>
          <c:showSerName val="0"/>
          <c:showPercent val="0"/>
          <c:showBubbleSize val="0"/>
        </c:dLbls>
        <c:marker val="1"/>
        <c:smooth val="0"/>
        <c:axId val="46431232"/>
        <c:axId val="46461696"/>
      </c:lineChart>
      <c:catAx>
        <c:axId val="46431232"/>
        <c:scaling>
          <c:orientation val="minMax"/>
        </c:scaling>
        <c:delete val="0"/>
        <c:axPos val="b"/>
        <c:numFmt formatCode="General" sourceLinked="1"/>
        <c:majorTickMark val="out"/>
        <c:minorTickMark val="none"/>
        <c:tickLblPos val="nextTo"/>
        <c:crossAx val="46461696"/>
        <c:crosses val="autoZero"/>
        <c:auto val="1"/>
        <c:lblAlgn val="ctr"/>
        <c:lblOffset val="100"/>
        <c:noMultiLvlLbl val="0"/>
      </c:catAx>
      <c:valAx>
        <c:axId val="46461696"/>
        <c:scaling>
          <c:orientation val="minMax"/>
        </c:scaling>
        <c:delete val="0"/>
        <c:axPos val="l"/>
        <c:majorGridlines>
          <c:spPr>
            <a:ln w="3175">
              <a:prstDash val="sysDot"/>
            </a:ln>
          </c:spPr>
        </c:majorGridlines>
        <c:numFmt formatCode="#,##0.00" sourceLinked="1"/>
        <c:majorTickMark val="out"/>
        <c:minorTickMark val="none"/>
        <c:tickLblPos val="nextTo"/>
        <c:crossAx val="4643123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300kW'!$B$59</c:f>
          <c:strCache>
            <c:ptCount val="1"/>
            <c:pt idx="0">
              <c:v>Total cost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'NS beam trawl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300kW'!$D$22:$M$22</c:f>
              <c:numCache>
                <c:formatCode>#,##0.00</c:formatCode>
                <c:ptCount val="10"/>
                <c:pt idx="0">
                  <c:v>2.4128883950539701</c:v>
                </c:pt>
                <c:pt idx="1">
                  <c:v>4.9298404227547099</c:v>
                </c:pt>
                <c:pt idx="2">
                  <c:v>6.6980788126925495</c:v>
                </c:pt>
                <c:pt idx="3">
                  <c:v>7.4238951449888999</c:v>
                </c:pt>
                <c:pt idx="4">
                  <c:v>3.0512882982690299</c:v>
                </c:pt>
                <c:pt idx="5">
                  <c:v>5.4286707134839096</c:v>
                </c:pt>
                <c:pt idx="6">
                  <c:v>5.9496730732920176</c:v>
                </c:pt>
                <c:pt idx="7">
                  <c:v>6.3875382204213107</c:v>
                </c:pt>
                <c:pt idx="8">
                  <c:v>5.4352824765128736</c:v>
                </c:pt>
                <c:pt idx="9">
                  <c:v>4.1608227233878967</c:v>
                </c:pt>
              </c:numCache>
            </c:numRef>
          </c:val>
          <c:smooth val="0"/>
        </c:ser>
        <c:dLbls>
          <c:showLegendKey val="0"/>
          <c:showVal val="0"/>
          <c:showCatName val="0"/>
          <c:showSerName val="0"/>
          <c:showPercent val="0"/>
          <c:showBubbleSize val="0"/>
        </c:dLbls>
        <c:marker val="1"/>
        <c:smooth val="0"/>
        <c:axId val="81400576"/>
        <c:axId val="81402112"/>
      </c:lineChart>
      <c:catAx>
        <c:axId val="81400576"/>
        <c:scaling>
          <c:orientation val="minMax"/>
        </c:scaling>
        <c:delete val="0"/>
        <c:axPos val="b"/>
        <c:numFmt formatCode="General" sourceLinked="1"/>
        <c:majorTickMark val="out"/>
        <c:minorTickMark val="none"/>
        <c:tickLblPos val="nextTo"/>
        <c:crossAx val="81402112"/>
        <c:crosses val="autoZero"/>
        <c:auto val="1"/>
        <c:lblAlgn val="ctr"/>
        <c:lblOffset val="100"/>
        <c:noMultiLvlLbl val="0"/>
      </c:catAx>
      <c:valAx>
        <c:axId val="81402112"/>
        <c:scaling>
          <c:orientation val="minMax"/>
        </c:scaling>
        <c:delete val="0"/>
        <c:axPos val="l"/>
        <c:majorGridlines>
          <c:spPr>
            <a:ln w="3175">
              <a:prstDash val="sysDot"/>
            </a:ln>
          </c:spPr>
        </c:majorGridlines>
        <c:numFmt formatCode="#,##0.00" sourceLinked="1"/>
        <c:majorTickMark val="out"/>
        <c:minorTickMark val="none"/>
        <c:tickLblPos val="nextTo"/>
        <c:crossAx val="81400576"/>
        <c:crosses val="autoZero"/>
        <c:crossBetween val="between"/>
      </c:valAx>
    </c:plotArea>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300kW'!$F$59</c:f>
          <c:strCache>
            <c:ptCount val="1"/>
            <c:pt idx="0">
              <c:v>Average price per tonne landed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'NS beam trawl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300kW'!$D$19:$M$19</c:f>
              <c:numCache>
                <c:formatCode>#,##0</c:formatCode>
                <c:ptCount val="10"/>
                <c:pt idx="0">
                  <c:v>1608.7603875326852</c:v>
                </c:pt>
                <c:pt idx="1">
                  <c:v>1514.3079265277372</c:v>
                </c:pt>
                <c:pt idx="2">
                  <c:v>2562.289059345464</c:v>
                </c:pt>
                <c:pt idx="3">
                  <c:v>2225.9745284289552</c:v>
                </c:pt>
                <c:pt idx="4">
                  <c:v>1433.5274205128273</c:v>
                </c:pt>
                <c:pt idx="5">
                  <c:v>1732.616202601339</c:v>
                </c:pt>
                <c:pt idx="6">
                  <c:v>1472.556744764315</c:v>
                </c:pt>
                <c:pt idx="7">
                  <c:v>1680.5025953379518</c:v>
                </c:pt>
                <c:pt idx="8">
                  <c:v>1889.9032906095608</c:v>
                </c:pt>
                <c:pt idx="9">
                  <c:v>898.56400734364422</c:v>
                </c:pt>
              </c:numCache>
            </c:numRef>
          </c:val>
          <c:smooth val="0"/>
        </c:ser>
        <c:dLbls>
          <c:showLegendKey val="0"/>
          <c:showVal val="0"/>
          <c:showCatName val="0"/>
          <c:showSerName val="0"/>
          <c:showPercent val="0"/>
          <c:showBubbleSize val="0"/>
        </c:dLbls>
        <c:marker val="1"/>
        <c:smooth val="0"/>
        <c:axId val="81418496"/>
        <c:axId val="81432576"/>
      </c:lineChart>
      <c:catAx>
        <c:axId val="81418496"/>
        <c:scaling>
          <c:orientation val="minMax"/>
        </c:scaling>
        <c:delete val="0"/>
        <c:axPos val="b"/>
        <c:numFmt formatCode="General" sourceLinked="1"/>
        <c:majorTickMark val="out"/>
        <c:minorTickMark val="none"/>
        <c:tickLblPos val="nextTo"/>
        <c:crossAx val="81432576"/>
        <c:crosses val="autoZero"/>
        <c:auto val="1"/>
        <c:lblAlgn val="ctr"/>
        <c:lblOffset val="100"/>
        <c:noMultiLvlLbl val="0"/>
      </c:catAx>
      <c:valAx>
        <c:axId val="81432576"/>
        <c:scaling>
          <c:orientation val="minMax"/>
        </c:scaling>
        <c:delete val="0"/>
        <c:axPos val="l"/>
        <c:majorGridlines>
          <c:spPr>
            <a:ln w="3175">
              <a:prstDash val="sysDot"/>
            </a:ln>
          </c:spPr>
        </c:majorGridlines>
        <c:numFmt formatCode="#,##0" sourceLinked="1"/>
        <c:majorTickMark val="out"/>
        <c:minorTickMark val="none"/>
        <c:tickLblPos val="nextTo"/>
        <c:crossAx val="81418496"/>
        <c:crosses val="autoZero"/>
        <c:crossBetween val="between"/>
      </c:valAx>
    </c:plotArea>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300kW'!$K$59</c:f>
          <c:strCache>
            <c:ptCount val="1"/>
            <c:pt idx="0">
              <c:v>Average annual operating profit per vessel (£'000)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'NS beam trawl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300kW'!$D$34:$M$34</c:f>
              <c:numCache>
                <c:formatCode>#,##0.0</c:formatCode>
                <c:ptCount val="10"/>
                <c:pt idx="0">
                  <c:v>-7.1584479358705071</c:v>
                </c:pt>
                <c:pt idx="1">
                  <c:v>-7.6850354151119333</c:v>
                </c:pt>
                <c:pt idx="2">
                  <c:v>21.311135448242819</c:v>
                </c:pt>
                <c:pt idx="3">
                  <c:v>-25.201695335862883</c:v>
                </c:pt>
                <c:pt idx="4">
                  <c:v>2.7955180448040564</c:v>
                </c:pt>
                <c:pt idx="5">
                  <c:v>-3.3494039563810047</c:v>
                </c:pt>
                <c:pt idx="6">
                  <c:v>-18.053039857510225</c:v>
                </c:pt>
                <c:pt idx="7">
                  <c:v>3.4773839660146675</c:v>
                </c:pt>
                <c:pt idx="8">
                  <c:v>-6.5876408841237799</c:v>
                </c:pt>
                <c:pt idx="9">
                  <c:v>-25.59999990054008</c:v>
                </c:pt>
              </c:numCache>
            </c:numRef>
          </c:val>
          <c:smooth val="0"/>
        </c:ser>
        <c:dLbls>
          <c:showLegendKey val="0"/>
          <c:showVal val="0"/>
          <c:showCatName val="0"/>
          <c:showSerName val="0"/>
          <c:showPercent val="0"/>
          <c:showBubbleSize val="0"/>
        </c:dLbls>
        <c:marker val="1"/>
        <c:smooth val="0"/>
        <c:axId val="81457152"/>
        <c:axId val="81458688"/>
      </c:lineChart>
      <c:catAx>
        <c:axId val="81457152"/>
        <c:scaling>
          <c:orientation val="minMax"/>
        </c:scaling>
        <c:delete val="0"/>
        <c:axPos val="b"/>
        <c:numFmt formatCode="General" sourceLinked="1"/>
        <c:majorTickMark val="out"/>
        <c:minorTickMark val="none"/>
        <c:tickLblPos val="nextTo"/>
        <c:crossAx val="81458688"/>
        <c:crosses val="autoZero"/>
        <c:auto val="1"/>
        <c:lblAlgn val="ctr"/>
        <c:lblOffset val="100"/>
        <c:noMultiLvlLbl val="0"/>
      </c:catAx>
      <c:valAx>
        <c:axId val="81458688"/>
        <c:scaling>
          <c:orientation val="minMax"/>
        </c:scaling>
        <c:delete val="0"/>
        <c:axPos val="l"/>
        <c:majorGridlines>
          <c:spPr>
            <a:ln w="3175">
              <a:prstDash val="sysDot"/>
            </a:ln>
          </c:spPr>
        </c:majorGridlines>
        <c:numFmt formatCode="#,##0.0" sourceLinked="1"/>
        <c:majorTickMark val="out"/>
        <c:minorTickMark val="none"/>
        <c:tickLblPos val="nextTo"/>
        <c:crossAx val="81457152"/>
        <c:crosses val="autoZero"/>
        <c:crossBetween val="between"/>
      </c:valAx>
    </c:plotArea>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300kW'!$A$73</c:f>
          <c:strCache>
            <c:ptCount val="1"/>
            <c:pt idx="0">
              <c:v>Top 5 landed species by volume in 2013
North Sea beam trawl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4B3467"/>
              </a:solidFill>
              <a:ln>
                <a:solidFill>
                  <a:srgbClr val="FFFFFF"/>
                </a:solidFill>
              </a:ln>
            </c:spPr>
          </c:dPt>
          <c:dPt>
            <c:idx val="3"/>
            <c:bubble3D val="0"/>
            <c:spPr>
              <a:solidFill>
                <a:srgbClr val="607A2A"/>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 beam trawl under 300kW'!$B$74:$B$79</c:f>
              <c:strCache>
                <c:ptCount val="6"/>
                <c:pt idx="0">
                  <c:v>Brown Shrimps - 61.5%</c:v>
                </c:pt>
                <c:pt idx="1">
                  <c:v>Cockles - 35.1%</c:v>
                </c:pt>
                <c:pt idx="2">
                  <c:v>Pink Shrimps - 1.2%</c:v>
                </c:pt>
                <c:pt idx="3">
                  <c:v>Sole - 0.8%</c:v>
                </c:pt>
                <c:pt idx="4">
                  <c:v>Thornback Ray - 0.6%</c:v>
                </c:pt>
                <c:pt idx="5">
                  <c:v>Others - 0.8%</c:v>
                </c:pt>
              </c:strCache>
            </c:strRef>
          </c:cat>
          <c:val>
            <c:numRef>
              <c:f>'NS beam trawl under 300kW'!$C$74:$C$79</c:f>
              <c:numCache>
                <c:formatCode>0.0%</c:formatCode>
                <c:ptCount val="6"/>
                <c:pt idx="0">
                  <c:v>0.61492801470186964</c:v>
                </c:pt>
                <c:pt idx="1">
                  <c:v>0.35122517983568657</c:v>
                </c:pt>
                <c:pt idx="2">
                  <c:v>1.2085206771939997E-2</c:v>
                </c:pt>
                <c:pt idx="3">
                  <c:v>7.6781949964904702E-3</c:v>
                </c:pt>
                <c:pt idx="4">
                  <c:v>6.0880362335133057E-3</c:v>
                </c:pt>
                <c:pt idx="5">
                  <c:v>7.9953674605000025E-3</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300kW'!$F$73</c:f>
          <c:strCache>
            <c:ptCount val="1"/>
            <c:pt idx="0">
              <c:v>Top 5 landed species by value in 2013
North Sea beam trawl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 beam trawl under 300kW'!$G$74:$G$79</c:f>
              <c:strCache>
                <c:ptCount val="6"/>
                <c:pt idx="0">
                  <c:v>Brown Shrimps - 84.6%</c:v>
                </c:pt>
                <c:pt idx="1">
                  <c:v>Cockles - 9.6%</c:v>
                </c:pt>
                <c:pt idx="2">
                  <c:v>Sole - 2.4%</c:v>
                </c:pt>
                <c:pt idx="3">
                  <c:v>Pink Shrimps - 0.7%</c:v>
                </c:pt>
                <c:pt idx="4">
                  <c:v>Thornback Ray - 0.5%</c:v>
                </c:pt>
                <c:pt idx="5">
                  <c:v>Others - 2.2%</c:v>
                </c:pt>
              </c:strCache>
            </c:strRef>
          </c:cat>
          <c:val>
            <c:numRef>
              <c:f>'NS beam trawl under 300kW'!$H$74:$H$79</c:f>
              <c:numCache>
                <c:formatCode>0.0%</c:formatCode>
                <c:ptCount val="6"/>
                <c:pt idx="0">
                  <c:v>0.84606039003493039</c:v>
                </c:pt>
                <c:pt idx="1">
                  <c:v>9.6163534953333948E-2</c:v>
                </c:pt>
                <c:pt idx="2">
                  <c:v>2.3509008590308265E-2</c:v>
                </c:pt>
                <c:pt idx="3">
                  <c:v>7.4382381945307845E-3</c:v>
                </c:pt>
                <c:pt idx="4">
                  <c:v>5.1359469820346426E-3</c:v>
                </c:pt>
                <c:pt idx="5">
                  <c:v>2.1692881244861906E-2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beam trawl under 300kW'!$C$88</c:f>
              <c:strCache>
                <c:ptCount val="1"/>
                <c:pt idx="0">
                  <c:v>Brown Shrimps</c:v>
                </c:pt>
              </c:strCache>
            </c:strRef>
          </c:tx>
          <c:spPr>
            <a:solidFill>
              <a:srgbClr val="224B7D"/>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300kW'!$D$88:$M$88</c:f>
              <c:numCache>
                <c:formatCode>0%</c:formatCode>
                <c:ptCount val="10"/>
                <c:pt idx="0">
                  <c:v>0.85159152932284587</c:v>
                </c:pt>
                <c:pt idx="1">
                  <c:v>0.84772752701753029</c:v>
                </c:pt>
                <c:pt idx="2">
                  <c:v>0.97113178873877282</c:v>
                </c:pt>
                <c:pt idx="3">
                  <c:v>0.98598255421820424</c:v>
                </c:pt>
                <c:pt idx="4">
                  <c:v>0.9333526494355554</c:v>
                </c:pt>
                <c:pt idx="5">
                  <c:v>0.51063543883795826</c:v>
                </c:pt>
                <c:pt idx="6">
                  <c:v>0.49546258009033911</c:v>
                </c:pt>
                <c:pt idx="7">
                  <c:v>0.72560244651449679</c:v>
                </c:pt>
                <c:pt idx="8">
                  <c:v>0.86049080963233537</c:v>
                </c:pt>
                <c:pt idx="9">
                  <c:v>0.82485161016861974</c:v>
                </c:pt>
              </c:numCache>
            </c:numRef>
          </c:val>
        </c:ser>
        <c:ser>
          <c:idx val="1"/>
          <c:order val="1"/>
          <c:tx>
            <c:strRef>
              <c:f>'NS beam trawl under 300kW'!$C$89</c:f>
              <c:strCache>
                <c:ptCount val="1"/>
                <c:pt idx="0">
                  <c:v>Cockles</c:v>
                </c:pt>
              </c:strCache>
            </c:strRef>
          </c:tx>
          <c:spPr>
            <a:solidFill>
              <a:srgbClr val="7F2321"/>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300kW'!$D$89:$M$89</c:f>
              <c:numCache>
                <c:formatCode>0%</c:formatCode>
                <c:ptCount val="10"/>
                <c:pt idx="1">
                  <c:v>6.1031871864682077E-2</c:v>
                </c:pt>
                <c:pt idx="6">
                  <c:v>0.26619118251361484</c:v>
                </c:pt>
                <c:pt idx="7">
                  <c:v>0.12014742531998407</c:v>
                </c:pt>
                <c:pt idx="8">
                  <c:v>9.7803701749570607E-2</c:v>
                </c:pt>
                <c:pt idx="9">
                  <c:v>0.14469657723876614</c:v>
                </c:pt>
              </c:numCache>
            </c:numRef>
          </c:val>
        </c:ser>
        <c:ser>
          <c:idx val="2"/>
          <c:order val="2"/>
          <c:tx>
            <c:strRef>
              <c:f>'NS beam trawl under 300kW'!$C$90</c:f>
              <c:strCache>
                <c:ptCount val="1"/>
                <c:pt idx="0">
                  <c:v>Sole</c:v>
                </c:pt>
              </c:strCache>
            </c:strRef>
          </c:tx>
          <c:spPr>
            <a:solidFill>
              <a:srgbClr val="607A2A"/>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300kW'!$D$90:$M$90</c:f>
              <c:numCache>
                <c:formatCode>0%</c:formatCode>
                <c:ptCount val="10"/>
                <c:pt idx="0">
                  <c:v>2.5166510629382428E-2</c:v>
                </c:pt>
                <c:pt idx="1">
                  <c:v>4.506902047126099E-2</c:v>
                </c:pt>
                <c:pt idx="2">
                  <c:v>2.1245896224810334E-2</c:v>
                </c:pt>
                <c:pt idx="3">
                  <c:v>5.0900308618946665E-3</c:v>
                </c:pt>
                <c:pt idx="4">
                  <c:v>2.6415962568052627E-2</c:v>
                </c:pt>
                <c:pt idx="5">
                  <c:v>0.25158765896870683</c:v>
                </c:pt>
                <c:pt idx="6">
                  <c:v>0.14515055590125059</c:v>
                </c:pt>
                <c:pt idx="8">
                  <c:v>2.3909978618302533E-2</c:v>
                </c:pt>
              </c:numCache>
            </c:numRef>
          </c:val>
        </c:ser>
        <c:ser>
          <c:idx val="3"/>
          <c:order val="3"/>
          <c:tx>
            <c:strRef>
              <c:f>'NS beam trawl under 300kW'!$C$91</c:f>
              <c:strCache>
                <c:ptCount val="1"/>
                <c:pt idx="0">
                  <c:v>Pink Shrimps</c:v>
                </c:pt>
              </c:strCache>
            </c:strRef>
          </c:tx>
          <c:spPr>
            <a:solidFill>
              <a:srgbClr val="4B3467"/>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300kW'!$D$91:$M$91</c:f>
              <c:numCache>
                <c:formatCode>0%</c:formatCode>
                <c:ptCount val="10"/>
                <c:pt idx="0">
                  <c:v>3.5075827790572375E-2</c:v>
                </c:pt>
                <c:pt idx="1">
                  <c:v>2.7999585973555109E-2</c:v>
                </c:pt>
                <c:pt idx="2">
                  <c:v>3.6139999703661938E-3</c:v>
                </c:pt>
                <c:pt idx="3">
                  <c:v>7.5812252114714155E-3</c:v>
                </c:pt>
                <c:pt idx="4">
                  <c:v>1.2194221091521918E-2</c:v>
                </c:pt>
                <c:pt idx="5">
                  <c:v>8.2193998837971592E-3</c:v>
                </c:pt>
                <c:pt idx="6">
                  <c:v>3.3909992960271487E-2</c:v>
                </c:pt>
                <c:pt idx="7">
                  <c:v>1.064815282559825E-2</c:v>
                </c:pt>
                <c:pt idx="8">
                  <c:v>7.5651049046105362E-3</c:v>
                </c:pt>
                <c:pt idx="9">
                  <c:v>1.0336926888564033E-2</c:v>
                </c:pt>
              </c:numCache>
            </c:numRef>
          </c:val>
        </c:ser>
        <c:ser>
          <c:idx val="4"/>
          <c:order val="4"/>
          <c:tx>
            <c:strRef>
              <c:f>'NS beam trawl under 300kW'!$C$92</c:f>
              <c:strCache>
                <c:ptCount val="1"/>
                <c:pt idx="0">
                  <c:v>Thornback Ray</c:v>
                </c:pt>
              </c:strCache>
            </c:strRef>
          </c:tx>
          <c:spPr>
            <a:solidFill>
              <a:srgbClr val="9B2D2A"/>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300kW'!$D$92:$M$92</c:f>
              <c:numCache>
                <c:formatCode>0%</c:formatCode>
                <c:ptCount val="10"/>
                <c:pt idx="4">
                  <c:v>4.2441908158543E-3</c:v>
                </c:pt>
                <c:pt idx="6">
                  <c:v>2.6082472346757073E-2</c:v>
                </c:pt>
                <c:pt idx="8">
                  <c:v>5.223545776226776E-3</c:v>
                </c:pt>
              </c:numCache>
            </c:numRef>
          </c:val>
        </c:ser>
        <c:ser>
          <c:idx val="5"/>
          <c:order val="5"/>
          <c:tx>
            <c:strRef>
              <c:f>'NS beam trawl under 300kW'!$C$93</c:f>
              <c:strCache>
                <c:ptCount val="1"/>
                <c:pt idx="0">
                  <c:v>Whelks</c:v>
                </c:pt>
              </c:strCache>
            </c:strRef>
          </c:tx>
          <c:spPr>
            <a:solidFill>
              <a:srgbClr val="769535"/>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300kW'!$D$93:$M$93</c:f>
              <c:numCache>
                <c:formatCode>0%</c:formatCode>
                <c:ptCount val="10"/>
                <c:pt idx="9">
                  <c:v>8.731253677224415E-3</c:v>
                </c:pt>
              </c:numCache>
            </c:numRef>
          </c:val>
        </c:ser>
        <c:ser>
          <c:idx val="6"/>
          <c:order val="6"/>
          <c:tx>
            <c:strRef>
              <c:f>'NS beam trawl under 300kW'!$C$94</c:f>
              <c:strCache>
                <c:ptCount val="1"/>
                <c:pt idx="0">
                  <c:v>Scallops</c:v>
                </c:pt>
              </c:strCache>
            </c:strRef>
          </c:tx>
          <c:spPr>
            <a:solidFill>
              <a:srgbClr val="A85816"/>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300kW'!$D$94:$M$94</c:f>
              <c:numCache>
                <c:formatCode>0%</c:formatCode>
                <c:ptCount val="10"/>
                <c:pt idx="0">
                  <c:v>4.6458619880771344E-2</c:v>
                </c:pt>
                <c:pt idx="7">
                  <c:v>0.12937194826858373</c:v>
                </c:pt>
                <c:pt idx="9">
                  <c:v>6.3619540367297481E-3</c:v>
                </c:pt>
              </c:numCache>
            </c:numRef>
          </c:val>
        </c:ser>
        <c:ser>
          <c:idx val="7"/>
          <c:order val="7"/>
          <c:tx>
            <c:strRef>
              <c:f>'NS beam trawl under 300kW'!$C$95</c:f>
              <c:strCache>
                <c:ptCount val="1"/>
                <c:pt idx="0">
                  <c:v>Bass</c:v>
                </c:pt>
              </c:strCache>
            </c:strRef>
          </c:tx>
          <c:spPr>
            <a:solidFill>
              <a:srgbClr val="5D417E"/>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300kW'!$D$95:$M$95</c:f>
              <c:numCache>
                <c:formatCode>0%</c:formatCode>
                <c:ptCount val="10"/>
                <c:pt idx="7">
                  <c:v>6.4354771300322968E-3</c:v>
                </c:pt>
              </c:numCache>
            </c:numRef>
          </c:val>
        </c:ser>
        <c:ser>
          <c:idx val="8"/>
          <c:order val="8"/>
          <c:tx>
            <c:strRef>
              <c:f>'NS beam trawl under 300kW'!$C$96</c:f>
              <c:strCache>
                <c:ptCount val="1"/>
                <c:pt idx="0">
                  <c:v>Plaice</c:v>
                </c:pt>
              </c:strCache>
            </c:strRef>
          </c:tx>
          <c:spPr>
            <a:solidFill>
              <a:srgbClr val="2787A0"/>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300kW'!$D$96:$M$96</c:f>
              <c:numCache>
                <c:formatCode>0%</c:formatCode>
                <c:ptCount val="10"/>
                <c:pt idx="5">
                  <c:v>0.14677011265585063</c:v>
                </c:pt>
              </c:numCache>
            </c:numRef>
          </c:val>
        </c:ser>
        <c:ser>
          <c:idx val="9"/>
          <c:order val="9"/>
          <c:tx>
            <c:strRef>
              <c:f>'NS beam trawl under 300kW'!$C$97</c:f>
              <c:strCache>
                <c:ptCount val="1"/>
                <c:pt idx="0">
                  <c:v>Turbot</c:v>
                </c:pt>
              </c:strCache>
            </c:strRef>
          </c:tx>
          <c:spPr>
            <a:solidFill>
              <a:srgbClr val="CB6C1D"/>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300kW'!$D$97:$M$97</c:f>
              <c:numCache>
                <c:formatCode>0%</c:formatCode>
                <c:ptCount val="10"/>
                <c:pt idx="5">
                  <c:v>3.6772934522785815E-2</c:v>
                </c:pt>
              </c:numCache>
            </c:numRef>
          </c:val>
        </c:ser>
        <c:ser>
          <c:idx val="10"/>
          <c:order val="10"/>
          <c:tx>
            <c:strRef>
              <c:f>'NS beam trawl under 300kW'!$C$98</c:f>
              <c:strCache>
                <c:ptCount val="1"/>
                <c:pt idx="0">
                  <c:v>Mussels</c:v>
                </c:pt>
              </c:strCache>
            </c:strRef>
          </c:tx>
          <c:spPr>
            <a:solidFill>
              <a:srgbClr val="7888A4"/>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300kW'!$D$98:$M$98</c:f>
              <c:numCache>
                <c:formatCode>0%</c:formatCode>
                <c:ptCount val="10"/>
                <c:pt idx="4">
                  <c:v>1.4782196328817665E-2</c:v>
                </c:pt>
              </c:numCache>
            </c:numRef>
          </c:val>
        </c:ser>
        <c:ser>
          <c:idx val="11"/>
          <c:order val="11"/>
          <c:tx>
            <c:strRef>
              <c:f>'NS beam trawl under 300kW'!$C$99</c:f>
              <c:strCache>
                <c:ptCount val="1"/>
                <c:pt idx="0">
                  <c:v>Brill</c:v>
                </c:pt>
              </c:strCache>
            </c:strRef>
          </c:tx>
          <c:spPr>
            <a:solidFill>
              <a:srgbClr val="A67877"/>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300kW'!$D$99:$M$99</c:f>
              <c:numCache>
                <c:formatCode>0%</c:formatCode>
                <c:ptCount val="10"/>
                <c:pt idx="2">
                  <c:v>2.1944346495723749E-3</c:v>
                </c:pt>
                <c:pt idx="3">
                  <c:v>7.8595915023216007E-4</c:v>
                </c:pt>
              </c:numCache>
            </c:numRef>
          </c:val>
        </c:ser>
        <c:ser>
          <c:idx val="12"/>
          <c:order val="12"/>
          <c:tx>
            <c:strRef>
              <c:f>'NS beam trawl under 300kW'!$C$100</c:f>
              <c:strCache>
                <c:ptCount val="1"/>
                <c:pt idx="0">
                  <c:v>Cod</c:v>
                </c:pt>
              </c:strCache>
            </c:strRef>
          </c:tx>
          <c:spPr>
            <a:solidFill>
              <a:srgbClr val="93A37A"/>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300kW'!$D$100:$M$100</c:f>
              <c:numCache>
                <c:formatCode>0%</c:formatCode>
                <c:ptCount val="10"/>
                <c:pt idx="2">
                  <c:v>7.3642165718660777E-4</c:v>
                </c:pt>
                <c:pt idx="3">
                  <c:v>2.4576761924892333E-4</c:v>
                </c:pt>
              </c:numCache>
            </c:numRef>
          </c:val>
        </c:ser>
        <c:ser>
          <c:idx val="13"/>
          <c:order val="13"/>
          <c:tx>
            <c:strRef>
              <c:f>'NS beam trawl under 300kW'!$C$101</c:f>
              <c:strCache>
                <c:ptCount val="1"/>
                <c:pt idx="0">
                  <c:v>Skates and Rays</c:v>
                </c:pt>
              </c:strCache>
            </c:strRef>
          </c:tx>
          <c:spPr>
            <a:solidFill>
              <a:srgbClr val="887E97"/>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300kW'!$D$101:$M$101</c:f>
              <c:numCache>
                <c:formatCode>0%</c:formatCode>
                <c:ptCount val="10"/>
                <c:pt idx="1">
                  <c:v>1.3933749902045869E-2</c:v>
                </c:pt>
              </c:numCache>
            </c:numRef>
          </c:val>
        </c:ser>
        <c:ser>
          <c:idx val="14"/>
          <c:order val="14"/>
          <c:tx>
            <c:strRef>
              <c:f>'NS beam trawl under 300kW'!$C$102</c:f>
              <c:strCache>
                <c:ptCount val="1"/>
                <c:pt idx="0">
                  <c:v>Nephrops</c:v>
                </c:pt>
              </c:strCache>
            </c:strRef>
          </c:tx>
          <c:spPr>
            <a:solidFill>
              <a:srgbClr val="2C5D98"/>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300kW'!$D$102:$M$102</c:f>
              <c:numCache>
                <c:formatCode>0%</c:formatCode>
                <c:ptCount val="10"/>
                <c:pt idx="0">
                  <c:v>1.8545886856054683E-2</c:v>
                </c:pt>
              </c:numCache>
            </c:numRef>
          </c:val>
        </c:ser>
        <c:ser>
          <c:idx val="15"/>
          <c:order val="15"/>
          <c:tx>
            <c:strRef>
              <c:f>'NS beam trawl under 300kW'!$C$103</c:f>
              <c:strCache>
                <c:ptCount val="1"/>
                <c:pt idx="0">
                  <c:v>Others</c:v>
                </c:pt>
              </c:strCache>
            </c:strRef>
          </c:tx>
          <c:spPr>
            <a:solidFill>
              <a:srgbClr val="008000"/>
            </a:solidFill>
            <a:ln>
              <a:solidFill>
                <a:srgbClr val="FFFFFF"/>
              </a:solidFill>
            </a:ln>
          </c:spPr>
          <c:invertIfNegative val="0"/>
          <c:cat>
            <c:numRef>
              <c:f>'NS beam trawl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under 300kW'!$D$103:$M$103</c:f>
              <c:numCache>
                <c:formatCode>0%</c:formatCode>
                <c:ptCount val="10"/>
                <c:pt idx="0">
                  <c:v>2.3161625520373263E-2</c:v>
                </c:pt>
                <c:pt idx="1">
                  <c:v>4.2382447709256215E-3</c:v>
                </c:pt>
                <c:pt idx="2">
                  <c:v>1.077458759291709E-3</c:v>
                </c:pt>
                <c:pt idx="3">
                  <c:v>3.1446293894854451E-4</c:v>
                </c:pt>
                <c:pt idx="4">
                  <c:v>9.0107797601980937E-3</c:v>
                </c:pt>
                <c:pt idx="5">
                  <c:v>4.6014455130901258E-2</c:v>
                </c:pt>
                <c:pt idx="6">
                  <c:v>3.3203216187766907E-2</c:v>
                </c:pt>
                <c:pt idx="7">
                  <c:v>7.7945499413049008E-3</c:v>
                </c:pt>
                <c:pt idx="8">
                  <c:v>5.0068593189541415E-3</c:v>
                </c:pt>
                <c:pt idx="9">
                  <c:v>5.0216779900959258E-3</c:v>
                </c:pt>
              </c:numCache>
            </c:numRef>
          </c:val>
        </c:ser>
        <c:dLbls>
          <c:showLegendKey val="0"/>
          <c:showVal val="0"/>
          <c:showCatName val="0"/>
          <c:showSerName val="0"/>
          <c:showPercent val="0"/>
          <c:showBubbleSize val="0"/>
        </c:dLbls>
        <c:gapWidth val="150"/>
        <c:overlap val="100"/>
        <c:axId val="86665856"/>
        <c:axId val="86675840"/>
      </c:barChart>
      <c:catAx>
        <c:axId val="86665856"/>
        <c:scaling>
          <c:orientation val="minMax"/>
        </c:scaling>
        <c:delete val="0"/>
        <c:axPos val="b"/>
        <c:numFmt formatCode="General" sourceLinked="1"/>
        <c:majorTickMark val="out"/>
        <c:minorTickMark val="none"/>
        <c:tickLblPos val="nextTo"/>
        <c:crossAx val="86675840"/>
        <c:crosses val="autoZero"/>
        <c:auto val="1"/>
        <c:lblAlgn val="ctr"/>
        <c:lblOffset val="100"/>
        <c:noMultiLvlLbl val="0"/>
      </c:catAx>
      <c:valAx>
        <c:axId val="86675840"/>
        <c:scaling>
          <c:orientation val="minMax"/>
          <c:max val="1"/>
          <c:min val="0"/>
        </c:scaling>
        <c:delete val="0"/>
        <c:axPos val="l"/>
        <c:majorGridlines/>
        <c:numFmt formatCode="0%" sourceLinked="1"/>
        <c:majorTickMark val="out"/>
        <c:minorTickMark val="none"/>
        <c:tickLblPos val="nextTo"/>
        <c:crossAx val="8666585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300kW'!$A$45</c:f>
          <c:strCache>
            <c:ptCount val="1"/>
            <c:pt idx="0">
              <c:v>Landings per kW day at sea (kg)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'NS nephrops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300kW'!$D$20:$M$20</c:f>
              <c:numCache>
                <c:formatCode>#,##0.00</c:formatCode>
                <c:ptCount val="10"/>
                <c:pt idx="0">
                  <c:v>2.6661471706202455</c:v>
                </c:pt>
                <c:pt idx="1">
                  <c:v>2.6721722130486079</c:v>
                </c:pt>
                <c:pt idx="2">
                  <c:v>2.6191709380647459</c:v>
                </c:pt>
                <c:pt idx="3">
                  <c:v>2.5517409690588604</c:v>
                </c:pt>
                <c:pt idx="4">
                  <c:v>2.8581042826380965</c:v>
                </c:pt>
                <c:pt idx="5">
                  <c:v>2.6054866169946553</c:v>
                </c:pt>
                <c:pt idx="6">
                  <c:v>2.4343748501126425</c:v>
                </c:pt>
                <c:pt idx="7">
                  <c:v>2.5378014679230496</c:v>
                </c:pt>
                <c:pt idx="8">
                  <c:v>2.6549293497870727</c:v>
                </c:pt>
                <c:pt idx="9">
                  <c:v>2.7936820154990691</c:v>
                </c:pt>
              </c:numCache>
            </c:numRef>
          </c:val>
          <c:smooth val="0"/>
        </c:ser>
        <c:dLbls>
          <c:showLegendKey val="0"/>
          <c:showVal val="0"/>
          <c:showCatName val="0"/>
          <c:showSerName val="0"/>
          <c:showPercent val="0"/>
          <c:showBubbleSize val="0"/>
        </c:dLbls>
        <c:marker val="1"/>
        <c:smooth val="0"/>
        <c:axId val="93444736"/>
        <c:axId val="93462912"/>
      </c:lineChart>
      <c:catAx>
        <c:axId val="93444736"/>
        <c:scaling>
          <c:orientation val="minMax"/>
        </c:scaling>
        <c:delete val="0"/>
        <c:axPos val="b"/>
        <c:numFmt formatCode="General" sourceLinked="1"/>
        <c:majorTickMark val="out"/>
        <c:minorTickMark val="none"/>
        <c:tickLblPos val="nextTo"/>
        <c:crossAx val="93462912"/>
        <c:crosses val="autoZero"/>
        <c:auto val="1"/>
        <c:lblAlgn val="ctr"/>
        <c:lblOffset val="100"/>
        <c:noMultiLvlLbl val="0"/>
      </c:catAx>
      <c:valAx>
        <c:axId val="93462912"/>
        <c:scaling>
          <c:orientation val="minMax"/>
        </c:scaling>
        <c:delete val="0"/>
        <c:axPos val="l"/>
        <c:majorGridlines>
          <c:spPr>
            <a:ln w="3175">
              <a:prstDash val="sysDot"/>
            </a:ln>
          </c:spPr>
        </c:majorGridlines>
        <c:numFmt formatCode="#,##0.00" sourceLinked="1"/>
        <c:majorTickMark val="out"/>
        <c:minorTickMark val="none"/>
        <c:tickLblPos val="nextTo"/>
        <c:crossAx val="93444736"/>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o250kW'!$F$45</c:f>
          <c:strCache>
            <c:ptCount val="1"/>
            <c:pt idx="0">
              <c:v>Income per kW day at sea (£)
Area VIIA nephrops over 250kW</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'Area VIIa nephrops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o250kW'!$D$21:$M$21</c:f>
              <c:numCache>
                <c:formatCode>#,##0.00</c:formatCode>
                <c:ptCount val="10"/>
                <c:pt idx="0">
                  <c:v>3.0530233527173301</c:v>
                </c:pt>
                <c:pt idx="1">
                  <c:v>4.5270203973686698</c:v>
                </c:pt>
                <c:pt idx="2">
                  <c:v>4.2385305134401996</c:v>
                </c:pt>
                <c:pt idx="3">
                  <c:v>4.4049086029761302</c:v>
                </c:pt>
                <c:pt idx="4">
                  <c:v>3.5653045048974601</c:v>
                </c:pt>
                <c:pt idx="5">
                  <c:v>3.8316383413802702</c:v>
                </c:pt>
                <c:pt idx="6">
                  <c:v>5.4396741069899397</c:v>
                </c:pt>
                <c:pt idx="7">
                  <c:v>5.5854248184744799</c:v>
                </c:pt>
                <c:pt idx="8">
                  <c:v>4.2610028850534603</c:v>
                </c:pt>
                <c:pt idx="9">
                  <c:v>4.5328678072346698</c:v>
                </c:pt>
              </c:numCache>
            </c:numRef>
          </c:val>
          <c:smooth val="0"/>
        </c:ser>
        <c:dLbls>
          <c:showLegendKey val="0"/>
          <c:showVal val="0"/>
          <c:showCatName val="0"/>
          <c:showSerName val="0"/>
          <c:showPercent val="0"/>
          <c:showBubbleSize val="0"/>
        </c:dLbls>
        <c:marker val="1"/>
        <c:smooth val="0"/>
        <c:axId val="105269120"/>
        <c:axId val="105270656"/>
      </c:lineChart>
      <c:catAx>
        <c:axId val="105269120"/>
        <c:scaling>
          <c:orientation val="minMax"/>
        </c:scaling>
        <c:delete val="0"/>
        <c:axPos val="b"/>
        <c:numFmt formatCode="General" sourceLinked="1"/>
        <c:majorTickMark val="out"/>
        <c:minorTickMark val="none"/>
        <c:tickLblPos val="nextTo"/>
        <c:crossAx val="105270656"/>
        <c:crosses val="autoZero"/>
        <c:auto val="1"/>
        <c:lblAlgn val="ctr"/>
        <c:lblOffset val="100"/>
        <c:noMultiLvlLbl val="0"/>
      </c:catAx>
      <c:valAx>
        <c:axId val="105270656"/>
        <c:scaling>
          <c:orientation val="minMax"/>
        </c:scaling>
        <c:delete val="0"/>
        <c:axPos val="l"/>
        <c:majorGridlines>
          <c:spPr>
            <a:ln w="3175">
              <a:prstDash val="sysDot"/>
            </a:ln>
          </c:spPr>
        </c:majorGridlines>
        <c:numFmt formatCode="#,##0.00" sourceLinked="1"/>
        <c:majorTickMark val="out"/>
        <c:minorTickMark val="none"/>
        <c:tickLblPos val="nextTo"/>
        <c:crossAx val="105269120"/>
        <c:crosses val="autoZero"/>
        <c:crossBetween val="between"/>
      </c:valAx>
    </c:plotArea>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300kW'!$F$45</c:f>
          <c:strCache>
            <c:ptCount val="1"/>
            <c:pt idx="0">
              <c:v>Income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'NS nephrops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300kW'!$D$21:$M$21</c:f>
              <c:numCache>
                <c:formatCode>#,##0.00</c:formatCode>
                <c:ptCount val="10"/>
                <c:pt idx="0">
                  <c:v>4.8304019782569085</c:v>
                </c:pt>
                <c:pt idx="1">
                  <c:v>6.0950133569511511</c:v>
                </c:pt>
                <c:pt idx="2">
                  <c:v>6.5744507273835397</c:v>
                </c:pt>
                <c:pt idx="3">
                  <c:v>5.5987649571054723</c:v>
                </c:pt>
                <c:pt idx="4">
                  <c:v>5.233641581380696</c:v>
                </c:pt>
                <c:pt idx="5">
                  <c:v>5.5549146130904443</c:v>
                </c:pt>
                <c:pt idx="6">
                  <c:v>7.0782719013546691</c:v>
                </c:pt>
                <c:pt idx="7">
                  <c:v>6.6157473727678298</c:v>
                </c:pt>
                <c:pt idx="8">
                  <c:v>5.6165087818570729</c:v>
                </c:pt>
                <c:pt idx="9">
                  <c:v>6.8244017826040135</c:v>
                </c:pt>
              </c:numCache>
            </c:numRef>
          </c:val>
          <c:smooth val="0"/>
        </c:ser>
        <c:dLbls>
          <c:showLegendKey val="0"/>
          <c:showVal val="0"/>
          <c:showCatName val="0"/>
          <c:showSerName val="0"/>
          <c:showPercent val="0"/>
          <c:showBubbleSize val="0"/>
        </c:dLbls>
        <c:marker val="1"/>
        <c:smooth val="0"/>
        <c:axId val="93495680"/>
        <c:axId val="93497216"/>
      </c:lineChart>
      <c:catAx>
        <c:axId val="93495680"/>
        <c:scaling>
          <c:orientation val="minMax"/>
        </c:scaling>
        <c:delete val="0"/>
        <c:axPos val="b"/>
        <c:numFmt formatCode="General" sourceLinked="1"/>
        <c:majorTickMark val="out"/>
        <c:minorTickMark val="none"/>
        <c:tickLblPos val="nextTo"/>
        <c:crossAx val="93497216"/>
        <c:crosses val="autoZero"/>
        <c:auto val="1"/>
        <c:lblAlgn val="ctr"/>
        <c:lblOffset val="100"/>
        <c:noMultiLvlLbl val="0"/>
      </c:catAx>
      <c:valAx>
        <c:axId val="93497216"/>
        <c:scaling>
          <c:orientation val="minMax"/>
        </c:scaling>
        <c:delete val="0"/>
        <c:axPos val="l"/>
        <c:majorGridlines>
          <c:spPr>
            <a:ln w="3175">
              <a:prstDash val="sysDot"/>
            </a:ln>
          </c:spPr>
        </c:majorGridlines>
        <c:numFmt formatCode="#,##0.00" sourceLinked="1"/>
        <c:majorTickMark val="out"/>
        <c:minorTickMark val="none"/>
        <c:tickLblPos val="nextTo"/>
        <c:crossAx val="93495680"/>
        <c:crosses val="autoZero"/>
        <c:crossBetween val="between"/>
      </c:valAx>
    </c:plotArea>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300kW'!$K$45</c:f>
          <c:strCache>
            <c:ptCount val="1"/>
            <c:pt idx="0">
              <c:v>Operating profit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'NS nephrops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300kW'!$D$23:$M$23</c:f>
              <c:numCache>
                <c:formatCode>#,##0.00</c:formatCode>
                <c:ptCount val="10"/>
                <c:pt idx="0">
                  <c:v>0.91628595943966573</c:v>
                </c:pt>
                <c:pt idx="1">
                  <c:v>1.1999355724261938</c:v>
                </c:pt>
                <c:pt idx="2">
                  <c:v>1.322383907992281</c:v>
                </c:pt>
                <c:pt idx="3">
                  <c:v>0.53155267575830567</c:v>
                </c:pt>
                <c:pt idx="4">
                  <c:v>0.61878602965277274</c:v>
                </c:pt>
                <c:pt idx="5">
                  <c:v>0.51315924739166119</c:v>
                </c:pt>
                <c:pt idx="6">
                  <c:v>0.87337473447982505</c:v>
                </c:pt>
                <c:pt idx="7">
                  <c:v>0.78940766576329147</c:v>
                </c:pt>
                <c:pt idx="8">
                  <c:v>0.55310952405925784</c:v>
                </c:pt>
                <c:pt idx="9">
                  <c:v>0.99142798740877636</c:v>
                </c:pt>
              </c:numCache>
            </c:numRef>
          </c:val>
          <c:smooth val="0"/>
        </c:ser>
        <c:dLbls>
          <c:showLegendKey val="0"/>
          <c:showVal val="0"/>
          <c:showCatName val="0"/>
          <c:showSerName val="0"/>
          <c:showPercent val="0"/>
          <c:showBubbleSize val="0"/>
        </c:dLbls>
        <c:marker val="1"/>
        <c:smooth val="0"/>
        <c:axId val="93517696"/>
        <c:axId val="93519232"/>
      </c:lineChart>
      <c:catAx>
        <c:axId val="93517696"/>
        <c:scaling>
          <c:orientation val="minMax"/>
        </c:scaling>
        <c:delete val="0"/>
        <c:axPos val="b"/>
        <c:numFmt formatCode="General" sourceLinked="1"/>
        <c:majorTickMark val="out"/>
        <c:minorTickMark val="none"/>
        <c:tickLblPos val="nextTo"/>
        <c:crossAx val="93519232"/>
        <c:crosses val="autoZero"/>
        <c:auto val="1"/>
        <c:lblAlgn val="ctr"/>
        <c:lblOffset val="100"/>
        <c:noMultiLvlLbl val="0"/>
      </c:catAx>
      <c:valAx>
        <c:axId val="93519232"/>
        <c:scaling>
          <c:orientation val="minMax"/>
        </c:scaling>
        <c:delete val="0"/>
        <c:axPos val="l"/>
        <c:majorGridlines>
          <c:spPr>
            <a:ln w="3175">
              <a:prstDash val="sysDot"/>
            </a:ln>
          </c:spPr>
        </c:majorGridlines>
        <c:numFmt formatCode="#,##0.00" sourceLinked="1"/>
        <c:majorTickMark val="out"/>
        <c:minorTickMark val="none"/>
        <c:tickLblPos val="nextTo"/>
        <c:crossAx val="9351769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300kW'!$B$59</c:f>
          <c:strCache>
            <c:ptCount val="1"/>
            <c:pt idx="0">
              <c:v>Total cost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'NS nephrops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300kW'!$D$22:$M$22</c:f>
              <c:numCache>
                <c:formatCode>#,##0.00</c:formatCode>
                <c:ptCount val="10"/>
                <c:pt idx="0">
                  <c:v>3.9141160188172348</c:v>
                </c:pt>
                <c:pt idx="1">
                  <c:v>4.8950777845249585</c:v>
                </c:pt>
                <c:pt idx="2">
                  <c:v>5.2520668193912501</c:v>
                </c:pt>
                <c:pt idx="3">
                  <c:v>5.0672122813471674</c:v>
                </c:pt>
                <c:pt idx="4">
                  <c:v>4.6148555517279286</c:v>
                </c:pt>
                <c:pt idx="5">
                  <c:v>5.0417553656987781</c:v>
                </c:pt>
                <c:pt idx="6">
                  <c:v>6.2048971668748427</c:v>
                </c:pt>
                <c:pt idx="7">
                  <c:v>5.826339707004534</c:v>
                </c:pt>
                <c:pt idx="8">
                  <c:v>5.0633992577978155</c:v>
                </c:pt>
                <c:pt idx="9">
                  <c:v>5.8329737951952332</c:v>
                </c:pt>
              </c:numCache>
            </c:numRef>
          </c:val>
          <c:smooth val="0"/>
        </c:ser>
        <c:dLbls>
          <c:showLegendKey val="0"/>
          <c:showVal val="0"/>
          <c:showCatName val="0"/>
          <c:showSerName val="0"/>
          <c:showPercent val="0"/>
          <c:showBubbleSize val="0"/>
        </c:dLbls>
        <c:marker val="1"/>
        <c:smooth val="0"/>
        <c:axId val="93601152"/>
        <c:axId val="93607040"/>
      </c:lineChart>
      <c:catAx>
        <c:axId val="93601152"/>
        <c:scaling>
          <c:orientation val="minMax"/>
        </c:scaling>
        <c:delete val="0"/>
        <c:axPos val="b"/>
        <c:numFmt formatCode="General" sourceLinked="1"/>
        <c:majorTickMark val="out"/>
        <c:minorTickMark val="none"/>
        <c:tickLblPos val="nextTo"/>
        <c:crossAx val="93607040"/>
        <c:crosses val="autoZero"/>
        <c:auto val="1"/>
        <c:lblAlgn val="ctr"/>
        <c:lblOffset val="100"/>
        <c:noMultiLvlLbl val="0"/>
      </c:catAx>
      <c:valAx>
        <c:axId val="93607040"/>
        <c:scaling>
          <c:orientation val="minMax"/>
        </c:scaling>
        <c:delete val="0"/>
        <c:axPos val="l"/>
        <c:majorGridlines>
          <c:spPr>
            <a:ln w="3175">
              <a:prstDash val="sysDot"/>
            </a:ln>
          </c:spPr>
        </c:majorGridlines>
        <c:numFmt formatCode="#,##0.00" sourceLinked="1"/>
        <c:majorTickMark val="out"/>
        <c:minorTickMark val="none"/>
        <c:tickLblPos val="nextTo"/>
        <c:crossAx val="93601152"/>
        <c:crosses val="autoZero"/>
        <c:crossBetween val="between"/>
      </c:valAx>
    </c:plotArea>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300kW'!$F$59</c:f>
          <c:strCache>
            <c:ptCount val="1"/>
            <c:pt idx="0">
              <c:v>Average price per tonne landed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'NS nephrops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300kW'!$D$19:$M$19</c:f>
              <c:numCache>
                <c:formatCode>#,##0</c:formatCode>
                <c:ptCount val="10"/>
                <c:pt idx="0">
                  <c:v>1811.7536206036827</c:v>
                </c:pt>
                <c:pt idx="1">
                  <c:v>2280.9207387553556</c:v>
                </c:pt>
                <c:pt idx="2">
                  <c:v>2510.1265169646827</c:v>
                </c:pt>
                <c:pt idx="3">
                  <c:v>2194.0960690171669</c:v>
                </c:pt>
                <c:pt idx="4">
                  <c:v>1831.1584000778801</c:v>
                </c:pt>
                <c:pt idx="5">
                  <c:v>2132.0067064749519</c:v>
                </c:pt>
                <c:pt idx="6">
                  <c:v>2907.6343990009377</c:v>
                </c:pt>
                <c:pt idx="7">
                  <c:v>2606.8814141589651</c:v>
                </c:pt>
                <c:pt idx="8">
                  <c:v>2115.5021106986028</c:v>
                </c:pt>
                <c:pt idx="9">
                  <c:v>2442.7982199317844</c:v>
                </c:pt>
              </c:numCache>
            </c:numRef>
          </c:val>
          <c:smooth val="0"/>
        </c:ser>
        <c:dLbls>
          <c:showLegendKey val="0"/>
          <c:showVal val="0"/>
          <c:showCatName val="0"/>
          <c:showSerName val="0"/>
          <c:showPercent val="0"/>
          <c:showBubbleSize val="0"/>
        </c:dLbls>
        <c:marker val="1"/>
        <c:smooth val="0"/>
        <c:axId val="93635712"/>
        <c:axId val="93637248"/>
      </c:lineChart>
      <c:catAx>
        <c:axId val="93635712"/>
        <c:scaling>
          <c:orientation val="minMax"/>
        </c:scaling>
        <c:delete val="0"/>
        <c:axPos val="b"/>
        <c:numFmt formatCode="General" sourceLinked="1"/>
        <c:majorTickMark val="out"/>
        <c:minorTickMark val="none"/>
        <c:tickLblPos val="nextTo"/>
        <c:crossAx val="93637248"/>
        <c:crosses val="autoZero"/>
        <c:auto val="1"/>
        <c:lblAlgn val="ctr"/>
        <c:lblOffset val="100"/>
        <c:noMultiLvlLbl val="0"/>
      </c:catAx>
      <c:valAx>
        <c:axId val="93637248"/>
        <c:scaling>
          <c:orientation val="minMax"/>
        </c:scaling>
        <c:delete val="0"/>
        <c:axPos val="l"/>
        <c:majorGridlines>
          <c:spPr>
            <a:ln w="3175">
              <a:prstDash val="sysDot"/>
            </a:ln>
          </c:spPr>
        </c:majorGridlines>
        <c:numFmt formatCode="#,##0" sourceLinked="1"/>
        <c:majorTickMark val="out"/>
        <c:minorTickMark val="none"/>
        <c:tickLblPos val="nextTo"/>
        <c:crossAx val="93635712"/>
        <c:crosses val="autoZero"/>
        <c:crossBetween val="between"/>
      </c:valAx>
    </c:plotArea>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300kW'!$K$59</c:f>
          <c:strCache>
            <c:ptCount val="1"/>
            <c:pt idx="0">
              <c:v>Average annual operating profit per vessel (£'000)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'NS nephrops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300kW'!$D$34:$M$34</c:f>
              <c:numCache>
                <c:formatCode>#,##0.0</c:formatCode>
                <c:ptCount val="10"/>
                <c:pt idx="0">
                  <c:v>81.427345270526999</c:v>
                </c:pt>
                <c:pt idx="1">
                  <c:v>99.153663453672465</c:v>
                </c:pt>
                <c:pt idx="2">
                  <c:v>108.36024919449271</c:v>
                </c:pt>
                <c:pt idx="3">
                  <c:v>46.866310624587115</c:v>
                </c:pt>
                <c:pt idx="4">
                  <c:v>51.942528832488271</c:v>
                </c:pt>
                <c:pt idx="5">
                  <c:v>40.937159466878946</c:v>
                </c:pt>
                <c:pt idx="6">
                  <c:v>70.596887442789978</c:v>
                </c:pt>
                <c:pt idx="7">
                  <c:v>58.149587431689724</c:v>
                </c:pt>
                <c:pt idx="8">
                  <c:v>40.607398285718226</c:v>
                </c:pt>
                <c:pt idx="9">
                  <c:v>80.899999685691114</c:v>
                </c:pt>
              </c:numCache>
            </c:numRef>
          </c:val>
          <c:smooth val="0"/>
        </c:ser>
        <c:dLbls>
          <c:showLegendKey val="0"/>
          <c:showVal val="0"/>
          <c:showCatName val="0"/>
          <c:showSerName val="0"/>
          <c:showPercent val="0"/>
          <c:showBubbleSize val="0"/>
        </c:dLbls>
        <c:marker val="1"/>
        <c:smooth val="0"/>
        <c:axId val="105785984"/>
        <c:axId val="105816448"/>
      </c:lineChart>
      <c:catAx>
        <c:axId val="105785984"/>
        <c:scaling>
          <c:orientation val="minMax"/>
        </c:scaling>
        <c:delete val="0"/>
        <c:axPos val="b"/>
        <c:numFmt formatCode="General" sourceLinked="1"/>
        <c:majorTickMark val="out"/>
        <c:minorTickMark val="none"/>
        <c:tickLblPos val="nextTo"/>
        <c:crossAx val="105816448"/>
        <c:crosses val="autoZero"/>
        <c:auto val="1"/>
        <c:lblAlgn val="ctr"/>
        <c:lblOffset val="100"/>
        <c:noMultiLvlLbl val="0"/>
      </c:catAx>
      <c:valAx>
        <c:axId val="105816448"/>
        <c:scaling>
          <c:orientation val="minMax"/>
        </c:scaling>
        <c:delete val="0"/>
        <c:axPos val="l"/>
        <c:majorGridlines>
          <c:spPr>
            <a:ln w="3175">
              <a:prstDash val="sysDot"/>
            </a:ln>
          </c:spPr>
        </c:majorGridlines>
        <c:numFmt formatCode="#,##0.0" sourceLinked="1"/>
        <c:majorTickMark val="out"/>
        <c:minorTickMark val="none"/>
        <c:tickLblPos val="nextTo"/>
        <c:crossAx val="105785984"/>
        <c:crosses val="autoZero"/>
        <c:crossBetween val="between"/>
      </c:valAx>
    </c:plotArea>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300kW'!$A$73</c:f>
          <c:strCache>
            <c:ptCount val="1"/>
            <c:pt idx="0">
              <c:v>Top 5 landed species by volume in 2013
North Sea nephrops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607A2A"/>
              </a:solidFill>
              <a:ln>
                <a:solidFill>
                  <a:srgbClr val="FFFFFF"/>
                </a:solidFill>
              </a:ln>
            </c:spPr>
          </c:dPt>
          <c:dPt>
            <c:idx val="2"/>
            <c:bubble3D val="0"/>
            <c:spPr>
              <a:solidFill>
                <a:srgbClr val="4B3467"/>
              </a:solidFill>
              <a:ln>
                <a:solidFill>
                  <a:srgbClr val="FFFFFF"/>
                </a:solidFill>
              </a:ln>
            </c:spPr>
          </c:dPt>
          <c:dPt>
            <c:idx val="3"/>
            <c:bubble3D val="0"/>
            <c:spPr>
              <a:solidFill>
                <a:srgbClr val="7F2321"/>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 nephrops over 300kW'!$B$74:$B$79</c:f>
              <c:strCache>
                <c:ptCount val="6"/>
                <c:pt idx="0">
                  <c:v>Nephrops - 38.1%</c:v>
                </c:pt>
                <c:pt idx="1">
                  <c:v>Haddock - 21.0%</c:v>
                </c:pt>
                <c:pt idx="2">
                  <c:v>Whiting - 13.9%</c:v>
                </c:pt>
                <c:pt idx="3">
                  <c:v>Anglerfish - 7.1%</c:v>
                </c:pt>
                <c:pt idx="4">
                  <c:v>Cod - 3.6%</c:v>
                </c:pt>
                <c:pt idx="5">
                  <c:v>Others - 16.4%</c:v>
                </c:pt>
              </c:strCache>
            </c:strRef>
          </c:cat>
          <c:val>
            <c:numRef>
              <c:f>'NS nephrops over 300kW'!$C$74:$C$79</c:f>
              <c:numCache>
                <c:formatCode>0.0%</c:formatCode>
                <c:ptCount val="6"/>
                <c:pt idx="0">
                  <c:v>0.3806531005859019</c:v>
                </c:pt>
                <c:pt idx="1">
                  <c:v>0.20988017456786273</c:v>
                </c:pt>
                <c:pt idx="2">
                  <c:v>0.13853000706318672</c:v>
                </c:pt>
                <c:pt idx="3">
                  <c:v>7.1355161711623719E-2</c:v>
                </c:pt>
                <c:pt idx="4">
                  <c:v>3.6039042990133406E-2</c:v>
                </c:pt>
                <c:pt idx="5">
                  <c:v>0.16354251308129153</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300kW'!$F$73</c:f>
          <c:strCache>
            <c:ptCount val="1"/>
            <c:pt idx="0">
              <c:v>Top 5 landed species by value in 2013
North Sea nephrops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 nephrops over 300kW'!$G$74:$G$79</c:f>
              <c:strCache>
                <c:ptCount val="6"/>
                <c:pt idx="0">
                  <c:v>Nephrops - 64.4%</c:v>
                </c:pt>
                <c:pt idx="1">
                  <c:v>Anglerfish - 9.6%</c:v>
                </c:pt>
                <c:pt idx="2">
                  <c:v>Haddock - 7.6%</c:v>
                </c:pt>
                <c:pt idx="3">
                  <c:v>Whiting - 4.8%</c:v>
                </c:pt>
                <c:pt idx="4">
                  <c:v>Cod - 2.9%</c:v>
                </c:pt>
                <c:pt idx="5">
                  <c:v>Others - 10.8%</c:v>
                </c:pt>
              </c:strCache>
            </c:strRef>
          </c:cat>
          <c:val>
            <c:numRef>
              <c:f>'NS nephrops over 300kW'!$H$74:$H$79</c:f>
              <c:numCache>
                <c:formatCode>0.0%</c:formatCode>
                <c:ptCount val="6"/>
                <c:pt idx="0">
                  <c:v>0.64372580889537956</c:v>
                </c:pt>
                <c:pt idx="1">
                  <c:v>9.5916437033030211E-2</c:v>
                </c:pt>
                <c:pt idx="2">
                  <c:v>7.5701440670829429E-2</c:v>
                </c:pt>
                <c:pt idx="3">
                  <c:v>4.8301834215745736E-2</c:v>
                </c:pt>
                <c:pt idx="4">
                  <c:v>2.8531044295116451E-2</c:v>
                </c:pt>
                <c:pt idx="5">
                  <c:v>0.10782343488989865</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nephrops over 300kW'!$C$88</c:f>
              <c:strCache>
                <c:ptCount val="1"/>
                <c:pt idx="0">
                  <c:v>Nephrops</c:v>
                </c:pt>
              </c:strCache>
            </c:strRef>
          </c:tx>
          <c:spPr>
            <a:solidFill>
              <a:srgbClr val="224B7D"/>
            </a:solidFill>
            <a:ln>
              <a:solidFill>
                <a:srgbClr val="FFFFFF"/>
              </a:solidFill>
            </a:ln>
          </c:spPr>
          <c:invertIfNegative val="0"/>
          <c:cat>
            <c:numRef>
              <c:f>'NS nephrops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300kW'!$D$88:$M$88</c:f>
              <c:numCache>
                <c:formatCode>0%</c:formatCode>
                <c:ptCount val="10"/>
                <c:pt idx="0">
                  <c:v>0.70961039065532983</c:v>
                </c:pt>
                <c:pt idx="1">
                  <c:v>0.74602623373552412</c:v>
                </c:pt>
                <c:pt idx="2">
                  <c:v>0.7762729808725084</c:v>
                </c:pt>
                <c:pt idx="3">
                  <c:v>0.74145444591671372</c:v>
                </c:pt>
                <c:pt idx="4">
                  <c:v>0.74392372779335514</c:v>
                </c:pt>
                <c:pt idx="5">
                  <c:v>0.7305936042664849</c:v>
                </c:pt>
                <c:pt idx="6">
                  <c:v>0.76093232249589726</c:v>
                </c:pt>
                <c:pt idx="7">
                  <c:v>0.75607457570241687</c:v>
                </c:pt>
                <c:pt idx="8">
                  <c:v>0.6547051855171051</c:v>
                </c:pt>
                <c:pt idx="9">
                  <c:v>0.69574238331306248</c:v>
                </c:pt>
              </c:numCache>
            </c:numRef>
          </c:val>
        </c:ser>
        <c:ser>
          <c:idx val="1"/>
          <c:order val="1"/>
          <c:tx>
            <c:strRef>
              <c:f>'NS nephrops over 300kW'!$C$89</c:f>
              <c:strCache>
                <c:ptCount val="1"/>
                <c:pt idx="0">
                  <c:v>Anglerfish</c:v>
                </c:pt>
              </c:strCache>
            </c:strRef>
          </c:tx>
          <c:spPr>
            <a:solidFill>
              <a:srgbClr val="7F2321"/>
            </a:solidFill>
            <a:ln>
              <a:solidFill>
                <a:srgbClr val="FFFFFF"/>
              </a:solidFill>
            </a:ln>
          </c:spPr>
          <c:invertIfNegative val="0"/>
          <c:cat>
            <c:numRef>
              <c:f>'NS nephrops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300kW'!$D$89:$M$89</c:f>
              <c:numCache>
                <c:formatCode>0%</c:formatCode>
                <c:ptCount val="10"/>
                <c:pt idx="0">
                  <c:v>9.3959193716974851E-2</c:v>
                </c:pt>
                <c:pt idx="1">
                  <c:v>8.1648974271124511E-2</c:v>
                </c:pt>
                <c:pt idx="2">
                  <c:v>6.8595974024652701E-2</c:v>
                </c:pt>
                <c:pt idx="3">
                  <c:v>9.881021005132691E-2</c:v>
                </c:pt>
                <c:pt idx="4">
                  <c:v>9.7262217012399996E-2</c:v>
                </c:pt>
                <c:pt idx="5">
                  <c:v>9.2101180483669096E-2</c:v>
                </c:pt>
                <c:pt idx="6">
                  <c:v>6.9224326743012377E-2</c:v>
                </c:pt>
                <c:pt idx="7">
                  <c:v>6.4205288698240465E-2</c:v>
                </c:pt>
                <c:pt idx="8">
                  <c:v>9.7552386177599634E-2</c:v>
                </c:pt>
                <c:pt idx="9">
                  <c:v>8.7799009616280788E-2</c:v>
                </c:pt>
              </c:numCache>
            </c:numRef>
          </c:val>
        </c:ser>
        <c:ser>
          <c:idx val="2"/>
          <c:order val="2"/>
          <c:tx>
            <c:strRef>
              <c:f>'NS nephrops over 300kW'!$C$90</c:f>
              <c:strCache>
                <c:ptCount val="1"/>
                <c:pt idx="0">
                  <c:v>Haddock</c:v>
                </c:pt>
              </c:strCache>
            </c:strRef>
          </c:tx>
          <c:spPr>
            <a:solidFill>
              <a:srgbClr val="607A2A"/>
            </a:solidFill>
            <a:ln>
              <a:solidFill>
                <a:srgbClr val="FFFFFF"/>
              </a:solidFill>
            </a:ln>
          </c:spPr>
          <c:invertIfNegative val="0"/>
          <c:cat>
            <c:numRef>
              <c:f>'NS nephrops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300kW'!$D$90:$M$90</c:f>
              <c:numCache>
                <c:formatCode>0%</c:formatCode>
                <c:ptCount val="10"/>
                <c:pt idx="0">
                  <c:v>6.3771585221161803E-2</c:v>
                </c:pt>
                <c:pt idx="1">
                  <c:v>6.5522412549180703E-2</c:v>
                </c:pt>
                <c:pt idx="2">
                  <c:v>3.749961103965628E-2</c:v>
                </c:pt>
                <c:pt idx="3">
                  <c:v>3.1382494835943422E-2</c:v>
                </c:pt>
                <c:pt idx="4">
                  <c:v>4.3441072395356287E-2</c:v>
                </c:pt>
                <c:pt idx="5">
                  <c:v>4.7647376932233497E-2</c:v>
                </c:pt>
                <c:pt idx="6">
                  <c:v>4.387588080907559E-2</c:v>
                </c:pt>
                <c:pt idx="7">
                  <c:v>5.2402749744552155E-2</c:v>
                </c:pt>
                <c:pt idx="8">
                  <c:v>7.6992603175807264E-2</c:v>
                </c:pt>
                <c:pt idx="9">
                  <c:v>7.9433672866970617E-2</c:v>
                </c:pt>
              </c:numCache>
            </c:numRef>
          </c:val>
        </c:ser>
        <c:ser>
          <c:idx val="3"/>
          <c:order val="3"/>
          <c:tx>
            <c:strRef>
              <c:f>'NS nephrops over 300kW'!$C$91</c:f>
              <c:strCache>
                <c:ptCount val="1"/>
                <c:pt idx="0">
                  <c:v>Whiting</c:v>
                </c:pt>
              </c:strCache>
            </c:strRef>
          </c:tx>
          <c:spPr>
            <a:solidFill>
              <a:srgbClr val="4B3467"/>
            </a:solidFill>
            <a:ln>
              <a:solidFill>
                <a:srgbClr val="FFFFFF"/>
              </a:solidFill>
            </a:ln>
          </c:spPr>
          <c:invertIfNegative val="0"/>
          <c:cat>
            <c:numRef>
              <c:f>'NS nephrops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300kW'!$D$91:$M$91</c:f>
              <c:numCache>
                <c:formatCode>0%</c:formatCode>
                <c:ptCount val="10"/>
                <c:pt idx="0">
                  <c:v>2.2187433467988037E-2</c:v>
                </c:pt>
                <c:pt idx="1">
                  <c:v>2.9867524943106159E-2</c:v>
                </c:pt>
                <c:pt idx="2">
                  <c:v>2.7245233202798612E-2</c:v>
                </c:pt>
                <c:pt idx="3">
                  <c:v>2.7625510026025559E-2</c:v>
                </c:pt>
                <c:pt idx="4">
                  <c:v>2.3386188745270976E-2</c:v>
                </c:pt>
                <c:pt idx="5">
                  <c:v>2.8116138075757038E-2</c:v>
                </c:pt>
                <c:pt idx="6">
                  <c:v>3.5412005389881977E-2</c:v>
                </c:pt>
                <c:pt idx="7">
                  <c:v>3.6991785015360608E-2</c:v>
                </c:pt>
                <c:pt idx="8">
                  <c:v>4.9125669491645027E-2</c:v>
                </c:pt>
                <c:pt idx="9">
                  <c:v>4.1439811099933346E-2</c:v>
                </c:pt>
              </c:numCache>
            </c:numRef>
          </c:val>
        </c:ser>
        <c:ser>
          <c:idx val="4"/>
          <c:order val="4"/>
          <c:tx>
            <c:strRef>
              <c:f>'NS nephrops over 300kW'!$C$92</c:f>
              <c:strCache>
                <c:ptCount val="1"/>
                <c:pt idx="0">
                  <c:v>Cod</c:v>
                </c:pt>
              </c:strCache>
            </c:strRef>
          </c:tx>
          <c:spPr>
            <a:solidFill>
              <a:srgbClr val="9B2D2A"/>
            </a:solidFill>
            <a:ln>
              <a:solidFill>
                <a:srgbClr val="FFFFFF"/>
              </a:solidFill>
            </a:ln>
          </c:spPr>
          <c:invertIfNegative val="0"/>
          <c:cat>
            <c:numRef>
              <c:f>'NS nephrops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300kW'!$D$92:$M$92</c:f>
              <c:numCache>
                <c:formatCode>0%</c:formatCode>
                <c:ptCount val="10"/>
                <c:pt idx="0">
                  <c:v>2.4879296836498446E-2</c:v>
                </c:pt>
                <c:pt idx="1">
                  <c:v>2.0047300153097726E-2</c:v>
                </c:pt>
                <c:pt idx="2">
                  <c:v>1.8714877994929664E-2</c:v>
                </c:pt>
                <c:pt idx="3">
                  <c:v>2.1022928576183837E-2</c:v>
                </c:pt>
                <c:pt idx="4">
                  <c:v>1.8548192862560611E-2</c:v>
                </c:pt>
                <c:pt idx="7">
                  <c:v>1.8191003650267098E-2</c:v>
                </c:pt>
                <c:pt idx="8">
                  <c:v>2.9017669309056394E-2</c:v>
                </c:pt>
                <c:pt idx="9">
                  <c:v>2.3557627991121776E-2</c:v>
                </c:pt>
              </c:numCache>
            </c:numRef>
          </c:val>
        </c:ser>
        <c:ser>
          <c:idx val="5"/>
          <c:order val="5"/>
          <c:tx>
            <c:strRef>
              <c:f>'NS nephrops over 300kW'!$C$93</c:f>
              <c:strCache>
                <c:ptCount val="1"/>
                <c:pt idx="0">
                  <c:v>Squid</c:v>
                </c:pt>
              </c:strCache>
            </c:strRef>
          </c:tx>
          <c:spPr>
            <a:solidFill>
              <a:srgbClr val="769535"/>
            </a:solidFill>
            <a:ln>
              <a:solidFill>
                <a:srgbClr val="FFFFFF"/>
              </a:solidFill>
            </a:ln>
          </c:spPr>
          <c:invertIfNegative val="0"/>
          <c:cat>
            <c:numRef>
              <c:f>'NS nephrops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300kW'!$D$93:$M$93</c:f>
              <c:numCache>
                <c:formatCode>0%</c:formatCode>
                <c:ptCount val="10"/>
                <c:pt idx="5">
                  <c:v>2.3137467314708223E-2</c:v>
                </c:pt>
                <c:pt idx="6">
                  <c:v>2.1252885992062827E-2</c:v>
                </c:pt>
              </c:numCache>
            </c:numRef>
          </c:val>
        </c:ser>
        <c:ser>
          <c:idx val="6"/>
          <c:order val="6"/>
          <c:tx>
            <c:strRef>
              <c:f>'NS nephrops over 300kW'!$C$94</c:f>
              <c:strCache>
                <c:ptCount val="1"/>
                <c:pt idx="0">
                  <c:v>Others</c:v>
                </c:pt>
              </c:strCache>
            </c:strRef>
          </c:tx>
          <c:spPr>
            <a:solidFill>
              <a:srgbClr val="008000"/>
            </a:solidFill>
            <a:ln>
              <a:solidFill>
                <a:srgbClr val="FFFFFF"/>
              </a:solidFill>
            </a:ln>
          </c:spPr>
          <c:invertIfNegative val="0"/>
          <c:cat>
            <c:numRef>
              <c:f>'NS nephrops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over 300kW'!$D$94:$M$94</c:f>
              <c:numCache>
                <c:formatCode>0%</c:formatCode>
                <c:ptCount val="10"/>
                <c:pt idx="0">
                  <c:v>8.559210010204707E-2</c:v>
                </c:pt>
                <c:pt idx="1">
                  <c:v>5.6887554347966794E-2</c:v>
                </c:pt>
                <c:pt idx="2">
                  <c:v>7.1671322865454329E-2</c:v>
                </c:pt>
                <c:pt idx="3">
                  <c:v>7.9704410593806577E-2</c:v>
                </c:pt>
                <c:pt idx="4">
                  <c:v>7.3438601191057024E-2</c:v>
                </c:pt>
                <c:pt idx="5">
                  <c:v>7.8404232927147238E-2</c:v>
                </c:pt>
                <c:pt idx="6">
                  <c:v>6.9302578570069939E-2</c:v>
                </c:pt>
                <c:pt idx="7">
                  <c:v>7.2134597189162764E-2</c:v>
                </c:pt>
                <c:pt idx="8">
                  <c:v>9.2606486328786555E-2</c:v>
                </c:pt>
                <c:pt idx="9">
                  <c:v>7.2027495112630957E-2</c:v>
                </c:pt>
              </c:numCache>
            </c:numRef>
          </c:val>
        </c:ser>
        <c:dLbls>
          <c:showLegendKey val="0"/>
          <c:showVal val="0"/>
          <c:showCatName val="0"/>
          <c:showSerName val="0"/>
          <c:showPercent val="0"/>
          <c:showBubbleSize val="0"/>
        </c:dLbls>
        <c:gapWidth val="150"/>
        <c:overlap val="100"/>
        <c:axId val="106912000"/>
        <c:axId val="106913792"/>
      </c:barChart>
      <c:catAx>
        <c:axId val="106912000"/>
        <c:scaling>
          <c:orientation val="minMax"/>
        </c:scaling>
        <c:delete val="0"/>
        <c:axPos val="b"/>
        <c:numFmt formatCode="General" sourceLinked="1"/>
        <c:majorTickMark val="out"/>
        <c:minorTickMark val="none"/>
        <c:tickLblPos val="nextTo"/>
        <c:crossAx val="106913792"/>
        <c:crosses val="autoZero"/>
        <c:auto val="1"/>
        <c:lblAlgn val="ctr"/>
        <c:lblOffset val="100"/>
        <c:noMultiLvlLbl val="0"/>
      </c:catAx>
      <c:valAx>
        <c:axId val="106913792"/>
        <c:scaling>
          <c:orientation val="minMax"/>
          <c:max val="1"/>
          <c:min val="0"/>
        </c:scaling>
        <c:delete val="0"/>
        <c:axPos val="l"/>
        <c:majorGridlines/>
        <c:numFmt formatCode="0%" sourceLinked="1"/>
        <c:majorTickMark val="out"/>
        <c:minorTickMark val="none"/>
        <c:tickLblPos val="nextTo"/>
        <c:crossAx val="10691200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300kW'!$A$45</c:f>
          <c:strCache>
            <c:ptCount val="1"/>
            <c:pt idx="0">
              <c:v>Landings per kW day at sea (kg)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'NS nephrops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300kW'!$D$20:$M$20</c:f>
              <c:numCache>
                <c:formatCode>#,##0.00</c:formatCode>
                <c:ptCount val="10"/>
                <c:pt idx="0">
                  <c:v>2.8263566515110843</c:v>
                </c:pt>
                <c:pt idx="1">
                  <c:v>3.2419540416019226</c:v>
                </c:pt>
                <c:pt idx="2">
                  <c:v>3.3376898644622863</c:v>
                </c:pt>
                <c:pt idx="3">
                  <c:v>3.1116393544849914</c:v>
                </c:pt>
                <c:pt idx="4">
                  <c:v>3.3455416001871754</c:v>
                </c:pt>
                <c:pt idx="5">
                  <c:v>3.0673806610443588</c:v>
                </c:pt>
                <c:pt idx="6">
                  <c:v>2.9817050142488974</c:v>
                </c:pt>
                <c:pt idx="7">
                  <c:v>2.8835656323914849</c:v>
                </c:pt>
                <c:pt idx="8">
                  <c:v>2.8027895499399791</c:v>
                </c:pt>
                <c:pt idx="9">
                  <c:v>3.2271681824934482</c:v>
                </c:pt>
              </c:numCache>
            </c:numRef>
          </c:val>
          <c:smooth val="0"/>
        </c:ser>
        <c:dLbls>
          <c:showLegendKey val="0"/>
          <c:showVal val="0"/>
          <c:showCatName val="0"/>
          <c:showSerName val="0"/>
          <c:showPercent val="0"/>
          <c:showBubbleSize val="0"/>
        </c:dLbls>
        <c:marker val="1"/>
        <c:smooth val="0"/>
        <c:axId val="104953728"/>
        <c:axId val="104955264"/>
      </c:lineChart>
      <c:catAx>
        <c:axId val="104953728"/>
        <c:scaling>
          <c:orientation val="minMax"/>
        </c:scaling>
        <c:delete val="0"/>
        <c:axPos val="b"/>
        <c:numFmt formatCode="General" sourceLinked="1"/>
        <c:majorTickMark val="out"/>
        <c:minorTickMark val="none"/>
        <c:tickLblPos val="nextTo"/>
        <c:crossAx val="104955264"/>
        <c:crosses val="autoZero"/>
        <c:auto val="1"/>
        <c:lblAlgn val="ctr"/>
        <c:lblOffset val="100"/>
        <c:noMultiLvlLbl val="0"/>
      </c:catAx>
      <c:valAx>
        <c:axId val="104955264"/>
        <c:scaling>
          <c:orientation val="minMax"/>
        </c:scaling>
        <c:delete val="0"/>
        <c:axPos val="l"/>
        <c:majorGridlines>
          <c:spPr>
            <a:ln w="3175">
              <a:prstDash val="sysDot"/>
            </a:ln>
          </c:spPr>
        </c:majorGridlines>
        <c:numFmt formatCode="#,##0.00" sourceLinked="1"/>
        <c:majorTickMark val="out"/>
        <c:minorTickMark val="none"/>
        <c:tickLblPos val="nextTo"/>
        <c:crossAx val="104953728"/>
        <c:crosses val="autoZero"/>
        <c:crossBetween val="between"/>
      </c:valAx>
    </c:plotArea>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300kW'!$F$45</c:f>
          <c:strCache>
            <c:ptCount val="1"/>
            <c:pt idx="0">
              <c:v>Income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'NS nephrops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300kW'!$D$21:$M$21</c:f>
              <c:numCache>
                <c:formatCode>#,##0.00</c:formatCode>
                <c:ptCount val="10"/>
                <c:pt idx="0">
                  <c:v>4.7917700493966526</c:v>
                </c:pt>
                <c:pt idx="1">
                  <c:v>6.7112390642885096</c:v>
                </c:pt>
                <c:pt idx="2">
                  <c:v>7.1061999365718309</c:v>
                </c:pt>
                <c:pt idx="3">
                  <c:v>6.2613458738978478</c:v>
                </c:pt>
                <c:pt idx="4">
                  <c:v>5.6446862907705899</c:v>
                </c:pt>
                <c:pt idx="5">
                  <c:v>6.0865307360354057</c:v>
                </c:pt>
                <c:pt idx="6">
                  <c:v>7.9970887743823749</c:v>
                </c:pt>
                <c:pt idx="7">
                  <c:v>7.6575272545767268</c:v>
                </c:pt>
                <c:pt idx="8">
                  <c:v>6.5617173886924745</c:v>
                </c:pt>
                <c:pt idx="9">
                  <c:v>8.4009341848711347</c:v>
                </c:pt>
              </c:numCache>
            </c:numRef>
          </c:val>
          <c:smooth val="0"/>
        </c:ser>
        <c:dLbls>
          <c:showLegendKey val="0"/>
          <c:showVal val="0"/>
          <c:showCatName val="0"/>
          <c:showSerName val="0"/>
          <c:showPercent val="0"/>
          <c:showBubbleSize val="0"/>
        </c:dLbls>
        <c:marker val="1"/>
        <c:smooth val="0"/>
        <c:axId val="104963456"/>
        <c:axId val="104977536"/>
      </c:lineChart>
      <c:catAx>
        <c:axId val="104963456"/>
        <c:scaling>
          <c:orientation val="minMax"/>
        </c:scaling>
        <c:delete val="0"/>
        <c:axPos val="b"/>
        <c:numFmt formatCode="General" sourceLinked="1"/>
        <c:majorTickMark val="out"/>
        <c:minorTickMark val="none"/>
        <c:tickLblPos val="nextTo"/>
        <c:crossAx val="104977536"/>
        <c:crosses val="autoZero"/>
        <c:auto val="1"/>
        <c:lblAlgn val="ctr"/>
        <c:lblOffset val="100"/>
        <c:noMultiLvlLbl val="0"/>
      </c:catAx>
      <c:valAx>
        <c:axId val="104977536"/>
        <c:scaling>
          <c:orientation val="minMax"/>
        </c:scaling>
        <c:delete val="0"/>
        <c:axPos val="l"/>
        <c:majorGridlines>
          <c:spPr>
            <a:ln w="3175">
              <a:prstDash val="sysDot"/>
            </a:ln>
          </c:spPr>
        </c:majorGridlines>
        <c:numFmt formatCode="#,##0.00" sourceLinked="1"/>
        <c:majorTickMark val="out"/>
        <c:minorTickMark val="none"/>
        <c:tickLblPos val="nextTo"/>
        <c:crossAx val="104963456"/>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o250kW'!$K$45</c:f>
          <c:strCache>
            <c:ptCount val="1"/>
            <c:pt idx="0">
              <c:v>Operating profit per kW day at sea (£)
Area VIIA nephrops over 250kW</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'Area VIIa nephrops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o250kW'!$D$23:$M$23</c:f>
              <c:numCache>
                <c:formatCode>#,##0.00</c:formatCode>
                <c:ptCount val="10"/>
                <c:pt idx="0">
                  <c:v>0.55537051221559797</c:v>
                </c:pt>
                <c:pt idx="1">
                  <c:v>0.63068949281578601</c:v>
                </c:pt>
                <c:pt idx="2">
                  <c:v>0.88712232460914997</c:v>
                </c:pt>
                <c:pt idx="3">
                  <c:v>0.99684051197722301</c:v>
                </c:pt>
                <c:pt idx="4">
                  <c:v>0.69021857255893404</c:v>
                </c:pt>
                <c:pt idx="5">
                  <c:v>0.61268297984779296</c:v>
                </c:pt>
                <c:pt idx="6">
                  <c:v>1.0082476152456099</c:v>
                </c:pt>
                <c:pt idx="7">
                  <c:v>1.4370169570981299</c:v>
                </c:pt>
                <c:pt idx="8">
                  <c:v>0.87240568893006198</c:v>
                </c:pt>
                <c:pt idx="9">
                  <c:v>1.03164760840678</c:v>
                </c:pt>
              </c:numCache>
            </c:numRef>
          </c:val>
          <c:smooth val="0"/>
        </c:ser>
        <c:dLbls>
          <c:showLegendKey val="0"/>
          <c:showVal val="0"/>
          <c:showCatName val="0"/>
          <c:showSerName val="0"/>
          <c:showPercent val="0"/>
          <c:showBubbleSize val="0"/>
        </c:dLbls>
        <c:marker val="1"/>
        <c:smooth val="0"/>
        <c:axId val="105295232"/>
        <c:axId val="105301120"/>
      </c:lineChart>
      <c:catAx>
        <c:axId val="105295232"/>
        <c:scaling>
          <c:orientation val="minMax"/>
        </c:scaling>
        <c:delete val="0"/>
        <c:axPos val="b"/>
        <c:numFmt formatCode="General" sourceLinked="1"/>
        <c:majorTickMark val="out"/>
        <c:minorTickMark val="none"/>
        <c:tickLblPos val="nextTo"/>
        <c:crossAx val="105301120"/>
        <c:crosses val="autoZero"/>
        <c:auto val="1"/>
        <c:lblAlgn val="ctr"/>
        <c:lblOffset val="100"/>
        <c:noMultiLvlLbl val="0"/>
      </c:catAx>
      <c:valAx>
        <c:axId val="105301120"/>
        <c:scaling>
          <c:orientation val="minMax"/>
        </c:scaling>
        <c:delete val="0"/>
        <c:axPos val="l"/>
        <c:majorGridlines>
          <c:spPr>
            <a:ln w="3175">
              <a:prstDash val="sysDot"/>
            </a:ln>
          </c:spPr>
        </c:majorGridlines>
        <c:numFmt formatCode="#,##0.00" sourceLinked="1"/>
        <c:majorTickMark val="out"/>
        <c:minorTickMark val="none"/>
        <c:tickLblPos val="nextTo"/>
        <c:crossAx val="10529523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300kW'!$K$45</c:f>
          <c:strCache>
            <c:ptCount val="1"/>
            <c:pt idx="0">
              <c:v>Operating profit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'NS nephrops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300kW'!$D$23:$M$23</c:f>
              <c:numCache>
                <c:formatCode>#,##0.00</c:formatCode>
                <c:ptCount val="10"/>
                <c:pt idx="0">
                  <c:v>0.67799311422685216</c:v>
                </c:pt>
                <c:pt idx="1">
                  <c:v>1.1297813361651705</c:v>
                </c:pt>
                <c:pt idx="2">
                  <c:v>1.0492015444300105</c:v>
                </c:pt>
                <c:pt idx="3">
                  <c:v>0.30408103757995886</c:v>
                </c:pt>
                <c:pt idx="4">
                  <c:v>0.48213306935641892</c:v>
                </c:pt>
                <c:pt idx="5">
                  <c:v>0.23713680242947524</c:v>
                </c:pt>
                <c:pt idx="6">
                  <c:v>1.6027391544252032</c:v>
                </c:pt>
                <c:pt idx="7">
                  <c:v>1.2791302898860031</c:v>
                </c:pt>
                <c:pt idx="8">
                  <c:v>0.53360918676805391</c:v>
                </c:pt>
                <c:pt idx="9">
                  <c:v>1.0425649363006655</c:v>
                </c:pt>
              </c:numCache>
            </c:numRef>
          </c:val>
          <c:smooth val="0"/>
        </c:ser>
        <c:dLbls>
          <c:showLegendKey val="0"/>
          <c:showVal val="0"/>
          <c:showCatName val="0"/>
          <c:showSerName val="0"/>
          <c:showPercent val="0"/>
          <c:showBubbleSize val="0"/>
        </c:dLbls>
        <c:marker val="1"/>
        <c:smooth val="0"/>
        <c:axId val="105014400"/>
        <c:axId val="105015936"/>
      </c:lineChart>
      <c:catAx>
        <c:axId val="105014400"/>
        <c:scaling>
          <c:orientation val="minMax"/>
        </c:scaling>
        <c:delete val="0"/>
        <c:axPos val="b"/>
        <c:numFmt formatCode="General" sourceLinked="1"/>
        <c:majorTickMark val="out"/>
        <c:minorTickMark val="none"/>
        <c:tickLblPos val="nextTo"/>
        <c:crossAx val="105015936"/>
        <c:crosses val="autoZero"/>
        <c:auto val="1"/>
        <c:lblAlgn val="ctr"/>
        <c:lblOffset val="100"/>
        <c:noMultiLvlLbl val="0"/>
      </c:catAx>
      <c:valAx>
        <c:axId val="105015936"/>
        <c:scaling>
          <c:orientation val="minMax"/>
        </c:scaling>
        <c:delete val="0"/>
        <c:axPos val="l"/>
        <c:majorGridlines>
          <c:spPr>
            <a:ln w="3175">
              <a:prstDash val="sysDot"/>
            </a:ln>
          </c:spPr>
        </c:majorGridlines>
        <c:numFmt formatCode="#,##0.00" sourceLinked="1"/>
        <c:majorTickMark val="out"/>
        <c:minorTickMark val="none"/>
        <c:tickLblPos val="nextTo"/>
        <c:crossAx val="10501440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300kW'!$B$59</c:f>
          <c:strCache>
            <c:ptCount val="1"/>
            <c:pt idx="0">
              <c:v>Total cost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'NS nephrops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300kW'!$D$22:$M$22</c:f>
              <c:numCache>
                <c:formatCode>#,##0.00</c:formatCode>
                <c:ptCount val="10"/>
                <c:pt idx="0">
                  <c:v>4.113776935169799</c:v>
                </c:pt>
                <c:pt idx="1">
                  <c:v>5.5814577281233397</c:v>
                </c:pt>
                <c:pt idx="2">
                  <c:v>6.0569983921418205</c:v>
                </c:pt>
                <c:pt idx="3">
                  <c:v>5.9572648363178873</c:v>
                </c:pt>
                <c:pt idx="4">
                  <c:v>5.1625532214141749</c:v>
                </c:pt>
                <c:pt idx="5">
                  <c:v>5.849393933605926</c:v>
                </c:pt>
                <c:pt idx="6">
                  <c:v>6.394349619957171</c:v>
                </c:pt>
                <c:pt idx="7">
                  <c:v>6.3783969646907233</c:v>
                </c:pt>
                <c:pt idx="8">
                  <c:v>6.0281082019244128</c:v>
                </c:pt>
                <c:pt idx="9">
                  <c:v>7.3583692485704679</c:v>
                </c:pt>
              </c:numCache>
            </c:numRef>
          </c:val>
          <c:smooth val="0"/>
        </c:ser>
        <c:dLbls>
          <c:showLegendKey val="0"/>
          <c:showVal val="0"/>
          <c:showCatName val="0"/>
          <c:showSerName val="0"/>
          <c:showPercent val="0"/>
          <c:showBubbleSize val="0"/>
        </c:dLbls>
        <c:marker val="1"/>
        <c:smooth val="0"/>
        <c:axId val="105040512"/>
        <c:axId val="105042304"/>
      </c:lineChart>
      <c:catAx>
        <c:axId val="105040512"/>
        <c:scaling>
          <c:orientation val="minMax"/>
        </c:scaling>
        <c:delete val="0"/>
        <c:axPos val="b"/>
        <c:numFmt formatCode="General" sourceLinked="1"/>
        <c:majorTickMark val="out"/>
        <c:minorTickMark val="none"/>
        <c:tickLblPos val="nextTo"/>
        <c:crossAx val="105042304"/>
        <c:crosses val="autoZero"/>
        <c:auto val="1"/>
        <c:lblAlgn val="ctr"/>
        <c:lblOffset val="100"/>
        <c:noMultiLvlLbl val="0"/>
      </c:catAx>
      <c:valAx>
        <c:axId val="105042304"/>
        <c:scaling>
          <c:orientation val="minMax"/>
        </c:scaling>
        <c:delete val="0"/>
        <c:axPos val="l"/>
        <c:majorGridlines>
          <c:spPr>
            <a:ln w="3175">
              <a:prstDash val="sysDot"/>
            </a:ln>
          </c:spPr>
        </c:majorGridlines>
        <c:numFmt formatCode="#,##0.00" sourceLinked="1"/>
        <c:majorTickMark val="out"/>
        <c:minorTickMark val="none"/>
        <c:tickLblPos val="nextTo"/>
        <c:crossAx val="105040512"/>
        <c:crosses val="autoZero"/>
        <c:crossBetween val="between"/>
      </c:valAx>
    </c:plotArea>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300kW'!$F$59</c:f>
          <c:strCache>
            <c:ptCount val="1"/>
            <c:pt idx="0">
              <c:v>Average price per tonne landed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'NS nephrops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300kW'!$D$19:$M$19</c:f>
              <c:numCache>
                <c:formatCode>#,##0</c:formatCode>
                <c:ptCount val="10"/>
                <c:pt idx="0">
                  <c:v>1695.3878753301224</c:v>
                </c:pt>
                <c:pt idx="1">
                  <c:v>2070.1216746295368</c:v>
                </c:pt>
                <c:pt idx="2">
                  <c:v>2129.0773751519596</c:v>
                </c:pt>
                <c:pt idx="3">
                  <c:v>2012.2336779046107</c:v>
                </c:pt>
                <c:pt idx="4">
                  <c:v>1687.2263438852078</c:v>
                </c:pt>
                <c:pt idx="5">
                  <c:v>1984.276385910033</c:v>
                </c:pt>
                <c:pt idx="6">
                  <c:v>2682.0522942967509</c:v>
                </c:pt>
                <c:pt idx="7">
                  <c:v>2655.5758159380921</c:v>
                </c:pt>
                <c:pt idx="8">
                  <c:v>2341.1382158209558</c:v>
                </c:pt>
                <c:pt idx="9">
                  <c:v>2603.1906991821252</c:v>
                </c:pt>
              </c:numCache>
            </c:numRef>
          </c:val>
          <c:smooth val="0"/>
        </c:ser>
        <c:dLbls>
          <c:showLegendKey val="0"/>
          <c:showVal val="0"/>
          <c:showCatName val="0"/>
          <c:showSerName val="0"/>
          <c:showPercent val="0"/>
          <c:showBubbleSize val="0"/>
        </c:dLbls>
        <c:marker val="1"/>
        <c:smooth val="0"/>
        <c:axId val="105140608"/>
        <c:axId val="105142144"/>
      </c:lineChart>
      <c:catAx>
        <c:axId val="105140608"/>
        <c:scaling>
          <c:orientation val="minMax"/>
        </c:scaling>
        <c:delete val="0"/>
        <c:axPos val="b"/>
        <c:numFmt formatCode="General" sourceLinked="1"/>
        <c:majorTickMark val="out"/>
        <c:minorTickMark val="none"/>
        <c:tickLblPos val="nextTo"/>
        <c:crossAx val="105142144"/>
        <c:crosses val="autoZero"/>
        <c:auto val="1"/>
        <c:lblAlgn val="ctr"/>
        <c:lblOffset val="100"/>
        <c:noMultiLvlLbl val="0"/>
      </c:catAx>
      <c:valAx>
        <c:axId val="105142144"/>
        <c:scaling>
          <c:orientation val="minMax"/>
        </c:scaling>
        <c:delete val="0"/>
        <c:axPos val="l"/>
        <c:majorGridlines>
          <c:spPr>
            <a:ln w="3175">
              <a:prstDash val="sysDot"/>
            </a:ln>
          </c:spPr>
        </c:majorGridlines>
        <c:numFmt formatCode="#,##0" sourceLinked="1"/>
        <c:majorTickMark val="out"/>
        <c:minorTickMark val="none"/>
        <c:tickLblPos val="nextTo"/>
        <c:crossAx val="105140608"/>
        <c:crosses val="autoZero"/>
        <c:crossBetween val="between"/>
      </c:valAx>
    </c:plotArea>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300kW'!$K$59</c:f>
          <c:strCache>
            <c:ptCount val="1"/>
            <c:pt idx="0">
              <c:v>Average annual operating profit per vessel (£'000)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'NS nephrops under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300kW'!$D$34:$M$34</c:f>
              <c:numCache>
                <c:formatCode>#,##0.0</c:formatCode>
                <c:ptCount val="10"/>
                <c:pt idx="0">
                  <c:v>20.824575813441474</c:v>
                </c:pt>
                <c:pt idx="1">
                  <c:v>30.322476692235131</c:v>
                </c:pt>
                <c:pt idx="2">
                  <c:v>27.240443294729729</c:v>
                </c:pt>
                <c:pt idx="3">
                  <c:v>8.2237111095973621</c:v>
                </c:pt>
                <c:pt idx="4">
                  <c:v>14.428480231246741</c:v>
                </c:pt>
                <c:pt idx="5">
                  <c:v>5.9544959224551199</c:v>
                </c:pt>
                <c:pt idx="6">
                  <c:v>43.23227965877448</c:v>
                </c:pt>
                <c:pt idx="7">
                  <c:v>32.069207686579716</c:v>
                </c:pt>
                <c:pt idx="8">
                  <c:v>11.995405789001509</c:v>
                </c:pt>
                <c:pt idx="9">
                  <c:v>22.099999914138117</c:v>
                </c:pt>
              </c:numCache>
            </c:numRef>
          </c:val>
          <c:smooth val="0"/>
        </c:ser>
        <c:dLbls>
          <c:showLegendKey val="0"/>
          <c:showVal val="0"/>
          <c:showCatName val="0"/>
          <c:showSerName val="0"/>
          <c:showPercent val="0"/>
          <c:showBubbleSize val="0"/>
        </c:dLbls>
        <c:marker val="1"/>
        <c:smooth val="0"/>
        <c:axId val="105174912"/>
        <c:axId val="105176448"/>
      </c:lineChart>
      <c:catAx>
        <c:axId val="105174912"/>
        <c:scaling>
          <c:orientation val="minMax"/>
        </c:scaling>
        <c:delete val="0"/>
        <c:axPos val="b"/>
        <c:numFmt formatCode="General" sourceLinked="1"/>
        <c:majorTickMark val="out"/>
        <c:minorTickMark val="none"/>
        <c:tickLblPos val="nextTo"/>
        <c:crossAx val="105176448"/>
        <c:crosses val="autoZero"/>
        <c:auto val="1"/>
        <c:lblAlgn val="ctr"/>
        <c:lblOffset val="100"/>
        <c:noMultiLvlLbl val="0"/>
      </c:catAx>
      <c:valAx>
        <c:axId val="105176448"/>
        <c:scaling>
          <c:orientation val="minMax"/>
        </c:scaling>
        <c:delete val="0"/>
        <c:axPos val="l"/>
        <c:majorGridlines>
          <c:spPr>
            <a:ln w="3175">
              <a:prstDash val="sysDot"/>
            </a:ln>
          </c:spPr>
        </c:majorGridlines>
        <c:numFmt formatCode="#,##0.0" sourceLinked="1"/>
        <c:majorTickMark val="out"/>
        <c:minorTickMark val="none"/>
        <c:tickLblPos val="nextTo"/>
        <c:crossAx val="105174912"/>
        <c:crosses val="autoZero"/>
        <c:crossBetween val="between"/>
      </c:valAx>
    </c:plotArea>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300kW'!$A$73</c:f>
          <c:strCache>
            <c:ptCount val="1"/>
            <c:pt idx="0">
              <c:v>Top 5 landed species by volume in 2013
North Sea nephrops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769535"/>
              </a:solidFill>
              <a:ln>
                <a:solidFill>
                  <a:srgbClr val="FFFFFF"/>
                </a:solidFill>
              </a:ln>
            </c:spPr>
          </c:dPt>
          <c:dPt>
            <c:idx val="4"/>
            <c:bubble3D val="0"/>
            <c:spPr>
              <a:solidFill>
                <a:srgbClr val="4B3467"/>
              </a:solidFill>
              <a:ln>
                <a:solidFill>
                  <a:srgbClr val="FFFFFF"/>
                </a:solidFill>
              </a:ln>
            </c:spPr>
          </c:dPt>
          <c:dPt>
            <c:idx val="5"/>
            <c:bubble3D val="0"/>
            <c:spPr>
              <a:solidFill>
                <a:srgbClr val="008000"/>
              </a:solidFill>
              <a:ln>
                <a:solidFill>
                  <a:srgbClr val="FFFFFF"/>
                </a:solidFill>
              </a:ln>
            </c:spPr>
          </c:dPt>
          <c:cat>
            <c:strRef>
              <c:f>'NS nephrops under 300kW'!$B$74:$B$79</c:f>
              <c:strCache>
                <c:ptCount val="6"/>
                <c:pt idx="0">
                  <c:v>Nephrops - 69.5%</c:v>
                </c:pt>
                <c:pt idx="1">
                  <c:v>Whiting - 10.2%</c:v>
                </c:pt>
                <c:pt idx="2">
                  <c:v>Haddock - 6.8%</c:v>
                </c:pt>
                <c:pt idx="3">
                  <c:v>Plaice - 3.3%</c:v>
                </c:pt>
                <c:pt idx="4">
                  <c:v>Anglerfish - 1.8%</c:v>
                </c:pt>
                <c:pt idx="5">
                  <c:v>Others - 8.4%</c:v>
                </c:pt>
              </c:strCache>
            </c:strRef>
          </c:cat>
          <c:val>
            <c:numRef>
              <c:f>'NS nephrops under 300kW'!$C$74:$C$79</c:f>
              <c:numCache>
                <c:formatCode>0.0%</c:formatCode>
                <c:ptCount val="6"/>
                <c:pt idx="0">
                  <c:v>0.6953089034574107</c:v>
                </c:pt>
                <c:pt idx="1">
                  <c:v>0.10150612076329683</c:v>
                </c:pt>
                <c:pt idx="2">
                  <c:v>6.8438960182721359E-2</c:v>
                </c:pt>
                <c:pt idx="3">
                  <c:v>3.2847211463735614E-2</c:v>
                </c:pt>
                <c:pt idx="4">
                  <c:v>1.7649726651489769E-2</c:v>
                </c:pt>
                <c:pt idx="5">
                  <c:v>8.4249077481345802E-2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300kW'!$F$73</c:f>
          <c:strCache>
            <c:ptCount val="1"/>
            <c:pt idx="0">
              <c:v>Top 5 landed species by value in 2013
North Sea nephrops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 nephrops under 300kW'!$G$74:$G$79</c:f>
              <c:strCache>
                <c:ptCount val="6"/>
                <c:pt idx="0">
                  <c:v>Nephrops - 85.1%</c:v>
                </c:pt>
                <c:pt idx="1">
                  <c:v>Whiting - 2.3%</c:v>
                </c:pt>
                <c:pt idx="2">
                  <c:v>Haddock - 2.3%</c:v>
                </c:pt>
                <c:pt idx="3">
                  <c:v>Anglerfish - 2.0%</c:v>
                </c:pt>
                <c:pt idx="4">
                  <c:v>Squid - 1.6%</c:v>
                </c:pt>
                <c:pt idx="5">
                  <c:v>Others - 6.6%</c:v>
                </c:pt>
              </c:strCache>
            </c:strRef>
          </c:cat>
          <c:val>
            <c:numRef>
              <c:f>'NS nephrops under 300kW'!$H$74:$H$79</c:f>
              <c:numCache>
                <c:formatCode>0.0%</c:formatCode>
                <c:ptCount val="6"/>
                <c:pt idx="0">
                  <c:v>0.85137013323643163</c:v>
                </c:pt>
                <c:pt idx="1">
                  <c:v>2.2762980473473898E-2</c:v>
                </c:pt>
                <c:pt idx="2">
                  <c:v>2.2739019360119905E-2</c:v>
                </c:pt>
                <c:pt idx="3">
                  <c:v>2.0327054257499109E-2</c:v>
                </c:pt>
                <c:pt idx="4">
                  <c:v>1.6470889789911028E-2</c:v>
                </c:pt>
                <c:pt idx="5">
                  <c:v>6.6329922882564341E-2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nephrops under 300kW'!$C$88</c:f>
              <c:strCache>
                <c:ptCount val="1"/>
                <c:pt idx="0">
                  <c:v>Nephrops</c:v>
                </c:pt>
              </c:strCache>
            </c:strRef>
          </c:tx>
          <c:spPr>
            <a:solidFill>
              <a:srgbClr val="224B7D"/>
            </a:solidFill>
            <a:ln>
              <a:solidFill>
                <a:srgbClr val="FFFFFF"/>
              </a:solidFill>
            </a:ln>
          </c:spPr>
          <c:invertIfNegative val="0"/>
          <c:cat>
            <c:numRef>
              <c:f>'NS nephrops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300kW'!$D$88:$M$88</c:f>
              <c:numCache>
                <c:formatCode>0%</c:formatCode>
                <c:ptCount val="10"/>
                <c:pt idx="0">
                  <c:v>0.78223592167154243</c:v>
                </c:pt>
                <c:pt idx="1">
                  <c:v>0.83564020619447876</c:v>
                </c:pt>
                <c:pt idx="2">
                  <c:v>0.82473161983390331</c:v>
                </c:pt>
                <c:pt idx="3">
                  <c:v>0.83632771298002684</c:v>
                </c:pt>
                <c:pt idx="4">
                  <c:v>0.80723468602096327</c:v>
                </c:pt>
                <c:pt idx="5">
                  <c:v>0.79526872297242213</c:v>
                </c:pt>
                <c:pt idx="6">
                  <c:v>0.84149077591140098</c:v>
                </c:pt>
                <c:pt idx="7">
                  <c:v>0.87345831897258441</c:v>
                </c:pt>
                <c:pt idx="8">
                  <c:v>0.86589114614361717</c:v>
                </c:pt>
                <c:pt idx="9">
                  <c:v>0.82006853989800987</c:v>
                </c:pt>
              </c:numCache>
            </c:numRef>
          </c:val>
        </c:ser>
        <c:ser>
          <c:idx val="1"/>
          <c:order val="1"/>
          <c:tx>
            <c:strRef>
              <c:f>'NS nephrops under 300kW'!$C$89</c:f>
              <c:strCache>
                <c:ptCount val="1"/>
                <c:pt idx="0">
                  <c:v>Whiting</c:v>
                </c:pt>
              </c:strCache>
            </c:strRef>
          </c:tx>
          <c:spPr>
            <a:solidFill>
              <a:srgbClr val="7F2321"/>
            </a:solidFill>
            <a:ln>
              <a:solidFill>
                <a:srgbClr val="FFFFFF"/>
              </a:solidFill>
            </a:ln>
          </c:spPr>
          <c:invertIfNegative val="0"/>
          <c:cat>
            <c:numRef>
              <c:f>'NS nephrops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300kW'!$D$89:$M$89</c:f>
              <c:numCache>
                <c:formatCode>0%</c:formatCode>
                <c:ptCount val="10"/>
                <c:pt idx="0">
                  <c:v>2.7499795395161827E-2</c:v>
                </c:pt>
                <c:pt idx="1">
                  <c:v>3.1649953808655679E-2</c:v>
                </c:pt>
                <c:pt idx="2">
                  <c:v>3.2464191499594564E-2</c:v>
                </c:pt>
                <c:pt idx="3">
                  <c:v>2.0794705475556494E-2</c:v>
                </c:pt>
                <c:pt idx="4">
                  <c:v>2.0881913594376949E-2</c:v>
                </c:pt>
                <c:pt idx="5">
                  <c:v>1.8868192784747915E-2</c:v>
                </c:pt>
                <c:pt idx="6">
                  <c:v>2.0857359872043072E-2</c:v>
                </c:pt>
                <c:pt idx="7">
                  <c:v>2.0548741066455808E-2</c:v>
                </c:pt>
                <c:pt idx="8">
                  <c:v>2.3151227042571637E-2</c:v>
                </c:pt>
                <c:pt idx="9">
                  <c:v>2.0419494712557565E-2</c:v>
                </c:pt>
              </c:numCache>
            </c:numRef>
          </c:val>
        </c:ser>
        <c:ser>
          <c:idx val="2"/>
          <c:order val="2"/>
          <c:tx>
            <c:strRef>
              <c:f>'NS nephrops under 300kW'!$C$90</c:f>
              <c:strCache>
                <c:ptCount val="1"/>
                <c:pt idx="0">
                  <c:v>Haddock</c:v>
                </c:pt>
              </c:strCache>
            </c:strRef>
          </c:tx>
          <c:spPr>
            <a:solidFill>
              <a:srgbClr val="607A2A"/>
            </a:solidFill>
            <a:ln>
              <a:solidFill>
                <a:srgbClr val="FFFFFF"/>
              </a:solidFill>
            </a:ln>
          </c:spPr>
          <c:invertIfNegative val="0"/>
          <c:cat>
            <c:numRef>
              <c:f>'NS nephrops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300kW'!$D$90:$M$90</c:f>
              <c:numCache>
                <c:formatCode>0%</c:formatCode>
                <c:ptCount val="10"/>
                <c:pt idx="0">
                  <c:v>4.0663195008113467E-2</c:v>
                </c:pt>
                <c:pt idx="1">
                  <c:v>3.082481468171868E-2</c:v>
                </c:pt>
                <c:pt idx="2">
                  <c:v>2.6263452665911246E-2</c:v>
                </c:pt>
                <c:pt idx="3">
                  <c:v>2.8448041225292944E-2</c:v>
                </c:pt>
                <c:pt idx="4">
                  <c:v>4.6605760891771139E-2</c:v>
                </c:pt>
                <c:pt idx="5">
                  <c:v>3.9446101612414207E-2</c:v>
                </c:pt>
                <c:pt idx="6">
                  <c:v>3.0181199609964505E-2</c:v>
                </c:pt>
                <c:pt idx="7">
                  <c:v>2.4991035062235878E-2</c:v>
                </c:pt>
                <c:pt idx="8">
                  <c:v>2.3126857247232332E-2</c:v>
                </c:pt>
                <c:pt idx="9">
                  <c:v>4.5016857850426049E-2</c:v>
                </c:pt>
              </c:numCache>
            </c:numRef>
          </c:val>
        </c:ser>
        <c:ser>
          <c:idx val="3"/>
          <c:order val="3"/>
          <c:tx>
            <c:strRef>
              <c:f>'NS nephrops under 300kW'!$C$91</c:f>
              <c:strCache>
                <c:ptCount val="1"/>
                <c:pt idx="0">
                  <c:v>Anglerfish</c:v>
                </c:pt>
              </c:strCache>
            </c:strRef>
          </c:tx>
          <c:spPr>
            <a:solidFill>
              <a:srgbClr val="4B3467"/>
            </a:solidFill>
            <a:ln>
              <a:solidFill>
                <a:srgbClr val="FFFFFF"/>
              </a:solidFill>
            </a:ln>
          </c:spPr>
          <c:invertIfNegative val="0"/>
          <c:cat>
            <c:numRef>
              <c:f>'NS nephrops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300kW'!$D$91:$M$91</c:f>
              <c:numCache>
                <c:formatCode>0%</c:formatCode>
                <c:ptCount val="10"/>
                <c:pt idx="0">
                  <c:v>3.381509843934502E-2</c:v>
                </c:pt>
                <c:pt idx="1">
                  <c:v>3.406821438262285E-2</c:v>
                </c:pt>
                <c:pt idx="2">
                  <c:v>2.4283158170103254E-2</c:v>
                </c:pt>
                <c:pt idx="3">
                  <c:v>3.9481107338168731E-2</c:v>
                </c:pt>
                <c:pt idx="4">
                  <c:v>3.9664944733782632E-2</c:v>
                </c:pt>
                <c:pt idx="5">
                  <c:v>4.9041921375158545E-2</c:v>
                </c:pt>
                <c:pt idx="6">
                  <c:v>2.9887011565794895E-2</c:v>
                </c:pt>
                <c:pt idx="7">
                  <c:v>1.9401602201514663E-2</c:v>
                </c:pt>
                <c:pt idx="8">
                  <c:v>2.0673753543409151E-2</c:v>
                </c:pt>
                <c:pt idx="9">
                  <c:v>2.2906749659487774E-2</c:v>
                </c:pt>
              </c:numCache>
            </c:numRef>
          </c:val>
        </c:ser>
        <c:ser>
          <c:idx val="4"/>
          <c:order val="4"/>
          <c:tx>
            <c:strRef>
              <c:f>'NS nephrops under 300kW'!$C$92</c:f>
              <c:strCache>
                <c:ptCount val="1"/>
                <c:pt idx="0">
                  <c:v>Squid</c:v>
                </c:pt>
              </c:strCache>
            </c:strRef>
          </c:tx>
          <c:spPr>
            <a:solidFill>
              <a:srgbClr val="9B2D2A"/>
            </a:solidFill>
            <a:ln>
              <a:solidFill>
                <a:srgbClr val="FFFFFF"/>
              </a:solidFill>
            </a:ln>
          </c:spPr>
          <c:invertIfNegative val="0"/>
          <c:cat>
            <c:numRef>
              <c:f>'NS nephrops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300kW'!$D$92:$M$92</c:f>
              <c:numCache>
                <c:formatCode>0%</c:formatCode>
                <c:ptCount val="10"/>
                <c:pt idx="0">
                  <c:v>4.0661906755428683E-2</c:v>
                </c:pt>
                <c:pt idx="1">
                  <c:v>1.6467575250802328E-2</c:v>
                </c:pt>
                <c:pt idx="2">
                  <c:v>3.7843082757907993E-2</c:v>
                </c:pt>
                <c:pt idx="3">
                  <c:v>1.8265830701450186E-2</c:v>
                </c:pt>
                <c:pt idx="4">
                  <c:v>2.8985535048885569E-2</c:v>
                </c:pt>
                <c:pt idx="5">
                  <c:v>4.3331658675138704E-2</c:v>
                </c:pt>
                <c:pt idx="6">
                  <c:v>2.0573395453104184E-2</c:v>
                </c:pt>
                <c:pt idx="7">
                  <c:v>1.439647725036227E-2</c:v>
                </c:pt>
                <c:pt idx="8">
                  <c:v>1.6751818135756241E-2</c:v>
                </c:pt>
                <c:pt idx="9">
                  <c:v>2.4500276805542991E-2</c:v>
                </c:pt>
              </c:numCache>
            </c:numRef>
          </c:val>
        </c:ser>
        <c:ser>
          <c:idx val="5"/>
          <c:order val="5"/>
          <c:tx>
            <c:strRef>
              <c:f>'NS nephrops under 300kW'!$C$93</c:f>
              <c:strCache>
                <c:ptCount val="1"/>
                <c:pt idx="0">
                  <c:v>Others</c:v>
                </c:pt>
              </c:strCache>
            </c:strRef>
          </c:tx>
          <c:spPr>
            <a:solidFill>
              <a:srgbClr val="008000"/>
            </a:solidFill>
            <a:ln>
              <a:solidFill>
                <a:srgbClr val="FFFFFF"/>
              </a:solidFill>
            </a:ln>
          </c:spPr>
          <c:invertIfNegative val="0"/>
          <c:cat>
            <c:numRef>
              <c:f>'NS nephrops under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nephrops under 300kW'!$D$93:$M$93</c:f>
              <c:numCache>
                <c:formatCode>0%</c:formatCode>
                <c:ptCount val="10"/>
                <c:pt idx="0">
                  <c:v>7.5124082730408617E-2</c:v>
                </c:pt>
                <c:pt idx="1">
                  <c:v>5.1349235681721714E-2</c:v>
                </c:pt>
                <c:pt idx="2">
                  <c:v>5.4414495072579637E-2</c:v>
                </c:pt>
                <c:pt idx="3">
                  <c:v>5.6682602279504835E-2</c:v>
                </c:pt>
                <c:pt idx="4">
                  <c:v>5.6627159710220476E-2</c:v>
                </c:pt>
                <c:pt idx="5">
                  <c:v>5.4043402580118499E-2</c:v>
                </c:pt>
                <c:pt idx="6">
                  <c:v>5.7010257587692383E-2</c:v>
                </c:pt>
                <c:pt idx="7">
                  <c:v>4.7203825446847009E-2</c:v>
                </c:pt>
                <c:pt idx="8">
                  <c:v>5.0405197887413412E-2</c:v>
                </c:pt>
                <c:pt idx="9">
                  <c:v>6.7088081073975778E-2</c:v>
                </c:pt>
              </c:numCache>
            </c:numRef>
          </c:val>
        </c:ser>
        <c:dLbls>
          <c:showLegendKey val="0"/>
          <c:showVal val="0"/>
          <c:showCatName val="0"/>
          <c:showSerName val="0"/>
          <c:showPercent val="0"/>
          <c:showBubbleSize val="0"/>
        </c:dLbls>
        <c:gapWidth val="150"/>
        <c:overlap val="100"/>
        <c:axId val="117285632"/>
        <c:axId val="117287168"/>
      </c:barChart>
      <c:catAx>
        <c:axId val="117285632"/>
        <c:scaling>
          <c:orientation val="minMax"/>
        </c:scaling>
        <c:delete val="0"/>
        <c:axPos val="b"/>
        <c:numFmt formatCode="General" sourceLinked="1"/>
        <c:majorTickMark val="out"/>
        <c:minorTickMark val="none"/>
        <c:tickLblPos val="nextTo"/>
        <c:crossAx val="117287168"/>
        <c:crosses val="autoZero"/>
        <c:auto val="1"/>
        <c:lblAlgn val="ctr"/>
        <c:lblOffset val="100"/>
        <c:noMultiLvlLbl val="0"/>
      </c:catAx>
      <c:valAx>
        <c:axId val="117287168"/>
        <c:scaling>
          <c:orientation val="minMax"/>
          <c:max val="1"/>
          <c:min val="0"/>
        </c:scaling>
        <c:delete val="0"/>
        <c:axPos val="l"/>
        <c:majorGridlines/>
        <c:numFmt formatCode="0%" sourceLinked="1"/>
        <c:majorTickMark val="out"/>
        <c:minorTickMark val="none"/>
        <c:tickLblPos val="nextTo"/>
        <c:crossAx val="11728563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24m'!$A$45</c:f>
          <c:strCache>
            <c:ptCount val="1"/>
            <c:pt idx="0">
              <c:v>Landings per kW day at sea (kg)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'NSWOS demersal over 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24m'!$D$20:$M$20</c:f>
              <c:numCache>
                <c:formatCode>#,##0.00</c:formatCode>
                <c:ptCount val="10"/>
                <c:pt idx="0">
                  <c:v>3.3830538580086231</c:v>
                </c:pt>
                <c:pt idx="1">
                  <c:v>3.8536806019509089</c:v>
                </c:pt>
                <c:pt idx="2">
                  <c:v>3.8234290914816493</c:v>
                </c:pt>
                <c:pt idx="3">
                  <c:v>3.9942978869203349</c:v>
                </c:pt>
                <c:pt idx="4">
                  <c:v>4.160966188308616</c:v>
                </c:pt>
                <c:pt idx="5">
                  <c:v>4.1973301658945008</c:v>
                </c:pt>
                <c:pt idx="6">
                  <c:v>4.2866073669932243</c:v>
                </c:pt>
                <c:pt idx="7">
                  <c:v>4.8700206999420441</c:v>
                </c:pt>
                <c:pt idx="8">
                  <c:v>6.0587082166155781</c:v>
                </c:pt>
                <c:pt idx="9">
                  <c:v>6.0833103475946011</c:v>
                </c:pt>
              </c:numCache>
            </c:numRef>
          </c:val>
          <c:smooth val="0"/>
        </c:ser>
        <c:dLbls>
          <c:showLegendKey val="0"/>
          <c:showVal val="0"/>
          <c:showCatName val="0"/>
          <c:showSerName val="0"/>
          <c:showPercent val="0"/>
          <c:showBubbleSize val="0"/>
        </c:dLbls>
        <c:marker val="1"/>
        <c:smooth val="0"/>
        <c:axId val="46330240"/>
        <c:axId val="46331776"/>
      </c:lineChart>
      <c:catAx>
        <c:axId val="46330240"/>
        <c:scaling>
          <c:orientation val="minMax"/>
        </c:scaling>
        <c:delete val="0"/>
        <c:axPos val="b"/>
        <c:numFmt formatCode="General" sourceLinked="1"/>
        <c:majorTickMark val="out"/>
        <c:minorTickMark val="none"/>
        <c:tickLblPos val="nextTo"/>
        <c:crossAx val="46331776"/>
        <c:crosses val="autoZero"/>
        <c:auto val="1"/>
        <c:lblAlgn val="ctr"/>
        <c:lblOffset val="100"/>
        <c:noMultiLvlLbl val="0"/>
      </c:catAx>
      <c:valAx>
        <c:axId val="46331776"/>
        <c:scaling>
          <c:orientation val="minMax"/>
        </c:scaling>
        <c:delete val="0"/>
        <c:axPos val="l"/>
        <c:majorGridlines>
          <c:spPr>
            <a:ln w="3175">
              <a:prstDash val="sysDot"/>
            </a:ln>
          </c:spPr>
        </c:majorGridlines>
        <c:numFmt formatCode="#,##0.00" sourceLinked="1"/>
        <c:majorTickMark val="out"/>
        <c:minorTickMark val="none"/>
        <c:tickLblPos val="nextTo"/>
        <c:crossAx val="46330240"/>
        <c:crosses val="autoZero"/>
        <c:crossBetween val="between"/>
      </c:valAx>
    </c:plotArea>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24m'!$F$45</c:f>
          <c:strCache>
            <c:ptCount val="1"/>
            <c:pt idx="0">
              <c:v>Income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'NSWOS demersal over 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24m'!$D$21:$M$21</c:f>
              <c:numCache>
                <c:formatCode>#,##0.00</c:formatCode>
                <c:ptCount val="10"/>
                <c:pt idx="0">
                  <c:v>4.2407646063129754</c:v>
                </c:pt>
                <c:pt idx="1">
                  <c:v>5.1004731931821246</c:v>
                </c:pt>
                <c:pt idx="2">
                  <c:v>5.5267574983605687</c:v>
                </c:pt>
                <c:pt idx="3">
                  <c:v>5.8996067561797396</c:v>
                </c:pt>
                <c:pt idx="4">
                  <c:v>6.0526483547113568</c:v>
                </c:pt>
                <c:pt idx="5">
                  <c:v>6.6341916949293402</c:v>
                </c:pt>
                <c:pt idx="6">
                  <c:v>7.3190354677268861</c:v>
                </c:pt>
                <c:pt idx="7">
                  <c:v>7.4299436593650254</c:v>
                </c:pt>
                <c:pt idx="8">
                  <c:v>8.8553479852254906</c:v>
                </c:pt>
                <c:pt idx="9">
                  <c:v>9.5141050352397141</c:v>
                </c:pt>
              </c:numCache>
            </c:numRef>
          </c:val>
          <c:smooth val="0"/>
        </c:ser>
        <c:dLbls>
          <c:showLegendKey val="0"/>
          <c:showVal val="0"/>
          <c:showCatName val="0"/>
          <c:showSerName val="0"/>
          <c:showPercent val="0"/>
          <c:showBubbleSize val="0"/>
        </c:dLbls>
        <c:marker val="1"/>
        <c:smooth val="0"/>
        <c:axId val="117520256"/>
        <c:axId val="117521792"/>
      </c:lineChart>
      <c:catAx>
        <c:axId val="117520256"/>
        <c:scaling>
          <c:orientation val="minMax"/>
        </c:scaling>
        <c:delete val="0"/>
        <c:axPos val="b"/>
        <c:numFmt formatCode="General" sourceLinked="1"/>
        <c:majorTickMark val="out"/>
        <c:minorTickMark val="none"/>
        <c:tickLblPos val="nextTo"/>
        <c:crossAx val="117521792"/>
        <c:crosses val="autoZero"/>
        <c:auto val="1"/>
        <c:lblAlgn val="ctr"/>
        <c:lblOffset val="100"/>
        <c:noMultiLvlLbl val="0"/>
      </c:catAx>
      <c:valAx>
        <c:axId val="117521792"/>
        <c:scaling>
          <c:orientation val="minMax"/>
        </c:scaling>
        <c:delete val="0"/>
        <c:axPos val="l"/>
        <c:majorGridlines>
          <c:spPr>
            <a:ln w="3175">
              <a:prstDash val="sysDot"/>
            </a:ln>
          </c:spPr>
        </c:majorGridlines>
        <c:numFmt formatCode="#,##0.00" sourceLinked="1"/>
        <c:majorTickMark val="out"/>
        <c:minorTickMark val="none"/>
        <c:tickLblPos val="nextTo"/>
        <c:crossAx val="117520256"/>
        <c:crosses val="autoZero"/>
        <c:crossBetween val="between"/>
      </c:valAx>
    </c:plotArea>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24m'!$K$45</c:f>
          <c:strCache>
            <c:ptCount val="1"/>
            <c:pt idx="0">
              <c:v>Operating profit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'NSWOS demersal over 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24m'!$D$23:$M$23</c:f>
              <c:numCache>
                <c:formatCode>#,##0.00</c:formatCode>
                <c:ptCount val="10"/>
                <c:pt idx="0">
                  <c:v>0.63868719058621481</c:v>
                </c:pt>
                <c:pt idx="1">
                  <c:v>0.76289358850850908</c:v>
                </c:pt>
                <c:pt idx="2">
                  <c:v>0.80518365363981281</c:v>
                </c:pt>
                <c:pt idx="3">
                  <c:v>0.52492146923319527</c:v>
                </c:pt>
                <c:pt idx="4">
                  <c:v>0.51659672954509461</c:v>
                </c:pt>
                <c:pt idx="5">
                  <c:v>0.72997480314619523</c:v>
                </c:pt>
                <c:pt idx="6">
                  <c:v>0.5365142243298503</c:v>
                </c:pt>
                <c:pt idx="7">
                  <c:v>0.47694651318325065</c:v>
                </c:pt>
                <c:pt idx="8">
                  <c:v>0.70371280297914829</c:v>
                </c:pt>
                <c:pt idx="9">
                  <c:v>0.98323988384085337</c:v>
                </c:pt>
              </c:numCache>
            </c:numRef>
          </c:val>
          <c:smooth val="0"/>
        </c:ser>
        <c:dLbls>
          <c:showLegendKey val="0"/>
          <c:showVal val="0"/>
          <c:showCatName val="0"/>
          <c:showSerName val="0"/>
          <c:showPercent val="0"/>
          <c:showBubbleSize val="0"/>
        </c:dLbls>
        <c:marker val="1"/>
        <c:smooth val="0"/>
        <c:axId val="117554560"/>
        <c:axId val="117560448"/>
      </c:lineChart>
      <c:catAx>
        <c:axId val="117554560"/>
        <c:scaling>
          <c:orientation val="minMax"/>
        </c:scaling>
        <c:delete val="0"/>
        <c:axPos val="b"/>
        <c:numFmt formatCode="General" sourceLinked="1"/>
        <c:majorTickMark val="out"/>
        <c:minorTickMark val="none"/>
        <c:tickLblPos val="nextTo"/>
        <c:crossAx val="117560448"/>
        <c:crosses val="autoZero"/>
        <c:auto val="1"/>
        <c:lblAlgn val="ctr"/>
        <c:lblOffset val="100"/>
        <c:noMultiLvlLbl val="0"/>
      </c:catAx>
      <c:valAx>
        <c:axId val="117560448"/>
        <c:scaling>
          <c:orientation val="minMax"/>
        </c:scaling>
        <c:delete val="0"/>
        <c:axPos val="l"/>
        <c:majorGridlines>
          <c:spPr>
            <a:ln w="3175">
              <a:prstDash val="sysDot"/>
            </a:ln>
          </c:spPr>
        </c:majorGridlines>
        <c:numFmt formatCode="#,##0.00" sourceLinked="1"/>
        <c:majorTickMark val="out"/>
        <c:minorTickMark val="none"/>
        <c:tickLblPos val="nextTo"/>
        <c:crossAx val="11755456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o250kW'!$B$59</c:f>
          <c:strCache>
            <c:ptCount val="1"/>
            <c:pt idx="0">
              <c:v>Total cost per kW day at sea (£)
Area VIIA nephrops over 250kW</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'Area VIIa nephrops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o250kW'!$D$22:$M$22</c:f>
              <c:numCache>
                <c:formatCode>#,##0.00</c:formatCode>
                <c:ptCount val="10"/>
                <c:pt idx="0">
                  <c:v>2.4976528405017402</c:v>
                </c:pt>
                <c:pt idx="1">
                  <c:v>3.8963309045528902</c:v>
                </c:pt>
                <c:pt idx="2">
                  <c:v>3.3514081888310501</c:v>
                </c:pt>
                <c:pt idx="3">
                  <c:v>3.4080680909989001</c:v>
                </c:pt>
                <c:pt idx="4">
                  <c:v>2.8750859323385298</c:v>
                </c:pt>
                <c:pt idx="5">
                  <c:v>3.2189553615324802</c:v>
                </c:pt>
                <c:pt idx="6">
                  <c:v>4.4314264917443298</c:v>
                </c:pt>
                <c:pt idx="7">
                  <c:v>4.1484078613763504</c:v>
                </c:pt>
                <c:pt idx="8">
                  <c:v>3.3885971961234</c:v>
                </c:pt>
                <c:pt idx="9">
                  <c:v>3.5012201988278902</c:v>
                </c:pt>
              </c:numCache>
            </c:numRef>
          </c:val>
          <c:smooth val="0"/>
        </c:ser>
        <c:dLbls>
          <c:showLegendKey val="0"/>
          <c:showVal val="0"/>
          <c:showCatName val="0"/>
          <c:showSerName val="0"/>
          <c:showPercent val="0"/>
          <c:showBubbleSize val="0"/>
        </c:dLbls>
        <c:marker val="1"/>
        <c:smooth val="0"/>
        <c:axId val="105342080"/>
        <c:axId val="105343616"/>
      </c:lineChart>
      <c:catAx>
        <c:axId val="105342080"/>
        <c:scaling>
          <c:orientation val="minMax"/>
        </c:scaling>
        <c:delete val="0"/>
        <c:axPos val="b"/>
        <c:numFmt formatCode="General" sourceLinked="1"/>
        <c:majorTickMark val="out"/>
        <c:minorTickMark val="none"/>
        <c:tickLblPos val="nextTo"/>
        <c:crossAx val="105343616"/>
        <c:crosses val="autoZero"/>
        <c:auto val="1"/>
        <c:lblAlgn val="ctr"/>
        <c:lblOffset val="100"/>
        <c:noMultiLvlLbl val="0"/>
      </c:catAx>
      <c:valAx>
        <c:axId val="105343616"/>
        <c:scaling>
          <c:orientation val="minMax"/>
        </c:scaling>
        <c:delete val="0"/>
        <c:axPos val="l"/>
        <c:majorGridlines>
          <c:spPr>
            <a:ln w="3175">
              <a:prstDash val="sysDot"/>
            </a:ln>
          </c:spPr>
        </c:majorGridlines>
        <c:numFmt formatCode="#,##0.00" sourceLinked="1"/>
        <c:majorTickMark val="out"/>
        <c:minorTickMark val="none"/>
        <c:tickLblPos val="nextTo"/>
        <c:crossAx val="105342080"/>
        <c:crosses val="autoZero"/>
        <c:crossBetween val="between"/>
      </c:valAx>
    </c:plotArea>
    <c:plotVisOnly val="1"/>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24m'!$B$59</c:f>
          <c:strCache>
            <c:ptCount val="1"/>
            <c:pt idx="0">
              <c:v>Total cost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'NSWOS demersal over 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24m'!$D$22:$M$22</c:f>
              <c:numCache>
                <c:formatCode>#,##0.00</c:formatCode>
                <c:ptCount val="10"/>
                <c:pt idx="0">
                  <c:v>3.6020774157267619</c:v>
                </c:pt>
                <c:pt idx="1">
                  <c:v>4.3375796046736097</c:v>
                </c:pt>
                <c:pt idx="2">
                  <c:v>4.721573844720754</c:v>
                </c:pt>
                <c:pt idx="3">
                  <c:v>5.3746852869465442</c:v>
                </c:pt>
                <c:pt idx="4">
                  <c:v>5.5360516251662562</c:v>
                </c:pt>
                <c:pt idx="5">
                  <c:v>5.9042168917831477</c:v>
                </c:pt>
                <c:pt idx="6">
                  <c:v>6.7825212433970377</c:v>
                </c:pt>
                <c:pt idx="7">
                  <c:v>6.9529971461817768</c:v>
                </c:pt>
                <c:pt idx="8">
                  <c:v>8.151635182246336</c:v>
                </c:pt>
                <c:pt idx="9">
                  <c:v>8.5308651513988512</c:v>
                </c:pt>
              </c:numCache>
            </c:numRef>
          </c:val>
          <c:smooth val="0"/>
        </c:ser>
        <c:dLbls>
          <c:showLegendKey val="0"/>
          <c:showVal val="0"/>
          <c:showCatName val="0"/>
          <c:showSerName val="0"/>
          <c:showPercent val="0"/>
          <c:showBubbleSize val="0"/>
        </c:dLbls>
        <c:marker val="1"/>
        <c:smooth val="0"/>
        <c:axId val="117650560"/>
        <c:axId val="117652096"/>
      </c:lineChart>
      <c:catAx>
        <c:axId val="117650560"/>
        <c:scaling>
          <c:orientation val="minMax"/>
        </c:scaling>
        <c:delete val="0"/>
        <c:axPos val="b"/>
        <c:numFmt formatCode="General" sourceLinked="1"/>
        <c:majorTickMark val="out"/>
        <c:minorTickMark val="none"/>
        <c:tickLblPos val="nextTo"/>
        <c:crossAx val="117652096"/>
        <c:crosses val="autoZero"/>
        <c:auto val="1"/>
        <c:lblAlgn val="ctr"/>
        <c:lblOffset val="100"/>
        <c:noMultiLvlLbl val="0"/>
      </c:catAx>
      <c:valAx>
        <c:axId val="117652096"/>
        <c:scaling>
          <c:orientation val="minMax"/>
        </c:scaling>
        <c:delete val="0"/>
        <c:axPos val="l"/>
        <c:majorGridlines>
          <c:spPr>
            <a:ln w="3175">
              <a:prstDash val="sysDot"/>
            </a:ln>
          </c:spPr>
        </c:majorGridlines>
        <c:numFmt formatCode="#,##0.00" sourceLinked="1"/>
        <c:majorTickMark val="out"/>
        <c:minorTickMark val="none"/>
        <c:tickLblPos val="nextTo"/>
        <c:crossAx val="117650560"/>
        <c:crosses val="autoZero"/>
        <c:crossBetween val="between"/>
      </c:valAx>
    </c:plotArea>
    <c:plotVisOnly val="1"/>
    <c:dispBlanksAs val="gap"/>
    <c:showDLblsOverMax val="0"/>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24m'!$F$59</c:f>
          <c:strCache>
            <c:ptCount val="1"/>
            <c:pt idx="0">
              <c:v>Average price per tonne landed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'NSWOS demersal over 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24m'!$D$19:$M$19</c:f>
              <c:numCache>
                <c:formatCode>#,##0</c:formatCode>
                <c:ptCount val="10"/>
                <c:pt idx="0">
                  <c:v>1253.531433598079</c:v>
                </c:pt>
                <c:pt idx="1">
                  <c:v>1323.5328891082834</c:v>
                </c:pt>
                <c:pt idx="2">
                  <c:v>1445.4974829478717</c:v>
                </c:pt>
                <c:pt idx="3">
                  <c:v>1477.007157904733</c:v>
                </c:pt>
                <c:pt idx="4">
                  <c:v>1454.6255830827845</c:v>
                </c:pt>
                <c:pt idx="5">
                  <c:v>1580.5741702384398</c:v>
                </c:pt>
                <c:pt idx="6">
                  <c:v>1707.419140617274</c:v>
                </c:pt>
                <c:pt idx="7">
                  <c:v>1525.6491395485536</c:v>
                </c:pt>
                <c:pt idx="8">
                  <c:v>1461.5900035565471</c:v>
                </c:pt>
                <c:pt idx="9">
                  <c:v>1563.9683504633435</c:v>
                </c:pt>
              </c:numCache>
            </c:numRef>
          </c:val>
          <c:smooth val="0"/>
        </c:ser>
        <c:dLbls>
          <c:showLegendKey val="0"/>
          <c:showVal val="0"/>
          <c:showCatName val="0"/>
          <c:showSerName val="0"/>
          <c:showPercent val="0"/>
          <c:showBubbleSize val="0"/>
        </c:dLbls>
        <c:marker val="1"/>
        <c:smooth val="0"/>
        <c:axId val="117668480"/>
        <c:axId val="117678464"/>
      </c:lineChart>
      <c:catAx>
        <c:axId val="117668480"/>
        <c:scaling>
          <c:orientation val="minMax"/>
        </c:scaling>
        <c:delete val="0"/>
        <c:axPos val="b"/>
        <c:numFmt formatCode="General" sourceLinked="1"/>
        <c:majorTickMark val="out"/>
        <c:minorTickMark val="none"/>
        <c:tickLblPos val="nextTo"/>
        <c:crossAx val="117678464"/>
        <c:crosses val="autoZero"/>
        <c:auto val="1"/>
        <c:lblAlgn val="ctr"/>
        <c:lblOffset val="100"/>
        <c:noMultiLvlLbl val="0"/>
      </c:catAx>
      <c:valAx>
        <c:axId val="117678464"/>
        <c:scaling>
          <c:orientation val="minMax"/>
        </c:scaling>
        <c:delete val="0"/>
        <c:axPos val="l"/>
        <c:majorGridlines>
          <c:spPr>
            <a:ln w="3175">
              <a:prstDash val="sysDot"/>
            </a:ln>
          </c:spPr>
        </c:majorGridlines>
        <c:numFmt formatCode="#,##0" sourceLinked="1"/>
        <c:majorTickMark val="out"/>
        <c:minorTickMark val="none"/>
        <c:tickLblPos val="nextTo"/>
        <c:crossAx val="117668480"/>
        <c:crosses val="autoZero"/>
        <c:crossBetween val="between"/>
      </c:valAx>
    </c:plotArea>
    <c:plotVisOnly val="1"/>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24m'!$K$59</c:f>
          <c:strCache>
            <c:ptCount val="1"/>
            <c:pt idx="0">
              <c:v>Average annual operating profit per vessel (£'000)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'NSWOS demersal over 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24m'!$D$34:$M$34</c:f>
              <c:numCache>
                <c:formatCode>#,##0.0</c:formatCode>
                <c:ptCount val="10"/>
                <c:pt idx="0">
                  <c:v>135.44108878664082</c:v>
                </c:pt>
                <c:pt idx="1">
                  <c:v>173.1638958209461</c:v>
                </c:pt>
                <c:pt idx="2">
                  <c:v>182.69142727001704</c:v>
                </c:pt>
                <c:pt idx="3">
                  <c:v>111.15274048133209</c:v>
                </c:pt>
                <c:pt idx="4">
                  <c:v>106.77075371122589</c:v>
                </c:pt>
                <c:pt idx="5">
                  <c:v>156.49159596202358</c:v>
                </c:pt>
                <c:pt idx="6">
                  <c:v>116.67964707906607</c:v>
                </c:pt>
                <c:pt idx="7">
                  <c:v>90.41198311638135</c:v>
                </c:pt>
                <c:pt idx="8">
                  <c:v>121.23225686753165</c:v>
                </c:pt>
                <c:pt idx="9">
                  <c:v>181.99999929290212</c:v>
                </c:pt>
              </c:numCache>
            </c:numRef>
          </c:val>
          <c:smooth val="0"/>
        </c:ser>
        <c:dLbls>
          <c:showLegendKey val="0"/>
          <c:showVal val="0"/>
          <c:showCatName val="0"/>
          <c:showSerName val="0"/>
          <c:showPercent val="0"/>
          <c:showBubbleSize val="0"/>
        </c:dLbls>
        <c:marker val="1"/>
        <c:smooth val="0"/>
        <c:axId val="120922496"/>
        <c:axId val="120924032"/>
      </c:lineChart>
      <c:catAx>
        <c:axId val="120922496"/>
        <c:scaling>
          <c:orientation val="minMax"/>
        </c:scaling>
        <c:delete val="0"/>
        <c:axPos val="b"/>
        <c:numFmt formatCode="General" sourceLinked="1"/>
        <c:majorTickMark val="out"/>
        <c:minorTickMark val="none"/>
        <c:tickLblPos val="nextTo"/>
        <c:crossAx val="120924032"/>
        <c:crosses val="autoZero"/>
        <c:auto val="1"/>
        <c:lblAlgn val="ctr"/>
        <c:lblOffset val="100"/>
        <c:noMultiLvlLbl val="0"/>
      </c:catAx>
      <c:valAx>
        <c:axId val="120924032"/>
        <c:scaling>
          <c:orientation val="minMax"/>
        </c:scaling>
        <c:delete val="0"/>
        <c:axPos val="l"/>
        <c:majorGridlines>
          <c:spPr>
            <a:ln w="3175">
              <a:prstDash val="sysDot"/>
            </a:ln>
          </c:spPr>
        </c:majorGridlines>
        <c:numFmt formatCode="#,##0.0" sourceLinked="1"/>
        <c:majorTickMark val="out"/>
        <c:minorTickMark val="none"/>
        <c:tickLblPos val="nextTo"/>
        <c:crossAx val="120922496"/>
        <c:crosses val="autoZero"/>
        <c:crossBetween val="between"/>
      </c:valAx>
    </c:plotArea>
    <c:plotVisOnly val="1"/>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24m'!$A$73</c:f>
          <c:strCache>
            <c:ptCount val="1"/>
            <c:pt idx="0">
              <c:v>Top 5 landed species by volume in 2013
NSWOS demersal over 24m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607A2A"/>
              </a:solidFill>
              <a:ln>
                <a:solidFill>
                  <a:srgbClr val="FFFFFF"/>
                </a:solidFill>
              </a:ln>
            </c:spPr>
          </c:dPt>
          <c:dPt>
            <c:idx val="2"/>
            <c:bubble3D val="0"/>
            <c:spPr>
              <a:solidFill>
                <a:srgbClr val="9B2D2A"/>
              </a:solidFill>
              <a:ln>
                <a:solidFill>
                  <a:srgbClr val="FFFFFF"/>
                </a:solidFill>
              </a:ln>
            </c:spPr>
          </c:dPt>
          <c:dPt>
            <c:idx val="3"/>
            <c:bubble3D val="0"/>
            <c:spPr>
              <a:solidFill>
                <a:srgbClr val="7F2321"/>
              </a:solidFill>
              <a:ln>
                <a:solidFill>
                  <a:srgbClr val="FFFFFF"/>
                </a:solidFill>
              </a:ln>
            </c:spPr>
          </c:dPt>
          <c:dPt>
            <c:idx val="4"/>
            <c:bubble3D val="0"/>
            <c:spPr>
              <a:solidFill>
                <a:srgbClr val="769535"/>
              </a:solidFill>
              <a:ln>
                <a:solidFill>
                  <a:srgbClr val="FFFFFF"/>
                </a:solidFill>
              </a:ln>
            </c:spPr>
          </c:dPt>
          <c:dPt>
            <c:idx val="5"/>
            <c:bubble3D val="0"/>
            <c:spPr>
              <a:solidFill>
                <a:srgbClr val="008000"/>
              </a:solidFill>
              <a:ln>
                <a:solidFill>
                  <a:srgbClr val="FFFFFF"/>
                </a:solidFill>
              </a:ln>
            </c:spPr>
          </c:dPt>
          <c:cat>
            <c:strRef>
              <c:f>'NSWOS demersal over 24m'!$B$74:$B$79</c:f>
              <c:strCache>
                <c:ptCount val="6"/>
                <c:pt idx="0">
                  <c:v>Haddock - 25.7%</c:v>
                </c:pt>
                <c:pt idx="1">
                  <c:v>Saithe - 21.4%</c:v>
                </c:pt>
                <c:pt idx="2">
                  <c:v>Plaice - 14.0%</c:v>
                </c:pt>
                <c:pt idx="3">
                  <c:v>Cod - 9.4%</c:v>
                </c:pt>
                <c:pt idx="4">
                  <c:v>Whiting - 6.2%</c:v>
                </c:pt>
                <c:pt idx="5">
                  <c:v>Others - 23.4%</c:v>
                </c:pt>
              </c:strCache>
            </c:strRef>
          </c:cat>
          <c:val>
            <c:numRef>
              <c:f>'NSWOS demersal over 24m'!$C$74:$C$79</c:f>
              <c:numCache>
                <c:formatCode>0.0%</c:formatCode>
                <c:ptCount val="6"/>
                <c:pt idx="0">
                  <c:v>0.25661018712448314</c:v>
                </c:pt>
                <c:pt idx="1">
                  <c:v>0.21365436724366804</c:v>
                </c:pt>
                <c:pt idx="2">
                  <c:v>0.13965319854011224</c:v>
                </c:pt>
                <c:pt idx="3">
                  <c:v>9.4044032394007659E-2</c:v>
                </c:pt>
                <c:pt idx="4">
                  <c:v>6.1864239111957438E-2</c:v>
                </c:pt>
                <c:pt idx="5">
                  <c:v>0.23417397558577147</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24m'!$F$73</c:f>
          <c:strCache>
            <c:ptCount val="1"/>
            <c:pt idx="0">
              <c:v>Top 5 landed species by value in 2013
NSWOS demersal over 24m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'NSWOS demersal over 24m'!$G$74:$G$79</c:f>
              <c:strCache>
                <c:ptCount val="6"/>
                <c:pt idx="0">
                  <c:v>Haddock - 21.6%</c:v>
                </c:pt>
                <c:pt idx="1">
                  <c:v>Cod - 13.6%</c:v>
                </c:pt>
                <c:pt idx="2">
                  <c:v>Saithe - 12.8%</c:v>
                </c:pt>
                <c:pt idx="3">
                  <c:v>Anglerfish - 11.3%</c:v>
                </c:pt>
                <c:pt idx="4">
                  <c:v>Plaice - 9.8%</c:v>
                </c:pt>
                <c:pt idx="5">
                  <c:v>Others - 30.9%</c:v>
                </c:pt>
              </c:strCache>
            </c:strRef>
          </c:cat>
          <c:val>
            <c:numRef>
              <c:f>'NSWOS demersal over 24m'!$H$74:$H$79</c:f>
              <c:numCache>
                <c:formatCode>0.0%</c:formatCode>
                <c:ptCount val="6"/>
                <c:pt idx="0">
                  <c:v>0.21610828815875588</c:v>
                </c:pt>
                <c:pt idx="1">
                  <c:v>0.1359174867263595</c:v>
                </c:pt>
                <c:pt idx="2">
                  <c:v>0.12817736006890659</c:v>
                </c:pt>
                <c:pt idx="3">
                  <c:v>0.11289376640777281</c:v>
                </c:pt>
                <c:pt idx="4">
                  <c:v>9.7805914032373598E-2</c:v>
                </c:pt>
                <c:pt idx="5">
                  <c:v>0.30909718460583158</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over 24m'!$C$88</c:f>
              <c:strCache>
                <c:ptCount val="1"/>
                <c:pt idx="0">
                  <c:v>Haddock</c:v>
                </c:pt>
              </c:strCache>
            </c:strRef>
          </c:tx>
          <c:spPr>
            <a:solidFill>
              <a:srgbClr val="224B7D"/>
            </a:solidFill>
            <a:ln>
              <a:solidFill>
                <a:srgbClr val="FFFFFF"/>
              </a:solidFill>
            </a:ln>
          </c:spPr>
          <c:invertIfNegative val="0"/>
          <c:cat>
            <c:numRef>
              <c:f>'NSWOS demersal over 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24m'!$D$88:$M$88</c:f>
              <c:numCache>
                <c:formatCode>0%</c:formatCode>
                <c:ptCount val="10"/>
                <c:pt idx="0">
                  <c:v>0.22214668241476387</c:v>
                </c:pt>
                <c:pt idx="1">
                  <c:v>0.27124597514102811</c:v>
                </c:pt>
                <c:pt idx="2">
                  <c:v>0.26343934689705534</c:v>
                </c:pt>
                <c:pt idx="3">
                  <c:v>0.21917748017593303</c:v>
                </c:pt>
                <c:pt idx="4">
                  <c:v>0.20694651275986159</c:v>
                </c:pt>
                <c:pt idx="5">
                  <c:v>0.1961126386051795</c:v>
                </c:pt>
                <c:pt idx="6">
                  <c:v>0.1815505039372575</c:v>
                </c:pt>
                <c:pt idx="7">
                  <c:v>0.20457288035356985</c:v>
                </c:pt>
                <c:pt idx="8">
                  <c:v>0.21979423313733523</c:v>
                </c:pt>
                <c:pt idx="9">
                  <c:v>0.25720604196719182</c:v>
                </c:pt>
              </c:numCache>
            </c:numRef>
          </c:val>
        </c:ser>
        <c:ser>
          <c:idx val="1"/>
          <c:order val="1"/>
          <c:tx>
            <c:strRef>
              <c:f>'NSWOS demersal over 24m'!$C$89</c:f>
              <c:strCache>
                <c:ptCount val="1"/>
                <c:pt idx="0">
                  <c:v>Cod</c:v>
                </c:pt>
              </c:strCache>
            </c:strRef>
          </c:tx>
          <c:spPr>
            <a:solidFill>
              <a:srgbClr val="7F2321"/>
            </a:solidFill>
            <a:ln>
              <a:solidFill>
                <a:srgbClr val="FFFFFF"/>
              </a:solidFill>
            </a:ln>
          </c:spPr>
          <c:invertIfNegative val="0"/>
          <c:cat>
            <c:numRef>
              <c:f>'NSWOS demersal over 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24m'!$D$89:$M$89</c:f>
              <c:numCache>
                <c:formatCode>0%</c:formatCode>
                <c:ptCount val="10"/>
                <c:pt idx="0">
                  <c:v>0.11650165527784884</c:v>
                </c:pt>
                <c:pt idx="1">
                  <c:v>0.11743602745618799</c:v>
                </c:pt>
                <c:pt idx="2">
                  <c:v>0.10562832566332477</c:v>
                </c:pt>
                <c:pt idx="3">
                  <c:v>0.11475368887088397</c:v>
                </c:pt>
                <c:pt idx="4">
                  <c:v>0.10547383575832647</c:v>
                </c:pt>
                <c:pt idx="5">
                  <c:v>0.13692968797675142</c:v>
                </c:pt>
                <c:pt idx="6">
                  <c:v>0.13683856272231096</c:v>
                </c:pt>
                <c:pt idx="7">
                  <c:v>0.12777792547964831</c:v>
                </c:pt>
                <c:pt idx="8">
                  <c:v>0.13823569664773061</c:v>
                </c:pt>
                <c:pt idx="9">
                  <c:v>0.16222212259490201</c:v>
                </c:pt>
              </c:numCache>
            </c:numRef>
          </c:val>
        </c:ser>
        <c:ser>
          <c:idx val="2"/>
          <c:order val="2"/>
          <c:tx>
            <c:strRef>
              <c:f>'NSWOS demersal over 24m'!$C$90</c:f>
              <c:strCache>
                <c:ptCount val="1"/>
                <c:pt idx="0">
                  <c:v>Saithe</c:v>
                </c:pt>
              </c:strCache>
            </c:strRef>
          </c:tx>
          <c:spPr>
            <a:solidFill>
              <a:srgbClr val="607A2A"/>
            </a:solidFill>
            <a:ln>
              <a:solidFill>
                <a:srgbClr val="FFFFFF"/>
              </a:solidFill>
            </a:ln>
          </c:spPr>
          <c:invertIfNegative val="0"/>
          <c:cat>
            <c:numRef>
              <c:f>'NSWOS demersal over 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24m'!$D$90:$M$90</c:f>
              <c:numCache>
                <c:formatCode>0%</c:formatCode>
                <c:ptCount val="10"/>
                <c:pt idx="0">
                  <c:v>7.9548997176080785E-2</c:v>
                </c:pt>
                <c:pt idx="1">
                  <c:v>9.9810434241448726E-2</c:v>
                </c:pt>
                <c:pt idx="2">
                  <c:v>7.9487934919414582E-2</c:v>
                </c:pt>
                <c:pt idx="3">
                  <c:v>0.11074028841049621</c:v>
                </c:pt>
                <c:pt idx="4">
                  <c:v>0.12891867350073527</c:v>
                </c:pt>
                <c:pt idx="5">
                  <c:v>0.14154508323325607</c:v>
                </c:pt>
                <c:pt idx="6">
                  <c:v>0.15264504626939282</c:v>
                </c:pt>
                <c:pt idx="7">
                  <c:v>0.14708615102838724</c:v>
                </c:pt>
                <c:pt idx="8">
                  <c:v>0.13036355431781238</c:v>
                </c:pt>
                <c:pt idx="9">
                  <c:v>0.12155606898330264</c:v>
                </c:pt>
              </c:numCache>
            </c:numRef>
          </c:val>
        </c:ser>
        <c:ser>
          <c:idx val="3"/>
          <c:order val="3"/>
          <c:tx>
            <c:strRef>
              <c:f>'NSWOS demersal over 24m'!$C$91</c:f>
              <c:strCache>
                <c:ptCount val="1"/>
                <c:pt idx="0">
                  <c:v>Anglerfish</c:v>
                </c:pt>
              </c:strCache>
            </c:strRef>
          </c:tx>
          <c:spPr>
            <a:solidFill>
              <a:srgbClr val="4B3467"/>
            </a:solidFill>
            <a:ln>
              <a:solidFill>
                <a:srgbClr val="FFFFFF"/>
              </a:solidFill>
            </a:ln>
          </c:spPr>
          <c:invertIfNegative val="0"/>
          <c:cat>
            <c:numRef>
              <c:f>'NSWOS demersal over 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24m'!$D$91:$M$91</c:f>
              <c:numCache>
                <c:formatCode>0%</c:formatCode>
                <c:ptCount val="10"/>
                <c:pt idx="0">
                  <c:v>0.24060964357498635</c:v>
                </c:pt>
                <c:pt idx="1">
                  <c:v>0.21616906076454032</c:v>
                </c:pt>
                <c:pt idx="2">
                  <c:v>0.20678150270891846</c:v>
                </c:pt>
                <c:pt idx="3">
                  <c:v>0.19338102692433379</c:v>
                </c:pt>
                <c:pt idx="4">
                  <c:v>0.21913474295620763</c:v>
                </c:pt>
                <c:pt idx="5">
                  <c:v>0.18702041157507732</c:v>
                </c:pt>
                <c:pt idx="6">
                  <c:v>0.16163689959028835</c:v>
                </c:pt>
                <c:pt idx="7">
                  <c:v>0.13396331619969085</c:v>
                </c:pt>
                <c:pt idx="8">
                  <c:v>0.11481928354063703</c:v>
                </c:pt>
                <c:pt idx="9">
                  <c:v>0.12826057923828765</c:v>
                </c:pt>
              </c:numCache>
            </c:numRef>
          </c:val>
        </c:ser>
        <c:ser>
          <c:idx val="4"/>
          <c:order val="4"/>
          <c:tx>
            <c:strRef>
              <c:f>'NSWOS demersal over 24m'!$C$92</c:f>
              <c:strCache>
                <c:ptCount val="1"/>
                <c:pt idx="0">
                  <c:v>Plaice</c:v>
                </c:pt>
              </c:strCache>
            </c:strRef>
          </c:tx>
          <c:spPr>
            <a:solidFill>
              <a:srgbClr val="9B2D2A"/>
            </a:solidFill>
            <a:ln>
              <a:solidFill>
                <a:srgbClr val="FFFFFF"/>
              </a:solidFill>
            </a:ln>
          </c:spPr>
          <c:invertIfNegative val="0"/>
          <c:cat>
            <c:numRef>
              <c:f>'NSWOS demersal over 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24m'!$D$92:$M$92</c:f>
              <c:numCache>
                <c:formatCode>0%</c:formatCode>
                <c:ptCount val="10"/>
                <c:pt idx="1">
                  <c:v>4.1584766201669246E-2</c:v>
                </c:pt>
                <c:pt idx="2">
                  <c:v>6.4129925878570665E-2</c:v>
                </c:pt>
                <c:pt idx="3">
                  <c:v>8.3064323721875014E-2</c:v>
                </c:pt>
                <c:pt idx="4">
                  <c:v>8.8394282883703476E-2</c:v>
                </c:pt>
                <c:pt idx="5">
                  <c:v>6.808475097915033E-2</c:v>
                </c:pt>
                <c:pt idx="6">
                  <c:v>8.67992783763228E-2</c:v>
                </c:pt>
                <c:pt idx="7">
                  <c:v>0.11429988738352495</c:v>
                </c:pt>
                <c:pt idx="8">
                  <c:v>9.9474092614391524E-2</c:v>
                </c:pt>
                <c:pt idx="9">
                  <c:v>7.4164248425553567E-2</c:v>
                </c:pt>
              </c:numCache>
            </c:numRef>
          </c:val>
        </c:ser>
        <c:ser>
          <c:idx val="5"/>
          <c:order val="5"/>
          <c:tx>
            <c:strRef>
              <c:f>'NSWOS demersal over 24m'!$C$93</c:f>
              <c:strCache>
                <c:ptCount val="1"/>
                <c:pt idx="0">
                  <c:v>Witch</c:v>
                </c:pt>
              </c:strCache>
            </c:strRef>
          </c:tx>
          <c:spPr>
            <a:solidFill>
              <a:srgbClr val="769535"/>
            </a:solidFill>
            <a:ln>
              <a:solidFill>
                <a:srgbClr val="FFFFFF"/>
              </a:solidFill>
            </a:ln>
          </c:spPr>
          <c:invertIfNegative val="0"/>
          <c:cat>
            <c:numRef>
              <c:f>'NSWOS demersal over 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24m'!$D$93:$M$93</c:f>
              <c:numCache>
                <c:formatCode>0%</c:formatCode>
                <c:ptCount val="10"/>
                <c:pt idx="0">
                  <c:v>7.2057152785543838E-2</c:v>
                </c:pt>
              </c:numCache>
            </c:numRef>
          </c:val>
        </c:ser>
        <c:ser>
          <c:idx val="6"/>
          <c:order val="6"/>
          <c:tx>
            <c:strRef>
              <c:f>'NSWOS demersal over 24m'!$C$94</c:f>
              <c:strCache>
                <c:ptCount val="1"/>
                <c:pt idx="0">
                  <c:v>Others</c:v>
                </c:pt>
              </c:strCache>
            </c:strRef>
          </c:tx>
          <c:spPr>
            <a:solidFill>
              <a:srgbClr val="008000"/>
            </a:solidFill>
            <a:ln>
              <a:solidFill>
                <a:srgbClr val="FFFFFF"/>
              </a:solidFill>
            </a:ln>
          </c:spPr>
          <c:invertIfNegative val="0"/>
          <c:cat>
            <c:numRef>
              <c:f>'NSWOS demersal over 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over 24m'!$D$94:$M$94</c:f>
              <c:numCache>
                <c:formatCode>0%</c:formatCode>
                <c:ptCount val="10"/>
                <c:pt idx="0">
                  <c:v>0.26913586877077633</c:v>
                </c:pt>
                <c:pt idx="1">
                  <c:v>0.25375373619512565</c:v>
                </c:pt>
                <c:pt idx="2">
                  <c:v>0.28053296393271621</c:v>
                </c:pt>
                <c:pt idx="3">
                  <c:v>0.27888319189647798</c:v>
                </c:pt>
                <c:pt idx="4">
                  <c:v>0.25113195214116557</c:v>
                </c:pt>
                <c:pt idx="5">
                  <c:v>0.27030742763058535</c:v>
                </c:pt>
                <c:pt idx="6">
                  <c:v>0.28052970910442759</c:v>
                </c:pt>
                <c:pt idx="7">
                  <c:v>0.27229983955517878</c:v>
                </c:pt>
                <c:pt idx="8">
                  <c:v>0.29731313974209317</c:v>
                </c:pt>
                <c:pt idx="9">
                  <c:v>0.25659093879076228</c:v>
                </c:pt>
              </c:numCache>
            </c:numRef>
          </c:val>
        </c:ser>
        <c:dLbls>
          <c:showLegendKey val="0"/>
          <c:showVal val="0"/>
          <c:showCatName val="0"/>
          <c:showSerName val="0"/>
          <c:showPercent val="0"/>
          <c:showBubbleSize val="0"/>
        </c:dLbls>
        <c:gapWidth val="150"/>
        <c:overlap val="100"/>
        <c:axId val="121507840"/>
        <c:axId val="121509376"/>
      </c:barChart>
      <c:catAx>
        <c:axId val="121507840"/>
        <c:scaling>
          <c:orientation val="minMax"/>
        </c:scaling>
        <c:delete val="0"/>
        <c:axPos val="b"/>
        <c:numFmt formatCode="General" sourceLinked="1"/>
        <c:majorTickMark val="out"/>
        <c:minorTickMark val="none"/>
        <c:tickLblPos val="nextTo"/>
        <c:crossAx val="121509376"/>
        <c:crosses val="autoZero"/>
        <c:auto val="1"/>
        <c:lblAlgn val="ctr"/>
        <c:lblOffset val="100"/>
        <c:noMultiLvlLbl val="0"/>
      </c:catAx>
      <c:valAx>
        <c:axId val="121509376"/>
        <c:scaling>
          <c:orientation val="minMax"/>
          <c:max val="1"/>
          <c:min val="0"/>
        </c:scaling>
        <c:delete val="0"/>
        <c:axPos val="l"/>
        <c:majorGridlines/>
        <c:numFmt formatCode="0%" sourceLinked="1"/>
        <c:majorTickMark val="out"/>
        <c:minorTickMark val="none"/>
        <c:tickLblPos val="nextTo"/>
        <c:crossAx val="12150784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seine'!$A$45</c:f>
          <c:strCache>
            <c:ptCount val="1"/>
            <c:pt idx="0">
              <c:v>Landings per kW day at sea (kg)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'NSWOS dem pair trawl 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seine'!$D$20:$M$20</c:f>
              <c:numCache>
                <c:formatCode>#,##0.00</c:formatCode>
                <c:ptCount val="10"/>
                <c:pt idx="0">
                  <c:v>6.4818085793861675</c:v>
                </c:pt>
                <c:pt idx="1">
                  <c:v>5.8777796521331069</c:v>
                </c:pt>
                <c:pt idx="2">
                  <c:v>5.7518271075716285</c:v>
                </c:pt>
                <c:pt idx="3">
                  <c:v>5.7698486614493483</c:v>
                </c:pt>
                <c:pt idx="4">
                  <c:v>6.1245193773822244</c:v>
                </c:pt>
                <c:pt idx="5">
                  <c:v>6.497266570940921</c:v>
                </c:pt>
                <c:pt idx="6">
                  <c:v>6.5679665906607827</c:v>
                </c:pt>
                <c:pt idx="7">
                  <c:v>8.2249856260375065</c:v>
                </c:pt>
                <c:pt idx="8">
                  <c:v>9.659050746301423</c:v>
                </c:pt>
                <c:pt idx="9">
                  <c:v>9.4092012104799458</c:v>
                </c:pt>
              </c:numCache>
            </c:numRef>
          </c:val>
          <c:smooth val="0"/>
        </c:ser>
        <c:dLbls>
          <c:showLegendKey val="0"/>
          <c:showVal val="0"/>
          <c:showCatName val="0"/>
          <c:showSerName val="0"/>
          <c:showPercent val="0"/>
          <c:showBubbleSize val="0"/>
        </c:dLbls>
        <c:marker val="1"/>
        <c:smooth val="0"/>
        <c:axId val="121339264"/>
        <c:axId val="121349248"/>
      </c:lineChart>
      <c:catAx>
        <c:axId val="121339264"/>
        <c:scaling>
          <c:orientation val="minMax"/>
        </c:scaling>
        <c:delete val="0"/>
        <c:axPos val="b"/>
        <c:numFmt formatCode="General" sourceLinked="1"/>
        <c:majorTickMark val="out"/>
        <c:minorTickMark val="none"/>
        <c:tickLblPos val="nextTo"/>
        <c:crossAx val="121349248"/>
        <c:crosses val="autoZero"/>
        <c:auto val="1"/>
        <c:lblAlgn val="ctr"/>
        <c:lblOffset val="100"/>
        <c:noMultiLvlLbl val="0"/>
      </c:catAx>
      <c:valAx>
        <c:axId val="121349248"/>
        <c:scaling>
          <c:orientation val="minMax"/>
        </c:scaling>
        <c:delete val="0"/>
        <c:axPos val="l"/>
        <c:majorGridlines>
          <c:spPr>
            <a:ln w="3175">
              <a:prstDash val="sysDot"/>
            </a:ln>
          </c:spPr>
        </c:majorGridlines>
        <c:numFmt formatCode="#,##0.00" sourceLinked="1"/>
        <c:majorTickMark val="out"/>
        <c:minorTickMark val="none"/>
        <c:tickLblPos val="nextTo"/>
        <c:crossAx val="121339264"/>
        <c:crosses val="autoZero"/>
        <c:crossBetween val="between"/>
      </c:valAx>
    </c:plotArea>
    <c:plotVisOnly val="1"/>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seine'!$F$45</c:f>
          <c:strCache>
            <c:ptCount val="1"/>
            <c:pt idx="0">
              <c:v>Income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'NSWOS dem pair trawl 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seine'!$D$21:$M$21</c:f>
              <c:numCache>
                <c:formatCode>#,##0.00</c:formatCode>
                <c:ptCount val="10"/>
                <c:pt idx="0">
                  <c:v>6.3570881923851106</c:v>
                </c:pt>
                <c:pt idx="1">
                  <c:v>7.5879433457179744</c:v>
                </c:pt>
                <c:pt idx="2">
                  <c:v>7.913543933206034</c:v>
                </c:pt>
                <c:pt idx="3">
                  <c:v>7.4593225904489859</c:v>
                </c:pt>
                <c:pt idx="4">
                  <c:v>7.1122173528176358</c:v>
                </c:pt>
                <c:pt idx="5">
                  <c:v>9.0424518184673595</c:v>
                </c:pt>
                <c:pt idx="6">
                  <c:v>10.18845922035529</c:v>
                </c:pt>
                <c:pt idx="7">
                  <c:v>11.106952165729187</c:v>
                </c:pt>
                <c:pt idx="8">
                  <c:v>12.913798873695216</c:v>
                </c:pt>
                <c:pt idx="9">
                  <c:v>14.040263156607226</c:v>
                </c:pt>
              </c:numCache>
            </c:numRef>
          </c:val>
          <c:smooth val="0"/>
        </c:ser>
        <c:dLbls>
          <c:showLegendKey val="0"/>
          <c:showVal val="0"/>
          <c:showCatName val="0"/>
          <c:showSerName val="0"/>
          <c:showPercent val="0"/>
          <c:showBubbleSize val="0"/>
        </c:dLbls>
        <c:marker val="1"/>
        <c:smooth val="0"/>
        <c:axId val="121382016"/>
        <c:axId val="121383552"/>
      </c:lineChart>
      <c:catAx>
        <c:axId val="121382016"/>
        <c:scaling>
          <c:orientation val="minMax"/>
        </c:scaling>
        <c:delete val="0"/>
        <c:axPos val="b"/>
        <c:numFmt formatCode="General" sourceLinked="1"/>
        <c:majorTickMark val="out"/>
        <c:minorTickMark val="none"/>
        <c:tickLblPos val="nextTo"/>
        <c:crossAx val="121383552"/>
        <c:crosses val="autoZero"/>
        <c:auto val="1"/>
        <c:lblAlgn val="ctr"/>
        <c:lblOffset val="100"/>
        <c:noMultiLvlLbl val="0"/>
      </c:catAx>
      <c:valAx>
        <c:axId val="121383552"/>
        <c:scaling>
          <c:orientation val="minMax"/>
        </c:scaling>
        <c:delete val="0"/>
        <c:axPos val="l"/>
        <c:majorGridlines>
          <c:spPr>
            <a:ln w="3175">
              <a:prstDash val="sysDot"/>
            </a:ln>
          </c:spPr>
        </c:majorGridlines>
        <c:numFmt formatCode="#,##0.00" sourceLinked="1"/>
        <c:majorTickMark val="out"/>
        <c:minorTickMark val="none"/>
        <c:tickLblPos val="nextTo"/>
        <c:crossAx val="121382016"/>
        <c:crosses val="autoZero"/>
        <c:crossBetween val="between"/>
      </c:valAx>
    </c:plotArea>
    <c:plotVisOnly val="1"/>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seine'!$K$45</c:f>
          <c:strCache>
            <c:ptCount val="1"/>
            <c:pt idx="0">
              <c:v>Operating profit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'NSWOS dem pair trawl 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seine'!$D$23:$M$23</c:f>
              <c:numCache>
                <c:formatCode>#,##0.00</c:formatCode>
                <c:ptCount val="10"/>
                <c:pt idx="0">
                  <c:v>1.076796014193786</c:v>
                </c:pt>
                <c:pt idx="1">
                  <c:v>1.4974797639464792</c:v>
                </c:pt>
                <c:pt idx="2">
                  <c:v>1.3508349859395214</c:v>
                </c:pt>
                <c:pt idx="3">
                  <c:v>0.58764538114036768</c:v>
                </c:pt>
                <c:pt idx="4">
                  <c:v>0.41293865948883651</c:v>
                </c:pt>
                <c:pt idx="5">
                  <c:v>0.92233204702854332</c:v>
                </c:pt>
                <c:pt idx="6">
                  <c:v>1.1269499415830455</c:v>
                </c:pt>
                <c:pt idx="7">
                  <c:v>1.0872480548599135</c:v>
                </c:pt>
                <c:pt idx="8">
                  <c:v>0.9752082516477858</c:v>
                </c:pt>
                <c:pt idx="9">
                  <c:v>1.1276735422337756</c:v>
                </c:pt>
              </c:numCache>
            </c:numRef>
          </c:val>
          <c:smooth val="0"/>
        </c:ser>
        <c:dLbls>
          <c:showLegendKey val="0"/>
          <c:showVal val="0"/>
          <c:showCatName val="0"/>
          <c:showSerName val="0"/>
          <c:showPercent val="0"/>
          <c:showBubbleSize val="0"/>
        </c:dLbls>
        <c:marker val="1"/>
        <c:smooth val="0"/>
        <c:axId val="121395840"/>
        <c:axId val="121422208"/>
      </c:lineChart>
      <c:catAx>
        <c:axId val="121395840"/>
        <c:scaling>
          <c:orientation val="minMax"/>
        </c:scaling>
        <c:delete val="0"/>
        <c:axPos val="b"/>
        <c:numFmt formatCode="General" sourceLinked="1"/>
        <c:majorTickMark val="out"/>
        <c:minorTickMark val="none"/>
        <c:tickLblPos val="nextTo"/>
        <c:crossAx val="121422208"/>
        <c:crosses val="autoZero"/>
        <c:auto val="1"/>
        <c:lblAlgn val="ctr"/>
        <c:lblOffset val="100"/>
        <c:noMultiLvlLbl val="0"/>
      </c:catAx>
      <c:valAx>
        <c:axId val="121422208"/>
        <c:scaling>
          <c:orientation val="minMax"/>
        </c:scaling>
        <c:delete val="0"/>
        <c:axPos val="l"/>
        <c:majorGridlines>
          <c:spPr>
            <a:ln w="3175">
              <a:prstDash val="sysDot"/>
            </a:ln>
          </c:spPr>
        </c:majorGridlines>
        <c:numFmt formatCode="#,##0.00" sourceLinked="1"/>
        <c:majorTickMark val="out"/>
        <c:minorTickMark val="none"/>
        <c:tickLblPos val="nextTo"/>
        <c:crossAx val="12139584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seine'!$B$59</c:f>
          <c:strCache>
            <c:ptCount val="1"/>
            <c:pt idx="0">
              <c:v>Total cost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'NSWOS dem pair trawl 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seine'!$D$22:$M$22</c:f>
              <c:numCache>
                <c:formatCode>#,##0.00</c:formatCode>
                <c:ptCount val="10"/>
                <c:pt idx="0">
                  <c:v>5.2802921781913241</c:v>
                </c:pt>
                <c:pt idx="1">
                  <c:v>6.0904635817714965</c:v>
                </c:pt>
                <c:pt idx="2">
                  <c:v>6.562708947266513</c:v>
                </c:pt>
                <c:pt idx="3">
                  <c:v>6.8716772093086211</c:v>
                </c:pt>
                <c:pt idx="4">
                  <c:v>6.6992786933287967</c:v>
                </c:pt>
                <c:pt idx="5">
                  <c:v>8.1201197714388087</c:v>
                </c:pt>
                <c:pt idx="6">
                  <c:v>9.0615092787722631</c:v>
                </c:pt>
                <c:pt idx="7">
                  <c:v>10.019704110869272</c:v>
                </c:pt>
                <c:pt idx="8">
                  <c:v>11.938590622047474</c:v>
                </c:pt>
                <c:pt idx="9">
                  <c:v>12.912589614373511</c:v>
                </c:pt>
              </c:numCache>
            </c:numRef>
          </c:val>
          <c:smooth val="0"/>
        </c:ser>
        <c:dLbls>
          <c:showLegendKey val="0"/>
          <c:showVal val="0"/>
          <c:showCatName val="0"/>
          <c:showSerName val="0"/>
          <c:showPercent val="0"/>
          <c:showBubbleSize val="0"/>
        </c:dLbls>
        <c:marker val="1"/>
        <c:smooth val="0"/>
        <c:axId val="121442688"/>
        <c:axId val="121444224"/>
      </c:lineChart>
      <c:catAx>
        <c:axId val="121442688"/>
        <c:scaling>
          <c:orientation val="minMax"/>
        </c:scaling>
        <c:delete val="0"/>
        <c:axPos val="b"/>
        <c:numFmt formatCode="General" sourceLinked="1"/>
        <c:majorTickMark val="out"/>
        <c:minorTickMark val="none"/>
        <c:tickLblPos val="nextTo"/>
        <c:crossAx val="121444224"/>
        <c:crosses val="autoZero"/>
        <c:auto val="1"/>
        <c:lblAlgn val="ctr"/>
        <c:lblOffset val="100"/>
        <c:noMultiLvlLbl val="0"/>
      </c:catAx>
      <c:valAx>
        <c:axId val="121444224"/>
        <c:scaling>
          <c:orientation val="minMax"/>
        </c:scaling>
        <c:delete val="0"/>
        <c:axPos val="l"/>
        <c:majorGridlines>
          <c:spPr>
            <a:ln w="3175">
              <a:prstDash val="sysDot"/>
            </a:ln>
          </c:spPr>
        </c:majorGridlines>
        <c:numFmt formatCode="#,##0.00" sourceLinked="1"/>
        <c:majorTickMark val="out"/>
        <c:minorTickMark val="none"/>
        <c:tickLblPos val="nextTo"/>
        <c:crossAx val="121442688"/>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o250kW'!$F$59</c:f>
          <c:strCache>
            <c:ptCount val="1"/>
            <c:pt idx="0">
              <c:v>Average price per tonne landed (£)
Area VIIA nephrops over 250kW</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'Area VIIa nephrops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o250kW'!$D$19:$M$19</c:f>
              <c:numCache>
                <c:formatCode>#,##0</c:formatCode>
                <c:ptCount val="10"/>
                <c:pt idx="0">
                  <c:v>1906.76221623744</c:v>
                </c:pt>
                <c:pt idx="1">
                  <c:v>2355.3075699546698</c:v>
                </c:pt>
                <c:pt idx="2">
                  <c:v>2167.6111666383399</c:v>
                </c:pt>
                <c:pt idx="3">
                  <c:v>1982.87993442672</c:v>
                </c:pt>
                <c:pt idx="4">
                  <c:v>1640.4337874876101</c:v>
                </c:pt>
                <c:pt idx="5">
                  <c:v>1668.9753957913799</c:v>
                </c:pt>
                <c:pt idx="6">
                  <c:v>2043.59202088799</c:v>
                </c:pt>
                <c:pt idx="7">
                  <c:v>2168.7066493550801</c:v>
                </c:pt>
                <c:pt idx="8">
                  <c:v>1895.1357439195399</c:v>
                </c:pt>
                <c:pt idx="9">
                  <c:v>2093.3391564250901</c:v>
                </c:pt>
              </c:numCache>
            </c:numRef>
          </c:val>
          <c:smooth val="0"/>
        </c:ser>
        <c:dLbls>
          <c:showLegendKey val="0"/>
          <c:showVal val="0"/>
          <c:showCatName val="0"/>
          <c:showSerName val="0"/>
          <c:showPercent val="0"/>
          <c:showBubbleSize val="0"/>
        </c:dLbls>
        <c:marker val="1"/>
        <c:smooth val="0"/>
        <c:axId val="105351808"/>
        <c:axId val="105447808"/>
      </c:lineChart>
      <c:catAx>
        <c:axId val="105351808"/>
        <c:scaling>
          <c:orientation val="minMax"/>
        </c:scaling>
        <c:delete val="0"/>
        <c:axPos val="b"/>
        <c:numFmt formatCode="General" sourceLinked="1"/>
        <c:majorTickMark val="out"/>
        <c:minorTickMark val="none"/>
        <c:tickLblPos val="nextTo"/>
        <c:crossAx val="105447808"/>
        <c:crosses val="autoZero"/>
        <c:auto val="1"/>
        <c:lblAlgn val="ctr"/>
        <c:lblOffset val="100"/>
        <c:noMultiLvlLbl val="0"/>
      </c:catAx>
      <c:valAx>
        <c:axId val="105447808"/>
        <c:scaling>
          <c:orientation val="minMax"/>
        </c:scaling>
        <c:delete val="0"/>
        <c:axPos val="l"/>
        <c:majorGridlines>
          <c:spPr>
            <a:ln w="3175">
              <a:prstDash val="sysDot"/>
            </a:ln>
          </c:spPr>
        </c:majorGridlines>
        <c:numFmt formatCode="#,##0" sourceLinked="1"/>
        <c:majorTickMark val="out"/>
        <c:minorTickMark val="none"/>
        <c:tickLblPos val="nextTo"/>
        <c:crossAx val="105351808"/>
        <c:crosses val="autoZero"/>
        <c:crossBetween val="between"/>
      </c:valAx>
    </c:plotArea>
    <c:plotVisOnly val="1"/>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seine'!$F$59</c:f>
          <c:strCache>
            <c:ptCount val="1"/>
            <c:pt idx="0">
              <c:v>Average price per tonne landed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'NSWOS dem pair trawl 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seine'!$D$19:$M$19</c:f>
              <c:numCache>
                <c:formatCode>#,##0</c:formatCode>
                <c:ptCount val="10"/>
                <c:pt idx="0">
                  <c:v>980.75841723980784</c:v>
                </c:pt>
                <c:pt idx="1">
                  <c:v>1290.9540575887111</c:v>
                </c:pt>
                <c:pt idx="2">
                  <c:v>1375.8313644862833</c:v>
                </c:pt>
                <c:pt idx="3">
                  <c:v>1292.810806314945</c:v>
                </c:pt>
                <c:pt idx="4">
                  <c:v>1161.2694458398789</c:v>
                </c:pt>
                <c:pt idx="5">
                  <c:v>1391.7316910645561</c:v>
                </c:pt>
                <c:pt idx="6">
                  <c:v>1551.2349025736596</c:v>
                </c:pt>
                <c:pt idx="7">
                  <c:v>1350.3917011100148</c:v>
                </c:pt>
                <c:pt idx="8">
                  <c:v>1336.963622035086</c:v>
                </c:pt>
                <c:pt idx="9">
                  <c:v>1492.1842682612855</c:v>
                </c:pt>
              </c:numCache>
            </c:numRef>
          </c:val>
          <c:smooth val="0"/>
        </c:ser>
        <c:dLbls>
          <c:showLegendKey val="0"/>
          <c:showVal val="0"/>
          <c:showCatName val="0"/>
          <c:showSerName val="0"/>
          <c:showPercent val="0"/>
          <c:showBubbleSize val="0"/>
        </c:dLbls>
        <c:marker val="1"/>
        <c:smooth val="0"/>
        <c:axId val="121464704"/>
        <c:axId val="121466240"/>
      </c:lineChart>
      <c:catAx>
        <c:axId val="121464704"/>
        <c:scaling>
          <c:orientation val="minMax"/>
        </c:scaling>
        <c:delete val="0"/>
        <c:axPos val="b"/>
        <c:numFmt formatCode="General" sourceLinked="1"/>
        <c:majorTickMark val="out"/>
        <c:minorTickMark val="none"/>
        <c:tickLblPos val="nextTo"/>
        <c:crossAx val="121466240"/>
        <c:crosses val="autoZero"/>
        <c:auto val="1"/>
        <c:lblAlgn val="ctr"/>
        <c:lblOffset val="100"/>
        <c:noMultiLvlLbl val="0"/>
      </c:catAx>
      <c:valAx>
        <c:axId val="121466240"/>
        <c:scaling>
          <c:orientation val="minMax"/>
        </c:scaling>
        <c:delete val="0"/>
        <c:axPos val="l"/>
        <c:majorGridlines>
          <c:spPr>
            <a:ln w="3175">
              <a:prstDash val="sysDot"/>
            </a:ln>
          </c:spPr>
        </c:majorGridlines>
        <c:numFmt formatCode="#,##0" sourceLinked="1"/>
        <c:majorTickMark val="out"/>
        <c:minorTickMark val="none"/>
        <c:tickLblPos val="nextTo"/>
        <c:crossAx val="121464704"/>
        <c:crosses val="autoZero"/>
        <c:crossBetween val="between"/>
      </c:valAx>
    </c:plotArea>
    <c:plotVisOnly val="1"/>
    <c:dispBlanksAs val="gap"/>
    <c:showDLblsOverMax val="0"/>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seine'!$K$59</c:f>
          <c:strCache>
            <c:ptCount val="1"/>
            <c:pt idx="0">
              <c:v>Average annual operating profit per vessel (£'000)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'NSWOS dem pair trawl 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seine'!$D$34:$M$34</c:f>
              <c:numCache>
                <c:formatCode>#,##0.0</c:formatCode>
                <c:ptCount val="10"/>
                <c:pt idx="0">
                  <c:v>83.298303253765894</c:v>
                </c:pt>
                <c:pt idx="1">
                  <c:v>116.86265810588692</c:v>
                </c:pt>
                <c:pt idx="2">
                  <c:v>123.31241680737276</c:v>
                </c:pt>
                <c:pt idx="3">
                  <c:v>49.784401663476501</c:v>
                </c:pt>
                <c:pt idx="4">
                  <c:v>38.325650614249156</c:v>
                </c:pt>
                <c:pt idx="5">
                  <c:v>82.804708921641506</c:v>
                </c:pt>
                <c:pt idx="6">
                  <c:v>95.01599925005381</c:v>
                </c:pt>
                <c:pt idx="7">
                  <c:v>93.502991086172173</c:v>
                </c:pt>
                <c:pt idx="8">
                  <c:v>86.425915479773181</c:v>
                </c:pt>
                <c:pt idx="9">
                  <c:v>95.499999628967871</c:v>
                </c:pt>
              </c:numCache>
            </c:numRef>
          </c:val>
          <c:smooth val="0"/>
        </c:ser>
        <c:dLbls>
          <c:showLegendKey val="0"/>
          <c:showVal val="0"/>
          <c:showCatName val="0"/>
          <c:showSerName val="0"/>
          <c:showPercent val="0"/>
          <c:showBubbleSize val="0"/>
        </c:dLbls>
        <c:marker val="1"/>
        <c:smooth val="0"/>
        <c:axId val="121486720"/>
        <c:axId val="123339904"/>
      </c:lineChart>
      <c:catAx>
        <c:axId val="121486720"/>
        <c:scaling>
          <c:orientation val="minMax"/>
        </c:scaling>
        <c:delete val="0"/>
        <c:axPos val="b"/>
        <c:numFmt formatCode="General" sourceLinked="1"/>
        <c:majorTickMark val="out"/>
        <c:minorTickMark val="none"/>
        <c:tickLblPos val="nextTo"/>
        <c:crossAx val="123339904"/>
        <c:crosses val="autoZero"/>
        <c:auto val="1"/>
        <c:lblAlgn val="ctr"/>
        <c:lblOffset val="100"/>
        <c:noMultiLvlLbl val="0"/>
      </c:catAx>
      <c:valAx>
        <c:axId val="123339904"/>
        <c:scaling>
          <c:orientation val="minMax"/>
        </c:scaling>
        <c:delete val="0"/>
        <c:axPos val="l"/>
        <c:majorGridlines>
          <c:spPr>
            <a:ln w="3175">
              <a:prstDash val="sysDot"/>
            </a:ln>
          </c:spPr>
        </c:majorGridlines>
        <c:numFmt formatCode="#,##0.0" sourceLinked="1"/>
        <c:majorTickMark val="out"/>
        <c:minorTickMark val="none"/>
        <c:tickLblPos val="nextTo"/>
        <c:crossAx val="121486720"/>
        <c:crosses val="autoZero"/>
        <c:crossBetween val="between"/>
      </c:valAx>
    </c:plotArea>
    <c:plotVisOnly val="1"/>
    <c:dispBlanksAs val="gap"/>
    <c:showDLblsOverMax val="0"/>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seine'!$A$73</c:f>
          <c:strCache>
            <c:ptCount val="1"/>
            <c:pt idx="0">
              <c:v>Top 5 landed species by volume in 2013
NSWOS demersal pair trawl seine</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9B2D2A"/>
              </a:solidFill>
              <a:ln>
                <a:solidFill>
                  <a:srgbClr val="FFFFFF"/>
                </a:solidFill>
              </a:ln>
            </c:spPr>
          </c:dPt>
          <c:dPt>
            <c:idx val="3"/>
            <c:bubble3D val="0"/>
            <c:spPr>
              <a:solidFill>
                <a:srgbClr val="607A2A"/>
              </a:solidFill>
              <a:ln>
                <a:solidFill>
                  <a:srgbClr val="FFFFFF"/>
                </a:solidFill>
              </a:ln>
            </c:spPr>
          </c:dPt>
          <c:dPt>
            <c:idx val="4"/>
            <c:bubble3D val="0"/>
            <c:spPr>
              <a:solidFill>
                <a:srgbClr val="4B3467"/>
              </a:solidFill>
              <a:ln>
                <a:solidFill>
                  <a:srgbClr val="FFFFFF"/>
                </a:solidFill>
              </a:ln>
            </c:spPr>
          </c:dPt>
          <c:dPt>
            <c:idx val="5"/>
            <c:bubble3D val="0"/>
            <c:spPr>
              <a:solidFill>
                <a:srgbClr val="008000"/>
              </a:solidFill>
              <a:ln>
                <a:solidFill>
                  <a:srgbClr val="FFFFFF"/>
                </a:solidFill>
              </a:ln>
            </c:spPr>
          </c:dPt>
          <c:cat>
            <c:strRef>
              <c:f>'NSWOS dem pair trawl seine'!$B$74:$B$79</c:f>
              <c:strCache>
                <c:ptCount val="6"/>
                <c:pt idx="0">
                  <c:v>Haddock - 48.1%</c:v>
                </c:pt>
                <c:pt idx="1">
                  <c:v>Cod - 17.4%</c:v>
                </c:pt>
                <c:pt idx="2">
                  <c:v>Saithe - 11.9%</c:v>
                </c:pt>
                <c:pt idx="3">
                  <c:v>Whiting - 11.8%</c:v>
                </c:pt>
                <c:pt idx="4">
                  <c:v>Hake - 6.9%</c:v>
                </c:pt>
                <c:pt idx="5">
                  <c:v>Others - 3.8%</c:v>
                </c:pt>
              </c:strCache>
            </c:strRef>
          </c:cat>
          <c:val>
            <c:numRef>
              <c:f>'NSWOS dem pair trawl seine'!$C$74:$C$79</c:f>
              <c:numCache>
                <c:formatCode>0.0%</c:formatCode>
                <c:ptCount val="6"/>
                <c:pt idx="0">
                  <c:v>0.48125390939723378</c:v>
                </c:pt>
                <c:pt idx="1">
                  <c:v>0.1740693109665454</c:v>
                </c:pt>
                <c:pt idx="2">
                  <c:v>0.11904927516046013</c:v>
                </c:pt>
                <c:pt idx="3">
                  <c:v>0.11821241799932336</c:v>
                </c:pt>
                <c:pt idx="4">
                  <c:v>6.9318224364348174E-2</c:v>
                </c:pt>
                <c:pt idx="5">
                  <c:v>3.8096862112089069E-2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seine'!$F$73</c:f>
          <c:strCache>
            <c:ptCount val="1"/>
            <c:pt idx="0">
              <c:v>Top 5 landed species by value in 2013
NSWOS demersal pair trawl seine</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'NSWOS dem pair trawl seine'!$G$74:$G$79</c:f>
              <c:strCache>
                <c:ptCount val="6"/>
                <c:pt idx="0">
                  <c:v>Haddock - 40.8%</c:v>
                </c:pt>
                <c:pt idx="1">
                  <c:v>Cod - 25.6%</c:v>
                </c:pt>
                <c:pt idx="2">
                  <c:v>Whiting - 9.6%</c:v>
                </c:pt>
                <c:pt idx="3">
                  <c:v>Hake - 8.3%</c:v>
                </c:pt>
                <c:pt idx="4">
                  <c:v>Saithe - 7.8%</c:v>
                </c:pt>
                <c:pt idx="5">
                  <c:v>Others - 7.9%</c:v>
                </c:pt>
              </c:strCache>
            </c:strRef>
          </c:cat>
          <c:val>
            <c:numRef>
              <c:f>'NSWOS dem pair trawl seine'!$H$74:$H$79</c:f>
              <c:numCache>
                <c:formatCode>0.0%</c:formatCode>
                <c:ptCount val="6"/>
                <c:pt idx="0">
                  <c:v>0.40780794221097039</c:v>
                </c:pt>
                <c:pt idx="1">
                  <c:v>0.25647528849548534</c:v>
                </c:pt>
                <c:pt idx="2">
                  <c:v>9.5984270328278082E-2</c:v>
                </c:pt>
                <c:pt idx="3">
                  <c:v>8.3230464598803025E-2</c:v>
                </c:pt>
                <c:pt idx="4">
                  <c:v>7.7781261895937759E-2</c:v>
                </c:pt>
                <c:pt idx="5">
                  <c:v>7.8720772470525446E-2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 pair trawl seine'!$C$88</c:f>
              <c:strCache>
                <c:ptCount val="1"/>
                <c:pt idx="0">
                  <c:v>Haddock</c:v>
                </c:pt>
              </c:strCache>
            </c:strRef>
          </c:tx>
          <c:spPr>
            <a:solidFill>
              <a:srgbClr val="224B7D"/>
            </a:solidFill>
            <a:ln>
              <a:solidFill>
                <a:srgbClr val="FFFFFF"/>
              </a:solidFill>
            </a:ln>
          </c:spPr>
          <c:invertIfNegative val="0"/>
          <c:cat>
            <c:numRef>
              <c:f>'NSWOS dem pair trawl 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seine'!$D$88:$M$88</c:f>
              <c:numCache>
                <c:formatCode>0%</c:formatCode>
                <c:ptCount val="10"/>
                <c:pt idx="0">
                  <c:v>0.54773343634845995</c:v>
                </c:pt>
                <c:pt idx="1">
                  <c:v>0.55716422432510759</c:v>
                </c:pt>
                <c:pt idx="2">
                  <c:v>0.52583799344699167</c:v>
                </c:pt>
                <c:pt idx="3">
                  <c:v>0.42423163004222819</c:v>
                </c:pt>
                <c:pt idx="4">
                  <c:v>0.39153747850044773</c:v>
                </c:pt>
                <c:pt idx="5">
                  <c:v>0.35628527383789987</c:v>
                </c:pt>
                <c:pt idx="6">
                  <c:v>0.33517819495182094</c:v>
                </c:pt>
                <c:pt idx="7">
                  <c:v>0.35513215868552417</c:v>
                </c:pt>
                <c:pt idx="8">
                  <c:v>0.41476354266920518</c:v>
                </c:pt>
                <c:pt idx="9">
                  <c:v>0.46495867475269764</c:v>
                </c:pt>
              </c:numCache>
            </c:numRef>
          </c:val>
        </c:ser>
        <c:ser>
          <c:idx val="1"/>
          <c:order val="1"/>
          <c:tx>
            <c:strRef>
              <c:f>'NSWOS dem pair trawl seine'!$C$89</c:f>
              <c:strCache>
                <c:ptCount val="1"/>
                <c:pt idx="0">
                  <c:v>Cod</c:v>
                </c:pt>
              </c:strCache>
            </c:strRef>
          </c:tx>
          <c:spPr>
            <a:solidFill>
              <a:srgbClr val="7F2321"/>
            </a:solidFill>
            <a:ln>
              <a:solidFill>
                <a:srgbClr val="FFFFFF"/>
              </a:solidFill>
            </a:ln>
          </c:spPr>
          <c:invertIfNegative val="0"/>
          <c:cat>
            <c:numRef>
              <c:f>'NSWOS dem pair trawl 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seine'!$D$89:$M$89</c:f>
              <c:numCache>
                <c:formatCode>0%</c:formatCode>
                <c:ptCount val="10"/>
                <c:pt idx="0">
                  <c:v>0.17611500054778448</c:v>
                </c:pt>
                <c:pt idx="1">
                  <c:v>0.15353334864557866</c:v>
                </c:pt>
                <c:pt idx="2">
                  <c:v>0.17511795491979526</c:v>
                </c:pt>
                <c:pt idx="3">
                  <c:v>0.18568109966059568</c:v>
                </c:pt>
                <c:pt idx="4">
                  <c:v>0.22732523158334531</c:v>
                </c:pt>
                <c:pt idx="5">
                  <c:v>0.29185706685016993</c:v>
                </c:pt>
                <c:pt idx="6">
                  <c:v>0.27770728261086908</c:v>
                </c:pt>
                <c:pt idx="7">
                  <c:v>0.26919861843434806</c:v>
                </c:pt>
                <c:pt idx="8">
                  <c:v>0.26084974874879308</c:v>
                </c:pt>
                <c:pt idx="9">
                  <c:v>0.24322175345326638</c:v>
                </c:pt>
              </c:numCache>
            </c:numRef>
          </c:val>
        </c:ser>
        <c:ser>
          <c:idx val="2"/>
          <c:order val="2"/>
          <c:tx>
            <c:strRef>
              <c:f>'NSWOS dem pair trawl seine'!$C$90</c:f>
              <c:strCache>
                <c:ptCount val="1"/>
                <c:pt idx="0">
                  <c:v>Whiting</c:v>
                </c:pt>
              </c:strCache>
            </c:strRef>
          </c:tx>
          <c:spPr>
            <a:solidFill>
              <a:srgbClr val="607A2A"/>
            </a:solidFill>
            <a:ln>
              <a:solidFill>
                <a:srgbClr val="FFFFFF"/>
              </a:solidFill>
            </a:ln>
          </c:spPr>
          <c:invertIfNegative val="0"/>
          <c:cat>
            <c:numRef>
              <c:f>'NSWOS dem pair trawl 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seine'!$D$90:$M$90</c:f>
              <c:numCache>
                <c:formatCode>0%</c:formatCode>
                <c:ptCount val="10"/>
                <c:pt idx="0">
                  <c:v>5.1042658849993552E-2</c:v>
                </c:pt>
                <c:pt idx="1">
                  <c:v>9.0822539339609598E-2</c:v>
                </c:pt>
                <c:pt idx="2">
                  <c:v>0.11859011271205151</c:v>
                </c:pt>
                <c:pt idx="3">
                  <c:v>0.12136639836342025</c:v>
                </c:pt>
                <c:pt idx="4">
                  <c:v>0.10309630359837969</c:v>
                </c:pt>
                <c:pt idx="5">
                  <c:v>7.9474669537275694E-2</c:v>
                </c:pt>
                <c:pt idx="6">
                  <c:v>0.10628561317453609</c:v>
                </c:pt>
                <c:pt idx="7">
                  <c:v>0.10463549304732273</c:v>
                </c:pt>
                <c:pt idx="8">
                  <c:v>9.7621384679359852E-2</c:v>
                </c:pt>
                <c:pt idx="9">
                  <c:v>8.9601805315696739E-2</c:v>
                </c:pt>
              </c:numCache>
            </c:numRef>
          </c:val>
        </c:ser>
        <c:ser>
          <c:idx val="3"/>
          <c:order val="3"/>
          <c:tx>
            <c:strRef>
              <c:f>'NSWOS dem pair trawl seine'!$C$91</c:f>
              <c:strCache>
                <c:ptCount val="1"/>
                <c:pt idx="0">
                  <c:v>Hake</c:v>
                </c:pt>
              </c:strCache>
            </c:strRef>
          </c:tx>
          <c:spPr>
            <a:solidFill>
              <a:srgbClr val="4B3467"/>
            </a:solidFill>
            <a:ln>
              <a:solidFill>
                <a:srgbClr val="FFFFFF"/>
              </a:solidFill>
            </a:ln>
          </c:spPr>
          <c:invertIfNegative val="0"/>
          <c:cat>
            <c:numRef>
              <c:f>'NSWOS dem pair trawl 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seine'!$D$91:$M$91</c:f>
              <c:numCache>
                <c:formatCode>0%</c:formatCode>
                <c:ptCount val="10"/>
                <c:pt idx="3">
                  <c:v>6.1438418226066535E-2</c:v>
                </c:pt>
                <c:pt idx="4">
                  <c:v>4.4610727438189092E-2</c:v>
                </c:pt>
                <c:pt idx="5">
                  <c:v>4.3798424349893138E-2</c:v>
                </c:pt>
                <c:pt idx="6">
                  <c:v>5.9538960467133646E-2</c:v>
                </c:pt>
                <c:pt idx="7">
                  <c:v>0.10141480727894031</c:v>
                </c:pt>
                <c:pt idx="8">
                  <c:v>8.4650049157563384E-2</c:v>
                </c:pt>
                <c:pt idx="9">
                  <c:v>8.0362148146971984E-2</c:v>
                </c:pt>
              </c:numCache>
            </c:numRef>
          </c:val>
        </c:ser>
        <c:ser>
          <c:idx val="4"/>
          <c:order val="4"/>
          <c:tx>
            <c:strRef>
              <c:f>'NSWOS dem pair trawl seine'!$C$92</c:f>
              <c:strCache>
                <c:ptCount val="1"/>
                <c:pt idx="0">
                  <c:v>Saithe</c:v>
                </c:pt>
              </c:strCache>
            </c:strRef>
          </c:tx>
          <c:spPr>
            <a:solidFill>
              <a:srgbClr val="9B2D2A"/>
            </a:solidFill>
            <a:ln>
              <a:solidFill>
                <a:srgbClr val="FFFFFF"/>
              </a:solidFill>
            </a:ln>
          </c:spPr>
          <c:invertIfNegative val="0"/>
          <c:cat>
            <c:numRef>
              <c:f>'NSWOS dem pair trawl 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seine'!$D$92:$M$92</c:f>
              <c:numCache>
                <c:formatCode>0%</c:formatCode>
                <c:ptCount val="10"/>
                <c:pt idx="0">
                  <c:v>3.8085430744106377E-2</c:v>
                </c:pt>
                <c:pt idx="1">
                  <c:v>3.5208759632364466E-2</c:v>
                </c:pt>
                <c:pt idx="3">
                  <c:v>6.1610857879338433E-2</c:v>
                </c:pt>
                <c:pt idx="4">
                  <c:v>9.786929908106079E-2</c:v>
                </c:pt>
                <c:pt idx="5">
                  <c:v>0.11212250495165797</c:v>
                </c:pt>
                <c:pt idx="6">
                  <c:v>9.996878989641074E-2</c:v>
                </c:pt>
                <c:pt idx="7">
                  <c:v>8.3186318863493661E-2</c:v>
                </c:pt>
                <c:pt idx="8">
                  <c:v>7.9107904476639609E-2</c:v>
                </c:pt>
                <c:pt idx="9">
                  <c:v>6.8048774906529011E-2</c:v>
                </c:pt>
              </c:numCache>
            </c:numRef>
          </c:val>
        </c:ser>
        <c:ser>
          <c:idx val="5"/>
          <c:order val="5"/>
          <c:tx>
            <c:strRef>
              <c:f>'NSWOS dem pair trawl seine'!$C$93</c:f>
              <c:strCache>
                <c:ptCount val="1"/>
                <c:pt idx="0">
                  <c:v>Lemon Sole</c:v>
                </c:pt>
              </c:strCache>
            </c:strRef>
          </c:tx>
          <c:spPr>
            <a:solidFill>
              <a:srgbClr val="769535"/>
            </a:solidFill>
            <a:ln>
              <a:solidFill>
                <a:srgbClr val="FFFFFF"/>
              </a:solidFill>
            </a:ln>
          </c:spPr>
          <c:invertIfNegative val="0"/>
          <c:cat>
            <c:numRef>
              <c:f>'NSWOS dem pair trawl 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seine'!$D$93:$M$93</c:f>
              <c:numCache>
                <c:formatCode>0%</c:formatCode>
                <c:ptCount val="10"/>
                <c:pt idx="2">
                  <c:v>3.3815548354785625E-2</c:v>
                </c:pt>
              </c:numCache>
            </c:numRef>
          </c:val>
        </c:ser>
        <c:ser>
          <c:idx val="6"/>
          <c:order val="6"/>
          <c:tx>
            <c:strRef>
              <c:f>'NSWOS dem pair trawl seine'!$C$94</c:f>
              <c:strCache>
                <c:ptCount val="1"/>
                <c:pt idx="0">
                  <c:v>Anglerfish</c:v>
                </c:pt>
              </c:strCache>
            </c:strRef>
          </c:tx>
          <c:spPr>
            <a:solidFill>
              <a:srgbClr val="A85816"/>
            </a:solidFill>
            <a:ln>
              <a:solidFill>
                <a:srgbClr val="FFFFFF"/>
              </a:solidFill>
            </a:ln>
          </c:spPr>
          <c:invertIfNegative val="0"/>
          <c:cat>
            <c:numRef>
              <c:f>'NSWOS dem pair trawl 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seine'!$D$94:$M$94</c:f>
              <c:numCache>
                <c:formatCode>0%</c:formatCode>
                <c:ptCount val="10"/>
                <c:pt idx="0">
                  <c:v>4.5666451992622974E-2</c:v>
                </c:pt>
                <c:pt idx="1">
                  <c:v>4.0050808558200021E-2</c:v>
                </c:pt>
                <c:pt idx="2">
                  <c:v>2.9971820063837595E-2</c:v>
                </c:pt>
              </c:numCache>
            </c:numRef>
          </c:val>
        </c:ser>
        <c:ser>
          <c:idx val="7"/>
          <c:order val="7"/>
          <c:tx>
            <c:strRef>
              <c:f>'NSWOS dem pair trawl seine'!$C$95</c:f>
              <c:strCache>
                <c:ptCount val="1"/>
                <c:pt idx="0">
                  <c:v>Others</c:v>
                </c:pt>
              </c:strCache>
            </c:strRef>
          </c:tx>
          <c:spPr>
            <a:solidFill>
              <a:srgbClr val="008000"/>
            </a:solidFill>
            <a:ln>
              <a:solidFill>
                <a:srgbClr val="FFFFFF"/>
              </a:solidFill>
            </a:ln>
          </c:spPr>
          <c:invertIfNegative val="0"/>
          <c:cat>
            <c:numRef>
              <c:f>'NSWOS dem pair trawl 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 pair trawl seine'!$D$95:$M$95</c:f>
              <c:numCache>
                <c:formatCode>0%</c:formatCode>
                <c:ptCount val="10"/>
                <c:pt idx="0">
                  <c:v>0.14135702151703269</c:v>
                </c:pt>
                <c:pt idx="1">
                  <c:v>0.1232203194991397</c:v>
                </c:pt>
                <c:pt idx="2">
                  <c:v>0.11666657050253834</c:v>
                </c:pt>
                <c:pt idx="3">
                  <c:v>0.14567159582835093</c:v>
                </c:pt>
                <c:pt idx="4">
                  <c:v>0.13556095979857738</c:v>
                </c:pt>
                <c:pt idx="5">
                  <c:v>0.1164620604731034</c:v>
                </c:pt>
                <c:pt idx="6">
                  <c:v>0.12132115889922952</c:v>
                </c:pt>
                <c:pt idx="7">
                  <c:v>8.6432603690371076E-2</c:v>
                </c:pt>
                <c:pt idx="8">
                  <c:v>6.3007370268438875E-2</c:v>
                </c:pt>
                <c:pt idx="9">
                  <c:v>5.3806843424838234E-2</c:v>
                </c:pt>
              </c:numCache>
            </c:numRef>
          </c:val>
        </c:ser>
        <c:dLbls>
          <c:showLegendKey val="0"/>
          <c:showVal val="0"/>
          <c:showCatName val="0"/>
          <c:showSerName val="0"/>
          <c:showPercent val="0"/>
          <c:showBubbleSize val="0"/>
        </c:dLbls>
        <c:gapWidth val="150"/>
        <c:overlap val="100"/>
        <c:axId val="123461632"/>
        <c:axId val="123463168"/>
      </c:barChart>
      <c:catAx>
        <c:axId val="123461632"/>
        <c:scaling>
          <c:orientation val="minMax"/>
        </c:scaling>
        <c:delete val="0"/>
        <c:axPos val="b"/>
        <c:numFmt formatCode="General" sourceLinked="1"/>
        <c:majorTickMark val="out"/>
        <c:minorTickMark val="none"/>
        <c:tickLblPos val="nextTo"/>
        <c:crossAx val="123463168"/>
        <c:crosses val="autoZero"/>
        <c:auto val="1"/>
        <c:lblAlgn val="ctr"/>
        <c:lblOffset val="100"/>
        <c:noMultiLvlLbl val="0"/>
      </c:catAx>
      <c:valAx>
        <c:axId val="123463168"/>
        <c:scaling>
          <c:orientation val="minMax"/>
          <c:max val="1"/>
          <c:min val="0"/>
        </c:scaling>
        <c:delete val="0"/>
        <c:axPos val="l"/>
        <c:majorGridlines/>
        <c:numFmt formatCode="0%" sourceLinked="1"/>
        <c:majorTickMark val="out"/>
        <c:minorTickMark val="none"/>
        <c:tickLblPos val="nextTo"/>
        <c:crossAx val="12346163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seiners'!$A$45</c:f>
          <c:strCache>
            <c:ptCount val="1"/>
            <c:pt idx="0">
              <c:v>Landings per kW day at sea (kg)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'NSWOS demersal seiners'!$D$2:$M$2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seiners'!$D$20:$M$20</c:f>
              <c:numCache>
                <c:formatCode>#,##0.00</c:formatCode>
                <c:ptCount val="10"/>
                <c:pt idx="0">
                  <c:v>7.5226779087977915</c:v>
                </c:pt>
                <c:pt idx="1">
                  <c:v>6.453535186143494</c:v>
                </c:pt>
                <c:pt idx="2">
                  <c:v>5.3638037402365564</c:v>
                </c:pt>
                <c:pt idx="3">
                  <c:v>6.4356128306798661</c:v>
                </c:pt>
                <c:pt idx="4">
                  <c:v>6.9013081440604873</c:v>
                </c:pt>
                <c:pt idx="5">
                  <c:v>6.7220511012322106</c:v>
                </c:pt>
                <c:pt idx="6">
                  <c:v>8.5492301758649738</c:v>
                </c:pt>
                <c:pt idx="7">
                  <c:v>11.151415651464953</c:v>
                </c:pt>
                <c:pt idx="8">
                  <c:v>9.8608223645895219</c:v>
                </c:pt>
                <c:pt idx="9">
                  <c:v>11.024176022806838</c:v>
                </c:pt>
              </c:numCache>
            </c:numRef>
          </c:val>
          <c:smooth val="0"/>
        </c:ser>
        <c:dLbls>
          <c:showLegendKey val="0"/>
          <c:showVal val="0"/>
          <c:showCatName val="0"/>
          <c:showSerName val="0"/>
          <c:showPercent val="0"/>
          <c:showBubbleSize val="0"/>
        </c:dLbls>
        <c:marker val="1"/>
        <c:smooth val="0"/>
        <c:axId val="125709696"/>
        <c:axId val="125744256"/>
      </c:lineChart>
      <c:catAx>
        <c:axId val="125709696"/>
        <c:scaling>
          <c:orientation val="minMax"/>
        </c:scaling>
        <c:delete val="0"/>
        <c:axPos val="b"/>
        <c:numFmt formatCode="General" sourceLinked="1"/>
        <c:majorTickMark val="out"/>
        <c:minorTickMark val="none"/>
        <c:tickLblPos val="nextTo"/>
        <c:crossAx val="125744256"/>
        <c:crosses val="autoZero"/>
        <c:auto val="1"/>
        <c:lblAlgn val="ctr"/>
        <c:lblOffset val="100"/>
        <c:noMultiLvlLbl val="0"/>
      </c:catAx>
      <c:valAx>
        <c:axId val="125744256"/>
        <c:scaling>
          <c:orientation val="minMax"/>
        </c:scaling>
        <c:delete val="0"/>
        <c:axPos val="l"/>
        <c:majorGridlines>
          <c:spPr>
            <a:ln w="3175">
              <a:prstDash val="sysDot"/>
            </a:ln>
          </c:spPr>
        </c:majorGridlines>
        <c:numFmt formatCode="#,##0.00" sourceLinked="1"/>
        <c:majorTickMark val="out"/>
        <c:minorTickMark val="none"/>
        <c:tickLblPos val="nextTo"/>
        <c:crossAx val="125709696"/>
        <c:crosses val="autoZero"/>
        <c:crossBetween val="between"/>
      </c:valAx>
    </c:plotArea>
    <c:plotVisOnly val="1"/>
    <c:dispBlanksAs val="gap"/>
    <c:showDLblsOverMax val="0"/>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seiners'!$F$45</c:f>
          <c:strCache>
            <c:ptCount val="1"/>
            <c:pt idx="0">
              <c:v>Income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'NSWOS demersal seiners'!$D$2:$M$2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seiners'!$D$21:$M$21</c:f>
              <c:numCache>
                <c:formatCode>#,##0.00</c:formatCode>
                <c:ptCount val="10"/>
                <c:pt idx="0">
                  <c:v>6.7461402621889537</c:v>
                </c:pt>
                <c:pt idx="1">
                  <c:v>7.9907194733144618</c:v>
                </c:pt>
                <c:pt idx="2">
                  <c:v>7.2406251672475523</c:v>
                </c:pt>
                <c:pt idx="3">
                  <c:v>8.3584727442196698</c:v>
                </c:pt>
                <c:pt idx="4">
                  <c:v>7.7135028978177269</c:v>
                </c:pt>
                <c:pt idx="5">
                  <c:v>9.0628645780269643</c:v>
                </c:pt>
                <c:pt idx="6">
                  <c:v>12.553956221366455</c:v>
                </c:pt>
                <c:pt idx="7">
                  <c:v>14.207266595173133</c:v>
                </c:pt>
                <c:pt idx="8">
                  <c:v>12.584720334668173</c:v>
                </c:pt>
                <c:pt idx="9">
                  <c:v>15.810610914587654</c:v>
                </c:pt>
              </c:numCache>
            </c:numRef>
          </c:val>
          <c:smooth val="0"/>
        </c:ser>
        <c:dLbls>
          <c:showLegendKey val="0"/>
          <c:showVal val="0"/>
          <c:showCatName val="0"/>
          <c:showSerName val="0"/>
          <c:showPercent val="0"/>
          <c:showBubbleSize val="0"/>
        </c:dLbls>
        <c:marker val="1"/>
        <c:smooth val="0"/>
        <c:axId val="129307776"/>
        <c:axId val="129309312"/>
      </c:lineChart>
      <c:catAx>
        <c:axId val="129307776"/>
        <c:scaling>
          <c:orientation val="minMax"/>
        </c:scaling>
        <c:delete val="0"/>
        <c:axPos val="b"/>
        <c:numFmt formatCode="General" sourceLinked="1"/>
        <c:majorTickMark val="out"/>
        <c:minorTickMark val="none"/>
        <c:tickLblPos val="nextTo"/>
        <c:crossAx val="129309312"/>
        <c:crosses val="autoZero"/>
        <c:auto val="1"/>
        <c:lblAlgn val="ctr"/>
        <c:lblOffset val="100"/>
        <c:noMultiLvlLbl val="0"/>
      </c:catAx>
      <c:valAx>
        <c:axId val="129309312"/>
        <c:scaling>
          <c:orientation val="minMax"/>
        </c:scaling>
        <c:delete val="0"/>
        <c:axPos val="l"/>
        <c:majorGridlines>
          <c:spPr>
            <a:ln w="3175">
              <a:prstDash val="sysDot"/>
            </a:ln>
          </c:spPr>
        </c:majorGridlines>
        <c:numFmt formatCode="#,##0.00" sourceLinked="1"/>
        <c:majorTickMark val="out"/>
        <c:minorTickMark val="none"/>
        <c:tickLblPos val="nextTo"/>
        <c:crossAx val="129307776"/>
        <c:crosses val="autoZero"/>
        <c:crossBetween val="between"/>
      </c:valAx>
    </c:plotArea>
    <c:plotVisOnly val="1"/>
    <c:dispBlanksAs val="gap"/>
    <c:showDLblsOverMax val="0"/>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seiners'!$K$45</c:f>
          <c:strCache>
            <c:ptCount val="1"/>
            <c:pt idx="0">
              <c:v>Operating profit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'NSWOS demersal seiners'!$D$2:$M$2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seiners'!$D$23:$M$23</c:f>
              <c:numCache>
                <c:formatCode>#,##0.00</c:formatCode>
                <c:ptCount val="10"/>
                <c:pt idx="0">
                  <c:v>1.2665127675321548</c:v>
                </c:pt>
                <c:pt idx="1">
                  <c:v>1.6890082982922525</c:v>
                </c:pt>
                <c:pt idx="2">
                  <c:v>1.3890339642694183</c:v>
                </c:pt>
                <c:pt idx="3">
                  <c:v>0.85477002418271153</c:v>
                </c:pt>
                <c:pt idx="4">
                  <c:v>0.97463903514198225</c:v>
                </c:pt>
                <c:pt idx="5">
                  <c:v>1.6350978884067342</c:v>
                </c:pt>
                <c:pt idx="6">
                  <c:v>3.108239320997586</c:v>
                </c:pt>
                <c:pt idx="7">
                  <c:v>2.704771212272393</c:v>
                </c:pt>
                <c:pt idx="8">
                  <c:v>1.3768866297498261</c:v>
                </c:pt>
                <c:pt idx="9">
                  <c:v>1.8567886627068317</c:v>
                </c:pt>
              </c:numCache>
            </c:numRef>
          </c:val>
          <c:smooth val="0"/>
        </c:ser>
        <c:dLbls>
          <c:showLegendKey val="0"/>
          <c:showVal val="0"/>
          <c:showCatName val="0"/>
          <c:showSerName val="0"/>
          <c:showPercent val="0"/>
          <c:showBubbleSize val="0"/>
        </c:dLbls>
        <c:marker val="1"/>
        <c:smooth val="0"/>
        <c:axId val="129325696"/>
        <c:axId val="129347968"/>
      </c:lineChart>
      <c:catAx>
        <c:axId val="129325696"/>
        <c:scaling>
          <c:orientation val="minMax"/>
        </c:scaling>
        <c:delete val="0"/>
        <c:axPos val="b"/>
        <c:numFmt formatCode="General" sourceLinked="1"/>
        <c:majorTickMark val="out"/>
        <c:minorTickMark val="none"/>
        <c:tickLblPos val="nextTo"/>
        <c:crossAx val="129347968"/>
        <c:crosses val="autoZero"/>
        <c:auto val="1"/>
        <c:lblAlgn val="ctr"/>
        <c:lblOffset val="100"/>
        <c:noMultiLvlLbl val="0"/>
      </c:catAx>
      <c:valAx>
        <c:axId val="129347968"/>
        <c:scaling>
          <c:orientation val="minMax"/>
        </c:scaling>
        <c:delete val="0"/>
        <c:axPos val="l"/>
        <c:majorGridlines>
          <c:spPr>
            <a:ln w="3175">
              <a:prstDash val="sysDot"/>
            </a:ln>
          </c:spPr>
        </c:majorGridlines>
        <c:numFmt formatCode="#,##0.00" sourceLinked="1"/>
        <c:majorTickMark val="out"/>
        <c:minorTickMark val="none"/>
        <c:tickLblPos val="nextTo"/>
        <c:crossAx val="12932569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seiners'!$B$59</c:f>
          <c:strCache>
            <c:ptCount val="1"/>
            <c:pt idx="0">
              <c:v>Total cost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'NSWOS demersal seiners'!$D$2:$M$2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seiners'!$D$22:$M$22</c:f>
              <c:numCache>
                <c:formatCode>#,##0.00</c:formatCode>
                <c:ptCount val="10"/>
                <c:pt idx="0">
                  <c:v>5.4796274946567998</c:v>
                </c:pt>
                <c:pt idx="1">
                  <c:v>6.3017111750222092</c:v>
                </c:pt>
                <c:pt idx="2">
                  <c:v>5.8515912029781347</c:v>
                </c:pt>
                <c:pt idx="3">
                  <c:v>7.5037027200369666</c:v>
                </c:pt>
                <c:pt idx="4">
                  <c:v>6.7388638626757444</c:v>
                </c:pt>
                <c:pt idx="5">
                  <c:v>7.4277666896202383</c:v>
                </c:pt>
                <c:pt idx="6">
                  <c:v>9.445716900368831</c:v>
                </c:pt>
                <c:pt idx="7">
                  <c:v>11.502495382900682</c:v>
                </c:pt>
                <c:pt idx="8">
                  <c:v>11.207833704918327</c:v>
                </c:pt>
                <c:pt idx="9">
                  <c:v>13.953822251880863</c:v>
                </c:pt>
              </c:numCache>
            </c:numRef>
          </c:val>
          <c:smooth val="0"/>
        </c:ser>
        <c:dLbls>
          <c:showLegendKey val="0"/>
          <c:showVal val="0"/>
          <c:showCatName val="0"/>
          <c:showSerName val="0"/>
          <c:showPercent val="0"/>
          <c:showBubbleSize val="0"/>
        </c:dLbls>
        <c:marker val="1"/>
        <c:smooth val="0"/>
        <c:axId val="129372544"/>
        <c:axId val="129374080"/>
      </c:lineChart>
      <c:catAx>
        <c:axId val="129372544"/>
        <c:scaling>
          <c:orientation val="minMax"/>
        </c:scaling>
        <c:delete val="0"/>
        <c:axPos val="b"/>
        <c:numFmt formatCode="General" sourceLinked="1"/>
        <c:majorTickMark val="out"/>
        <c:minorTickMark val="none"/>
        <c:tickLblPos val="nextTo"/>
        <c:crossAx val="129374080"/>
        <c:crosses val="autoZero"/>
        <c:auto val="1"/>
        <c:lblAlgn val="ctr"/>
        <c:lblOffset val="100"/>
        <c:noMultiLvlLbl val="0"/>
      </c:catAx>
      <c:valAx>
        <c:axId val="129374080"/>
        <c:scaling>
          <c:orientation val="minMax"/>
        </c:scaling>
        <c:delete val="0"/>
        <c:axPos val="l"/>
        <c:majorGridlines>
          <c:spPr>
            <a:ln w="3175">
              <a:prstDash val="sysDot"/>
            </a:ln>
          </c:spPr>
        </c:majorGridlines>
        <c:numFmt formatCode="#,##0.00" sourceLinked="1"/>
        <c:majorTickMark val="out"/>
        <c:minorTickMark val="none"/>
        <c:tickLblPos val="nextTo"/>
        <c:crossAx val="129372544"/>
        <c:crosses val="autoZero"/>
        <c:crossBetween val="between"/>
      </c:valAx>
    </c:plotArea>
    <c:plotVisOnly val="1"/>
    <c:dispBlanksAs val="gap"/>
    <c:showDLblsOverMax val="0"/>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seiners'!$F$59</c:f>
          <c:strCache>
            <c:ptCount val="1"/>
            <c:pt idx="0">
              <c:v>Average price per tonne landed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'NSWOS demersal seiners'!$D$2:$M$2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seiners'!$D$19:$M$19</c:f>
              <c:numCache>
                <c:formatCode>#,##0</c:formatCode>
                <c:ptCount val="10"/>
                <c:pt idx="0">
                  <c:v>896.77374920057366</c:v>
                </c:pt>
                <c:pt idx="1">
                  <c:v>1238.192660520077</c:v>
                </c:pt>
                <c:pt idx="2">
                  <c:v>1349.904971983513</c:v>
                </c:pt>
                <c:pt idx="3">
                  <c:v>1298.7842876816155</c:v>
                </c:pt>
                <c:pt idx="4">
                  <c:v>1117.6871051811877</c:v>
                </c:pt>
                <c:pt idx="5">
                  <c:v>1348.2289547964101</c:v>
                </c:pt>
                <c:pt idx="6">
                  <c:v>1468.4311877351295</c:v>
                </c:pt>
                <c:pt idx="7">
                  <c:v>1274.0325568715255</c:v>
                </c:pt>
                <c:pt idx="8">
                  <c:v>1276.2344413317705</c:v>
                </c:pt>
                <c:pt idx="9">
                  <c:v>1434.1760863278462</c:v>
                </c:pt>
              </c:numCache>
            </c:numRef>
          </c:val>
          <c:smooth val="0"/>
        </c:ser>
        <c:dLbls>
          <c:showLegendKey val="0"/>
          <c:showVal val="0"/>
          <c:showCatName val="0"/>
          <c:showSerName val="0"/>
          <c:showPercent val="0"/>
          <c:showBubbleSize val="0"/>
        </c:dLbls>
        <c:marker val="1"/>
        <c:smooth val="0"/>
        <c:axId val="129386368"/>
        <c:axId val="129387904"/>
      </c:lineChart>
      <c:catAx>
        <c:axId val="129386368"/>
        <c:scaling>
          <c:orientation val="minMax"/>
        </c:scaling>
        <c:delete val="0"/>
        <c:axPos val="b"/>
        <c:numFmt formatCode="General" sourceLinked="1"/>
        <c:majorTickMark val="out"/>
        <c:minorTickMark val="none"/>
        <c:tickLblPos val="nextTo"/>
        <c:crossAx val="129387904"/>
        <c:crosses val="autoZero"/>
        <c:auto val="1"/>
        <c:lblAlgn val="ctr"/>
        <c:lblOffset val="100"/>
        <c:noMultiLvlLbl val="0"/>
      </c:catAx>
      <c:valAx>
        <c:axId val="129387904"/>
        <c:scaling>
          <c:orientation val="minMax"/>
        </c:scaling>
        <c:delete val="0"/>
        <c:axPos val="l"/>
        <c:majorGridlines>
          <c:spPr>
            <a:ln w="3175">
              <a:prstDash val="sysDot"/>
            </a:ln>
          </c:spPr>
        </c:majorGridlines>
        <c:numFmt formatCode="#,##0" sourceLinked="1"/>
        <c:majorTickMark val="out"/>
        <c:minorTickMark val="none"/>
        <c:tickLblPos val="nextTo"/>
        <c:crossAx val="129386368"/>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o250kW'!$K$59</c:f>
          <c:strCache>
            <c:ptCount val="1"/>
            <c:pt idx="0">
              <c:v>Average annual operating profit per vessel (£'000)
Area VIIA nephrops over 250kW</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'Area VIIa nephrops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o250kW'!$D$34:$M$34</c:f>
              <c:numCache>
                <c:formatCode>#,##0.0</c:formatCode>
                <c:ptCount val="10"/>
                <c:pt idx="0">
                  <c:v>35.4</c:v>
                </c:pt>
                <c:pt idx="1">
                  <c:v>39.6</c:v>
                </c:pt>
                <c:pt idx="2">
                  <c:v>54.5</c:v>
                </c:pt>
                <c:pt idx="3">
                  <c:v>59</c:v>
                </c:pt>
                <c:pt idx="4">
                  <c:v>40.1</c:v>
                </c:pt>
                <c:pt idx="5">
                  <c:v>34.799999999999997</c:v>
                </c:pt>
                <c:pt idx="6">
                  <c:v>52.5</c:v>
                </c:pt>
                <c:pt idx="7">
                  <c:v>69.900000000000006</c:v>
                </c:pt>
                <c:pt idx="8">
                  <c:v>46.6</c:v>
                </c:pt>
                <c:pt idx="9">
                  <c:v>57.3</c:v>
                </c:pt>
              </c:numCache>
            </c:numRef>
          </c:val>
          <c:smooth val="0"/>
        </c:ser>
        <c:dLbls>
          <c:showLegendKey val="0"/>
          <c:showVal val="0"/>
          <c:showCatName val="0"/>
          <c:showSerName val="0"/>
          <c:showPercent val="0"/>
          <c:showBubbleSize val="0"/>
        </c:dLbls>
        <c:marker val="1"/>
        <c:smooth val="0"/>
        <c:axId val="105472384"/>
        <c:axId val="105473920"/>
      </c:lineChart>
      <c:catAx>
        <c:axId val="105472384"/>
        <c:scaling>
          <c:orientation val="minMax"/>
        </c:scaling>
        <c:delete val="0"/>
        <c:axPos val="b"/>
        <c:numFmt formatCode="General" sourceLinked="1"/>
        <c:majorTickMark val="out"/>
        <c:minorTickMark val="none"/>
        <c:tickLblPos val="nextTo"/>
        <c:crossAx val="105473920"/>
        <c:crosses val="autoZero"/>
        <c:auto val="1"/>
        <c:lblAlgn val="ctr"/>
        <c:lblOffset val="100"/>
        <c:noMultiLvlLbl val="0"/>
      </c:catAx>
      <c:valAx>
        <c:axId val="105473920"/>
        <c:scaling>
          <c:orientation val="minMax"/>
        </c:scaling>
        <c:delete val="0"/>
        <c:axPos val="l"/>
        <c:majorGridlines>
          <c:spPr>
            <a:ln w="3175">
              <a:prstDash val="sysDot"/>
            </a:ln>
          </c:spPr>
        </c:majorGridlines>
        <c:numFmt formatCode="#,##0.0" sourceLinked="1"/>
        <c:majorTickMark val="out"/>
        <c:minorTickMark val="none"/>
        <c:tickLblPos val="nextTo"/>
        <c:crossAx val="105472384"/>
        <c:crosses val="autoZero"/>
        <c:crossBetween val="between"/>
      </c:valAx>
    </c:plotArea>
    <c:plotVisOnly val="1"/>
    <c:dispBlanksAs val="gap"/>
    <c:showDLblsOverMax val="0"/>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seiners'!$K$59</c:f>
          <c:strCache>
            <c:ptCount val="1"/>
            <c:pt idx="0">
              <c:v>Average annual operating profit per vessel (£'000)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'NSWOS demersal seiners'!$D$2:$M$2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seiners'!$D$34:$M$34</c:f>
              <c:numCache>
                <c:formatCode>#,##0.0</c:formatCode>
                <c:ptCount val="10"/>
                <c:pt idx="0">
                  <c:v>97.045777130608116</c:v>
                </c:pt>
                <c:pt idx="1">
                  <c:v>117.44738906138456</c:v>
                </c:pt>
                <c:pt idx="2">
                  <c:v>100.97009738582787</c:v>
                </c:pt>
                <c:pt idx="3">
                  <c:v>54.38260572475675</c:v>
                </c:pt>
                <c:pt idx="4">
                  <c:v>66.731721069516183</c:v>
                </c:pt>
                <c:pt idx="5">
                  <c:v>114.25189051210759</c:v>
                </c:pt>
                <c:pt idx="6">
                  <c:v>207.79999035986765</c:v>
                </c:pt>
                <c:pt idx="7">
                  <c:v>159.57328644045083</c:v>
                </c:pt>
                <c:pt idx="8">
                  <c:v>103.04250218748838</c:v>
                </c:pt>
                <c:pt idx="9">
                  <c:v>115.29999955204184</c:v>
                </c:pt>
              </c:numCache>
            </c:numRef>
          </c:val>
          <c:smooth val="0"/>
        </c:ser>
        <c:dLbls>
          <c:showLegendKey val="0"/>
          <c:showVal val="0"/>
          <c:showCatName val="0"/>
          <c:showSerName val="0"/>
          <c:showPercent val="0"/>
          <c:showBubbleSize val="0"/>
        </c:dLbls>
        <c:marker val="1"/>
        <c:smooth val="0"/>
        <c:axId val="129420672"/>
        <c:axId val="129438848"/>
      </c:lineChart>
      <c:catAx>
        <c:axId val="129420672"/>
        <c:scaling>
          <c:orientation val="minMax"/>
        </c:scaling>
        <c:delete val="0"/>
        <c:axPos val="b"/>
        <c:numFmt formatCode="General" sourceLinked="1"/>
        <c:majorTickMark val="out"/>
        <c:minorTickMark val="none"/>
        <c:tickLblPos val="nextTo"/>
        <c:crossAx val="129438848"/>
        <c:crosses val="autoZero"/>
        <c:auto val="1"/>
        <c:lblAlgn val="ctr"/>
        <c:lblOffset val="100"/>
        <c:noMultiLvlLbl val="0"/>
      </c:catAx>
      <c:valAx>
        <c:axId val="129438848"/>
        <c:scaling>
          <c:orientation val="minMax"/>
        </c:scaling>
        <c:delete val="0"/>
        <c:axPos val="l"/>
        <c:majorGridlines>
          <c:spPr>
            <a:ln w="3175">
              <a:prstDash val="sysDot"/>
            </a:ln>
          </c:spPr>
        </c:majorGridlines>
        <c:numFmt formatCode="#,##0.0" sourceLinked="1"/>
        <c:majorTickMark val="out"/>
        <c:minorTickMark val="none"/>
        <c:tickLblPos val="nextTo"/>
        <c:crossAx val="129420672"/>
        <c:crosses val="autoZero"/>
        <c:crossBetween val="between"/>
      </c:valAx>
    </c:plotArea>
    <c:plotVisOnly val="1"/>
    <c:dispBlanksAs val="gap"/>
    <c:showDLblsOverMax val="0"/>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seiners'!$A$73</c:f>
          <c:strCache>
            <c:ptCount val="1"/>
            <c:pt idx="0">
              <c:v>Top 5 landed species by volume in 2013
NSWOS demersal seiners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607A2A"/>
              </a:solidFill>
              <a:ln>
                <a:solidFill>
                  <a:srgbClr val="FFFFFF"/>
                </a:solidFill>
              </a:ln>
            </c:spPr>
          </c:dPt>
          <c:dPt>
            <c:idx val="2"/>
            <c:bubble3D val="0"/>
            <c:spPr>
              <a:solidFill>
                <a:srgbClr val="4B3467"/>
              </a:solidFill>
              <a:ln>
                <a:solidFill>
                  <a:srgbClr val="FFFFFF"/>
                </a:solidFill>
              </a:ln>
            </c:spPr>
          </c:dPt>
          <c:dPt>
            <c:idx val="3"/>
            <c:bubble3D val="0"/>
            <c:spPr>
              <a:solidFill>
                <a:srgbClr val="7F2321"/>
              </a:solidFill>
              <a:ln>
                <a:solidFill>
                  <a:srgbClr val="FFFFFF"/>
                </a:solidFill>
              </a:ln>
            </c:spPr>
          </c:dPt>
          <c:dPt>
            <c:idx val="4"/>
            <c:bubble3D val="0"/>
            <c:spPr>
              <a:solidFill>
                <a:srgbClr val="769535"/>
              </a:solidFill>
              <a:ln>
                <a:solidFill>
                  <a:srgbClr val="FFFFFF"/>
                </a:solidFill>
              </a:ln>
            </c:spPr>
          </c:dPt>
          <c:dPt>
            <c:idx val="5"/>
            <c:bubble3D val="0"/>
            <c:spPr>
              <a:solidFill>
                <a:srgbClr val="008000"/>
              </a:solidFill>
              <a:ln>
                <a:solidFill>
                  <a:srgbClr val="FFFFFF"/>
                </a:solidFill>
              </a:ln>
            </c:spPr>
          </c:dPt>
          <c:cat>
            <c:strRef>
              <c:f>'NSWOS demersal seiners'!$B$74:$B$79</c:f>
              <c:strCache>
                <c:ptCount val="6"/>
                <c:pt idx="0">
                  <c:v>Haddock - 45.0%</c:v>
                </c:pt>
                <c:pt idx="1">
                  <c:v>Plaice - 14.7%</c:v>
                </c:pt>
                <c:pt idx="2">
                  <c:v>Whiting - 13.5%</c:v>
                </c:pt>
                <c:pt idx="3">
                  <c:v>Cod - 10.7%</c:v>
                </c:pt>
                <c:pt idx="4">
                  <c:v>Saithe - 3.3%</c:v>
                </c:pt>
                <c:pt idx="5">
                  <c:v>Others - 12.7%</c:v>
                </c:pt>
              </c:strCache>
            </c:strRef>
          </c:cat>
          <c:val>
            <c:numRef>
              <c:f>'NSWOS demersal seiners'!$C$74:$C$79</c:f>
              <c:numCache>
                <c:formatCode>0.0%</c:formatCode>
                <c:ptCount val="6"/>
                <c:pt idx="0">
                  <c:v>0.45044809510748063</c:v>
                </c:pt>
                <c:pt idx="1">
                  <c:v>0.14693758561137674</c:v>
                </c:pt>
                <c:pt idx="2">
                  <c:v>0.13520586317680383</c:v>
                </c:pt>
                <c:pt idx="3">
                  <c:v>0.1068275218741398</c:v>
                </c:pt>
                <c:pt idx="4">
                  <c:v>3.3279774323345016E-2</c:v>
                </c:pt>
                <c:pt idx="5">
                  <c:v>0.12730115990685398</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seiners'!$F$73</c:f>
          <c:strCache>
            <c:ptCount val="1"/>
            <c:pt idx="0">
              <c:v>Top 5 landed species by value in 2013
NSWOS demersal seiners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'NSWOS demersal seiners'!$G$74:$G$79</c:f>
              <c:strCache>
                <c:ptCount val="6"/>
                <c:pt idx="0">
                  <c:v>Haddock - 35.9%</c:v>
                </c:pt>
                <c:pt idx="1">
                  <c:v>Cod - 16.3%</c:v>
                </c:pt>
                <c:pt idx="2">
                  <c:v>Plaice - 11.2%</c:v>
                </c:pt>
                <c:pt idx="3">
                  <c:v>Whiting - 11.0%</c:v>
                </c:pt>
                <c:pt idx="4">
                  <c:v>Hake - 3.6%</c:v>
                </c:pt>
                <c:pt idx="5">
                  <c:v>Others - 22.2%</c:v>
                </c:pt>
              </c:strCache>
            </c:strRef>
          </c:cat>
          <c:val>
            <c:numRef>
              <c:f>'NSWOS demersal seiners'!$H$74:$H$79</c:f>
              <c:numCache>
                <c:formatCode>0.0%</c:formatCode>
                <c:ptCount val="6"/>
                <c:pt idx="0">
                  <c:v>0.35854171576488014</c:v>
                </c:pt>
                <c:pt idx="1">
                  <c:v>0.1625441883921111</c:v>
                </c:pt>
                <c:pt idx="2">
                  <c:v>0.11156753222353517</c:v>
                </c:pt>
                <c:pt idx="3">
                  <c:v>0.10986591861590007</c:v>
                </c:pt>
                <c:pt idx="4">
                  <c:v>3.562216500735306E-2</c:v>
                </c:pt>
                <c:pt idx="5">
                  <c:v>0.22185847999622033</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seiners'!$C$88</c:f>
              <c:strCache>
                <c:ptCount val="1"/>
                <c:pt idx="0">
                  <c:v>Haddock</c:v>
                </c:pt>
              </c:strCache>
            </c:strRef>
          </c:tx>
          <c:spPr>
            <a:solidFill>
              <a:srgbClr val="224B7D"/>
            </a:solidFill>
            <a:ln>
              <a:solidFill>
                <a:srgbClr val="FFFFFF"/>
              </a:solidFill>
            </a:ln>
          </c:spPr>
          <c:invertIfNegative val="0"/>
          <c:cat>
            <c:numRef>
              <c:f>'NSWOS demersal seiners'!$D$87:$M$87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seiners'!$D$88:$M$88</c:f>
              <c:numCache>
                <c:formatCode>0%</c:formatCode>
                <c:ptCount val="10"/>
                <c:pt idx="0">
                  <c:v>0.62516858183369517</c:v>
                </c:pt>
                <c:pt idx="1">
                  <c:v>0.56792746794160864</c:v>
                </c:pt>
                <c:pt idx="2">
                  <c:v>0.43017406217739818</c:v>
                </c:pt>
                <c:pt idx="3">
                  <c:v>0.35532241586649083</c:v>
                </c:pt>
                <c:pt idx="4">
                  <c:v>0.3842602355003748</c:v>
                </c:pt>
                <c:pt idx="5">
                  <c:v>0.33289640047773977</c:v>
                </c:pt>
                <c:pt idx="6">
                  <c:v>0.37758248825804036</c:v>
                </c:pt>
                <c:pt idx="7">
                  <c:v>0.38147252210795229</c:v>
                </c:pt>
                <c:pt idx="8">
                  <c:v>0.36465702389758881</c:v>
                </c:pt>
                <c:pt idx="9">
                  <c:v>0.40719357715661808</c:v>
                </c:pt>
              </c:numCache>
            </c:numRef>
          </c:val>
        </c:ser>
        <c:ser>
          <c:idx val="1"/>
          <c:order val="1"/>
          <c:tx>
            <c:strRef>
              <c:f>'NSWOS demersal seiners'!$C$89</c:f>
              <c:strCache>
                <c:ptCount val="1"/>
                <c:pt idx="0">
                  <c:v>Cod</c:v>
                </c:pt>
              </c:strCache>
            </c:strRef>
          </c:tx>
          <c:spPr>
            <a:solidFill>
              <a:srgbClr val="7F2321"/>
            </a:solidFill>
            <a:ln>
              <a:solidFill>
                <a:srgbClr val="FFFFFF"/>
              </a:solidFill>
            </a:ln>
          </c:spPr>
          <c:invertIfNegative val="0"/>
          <c:cat>
            <c:numRef>
              <c:f>'NSWOS demersal seiners'!$D$87:$M$87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seiners'!$D$89:$M$89</c:f>
              <c:numCache>
                <c:formatCode>0%</c:formatCode>
                <c:ptCount val="10"/>
                <c:pt idx="0">
                  <c:v>0.12514969679843699</c:v>
                </c:pt>
                <c:pt idx="1">
                  <c:v>0.12677616132144023</c:v>
                </c:pt>
                <c:pt idx="2">
                  <c:v>0.15214311343984241</c:v>
                </c:pt>
                <c:pt idx="3">
                  <c:v>0.15081471347622022</c:v>
                </c:pt>
                <c:pt idx="4">
                  <c:v>0.15633368383383089</c:v>
                </c:pt>
                <c:pt idx="5">
                  <c:v>0.20624596735444722</c:v>
                </c:pt>
                <c:pt idx="6">
                  <c:v>0.20371258322069924</c:v>
                </c:pt>
                <c:pt idx="7">
                  <c:v>0.2003919878524186</c:v>
                </c:pt>
                <c:pt idx="8">
                  <c:v>0.16531655142127294</c:v>
                </c:pt>
                <c:pt idx="9">
                  <c:v>0.15354555275183643</c:v>
                </c:pt>
              </c:numCache>
            </c:numRef>
          </c:val>
        </c:ser>
        <c:ser>
          <c:idx val="2"/>
          <c:order val="2"/>
          <c:tx>
            <c:strRef>
              <c:f>'NSWOS demersal seiners'!$C$90</c:f>
              <c:strCache>
                <c:ptCount val="1"/>
                <c:pt idx="0">
                  <c:v>Plaice</c:v>
                </c:pt>
              </c:strCache>
            </c:strRef>
          </c:tx>
          <c:spPr>
            <a:solidFill>
              <a:srgbClr val="607A2A"/>
            </a:solidFill>
            <a:ln>
              <a:solidFill>
                <a:srgbClr val="FFFFFF"/>
              </a:solidFill>
            </a:ln>
          </c:spPr>
          <c:invertIfNegative val="0"/>
          <c:cat>
            <c:numRef>
              <c:f>'NSWOS demersal seiners'!$D$87:$M$87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seiners'!$D$90:$M$90</c:f>
              <c:numCache>
                <c:formatCode>0%</c:formatCode>
                <c:ptCount val="10"/>
                <c:pt idx="1">
                  <c:v>2.8796243247421825E-2</c:v>
                </c:pt>
                <c:pt idx="2">
                  <c:v>5.4357714276280555E-2</c:v>
                </c:pt>
                <c:pt idx="3">
                  <c:v>6.2772076045825131E-2</c:v>
                </c:pt>
                <c:pt idx="4">
                  <c:v>8.2739580128057016E-2</c:v>
                </c:pt>
                <c:pt idx="5">
                  <c:v>0.103069658374861</c:v>
                </c:pt>
                <c:pt idx="6">
                  <c:v>7.3131749899964252E-2</c:v>
                </c:pt>
                <c:pt idx="7">
                  <c:v>0.10123614661667173</c:v>
                </c:pt>
                <c:pt idx="8">
                  <c:v>0.11347043447215449</c:v>
                </c:pt>
                <c:pt idx="9">
                  <c:v>9.2608187029014841E-2</c:v>
                </c:pt>
              </c:numCache>
            </c:numRef>
          </c:val>
        </c:ser>
        <c:ser>
          <c:idx val="3"/>
          <c:order val="3"/>
          <c:tx>
            <c:strRef>
              <c:f>'NSWOS demersal seiners'!$C$91</c:f>
              <c:strCache>
                <c:ptCount val="1"/>
                <c:pt idx="0">
                  <c:v>Whiting</c:v>
                </c:pt>
              </c:strCache>
            </c:strRef>
          </c:tx>
          <c:spPr>
            <a:solidFill>
              <a:srgbClr val="4B3467"/>
            </a:solidFill>
            <a:ln>
              <a:solidFill>
                <a:srgbClr val="FFFFFF"/>
              </a:solidFill>
            </a:ln>
          </c:spPr>
          <c:invertIfNegative val="0"/>
          <c:cat>
            <c:numRef>
              <c:f>'NSWOS demersal seiners'!$D$87:$M$87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seiners'!$D$91:$M$91</c:f>
              <c:numCache>
                <c:formatCode>0%</c:formatCode>
                <c:ptCount val="10"/>
                <c:pt idx="0">
                  <c:v>7.0714375993157427E-2</c:v>
                </c:pt>
                <c:pt idx="1">
                  <c:v>0.10205471819263749</c:v>
                </c:pt>
                <c:pt idx="2">
                  <c:v>0.13896938056650232</c:v>
                </c:pt>
                <c:pt idx="3">
                  <c:v>0.15608849569444566</c:v>
                </c:pt>
                <c:pt idx="4">
                  <c:v>0.13854907264570993</c:v>
                </c:pt>
                <c:pt idx="5">
                  <c:v>0.1189132191837239</c:v>
                </c:pt>
                <c:pt idx="6">
                  <c:v>0.13706984532495106</c:v>
                </c:pt>
                <c:pt idx="7">
                  <c:v>0.14246833808023796</c:v>
                </c:pt>
                <c:pt idx="8">
                  <c:v>0.11173979804492559</c:v>
                </c:pt>
                <c:pt idx="9">
                  <c:v>0.11401892846017569</c:v>
                </c:pt>
              </c:numCache>
            </c:numRef>
          </c:val>
        </c:ser>
        <c:ser>
          <c:idx val="4"/>
          <c:order val="4"/>
          <c:tx>
            <c:strRef>
              <c:f>'NSWOS demersal seiners'!$C$92</c:f>
              <c:strCache>
                <c:ptCount val="1"/>
                <c:pt idx="0">
                  <c:v>Hake</c:v>
                </c:pt>
              </c:strCache>
            </c:strRef>
          </c:tx>
          <c:spPr>
            <a:solidFill>
              <a:srgbClr val="9B2D2A"/>
            </a:solidFill>
            <a:ln>
              <a:solidFill>
                <a:srgbClr val="FFFFFF"/>
              </a:solidFill>
            </a:ln>
          </c:spPr>
          <c:invertIfNegative val="0"/>
          <c:cat>
            <c:numRef>
              <c:f>'NSWOS demersal seiners'!$D$87:$M$87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seiners'!$D$92:$M$92</c:f>
              <c:numCache>
                <c:formatCode>0%</c:formatCode>
                <c:ptCount val="10"/>
                <c:pt idx="8">
                  <c:v>3.622973870323231E-2</c:v>
                </c:pt>
              </c:numCache>
            </c:numRef>
          </c:val>
        </c:ser>
        <c:ser>
          <c:idx val="5"/>
          <c:order val="5"/>
          <c:tx>
            <c:strRef>
              <c:f>'NSWOS demersal seiners'!$C$93</c:f>
              <c:strCache>
                <c:ptCount val="1"/>
                <c:pt idx="0">
                  <c:v>Squid</c:v>
                </c:pt>
              </c:strCache>
            </c:strRef>
          </c:tx>
          <c:spPr>
            <a:solidFill>
              <a:srgbClr val="769535"/>
            </a:solidFill>
            <a:ln>
              <a:solidFill>
                <a:srgbClr val="FFFFFF"/>
              </a:solidFill>
            </a:ln>
          </c:spPr>
          <c:invertIfNegative val="0"/>
          <c:cat>
            <c:numRef>
              <c:f>'NSWOS demersal seiners'!$D$87:$M$87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seiners'!$D$93:$M$93</c:f>
              <c:numCache>
                <c:formatCode>0%</c:formatCode>
                <c:ptCount val="10"/>
                <c:pt idx="9">
                  <c:v>4.825056575451174E-2</c:v>
                </c:pt>
              </c:numCache>
            </c:numRef>
          </c:val>
        </c:ser>
        <c:ser>
          <c:idx val="6"/>
          <c:order val="6"/>
          <c:tx>
            <c:strRef>
              <c:f>'NSWOS demersal seiners'!$C$94</c:f>
              <c:strCache>
                <c:ptCount val="1"/>
                <c:pt idx="0">
                  <c:v>Megrim</c:v>
                </c:pt>
              </c:strCache>
            </c:strRef>
          </c:tx>
          <c:spPr>
            <a:solidFill>
              <a:srgbClr val="A85816"/>
            </a:solidFill>
            <a:ln>
              <a:solidFill>
                <a:srgbClr val="FFFFFF"/>
              </a:solidFill>
            </a:ln>
          </c:spPr>
          <c:invertIfNegative val="0"/>
          <c:cat>
            <c:numRef>
              <c:f>'NSWOS demersal seiners'!$D$87:$M$87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seiners'!$D$94:$M$94</c:f>
              <c:numCache>
                <c:formatCode>0%</c:formatCode>
                <c:ptCount val="10"/>
                <c:pt idx="3">
                  <c:v>7.1573897923854699E-2</c:v>
                </c:pt>
                <c:pt idx="4">
                  <c:v>5.8141057497905907E-2</c:v>
                </c:pt>
                <c:pt idx="5">
                  <c:v>5.446566588416183E-2</c:v>
                </c:pt>
                <c:pt idx="6">
                  <c:v>4.313218984875964E-2</c:v>
                </c:pt>
                <c:pt idx="7">
                  <c:v>3.4089741294132656E-2</c:v>
                </c:pt>
              </c:numCache>
            </c:numRef>
          </c:val>
        </c:ser>
        <c:ser>
          <c:idx val="7"/>
          <c:order val="7"/>
          <c:tx>
            <c:strRef>
              <c:f>'NSWOS demersal seiners'!$C$95</c:f>
              <c:strCache>
                <c:ptCount val="1"/>
                <c:pt idx="0">
                  <c:v>Anglerfish</c:v>
                </c:pt>
              </c:strCache>
            </c:strRef>
          </c:tx>
          <c:spPr>
            <a:solidFill>
              <a:srgbClr val="5D417E"/>
            </a:solidFill>
            <a:ln>
              <a:solidFill>
                <a:srgbClr val="FFFFFF"/>
              </a:solidFill>
            </a:ln>
          </c:spPr>
          <c:invertIfNegative val="0"/>
          <c:cat>
            <c:numRef>
              <c:f>'NSWOS demersal seiners'!$D$87:$M$87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seiners'!$D$95:$M$95</c:f>
              <c:numCache>
                <c:formatCode>0%</c:formatCode>
                <c:ptCount val="10"/>
                <c:pt idx="0">
                  <c:v>3.4949573085976522E-2</c:v>
                </c:pt>
                <c:pt idx="1">
                  <c:v>3.4103365756909122E-2</c:v>
                </c:pt>
                <c:pt idx="2">
                  <c:v>3.9124717045415036E-2</c:v>
                </c:pt>
              </c:numCache>
            </c:numRef>
          </c:val>
        </c:ser>
        <c:ser>
          <c:idx val="8"/>
          <c:order val="8"/>
          <c:tx>
            <c:strRef>
              <c:f>'NSWOS demersal seiners'!$C$96</c:f>
              <c:strCache>
                <c:ptCount val="1"/>
                <c:pt idx="0">
                  <c:v>Lemon Sole</c:v>
                </c:pt>
              </c:strCache>
            </c:strRef>
          </c:tx>
          <c:spPr>
            <a:solidFill>
              <a:srgbClr val="2787A0"/>
            </a:solidFill>
            <a:ln>
              <a:solidFill>
                <a:srgbClr val="FFFFFF"/>
              </a:solidFill>
            </a:ln>
          </c:spPr>
          <c:invertIfNegative val="0"/>
          <c:cat>
            <c:numRef>
              <c:f>'NSWOS demersal seiners'!$D$87:$M$87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seiners'!$D$96:$M$96</c:f>
              <c:numCache>
                <c:formatCode>0%</c:formatCode>
                <c:ptCount val="10"/>
                <c:pt idx="0">
                  <c:v>2.1962442211985605E-2</c:v>
                </c:pt>
              </c:numCache>
            </c:numRef>
          </c:val>
        </c:ser>
        <c:ser>
          <c:idx val="9"/>
          <c:order val="9"/>
          <c:tx>
            <c:strRef>
              <c:f>'NSWOS demersal seiners'!$C$97</c:f>
              <c:strCache>
                <c:ptCount val="1"/>
                <c:pt idx="0">
                  <c:v>Others</c:v>
                </c:pt>
              </c:strCache>
            </c:strRef>
          </c:tx>
          <c:spPr>
            <a:solidFill>
              <a:srgbClr val="008000"/>
            </a:solidFill>
            <a:ln>
              <a:solidFill>
                <a:srgbClr val="FFFFFF"/>
              </a:solidFill>
            </a:ln>
          </c:spPr>
          <c:invertIfNegative val="0"/>
          <c:cat>
            <c:numRef>
              <c:f>'NSWOS demersal seiners'!$D$87:$M$87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seiners'!$D$97:$M$97</c:f>
              <c:numCache>
                <c:formatCode>0%</c:formatCode>
                <c:ptCount val="10"/>
                <c:pt idx="0">
                  <c:v>0.12205533007674832</c:v>
                </c:pt>
                <c:pt idx="1">
                  <c:v>0.1403420435399827</c:v>
                </c:pt>
                <c:pt idx="2">
                  <c:v>0.1852310124945615</c:v>
                </c:pt>
                <c:pt idx="3">
                  <c:v>0.20342840099316348</c:v>
                </c:pt>
                <c:pt idx="4">
                  <c:v>0.17997637039412143</c:v>
                </c:pt>
                <c:pt idx="5">
                  <c:v>0.18440908872506623</c:v>
                </c:pt>
                <c:pt idx="6">
                  <c:v>0.16537114344758547</c:v>
                </c:pt>
                <c:pt idx="7">
                  <c:v>0.14034126404858674</c:v>
                </c:pt>
                <c:pt idx="8">
                  <c:v>0.20858645346082588</c:v>
                </c:pt>
                <c:pt idx="9">
                  <c:v>0.18438318884784322</c:v>
                </c:pt>
              </c:numCache>
            </c:numRef>
          </c:val>
        </c:ser>
        <c:dLbls>
          <c:showLegendKey val="0"/>
          <c:showVal val="0"/>
          <c:showCatName val="0"/>
          <c:showSerName val="0"/>
          <c:showPercent val="0"/>
          <c:showBubbleSize val="0"/>
        </c:dLbls>
        <c:gapWidth val="150"/>
        <c:overlap val="100"/>
        <c:axId val="129746432"/>
        <c:axId val="129747968"/>
      </c:barChart>
      <c:catAx>
        <c:axId val="129746432"/>
        <c:scaling>
          <c:orientation val="minMax"/>
        </c:scaling>
        <c:delete val="0"/>
        <c:axPos val="b"/>
        <c:numFmt formatCode="General" sourceLinked="1"/>
        <c:majorTickMark val="out"/>
        <c:minorTickMark val="none"/>
        <c:tickLblPos val="nextTo"/>
        <c:crossAx val="129747968"/>
        <c:crosses val="autoZero"/>
        <c:auto val="1"/>
        <c:lblAlgn val="ctr"/>
        <c:lblOffset val="100"/>
        <c:noMultiLvlLbl val="0"/>
      </c:catAx>
      <c:valAx>
        <c:axId val="129747968"/>
        <c:scaling>
          <c:orientation val="minMax"/>
          <c:max val="1"/>
          <c:min val="0"/>
        </c:scaling>
        <c:delete val="0"/>
        <c:axPos val="l"/>
        <c:majorGridlines/>
        <c:numFmt formatCode="0%" sourceLinked="1"/>
        <c:majorTickMark val="out"/>
        <c:minorTickMark val="none"/>
        <c:tickLblPos val="nextTo"/>
        <c:crossAx val="12974643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o300kW'!$A$45</c:f>
          <c:strCache>
            <c:ptCount val="1"/>
            <c:pt idx="0">
              <c:v>Landings per kW day at sea (kg)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'NSWOS demersal u24m o300kW'!$D$2:$M$2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o300kW'!$D$20:$M$20</c:f>
              <c:numCache>
                <c:formatCode>#,##0.00</c:formatCode>
                <c:ptCount val="10"/>
                <c:pt idx="0">
                  <c:v>4.0815088676211388</c:v>
                </c:pt>
                <c:pt idx="1">
                  <c:v>4.356461707710265</c:v>
                </c:pt>
                <c:pt idx="2">
                  <c:v>4.3367746217505356</c:v>
                </c:pt>
                <c:pt idx="3">
                  <c:v>4.3612152230743675</c:v>
                </c:pt>
                <c:pt idx="4">
                  <c:v>4.0738152993348011</c:v>
                </c:pt>
                <c:pt idx="5">
                  <c:v>4.4024992312003652</c:v>
                </c:pt>
                <c:pt idx="6">
                  <c:v>4.6638659096628086</c:v>
                </c:pt>
                <c:pt idx="7">
                  <c:v>4.462573679302678</c:v>
                </c:pt>
                <c:pt idx="8">
                  <c:v>5.3758642659479952</c:v>
                </c:pt>
                <c:pt idx="9">
                  <c:v>5.5208159370161072</c:v>
                </c:pt>
              </c:numCache>
            </c:numRef>
          </c:val>
          <c:smooth val="0"/>
        </c:ser>
        <c:dLbls>
          <c:showLegendKey val="0"/>
          <c:showVal val="0"/>
          <c:showCatName val="0"/>
          <c:showSerName val="0"/>
          <c:showPercent val="0"/>
          <c:showBubbleSize val="0"/>
        </c:dLbls>
        <c:marker val="1"/>
        <c:smooth val="0"/>
        <c:axId val="45630592"/>
        <c:axId val="45632128"/>
      </c:lineChart>
      <c:catAx>
        <c:axId val="45630592"/>
        <c:scaling>
          <c:orientation val="minMax"/>
        </c:scaling>
        <c:delete val="0"/>
        <c:axPos val="b"/>
        <c:numFmt formatCode="General" sourceLinked="1"/>
        <c:majorTickMark val="out"/>
        <c:minorTickMark val="none"/>
        <c:tickLblPos val="nextTo"/>
        <c:crossAx val="45632128"/>
        <c:crosses val="autoZero"/>
        <c:auto val="1"/>
        <c:lblAlgn val="ctr"/>
        <c:lblOffset val="100"/>
        <c:noMultiLvlLbl val="0"/>
      </c:catAx>
      <c:valAx>
        <c:axId val="45632128"/>
        <c:scaling>
          <c:orientation val="minMax"/>
        </c:scaling>
        <c:delete val="0"/>
        <c:axPos val="l"/>
        <c:majorGridlines>
          <c:spPr>
            <a:ln w="3175">
              <a:prstDash val="sysDot"/>
            </a:ln>
          </c:spPr>
        </c:majorGridlines>
        <c:numFmt formatCode="#,##0.00" sourceLinked="1"/>
        <c:majorTickMark val="out"/>
        <c:minorTickMark val="none"/>
        <c:tickLblPos val="nextTo"/>
        <c:crossAx val="45630592"/>
        <c:crosses val="autoZero"/>
        <c:crossBetween val="between"/>
      </c:valAx>
    </c:plotArea>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o300kW'!$F$45</c:f>
          <c:strCache>
            <c:ptCount val="1"/>
            <c:pt idx="0">
              <c:v>Income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'NSWOS demersal u24m o300kW'!$D$2:$M$2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o300kW'!$D$21:$M$21</c:f>
              <c:numCache>
                <c:formatCode>#,##0.00</c:formatCode>
                <c:ptCount val="10"/>
                <c:pt idx="0">
                  <c:v>5.3607682972482129</c:v>
                </c:pt>
                <c:pt idx="1">
                  <c:v>6.9936786242291413</c:v>
                </c:pt>
                <c:pt idx="2">
                  <c:v>7.7071154316465869</c:v>
                </c:pt>
                <c:pt idx="3">
                  <c:v>7.8575240036119665</c:v>
                </c:pt>
                <c:pt idx="4">
                  <c:v>7.0087427004767413</c:v>
                </c:pt>
                <c:pt idx="5">
                  <c:v>7.9629907236315942</c:v>
                </c:pt>
                <c:pt idx="6">
                  <c:v>9.7094388877051987</c:v>
                </c:pt>
                <c:pt idx="7">
                  <c:v>8.411834153368055</c:v>
                </c:pt>
                <c:pt idx="8">
                  <c:v>8.6939077757909757</c:v>
                </c:pt>
                <c:pt idx="9">
                  <c:v>10.175697139774757</c:v>
                </c:pt>
              </c:numCache>
            </c:numRef>
          </c:val>
          <c:smooth val="0"/>
        </c:ser>
        <c:dLbls>
          <c:showLegendKey val="0"/>
          <c:showVal val="0"/>
          <c:showCatName val="0"/>
          <c:showSerName val="0"/>
          <c:showPercent val="0"/>
          <c:showBubbleSize val="0"/>
        </c:dLbls>
        <c:marker val="1"/>
        <c:smooth val="0"/>
        <c:axId val="45648512"/>
        <c:axId val="45662592"/>
      </c:lineChart>
      <c:catAx>
        <c:axId val="45648512"/>
        <c:scaling>
          <c:orientation val="minMax"/>
        </c:scaling>
        <c:delete val="0"/>
        <c:axPos val="b"/>
        <c:numFmt formatCode="General" sourceLinked="1"/>
        <c:majorTickMark val="out"/>
        <c:minorTickMark val="none"/>
        <c:tickLblPos val="nextTo"/>
        <c:crossAx val="45662592"/>
        <c:crosses val="autoZero"/>
        <c:auto val="1"/>
        <c:lblAlgn val="ctr"/>
        <c:lblOffset val="100"/>
        <c:noMultiLvlLbl val="0"/>
      </c:catAx>
      <c:valAx>
        <c:axId val="45662592"/>
        <c:scaling>
          <c:orientation val="minMax"/>
        </c:scaling>
        <c:delete val="0"/>
        <c:axPos val="l"/>
        <c:majorGridlines>
          <c:spPr>
            <a:ln w="3175">
              <a:prstDash val="sysDot"/>
            </a:ln>
          </c:spPr>
        </c:majorGridlines>
        <c:numFmt formatCode="#,##0.00" sourceLinked="1"/>
        <c:majorTickMark val="out"/>
        <c:minorTickMark val="none"/>
        <c:tickLblPos val="nextTo"/>
        <c:crossAx val="45648512"/>
        <c:crosses val="autoZero"/>
        <c:crossBetween val="between"/>
      </c:valAx>
    </c:plotArea>
    <c:plotVisOnly val="1"/>
    <c:dispBlanksAs val="gap"/>
    <c:showDLblsOverMax val="0"/>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o300kW'!$K$45</c:f>
          <c:strCache>
            <c:ptCount val="1"/>
            <c:pt idx="0">
              <c:v>Operating profit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'NSWOS demersal u24m o300kW'!$D$2:$M$2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o300kW'!$D$23:$M$23</c:f>
              <c:numCache>
                <c:formatCode>#,##0.00</c:formatCode>
                <c:ptCount val="10"/>
                <c:pt idx="0">
                  <c:v>0.69732639564918775</c:v>
                </c:pt>
                <c:pt idx="1">
                  <c:v>1.2521758845075313</c:v>
                </c:pt>
                <c:pt idx="2">
                  <c:v>1.6957371083244126</c:v>
                </c:pt>
                <c:pt idx="3">
                  <c:v>1.1685562097163258</c:v>
                </c:pt>
                <c:pt idx="4">
                  <c:v>0.73032336471958215</c:v>
                </c:pt>
                <c:pt idx="5">
                  <c:v>1.3095250680134169</c:v>
                </c:pt>
                <c:pt idx="6">
                  <c:v>1.5675748163661796</c:v>
                </c:pt>
                <c:pt idx="7">
                  <c:v>1.039403585527521</c:v>
                </c:pt>
                <c:pt idx="8">
                  <c:v>1.8385904617201088</c:v>
                </c:pt>
                <c:pt idx="9">
                  <c:v>2.4542431764198391</c:v>
                </c:pt>
              </c:numCache>
            </c:numRef>
          </c:val>
          <c:smooth val="0"/>
        </c:ser>
        <c:dLbls>
          <c:showLegendKey val="0"/>
          <c:showVal val="0"/>
          <c:showCatName val="0"/>
          <c:showSerName val="0"/>
          <c:showPercent val="0"/>
          <c:showBubbleSize val="0"/>
        </c:dLbls>
        <c:marker val="1"/>
        <c:smooth val="0"/>
        <c:axId val="81338752"/>
        <c:axId val="81340288"/>
      </c:lineChart>
      <c:catAx>
        <c:axId val="81338752"/>
        <c:scaling>
          <c:orientation val="minMax"/>
        </c:scaling>
        <c:delete val="0"/>
        <c:axPos val="b"/>
        <c:numFmt formatCode="General" sourceLinked="1"/>
        <c:majorTickMark val="out"/>
        <c:minorTickMark val="none"/>
        <c:tickLblPos val="nextTo"/>
        <c:crossAx val="81340288"/>
        <c:crosses val="autoZero"/>
        <c:auto val="1"/>
        <c:lblAlgn val="ctr"/>
        <c:lblOffset val="100"/>
        <c:noMultiLvlLbl val="0"/>
      </c:catAx>
      <c:valAx>
        <c:axId val="81340288"/>
        <c:scaling>
          <c:orientation val="minMax"/>
        </c:scaling>
        <c:delete val="0"/>
        <c:axPos val="l"/>
        <c:majorGridlines>
          <c:spPr>
            <a:ln w="3175">
              <a:prstDash val="sysDot"/>
            </a:ln>
          </c:spPr>
        </c:majorGridlines>
        <c:numFmt formatCode="#,##0.00" sourceLinked="1"/>
        <c:majorTickMark val="out"/>
        <c:minorTickMark val="none"/>
        <c:tickLblPos val="nextTo"/>
        <c:crossAx val="8133875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o300kW'!$B$59</c:f>
          <c:strCache>
            <c:ptCount val="1"/>
            <c:pt idx="0">
              <c:v>Total cost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'NSWOS demersal u24m o300kW'!$D$2:$M$2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o300kW'!$D$22:$M$22</c:f>
              <c:numCache>
                <c:formatCode>#,##0.00</c:formatCode>
                <c:ptCount val="10"/>
                <c:pt idx="0">
                  <c:v>4.6634419015990263</c:v>
                </c:pt>
                <c:pt idx="1">
                  <c:v>5.7415027397216027</c:v>
                </c:pt>
                <c:pt idx="2">
                  <c:v>6.0113783233221749</c:v>
                </c:pt>
                <c:pt idx="3">
                  <c:v>6.6889677938956407</c:v>
                </c:pt>
                <c:pt idx="4">
                  <c:v>6.2784193357571541</c:v>
                </c:pt>
                <c:pt idx="5">
                  <c:v>6.6534656556181782</c:v>
                </c:pt>
                <c:pt idx="6">
                  <c:v>8.1418640713389703</c:v>
                </c:pt>
                <c:pt idx="7">
                  <c:v>7.3724305678405351</c:v>
                </c:pt>
                <c:pt idx="8">
                  <c:v>6.8553173140708683</c:v>
                </c:pt>
                <c:pt idx="9">
                  <c:v>7.721453963354918</c:v>
                </c:pt>
              </c:numCache>
            </c:numRef>
          </c:val>
          <c:smooth val="0"/>
        </c:ser>
        <c:dLbls>
          <c:showLegendKey val="0"/>
          <c:showVal val="0"/>
          <c:showCatName val="0"/>
          <c:showSerName val="0"/>
          <c:showPercent val="0"/>
          <c:showBubbleSize val="0"/>
        </c:dLbls>
        <c:marker val="1"/>
        <c:smooth val="0"/>
        <c:axId val="81368960"/>
        <c:axId val="81370496"/>
      </c:lineChart>
      <c:catAx>
        <c:axId val="81368960"/>
        <c:scaling>
          <c:orientation val="minMax"/>
        </c:scaling>
        <c:delete val="0"/>
        <c:axPos val="b"/>
        <c:numFmt formatCode="General" sourceLinked="1"/>
        <c:majorTickMark val="out"/>
        <c:minorTickMark val="none"/>
        <c:tickLblPos val="nextTo"/>
        <c:crossAx val="81370496"/>
        <c:crosses val="autoZero"/>
        <c:auto val="1"/>
        <c:lblAlgn val="ctr"/>
        <c:lblOffset val="100"/>
        <c:noMultiLvlLbl val="0"/>
      </c:catAx>
      <c:valAx>
        <c:axId val="81370496"/>
        <c:scaling>
          <c:orientation val="minMax"/>
        </c:scaling>
        <c:delete val="0"/>
        <c:axPos val="l"/>
        <c:majorGridlines>
          <c:spPr>
            <a:ln w="3175">
              <a:prstDash val="sysDot"/>
            </a:ln>
          </c:spPr>
        </c:majorGridlines>
        <c:numFmt formatCode="#,##0.00" sourceLinked="1"/>
        <c:majorTickMark val="out"/>
        <c:minorTickMark val="none"/>
        <c:tickLblPos val="nextTo"/>
        <c:crossAx val="81368960"/>
        <c:crosses val="autoZero"/>
        <c:crossBetween val="between"/>
      </c:valAx>
    </c:plotArea>
    <c:plotVisOnly val="1"/>
    <c:dispBlanksAs val="gap"/>
    <c:showDLblsOverMax val="0"/>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o300kW'!$F$59</c:f>
          <c:strCache>
            <c:ptCount val="1"/>
            <c:pt idx="0">
              <c:v>Average price per tonne landed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'NSWOS demersal u24m o300kW'!$D$2:$M$2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o300kW'!$D$19:$M$19</c:f>
              <c:numCache>
                <c:formatCode>#,##0</c:formatCode>
                <c:ptCount val="10"/>
                <c:pt idx="0">
                  <c:v>1313.427936751259</c:v>
                </c:pt>
                <c:pt idx="1">
                  <c:v>1605.3574499498336</c:v>
                </c:pt>
                <c:pt idx="2">
                  <c:v>1777.1536551670065</c:v>
                </c:pt>
                <c:pt idx="3">
                  <c:v>1801.6822218822949</c:v>
                </c:pt>
                <c:pt idx="4">
                  <c:v>1720.4370278570834</c:v>
                </c:pt>
                <c:pt idx="5">
                  <c:v>1808.7433162047755</c:v>
                </c:pt>
                <c:pt idx="6">
                  <c:v>2081.8435607696088</c:v>
                </c:pt>
                <c:pt idx="7">
                  <c:v>1884.9737093453673</c:v>
                </c:pt>
                <c:pt idx="8">
                  <c:v>1617.2112394223004</c:v>
                </c:pt>
                <c:pt idx="9">
                  <c:v>1843.1509253735962</c:v>
                </c:pt>
              </c:numCache>
            </c:numRef>
          </c:val>
          <c:smooth val="0"/>
        </c:ser>
        <c:dLbls>
          <c:showLegendKey val="0"/>
          <c:showVal val="0"/>
          <c:showCatName val="0"/>
          <c:showSerName val="0"/>
          <c:showPercent val="0"/>
          <c:showBubbleSize val="0"/>
        </c:dLbls>
        <c:marker val="1"/>
        <c:smooth val="0"/>
        <c:axId val="81386880"/>
        <c:axId val="108209280"/>
      </c:lineChart>
      <c:catAx>
        <c:axId val="81386880"/>
        <c:scaling>
          <c:orientation val="minMax"/>
        </c:scaling>
        <c:delete val="0"/>
        <c:axPos val="b"/>
        <c:numFmt formatCode="General" sourceLinked="1"/>
        <c:majorTickMark val="out"/>
        <c:minorTickMark val="none"/>
        <c:tickLblPos val="nextTo"/>
        <c:crossAx val="108209280"/>
        <c:crosses val="autoZero"/>
        <c:auto val="1"/>
        <c:lblAlgn val="ctr"/>
        <c:lblOffset val="100"/>
        <c:noMultiLvlLbl val="0"/>
      </c:catAx>
      <c:valAx>
        <c:axId val="108209280"/>
        <c:scaling>
          <c:orientation val="minMax"/>
        </c:scaling>
        <c:delete val="0"/>
        <c:axPos val="l"/>
        <c:majorGridlines>
          <c:spPr>
            <a:ln w="3175">
              <a:prstDash val="sysDot"/>
            </a:ln>
          </c:spPr>
        </c:majorGridlines>
        <c:numFmt formatCode="#,##0" sourceLinked="1"/>
        <c:majorTickMark val="out"/>
        <c:minorTickMark val="none"/>
        <c:tickLblPos val="nextTo"/>
        <c:crossAx val="81386880"/>
        <c:crosses val="autoZero"/>
        <c:crossBetween val="between"/>
      </c:valAx>
    </c:plotArea>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o300kW'!$K$59</c:f>
          <c:strCache>
            <c:ptCount val="1"/>
            <c:pt idx="0">
              <c:v>Average annual operating profit per vessel (£'000)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'NSWOS demersal u24m o300kW'!$D$2:$M$2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o300kW'!$D$34:$M$34</c:f>
              <c:numCache>
                <c:formatCode>#,##0.0</c:formatCode>
                <c:ptCount val="10"/>
                <c:pt idx="0">
                  <c:v>61.741613446883122</c:v>
                </c:pt>
                <c:pt idx="1">
                  <c:v>105.00097300864893</c:v>
                </c:pt>
                <c:pt idx="2">
                  <c:v>141.35813634015901</c:v>
                </c:pt>
                <c:pt idx="3">
                  <c:v>103.54801837998399</c:v>
                </c:pt>
                <c:pt idx="4">
                  <c:v>63.21477901314978</c:v>
                </c:pt>
                <c:pt idx="5">
                  <c:v>104.20367864296459</c:v>
                </c:pt>
                <c:pt idx="6">
                  <c:v>121.71549503931892</c:v>
                </c:pt>
                <c:pt idx="7">
                  <c:v>75.24672526459517</c:v>
                </c:pt>
                <c:pt idx="8">
                  <c:v>148.07443539537928</c:v>
                </c:pt>
                <c:pt idx="9">
                  <c:v>198.89999922724303</c:v>
                </c:pt>
              </c:numCache>
            </c:numRef>
          </c:val>
          <c:smooth val="0"/>
        </c:ser>
        <c:dLbls>
          <c:showLegendKey val="0"/>
          <c:showVal val="0"/>
          <c:showCatName val="0"/>
          <c:showSerName val="0"/>
          <c:showPercent val="0"/>
          <c:showBubbleSize val="0"/>
        </c:dLbls>
        <c:marker val="1"/>
        <c:smooth val="0"/>
        <c:axId val="108237952"/>
        <c:axId val="108239488"/>
      </c:lineChart>
      <c:catAx>
        <c:axId val="108237952"/>
        <c:scaling>
          <c:orientation val="minMax"/>
        </c:scaling>
        <c:delete val="0"/>
        <c:axPos val="b"/>
        <c:numFmt formatCode="General" sourceLinked="1"/>
        <c:majorTickMark val="out"/>
        <c:minorTickMark val="none"/>
        <c:tickLblPos val="nextTo"/>
        <c:crossAx val="108239488"/>
        <c:crosses val="autoZero"/>
        <c:auto val="1"/>
        <c:lblAlgn val="ctr"/>
        <c:lblOffset val="100"/>
        <c:noMultiLvlLbl val="0"/>
      </c:catAx>
      <c:valAx>
        <c:axId val="108239488"/>
        <c:scaling>
          <c:orientation val="minMax"/>
        </c:scaling>
        <c:delete val="0"/>
        <c:axPos val="l"/>
        <c:majorGridlines>
          <c:spPr>
            <a:ln w="3175">
              <a:prstDash val="sysDot"/>
            </a:ln>
          </c:spPr>
        </c:majorGridlines>
        <c:numFmt formatCode="#,##0.0" sourceLinked="1"/>
        <c:majorTickMark val="out"/>
        <c:minorTickMark val="none"/>
        <c:tickLblPos val="nextTo"/>
        <c:crossAx val="108237952"/>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o250kW'!$A$73</c:f>
          <c:strCache>
            <c:ptCount val="1"/>
            <c:pt idx="0">
              <c:v>Top 5 landed species by volume in 2013
Area VIIA nephrops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9B2D2A"/>
              </a:solidFill>
              <a:ln>
                <a:solidFill>
                  <a:srgbClr val="FFFFFF"/>
                </a:solidFill>
              </a:ln>
            </c:spPr>
          </c:dPt>
          <c:dPt>
            <c:idx val="2"/>
            <c:bubble3D val="0"/>
            <c:spPr>
              <a:solidFill>
                <a:srgbClr val="4B3467"/>
              </a:solidFill>
              <a:ln>
                <a:solidFill>
                  <a:srgbClr val="FFFFFF"/>
                </a:solidFill>
              </a:ln>
            </c:spPr>
          </c:dPt>
          <c:dPt>
            <c:idx val="3"/>
            <c:bubble3D val="0"/>
            <c:spPr>
              <a:solidFill>
                <a:srgbClr val="769535"/>
              </a:solidFill>
              <a:ln>
                <a:solidFill>
                  <a:srgbClr val="FFFFFF"/>
                </a:solidFill>
              </a:ln>
            </c:spPr>
          </c:dPt>
          <c:dPt>
            <c:idx val="4"/>
            <c:bubble3D val="0"/>
            <c:spPr>
              <a:solidFill>
                <a:srgbClr val="7F2321"/>
              </a:solidFill>
              <a:ln>
                <a:solidFill>
                  <a:srgbClr val="FFFFFF"/>
                </a:solidFill>
              </a:ln>
            </c:spPr>
          </c:dPt>
          <c:dPt>
            <c:idx val="5"/>
            <c:bubble3D val="0"/>
            <c:spPr>
              <a:solidFill>
                <a:srgbClr val="008000"/>
              </a:solidFill>
              <a:ln>
                <a:solidFill>
                  <a:srgbClr val="FFFFFF"/>
                </a:solidFill>
              </a:ln>
            </c:spPr>
          </c:dPt>
          <c:cat>
            <c:strRef>
              <c:f>'Area VIIa nephrops o250kW'!$B$74:$B$79</c:f>
              <c:strCache>
                <c:ptCount val="6"/>
                <c:pt idx="0">
                  <c:v>Nephrops - 75.7%</c:v>
                </c:pt>
                <c:pt idx="1">
                  <c:v>Queen Scallops - 4.1%</c:v>
                </c:pt>
                <c:pt idx="2">
                  <c:v>Haddock - 3.7%</c:v>
                </c:pt>
                <c:pt idx="3">
                  <c:v>Les. Spot. Dog - 3.5%</c:v>
                </c:pt>
                <c:pt idx="4">
                  <c:v>Anglerfish - 2.3%</c:v>
                </c:pt>
                <c:pt idx="5">
                  <c:v>Others - 10.7%</c:v>
                </c:pt>
              </c:strCache>
            </c:strRef>
          </c:cat>
          <c:val>
            <c:numRef>
              <c:f>'Area VIIa nephrops o250kW'!$C$74:$C$79</c:f>
              <c:numCache>
                <c:formatCode>0.0%</c:formatCode>
                <c:ptCount val="6"/>
                <c:pt idx="0">
                  <c:v>0.75667860037670731</c:v>
                </c:pt>
                <c:pt idx="1">
                  <c:v>4.1444932706920005E-2</c:v>
                </c:pt>
                <c:pt idx="2">
                  <c:v>3.6712836126704028E-2</c:v>
                </c:pt>
                <c:pt idx="3">
                  <c:v>3.5049107163593628E-2</c:v>
                </c:pt>
                <c:pt idx="4">
                  <c:v>2.3323879603458646E-2</c:v>
                </c:pt>
                <c:pt idx="5">
                  <c:v>0.1067906440226164</c:v>
                </c:pt>
              </c:numCache>
            </c:numRef>
          </c:val>
        </c:ser>
        <c:dLbls>
          <c:showLegendKey val="0"/>
          <c:showVal val="0"/>
          <c:showCatName val="0"/>
          <c:showSerName val="0"/>
          <c:showPercent val="0"/>
          <c:showBubbleSize val="0"/>
          <c:showLeaderLines val="1"/>
        </c:dLbls>
        <c:firstSliceAng val="0"/>
      </c:pieChart>
    </c:plotArea>
    <c:legend>
      <c:legendPos val="l"/>
      <c:layout/>
      <c:overlay val="0"/>
    </c:legend>
    <c:plotVisOnly val="1"/>
    <c:dispBlanksAs val="gap"/>
    <c:showDLblsOverMax val="0"/>
  </c:chart>
  <c:printSettings>
    <c:headerFooter/>
    <c:pageMargins b="1" l="0.75" r="0.75"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o300kW'!$A$73</c:f>
          <c:strCache>
            <c:ptCount val="1"/>
            <c:pt idx="0">
              <c:v>Top 5 landed species by volume in 2013
NSWOS demersal under 24m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7F2321"/>
              </a:solidFill>
              <a:ln>
                <a:solidFill>
                  <a:srgbClr val="FFFFFF"/>
                </a:solidFill>
              </a:ln>
            </c:spPr>
          </c:dPt>
          <c:dPt>
            <c:idx val="1"/>
            <c:bubble3D val="0"/>
            <c:spPr>
              <a:solidFill>
                <a:srgbClr val="607A2A"/>
              </a:solidFill>
              <a:ln>
                <a:solidFill>
                  <a:srgbClr val="FFFFFF"/>
                </a:solidFill>
              </a:ln>
            </c:spPr>
          </c:dPt>
          <c:dPt>
            <c:idx val="2"/>
            <c:bubble3D val="0"/>
            <c:spPr>
              <a:solidFill>
                <a:srgbClr val="769535"/>
              </a:solidFill>
              <a:ln>
                <a:solidFill>
                  <a:srgbClr val="FFFFFF"/>
                </a:solidFill>
              </a:ln>
            </c:spPr>
          </c:dPt>
          <c:dPt>
            <c:idx val="3"/>
            <c:bubble3D val="0"/>
            <c:spPr>
              <a:solidFill>
                <a:srgbClr val="224B7D"/>
              </a:solidFill>
              <a:ln>
                <a:solidFill>
                  <a:srgbClr val="FFFFFF"/>
                </a:solidFill>
              </a:ln>
            </c:spPr>
          </c:dPt>
          <c:dPt>
            <c:idx val="4"/>
            <c:bubble3D val="0"/>
            <c:spPr>
              <a:solidFill>
                <a:srgbClr val="A85816"/>
              </a:solidFill>
              <a:ln>
                <a:solidFill>
                  <a:srgbClr val="FFFFFF"/>
                </a:solidFill>
              </a:ln>
            </c:spPr>
          </c:dPt>
          <c:dPt>
            <c:idx val="5"/>
            <c:bubble3D val="0"/>
            <c:spPr>
              <a:solidFill>
                <a:srgbClr val="008000"/>
              </a:solidFill>
              <a:ln>
                <a:solidFill>
                  <a:srgbClr val="FFFFFF"/>
                </a:solidFill>
              </a:ln>
            </c:spPr>
          </c:dPt>
          <c:cat>
            <c:strRef>
              <c:f>'NSWOS demersal u24m o300kW'!$B$74:$B$79</c:f>
              <c:strCache>
                <c:ptCount val="6"/>
                <c:pt idx="0">
                  <c:v>Haddock - 29.6%</c:v>
                </c:pt>
                <c:pt idx="1">
                  <c:v>Cod - 13.2%</c:v>
                </c:pt>
                <c:pt idx="2">
                  <c:v>Whiting - 10.6%</c:v>
                </c:pt>
                <c:pt idx="3">
                  <c:v>Anglerfish - 10.5%</c:v>
                </c:pt>
                <c:pt idx="4">
                  <c:v>Saithe - 9.4%</c:v>
                </c:pt>
                <c:pt idx="5">
                  <c:v>Others - 26.7%</c:v>
                </c:pt>
              </c:strCache>
            </c:strRef>
          </c:cat>
          <c:val>
            <c:numRef>
              <c:f>'NSWOS demersal u24m o300kW'!$C$74:$C$79</c:f>
              <c:numCache>
                <c:formatCode>0.0%</c:formatCode>
                <c:ptCount val="6"/>
                <c:pt idx="0">
                  <c:v>0.29594306251069952</c:v>
                </c:pt>
                <c:pt idx="1">
                  <c:v>0.13232248484904496</c:v>
                </c:pt>
                <c:pt idx="2">
                  <c:v>0.10552076058212409</c:v>
                </c:pt>
                <c:pt idx="3">
                  <c:v>0.10477157440548097</c:v>
                </c:pt>
                <c:pt idx="4">
                  <c:v>9.3951681754909894E-2</c:v>
                </c:pt>
                <c:pt idx="5">
                  <c:v>0.26749043589774057</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o300kW'!$F$73</c:f>
          <c:strCache>
            <c:ptCount val="1"/>
            <c:pt idx="0">
              <c:v>Top 5 landed species by value in 2013
NSWOS demersal under 24m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'NSWOS demersal u24m o300kW'!$G$74:$G$79</c:f>
              <c:strCache>
                <c:ptCount val="6"/>
                <c:pt idx="0">
                  <c:v>Anglerfish - 20.0%</c:v>
                </c:pt>
                <c:pt idx="1">
                  <c:v>Haddock - 19.1%</c:v>
                </c:pt>
                <c:pt idx="2">
                  <c:v>Cod - 15.0%</c:v>
                </c:pt>
                <c:pt idx="3">
                  <c:v>Nephrops - 9.2%</c:v>
                </c:pt>
                <c:pt idx="4">
                  <c:v>Megrim - 8.7%</c:v>
                </c:pt>
                <c:pt idx="5">
                  <c:v>Others - 28.1%</c:v>
                </c:pt>
              </c:strCache>
            </c:strRef>
          </c:cat>
          <c:val>
            <c:numRef>
              <c:f>'NSWOS demersal u24m o300kW'!$H$74:$H$79</c:f>
              <c:numCache>
                <c:formatCode>0.0%</c:formatCode>
                <c:ptCount val="6"/>
                <c:pt idx="0">
                  <c:v>0.20002057266180584</c:v>
                </c:pt>
                <c:pt idx="1">
                  <c:v>0.19103093248851738</c:v>
                </c:pt>
                <c:pt idx="2">
                  <c:v>0.14972294888472679</c:v>
                </c:pt>
                <c:pt idx="3">
                  <c:v>9.1628245185853302E-2</c:v>
                </c:pt>
                <c:pt idx="4">
                  <c:v>8.657549396306935E-2</c:v>
                </c:pt>
                <c:pt idx="5">
                  <c:v>0.28102180681602729</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u24m o300kW'!$C$88</c:f>
              <c:strCache>
                <c:ptCount val="1"/>
                <c:pt idx="0">
                  <c:v>Anglerfish</c:v>
                </c:pt>
              </c:strCache>
            </c:strRef>
          </c:tx>
          <c:spPr>
            <a:solidFill>
              <a:srgbClr val="224B7D"/>
            </a:solidFill>
            <a:ln>
              <a:solidFill>
                <a:srgbClr val="FFFFFF"/>
              </a:solidFill>
            </a:ln>
          </c:spPr>
          <c:invertIfNegative val="0"/>
          <c:cat>
            <c:numRef>
              <c:f>'NSWOS demersal u24m o300kW'!$D$87:$M$87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o300kW'!$D$88:$M$88</c:f>
              <c:numCache>
                <c:formatCode>0%</c:formatCode>
                <c:ptCount val="10"/>
                <c:pt idx="0">
                  <c:v>0.25163860479560374</c:v>
                </c:pt>
                <c:pt idx="1">
                  <c:v>0.22906375218888195</c:v>
                </c:pt>
                <c:pt idx="2">
                  <c:v>0.31674842986534707</c:v>
                </c:pt>
                <c:pt idx="3">
                  <c:v>0.29711131003025854</c:v>
                </c:pt>
                <c:pt idx="4">
                  <c:v>0.31414906673492066</c:v>
                </c:pt>
                <c:pt idx="5">
                  <c:v>0.24120662352556665</c:v>
                </c:pt>
                <c:pt idx="6">
                  <c:v>0.25950463701009574</c:v>
                </c:pt>
                <c:pt idx="7">
                  <c:v>0.23842944896346588</c:v>
                </c:pt>
                <c:pt idx="8">
                  <c:v>0.20343212741191194</c:v>
                </c:pt>
                <c:pt idx="9">
                  <c:v>0.2043787605658676</c:v>
                </c:pt>
              </c:numCache>
            </c:numRef>
          </c:val>
        </c:ser>
        <c:ser>
          <c:idx val="1"/>
          <c:order val="1"/>
          <c:tx>
            <c:strRef>
              <c:f>'NSWOS demersal u24m o300kW'!$C$89</c:f>
              <c:strCache>
                <c:ptCount val="1"/>
                <c:pt idx="0">
                  <c:v>Haddock</c:v>
                </c:pt>
              </c:strCache>
            </c:strRef>
          </c:tx>
          <c:spPr>
            <a:solidFill>
              <a:srgbClr val="7F2321"/>
            </a:solidFill>
            <a:ln>
              <a:solidFill>
                <a:srgbClr val="FFFFFF"/>
              </a:solidFill>
            </a:ln>
          </c:spPr>
          <c:invertIfNegative val="0"/>
          <c:cat>
            <c:numRef>
              <c:f>'NSWOS demersal u24m o300kW'!$D$87:$M$87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o300kW'!$D$89:$M$89</c:f>
              <c:numCache>
                <c:formatCode>0%</c:formatCode>
                <c:ptCount val="10"/>
                <c:pt idx="0">
                  <c:v>0.2711189726839604</c:v>
                </c:pt>
                <c:pt idx="1">
                  <c:v>0.25272241326607181</c:v>
                </c:pt>
                <c:pt idx="2">
                  <c:v>0.11087541694094318</c:v>
                </c:pt>
                <c:pt idx="3">
                  <c:v>0.1268957984556307</c:v>
                </c:pt>
                <c:pt idx="4">
                  <c:v>0.113014211674835</c:v>
                </c:pt>
                <c:pt idx="5">
                  <c:v>0.1189126404914546</c:v>
                </c:pt>
                <c:pt idx="6">
                  <c:v>0.1034519864426503</c:v>
                </c:pt>
                <c:pt idx="7">
                  <c:v>0.11296802621972982</c:v>
                </c:pt>
                <c:pt idx="8">
                  <c:v>0.19428915976222041</c:v>
                </c:pt>
                <c:pt idx="9">
                  <c:v>0.19543861766081255</c:v>
                </c:pt>
              </c:numCache>
            </c:numRef>
          </c:val>
        </c:ser>
        <c:ser>
          <c:idx val="2"/>
          <c:order val="2"/>
          <c:tx>
            <c:strRef>
              <c:f>'NSWOS demersal u24m o300kW'!$C$90</c:f>
              <c:strCache>
                <c:ptCount val="1"/>
                <c:pt idx="0">
                  <c:v>Cod</c:v>
                </c:pt>
              </c:strCache>
            </c:strRef>
          </c:tx>
          <c:spPr>
            <a:solidFill>
              <a:srgbClr val="607A2A"/>
            </a:solidFill>
            <a:ln>
              <a:solidFill>
                <a:srgbClr val="FFFFFF"/>
              </a:solidFill>
            </a:ln>
          </c:spPr>
          <c:invertIfNegative val="0"/>
          <c:cat>
            <c:numRef>
              <c:f>'NSWOS demersal u24m o300kW'!$D$87:$M$87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o300kW'!$D$90:$M$90</c:f>
              <c:numCache>
                <c:formatCode>0%</c:formatCode>
                <c:ptCount val="10"/>
                <c:pt idx="0">
                  <c:v>0.11347336786068409</c:v>
                </c:pt>
                <c:pt idx="1">
                  <c:v>0.10814913508512718</c:v>
                </c:pt>
                <c:pt idx="2">
                  <c:v>0.12038300918113271</c:v>
                </c:pt>
                <c:pt idx="3">
                  <c:v>0.12434041180573965</c:v>
                </c:pt>
                <c:pt idx="4">
                  <c:v>0.12950422678481488</c:v>
                </c:pt>
                <c:pt idx="5">
                  <c:v>0.16324654919242734</c:v>
                </c:pt>
                <c:pt idx="6">
                  <c:v>0.156479939905141</c:v>
                </c:pt>
                <c:pt idx="7">
                  <c:v>0.15284235373624586</c:v>
                </c:pt>
                <c:pt idx="8">
                  <c:v>0.15227662639234604</c:v>
                </c:pt>
                <c:pt idx="9">
                  <c:v>0.159360074565186</c:v>
                </c:pt>
              </c:numCache>
            </c:numRef>
          </c:val>
        </c:ser>
        <c:ser>
          <c:idx val="3"/>
          <c:order val="3"/>
          <c:tx>
            <c:strRef>
              <c:f>'NSWOS demersal u24m o300kW'!$C$91</c:f>
              <c:strCache>
                <c:ptCount val="1"/>
                <c:pt idx="0">
                  <c:v>Nephrops</c:v>
                </c:pt>
              </c:strCache>
            </c:strRef>
          </c:tx>
          <c:spPr>
            <a:solidFill>
              <a:srgbClr val="4B3467"/>
            </a:solidFill>
            <a:ln>
              <a:solidFill>
                <a:srgbClr val="FFFFFF"/>
              </a:solidFill>
            </a:ln>
          </c:spPr>
          <c:invertIfNegative val="0"/>
          <c:cat>
            <c:numRef>
              <c:f>'NSWOS demersal u24m o300kW'!$D$87:$M$87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o300kW'!$D$91:$M$91</c:f>
              <c:numCache>
                <c:formatCode>0%</c:formatCode>
                <c:ptCount val="10"/>
                <c:pt idx="0">
                  <c:v>9.0989050136478275E-2</c:v>
                </c:pt>
                <c:pt idx="1">
                  <c:v>0.13608175061513619</c:v>
                </c:pt>
                <c:pt idx="2">
                  <c:v>0.13309209972605732</c:v>
                </c:pt>
                <c:pt idx="3">
                  <c:v>0.10409467122584244</c:v>
                </c:pt>
                <c:pt idx="4">
                  <c:v>0.12293387777229134</c:v>
                </c:pt>
                <c:pt idx="6">
                  <c:v>6.7544095133552973E-2</c:v>
                </c:pt>
                <c:pt idx="7">
                  <c:v>0.11792629086942687</c:v>
                </c:pt>
                <c:pt idx="8">
                  <c:v>9.319105830526285E-2</c:v>
                </c:pt>
                <c:pt idx="9">
                  <c:v>0.11609458947042597</c:v>
                </c:pt>
              </c:numCache>
            </c:numRef>
          </c:val>
        </c:ser>
        <c:ser>
          <c:idx val="4"/>
          <c:order val="4"/>
          <c:tx>
            <c:strRef>
              <c:f>'NSWOS demersal u24m o300kW'!$C$92</c:f>
              <c:strCache>
                <c:ptCount val="1"/>
                <c:pt idx="0">
                  <c:v>Megrim</c:v>
                </c:pt>
              </c:strCache>
            </c:strRef>
          </c:tx>
          <c:spPr>
            <a:solidFill>
              <a:srgbClr val="9B2D2A"/>
            </a:solidFill>
            <a:ln>
              <a:solidFill>
                <a:srgbClr val="FFFFFF"/>
              </a:solidFill>
            </a:ln>
          </c:spPr>
          <c:invertIfNegative val="0"/>
          <c:cat>
            <c:numRef>
              <c:f>'NSWOS demersal u24m o300kW'!$D$87:$M$87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o300kW'!$D$92:$M$92</c:f>
              <c:numCache>
                <c:formatCode>0%</c:formatCode>
                <c:ptCount val="10"/>
                <c:pt idx="0">
                  <c:v>6.8609871190334959E-2</c:v>
                </c:pt>
                <c:pt idx="1">
                  <c:v>7.6135054430289659E-2</c:v>
                </c:pt>
                <c:pt idx="2">
                  <c:v>0.12038828888505833</c:v>
                </c:pt>
                <c:pt idx="3">
                  <c:v>0.12694201602640165</c:v>
                </c:pt>
                <c:pt idx="4">
                  <c:v>0.11213511334681935</c:v>
                </c:pt>
                <c:pt idx="5">
                  <c:v>9.6867084123710923E-2</c:v>
                </c:pt>
                <c:pt idx="6">
                  <c:v>0.11292318123465872</c:v>
                </c:pt>
                <c:pt idx="7">
                  <c:v>0.12316703874741777</c:v>
                </c:pt>
                <c:pt idx="8">
                  <c:v>8.8052127260044646E-2</c:v>
                </c:pt>
                <c:pt idx="9">
                  <c:v>7.7399699587910625E-2</c:v>
                </c:pt>
              </c:numCache>
            </c:numRef>
          </c:val>
        </c:ser>
        <c:ser>
          <c:idx val="5"/>
          <c:order val="5"/>
          <c:tx>
            <c:strRef>
              <c:f>'NSWOS demersal u24m o300kW'!$C$93</c:f>
              <c:strCache>
                <c:ptCount val="1"/>
                <c:pt idx="0">
                  <c:v>Squid</c:v>
                </c:pt>
              </c:strCache>
            </c:strRef>
          </c:tx>
          <c:spPr>
            <a:solidFill>
              <a:srgbClr val="769535"/>
            </a:solidFill>
            <a:ln>
              <a:solidFill>
                <a:srgbClr val="FFFFFF"/>
              </a:solidFill>
            </a:ln>
          </c:spPr>
          <c:invertIfNegative val="0"/>
          <c:cat>
            <c:numRef>
              <c:f>'NSWOS demersal u24m o300kW'!$D$87:$M$87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o300kW'!$D$93:$M$93</c:f>
              <c:numCache>
                <c:formatCode>0%</c:formatCode>
                <c:ptCount val="10"/>
                <c:pt idx="5">
                  <c:v>8.3438785730480997E-2</c:v>
                </c:pt>
              </c:numCache>
            </c:numRef>
          </c:val>
        </c:ser>
        <c:ser>
          <c:idx val="6"/>
          <c:order val="6"/>
          <c:tx>
            <c:strRef>
              <c:f>'NSWOS demersal u24m o300kW'!$C$94</c:f>
              <c:strCache>
                <c:ptCount val="1"/>
                <c:pt idx="0">
                  <c:v>Others</c:v>
                </c:pt>
              </c:strCache>
            </c:strRef>
          </c:tx>
          <c:spPr>
            <a:solidFill>
              <a:srgbClr val="008000"/>
            </a:solidFill>
            <a:ln>
              <a:solidFill>
                <a:srgbClr val="FFFFFF"/>
              </a:solidFill>
            </a:ln>
          </c:spPr>
          <c:invertIfNegative val="0"/>
          <c:cat>
            <c:numRef>
              <c:f>'NSWOS demersal u24m o300kW'!$D$87:$M$87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o300kW'!$D$94:$M$94</c:f>
              <c:numCache>
                <c:formatCode>0%</c:formatCode>
                <c:ptCount val="10"/>
                <c:pt idx="0">
                  <c:v>0.20417013333293854</c:v>
                </c:pt>
                <c:pt idx="1">
                  <c:v>0.19784789441449321</c:v>
                </c:pt>
                <c:pt idx="2">
                  <c:v>0.19851275540146143</c:v>
                </c:pt>
                <c:pt idx="3">
                  <c:v>0.22061579245612703</c:v>
                </c:pt>
                <c:pt idx="4">
                  <c:v>0.2082635036863188</c:v>
                </c:pt>
                <c:pt idx="5">
                  <c:v>0.29632831693635947</c:v>
                </c:pt>
                <c:pt idx="6">
                  <c:v>0.30009616027390129</c:v>
                </c:pt>
                <c:pt idx="7">
                  <c:v>0.25466684146371377</c:v>
                </c:pt>
                <c:pt idx="8">
                  <c:v>0.26875890086821408</c:v>
                </c:pt>
                <c:pt idx="9">
                  <c:v>0.24732825814979725</c:v>
                </c:pt>
              </c:numCache>
            </c:numRef>
          </c:val>
        </c:ser>
        <c:dLbls>
          <c:showLegendKey val="0"/>
          <c:showVal val="0"/>
          <c:showCatName val="0"/>
          <c:showSerName val="0"/>
          <c:showPercent val="0"/>
          <c:showBubbleSize val="0"/>
        </c:dLbls>
        <c:gapWidth val="150"/>
        <c:overlap val="100"/>
        <c:axId val="131674880"/>
        <c:axId val="131676416"/>
      </c:barChart>
      <c:catAx>
        <c:axId val="131674880"/>
        <c:scaling>
          <c:orientation val="minMax"/>
        </c:scaling>
        <c:delete val="0"/>
        <c:axPos val="b"/>
        <c:numFmt formatCode="General" sourceLinked="1"/>
        <c:majorTickMark val="out"/>
        <c:minorTickMark val="none"/>
        <c:tickLblPos val="nextTo"/>
        <c:crossAx val="131676416"/>
        <c:crosses val="autoZero"/>
        <c:auto val="1"/>
        <c:lblAlgn val="ctr"/>
        <c:lblOffset val="100"/>
        <c:noMultiLvlLbl val="0"/>
      </c:catAx>
      <c:valAx>
        <c:axId val="131676416"/>
        <c:scaling>
          <c:orientation val="minMax"/>
          <c:max val="1"/>
          <c:min val="0"/>
        </c:scaling>
        <c:delete val="0"/>
        <c:axPos val="l"/>
        <c:majorGridlines/>
        <c:numFmt formatCode="0%" sourceLinked="1"/>
        <c:majorTickMark val="out"/>
        <c:minorTickMark val="none"/>
        <c:tickLblPos val="nextTo"/>
        <c:crossAx val="13167488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u300kW'!$A$45</c:f>
          <c:strCache>
            <c:ptCount val="1"/>
            <c:pt idx="0">
              <c:v>Landings per kW day at sea (kg)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'NSWOS demersal u24m u300kW'!$D$2:$M$2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u300kW'!$D$20:$M$20</c:f>
              <c:numCache>
                <c:formatCode>#,##0.00</c:formatCode>
                <c:ptCount val="10"/>
                <c:pt idx="0">
                  <c:v>4.3727293430620984</c:v>
                </c:pt>
                <c:pt idx="1">
                  <c:v>4.3585567339852629</c:v>
                </c:pt>
                <c:pt idx="2">
                  <c:v>4.5840367242107831</c:v>
                </c:pt>
                <c:pt idx="3">
                  <c:v>3.9330040033962774</c:v>
                </c:pt>
                <c:pt idx="4">
                  <c:v>4.319640911079067</c:v>
                </c:pt>
                <c:pt idx="5">
                  <c:v>5.0540472244346333</c:v>
                </c:pt>
                <c:pt idx="6">
                  <c:v>5.4304861605378667</c:v>
                </c:pt>
                <c:pt idx="7">
                  <c:v>5.5390764313771914</c:v>
                </c:pt>
                <c:pt idx="8">
                  <c:v>5.7104390445734241</c:v>
                </c:pt>
                <c:pt idx="9">
                  <c:v>5.018256510859489</c:v>
                </c:pt>
              </c:numCache>
            </c:numRef>
          </c:val>
          <c:smooth val="0"/>
        </c:ser>
        <c:dLbls>
          <c:showLegendKey val="0"/>
          <c:showVal val="0"/>
          <c:showCatName val="0"/>
          <c:showSerName val="0"/>
          <c:showPercent val="0"/>
          <c:showBubbleSize val="0"/>
        </c:dLbls>
        <c:marker val="1"/>
        <c:smooth val="0"/>
        <c:axId val="131465600"/>
        <c:axId val="131467136"/>
      </c:lineChart>
      <c:catAx>
        <c:axId val="131465600"/>
        <c:scaling>
          <c:orientation val="minMax"/>
        </c:scaling>
        <c:delete val="0"/>
        <c:axPos val="b"/>
        <c:numFmt formatCode="General" sourceLinked="1"/>
        <c:majorTickMark val="out"/>
        <c:minorTickMark val="none"/>
        <c:tickLblPos val="nextTo"/>
        <c:crossAx val="131467136"/>
        <c:crosses val="autoZero"/>
        <c:auto val="1"/>
        <c:lblAlgn val="ctr"/>
        <c:lblOffset val="100"/>
        <c:noMultiLvlLbl val="0"/>
      </c:catAx>
      <c:valAx>
        <c:axId val="131467136"/>
        <c:scaling>
          <c:orientation val="minMax"/>
        </c:scaling>
        <c:delete val="0"/>
        <c:axPos val="l"/>
        <c:majorGridlines>
          <c:spPr>
            <a:ln w="3175">
              <a:prstDash val="sysDot"/>
            </a:ln>
          </c:spPr>
        </c:majorGridlines>
        <c:numFmt formatCode="#,##0.00" sourceLinked="1"/>
        <c:majorTickMark val="out"/>
        <c:minorTickMark val="none"/>
        <c:tickLblPos val="nextTo"/>
        <c:crossAx val="131465600"/>
        <c:crosses val="autoZero"/>
        <c:crossBetween val="between"/>
      </c:valAx>
    </c:plotArea>
    <c:plotVisOnly val="1"/>
    <c:dispBlanksAs val="gap"/>
    <c:showDLblsOverMax val="0"/>
  </c:chart>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u300kW'!$F$45</c:f>
          <c:strCache>
            <c:ptCount val="1"/>
            <c:pt idx="0">
              <c:v>Income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'NSWOS demersal u24m u300kW'!$D$2:$M$2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u300kW'!$D$21:$M$21</c:f>
              <c:numCache>
                <c:formatCode>#,##0.00</c:formatCode>
                <c:ptCount val="10"/>
                <c:pt idx="0">
                  <c:v>5.1982147231803735</c:v>
                </c:pt>
                <c:pt idx="1">
                  <c:v>5.9326885688692714</c:v>
                </c:pt>
                <c:pt idx="2">
                  <c:v>6.9776217144538588</c:v>
                </c:pt>
                <c:pt idx="3">
                  <c:v>5.9376224702047766</c:v>
                </c:pt>
                <c:pt idx="4">
                  <c:v>6.5900214863703788</c:v>
                </c:pt>
                <c:pt idx="5">
                  <c:v>7.5711823031597074</c:v>
                </c:pt>
                <c:pt idx="6">
                  <c:v>9.2736417333559302</c:v>
                </c:pt>
                <c:pt idx="7">
                  <c:v>8.7466263597872249</c:v>
                </c:pt>
                <c:pt idx="8">
                  <c:v>8.2299611352663664</c:v>
                </c:pt>
                <c:pt idx="9">
                  <c:v>8.6643023068799891</c:v>
                </c:pt>
              </c:numCache>
            </c:numRef>
          </c:val>
          <c:smooth val="0"/>
        </c:ser>
        <c:dLbls>
          <c:showLegendKey val="0"/>
          <c:showVal val="0"/>
          <c:showCatName val="0"/>
          <c:showSerName val="0"/>
          <c:showPercent val="0"/>
          <c:showBubbleSize val="0"/>
        </c:dLbls>
        <c:marker val="1"/>
        <c:smooth val="0"/>
        <c:axId val="3491712"/>
        <c:axId val="3493248"/>
      </c:lineChart>
      <c:catAx>
        <c:axId val="3491712"/>
        <c:scaling>
          <c:orientation val="minMax"/>
        </c:scaling>
        <c:delete val="0"/>
        <c:axPos val="b"/>
        <c:numFmt formatCode="General" sourceLinked="1"/>
        <c:majorTickMark val="out"/>
        <c:minorTickMark val="none"/>
        <c:tickLblPos val="nextTo"/>
        <c:crossAx val="3493248"/>
        <c:crosses val="autoZero"/>
        <c:auto val="1"/>
        <c:lblAlgn val="ctr"/>
        <c:lblOffset val="100"/>
        <c:noMultiLvlLbl val="0"/>
      </c:catAx>
      <c:valAx>
        <c:axId val="3493248"/>
        <c:scaling>
          <c:orientation val="minMax"/>
        </c:scaling>
        <c:delete val="0"/>
        <c:axPos val="l"/>
        <c:majorGridlines>
          <c:spPr>
            <a:ln w="3175">
              <a:prstDash val="sysDot"/>
            </a:ln>
          </c:spPr>
        </c:majorGridlines>
        <c:numFmt formatCode="#,##0.00" sourceLinked="1"/>
        <c:majorTickMark val="out"/>
        <c:minorTickMark val="none"/>
        <c:tickLblPos val="nextTo"/>
        <c:crossAx val="3491712"/>
        <c:crosses val="autoZero"/>
        <c:crossBetween val="between"/>
      </c:valAx>
    </c:plotArea>
    <c:plotVisOnly val="1"/>
    <c:dispBlanksAs val="gap"/>
    <c:showDLblsOverMax val="0"/>
  </c:chart>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u300kW'!$K$45</c:f>
          <c:strCache>
            <c:ptCount val="1"/>
            <c:pt idx="0">
              <c:v>Operating profit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'NSWOS demersal u24m u300kW'!$D$2:$M$2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u300kW'!$D$23:$M$23</c:f>
              <c:numCache>
                <c:formatCode>#,##0.00</c:formatCode>
                <c:ptCount val="10"/>
                <c:pt idx="0">
                  <c:v>0.5822202467201314</c:v>
                </c:pt>
                <c:pt idx="1">
                  <c:v>1.202466073901588</c:v>
                </c:pt>
                <c:pt idx="2">
                  <c:v>1.3762462067290371</c:v>
                </c:pt>
                <c:pt idx="3">
                  <c:v>0.92762800090855135</c:v>
                </c:pt>
                <c:pt idx="4">
                  <c:v>0.90047363224549426</c:v>
                </c:pt>
                <c:pt idx="5">
                  <c:v>1.3837563142567806</c:v>
                </c:pt>
                <c:pt idx="6">
                  <c:v>2.7187297475575742</c:v>
                </c:pt>
                <c:pt idx="7">
                  <c:v>1.9059296624530722</c:v>
                </c:pt>
                <c:pt idx="8">
                  <c:v>1.2847565360865472</c:v>
                </c:pt>
                <c:pt idx="9">
                  <c:v>1.5415723463164053</c:v>
                </c:pt>
              </c:numCache>
            </c:numRef>
          </c:val>
          <c:smooth val="0"/>
        </c:ser>
        <c:dLbls>
          <c:showLegendKey val="0"/>
          <c:showVal val="0"/>
          <c:showCatName val="0"/>
          <c:showSerName val="0"/>
          <c:showPercent val="0"/>
          <c:showBubbleSize val="0"/>
        </c:dLbls>
        <c:marker val="1"/>
        <c:smooth val="0"/>
        <c:axId val="131501440"/>
        <c:axId val="131507328"/>
      </c:lineChart>
      <c:catAx>
        <c:axId val="131501440"/>
        <c:scaling>
          <c:orientation val="minMax"/>
        </c:scaling>
        <c:delete val="0"/>
        <c:axPos val="b"/>
        <c:numFmt formatCode="General" sourceLinked="1"/>
        <c:majorTickMark val="out"/>
        <c:minorTickMark val="none"/>
        <c:tickLblPos val="nextTo"/>
        <c:crossAx val="131507328"/>
        <c:crosses val="autoZero"/>
        <c:auto val="1"/>
        <c:lblAlgn val="ctr"/>
        <c:lblOffset val="100"/>
        <c:noMultiLvlLbl val="0"/>
      </c:catAx>
      <c:valAx>
        <c:axId val="131507328"/>
        <c:scaling>
          <c:orientation val="minMax"/>
        </c:scaling>
        <c:delete val="0"/>
        <c:axPos val="l"/>
        <c:majorGridlines>
          <c:spPr>
            <a:ln w="3175">
              <a:prstDash val="sysDot"/>
            </a:ln>
          </c:spPr>
        </c:majorGridlines>
        <c:numFmt formatCode="#,##0.00" sourceLinked="1"/>
        <c:majorTickMark val="out"/>
        <c:minorTickMark val="none"/>
        <c:tickLblPos val="nextTo"/>
        <c:crossAx val="13150144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u300kW'!$B$59</c:f>
          <c:strCache>
            <c:ptCount val="1"/>
            <c:pt idx="0">
              <c:v>Total cost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'NSWOS demersal u24m u300kW'!$D$2:$M$2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u300kW'!$D$22:$M$22</c:f>
              <c:numCache>
                <c:formatCode>#,##0.00</c:formatCode>
                <c:ptCount val="10"/>
                <c:pt idx="0">
                  <c:v>4.6159944764602425</c:v>
                </c:pt>
                <c:pt idx="1">
                  <c:v>4.7302224949676752</c:v>
                </c:pt>
                <c:pt idx="2">
                  <c:v>5.6013755077248124</c:v>
                </c:pt>
                <c:pt idx="3">
                  <c:v>5.0099944692962337</c:v>
                </c:pt>
                <c:pt idx="4">
                  <c:v>5.6895478541248865</c:v>
                </c:pt>
                <c:pt idx="5">
                  <c:v>6.1874259889029277</c:v>
                </c:pt>
                <c:pt idx="6">
                  <c:v>6.5549119857983564</c:v>
                </c:pt>
                <c:pt idx="7">
                  <c:v>6.8406966973341516</c:v>
                </c:pt>
                <c:pt idx="8">
                  <c:v>6.9452045991798181</c:v>
                </c:pt>
                <c:pt idx="9">
                  <c:v>7.122729960563583</c:v>
                </c:pt>
              </c:numCache>
            </c:numRef>
          </c:val>
          <c:smooth val="0"/>
        </c:ser>
        <c:dLbls>
          <c:showLegendKey val="0"/>
          <c:showVal val="0"/>
          <c:showCatName val="0"/>
          <c:showSerName val="0"/>
          <c:showPercent val="0"/>
          <c:showBubbleSize val="0"/>
        </c:dLbls>
        <c:marker val="1"/>
        <c:smooth val="0"/>
        <c:axId val="131724416"/>
        <c:axId val="131725952"/>
      </c:lineChart>
      <c:catAx>
        <c:axId val="131724416"/>
        <c:scaling>
          <c:orientation val="minMax"/>
        </c:scaling>
        <c:delete val="0"/>
        <c:axPos val="b"/>
        <c:numFmt formatCode="General" sourceLinked="1"/>
        <c:majorTickMark val="out"/>
        <c:minorTickMark val="none"/>
        <c:tickLblPos val="nextTo"/>
        <c:crossAx val="131725952"/>
        <c:crosses val="autoZero"/>
        <c:auto val="1"/>
        <c:lblAlgn val="ctr"/>
        <c:lblOffset val="100"/>
        <c:noMultiLvlLbl val="0"/>
      </c:catAx>
      <c:valAx>
        <c:axId val="131725952"/>
        <c:scaling>
          <c:orientation val="minMax"/>
        </c:scaling>
        <c:delete val="0"/>
        <c:axPos val="l"/>
        <c:majorGridlines>
          <c:spPr>
            <a:ln w="3175">
              <a:prstDash val="sysDot"/>
            </a:ln>
          </c:spPr>
        </c:majorGridlines>
        <c:numFmt formatCode="#,##0.00" sourceLinked="1"/>
        <c:majorTickMark val="out"/>
        <c:minorTickMark val="none"/>
        <c:tickLblPos val="nextTo"/>
        <c:crossAx val="131724416"/>
        <c:crosses val="autoZero"/>
        <c:crossBetween val="between"/>
      </c:valAx>
    </c:plotArea>
    <c:plotVisOnly val="1"/>
    <c:dispBlanksAs val="gap"/>
    <c:showDLblsOverMax val="0"/>
  </c:chart>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u300kW'!$F$59</c:f>
          <c:strCache>
            <c:ptCount val="1"/>
            <c:pt idx="0">
              <c:v>Average price per tonne landed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'NSWOS demersal u24m u300kW'!$D$2:$M$2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u300kW'!$D$19:$M$19</c:f>
              <c:numCache>
                <c:formatCode>#,##0</c:formatCode>
                <c:ptCount val="10"/>
                <c:pt idx="0">
                  <c:v>1188.7804158087436</c:v>
                </c:pt>
                <c:pt idx="1">
                  <c:v>1361.1589640694403</c:v>
                </c:pt>
                <c:pt idx="2">
                  <c:v>1522.1565372842053</c:v>
                </c:pt>
                <c:pt idx="3">
                  <c:v>1509.6914953193461</c:v>
                </c:pt>
                <c:pt idx="4">
                  <c:v>1525.5947478106802</c:v>
                </c:pt>
                <c:pt idx="5">
                  <c:v>1498.0434426009301</c:v>
                </c:pt>
                <c:pt idx="6">
                  <c:v>1707.7002619401603</c:v>
                </c:pt>
                <c:pt idx="7">
                  <c:v>1579.0767724145053</c:v>
                </c:pt>
                <c:pt idx="8">
                  <c:v>1441.2133836847745</c:v>
                </c:pt>
                <c:pt idx="9">
                  <c:v>1726.5562280381146</c:v>
                </c:pt>
              </c:numCache>
            </c:numRef>
          </c:val>
          <c:smooth val="0"/>
        </c:ser>
        <c:dLbls>
          <c:showLegendKey val="0"/>
          <c:showVal val="0"/>
          <c:showCatName val="0"/>
          <c:showSerName val="0"/>
          <c:showPercent val="0"/>
          <c:showBubbleSize val="0"/>
        </c:dLbls>
        <c:marker val="1"/>
        <c:smooth val="0"/>
        <c:axId val="131541632"/>
        <c:axId val="131543424"/>
      </c:lineChart>
      <c:catAx>
        <c:axId val="131541632"/>
        <c:scaling>
          <c:orientation val="minMax"/>
        </c:scaling>
        <c:delete val="0"/>
        <c:axPos val="b"/>
        <c:numFmt formatCode="General" sourceLinked="1"/>
        <c:majorTickMark val="out"/>
        <c:minorTickMark val="none"/>
        <c:tickLblPos val="nextTo"/>
        <c:crossAx val="131543424"/>
        <c:crosses val="autoZero"/>
        <c:auto val="1"/>
        <c:lblAlgn val="ctr"/>
        <c:lblOffset val="100"/>
        <c:noMultiLvlLbl val="0"/>
      </c:catAx>
      <c:valAx>
        <c:axId val="131543424"/>
        <c:scaling>
          <c:orientation val="minMax"/>
        </c:scaling>
        <c:delete val="0"/>
        <c:axPos val="l"/>
        <c:majorGridlines>
          <c:spPr>
            <a:ln w="3175">
              <a:prstDash val="sysDot"/>
            </a:ln>
          </c:spPr>
        </c:majorGridlines>
        <c:numFmt formatCode="#,##0" sourceLinked="1"/>
        <c:majorTickMark val="out"/>
        <c:minorTickMark val="none"/>
        <c:tickLblPos val="nextTo"/>
        <c:crossAx val="131541632"/>
        <c:crosses val="autoZero"/>
        <c:crossBetween val="between"/>
      </c:valAx>
    </c:plotArea>
    <c:plotVisOnly val="1"/>
    <c:dispBlanksAs val="gap"/>
    <c:showDLblsOverMax val="0"/>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u300kW'!$K$59</c:f>
          <c:strCache>
            <c:ptCount val="1"/>
            <c:pt idx="0">
              <c:v>Average annual operating profit per vessel (£'000)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'NSWOS demersal u24m u300kW'!$D$2:$M$2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u300kW'!$D$34:$M$34</c:f>
              <c:numCache>
                <c:formatCode>#,##0.0</c:formatCode>
                <c:ptCount val="10"/>
                <c:pt idx="0">
                  <c:v>20.255153818542681</c:v>
                </c:pt>
                <c:pt idx="1">
                  <c:v>37.840446120062019</c:v>
                </c:pt>
                <c:pt idx="2">
                  <c:v>38.325671007727003</c:v>
                </c:pt>
                <c:pt idx="3">
                  <c:v>27.323943364146071</c:v>
                </c:pt>
                <c:pt idx="4">
                  <c:v>24.257882388783582</c:v>
                </c:pt>
                <c:pt idx="5">
                  <c:v>42.239705449916002</c:v>
                </c:pt>
                <c:pt idx="6">
                  <c:v>70.216823445789771</c:v>
                </c:pt>
                <c:pt idx="7">
                  <c:v>41.149043597840233</c:v>
                </c:pt>
                <c:pt idx="8">
                  <c:v>35.002987384299487</c:v>
                </c:pt>
                <c:pt idx="9">
                  <c:v>37.699999853529725</c:v>
                </c:pt>
              </c:numCache>
            </c:numRef>
          </c:val>
          <c:smooth val="0"/>
        </c:ser>
        <c:dLbls>
          <c:showLegendKey val="0"/>
          <c:showVal val="0"/>
          <c:showCatName val="0"/>
          <c:showSerName val="0"/>
          <c:showPercent val="0"/>
          <c:showBubbleSize val="0"/>
        </c:dLbls>
        <c:marker val="1"/>
        <c:smooth val="0"/>
        <c:axId val="131584384"/>
        <c:axId val="131585920"/>
      </c:lineChart>
      <c:catAx>
        <c:axId val="131584384"/>
        <c:scaling>
          <c:orientation val="minMax"/>
        </c:scaling>
        <c:delete val="0"/>
        <c:axPos val="b"/>
        <c:numFmt formatCode="General" sourceLinked="1"/>
        <c:majorTickMark val="out"/>
        <c:minorTickMark val="none"/>
        <c:tickLblPos val="nextTo"/>
        <c:crossAx val="131585920"/>
        <c:crosses val="autoZero"/>
        <c:auto val="1"/>
        <c:lblAlgn val="ctr"/>
        <c:lblOffset val="100"/>
        <c:noMultiLvlLbl val="0"/>
      </c:catAx>
      <c:valAx>
        <c:axId val="131585920"/>
        <c:scaling>
          <c:orientation val="minMax"/>
        </c:scaling>
        <c:delete val="0"/>
        <c:axPos val="l"/>
        <c:majorGridlines>
          <c:spPr>
            <a:ln w="3175">
              <a:prstDash val="sysDot"/>
            </a:ln>
          </c:spPr>
        </c:majorGridlines>
        <c:numFmt formatCode="#,##0.0" sourceLinked="1"/>
        <c:majorTickMark val="out"/>
        <c:minorTickMark val="none"/>
        <c:tickLblPos val="nextTo"/>
        <c:crossAx val="131584384"/>
        <c:crosses val="autoZero"/>
        <c:crossBetween val="between"/>
      </c:valAx>
    </c:plotArea>
    <c:plotVisOnly val="1"/>
    <c:dispBlanksAs val="gap"/>
    <c:showDLblsOverMax val="0"/>
  </c:chart>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u300kW'!$A$73</c:f>
          <c:strCache>
            <c:ptCount val="1"/>
            <c:pt idx="0">
              <c:v>Top 5 landed species by volume in 2013
NSWOS demersal under 24m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69535"/>
              </a:solidFill>
              <a:ln>
                <a:solidFill>
                  <a:srgbClr val="FFFFFF"/>
                </a:solidFill>
              </a:ln>
            </c:spPr>
          </c:dPt>
          <c:dPt>
            <c:idx val="2"/>
            <c:bubble3D val="0"/>
            <c:spPr>
              <a:solidFill>
                <a:srgbClr val="607A2A"/>
              </a:solidFill>
              <a:ln>
                <a:solidFill>
                  <a:srgbClr val="FFFFFF"/>
                </a:solidFill>
              </a:ln>
            </c:spPr>
          </c:dPt>
          <c:dPt>
            <c:idx val="3"/>
            <c:bubble3D val="0"/>
            <c:spPr>
              <a:solidFill>
                <a:srgbClr val="A85816"/>
              </a:solidFill>
              <a:ln>
                <a:solidFill>
                  <a:srgbClr val="FFFFFF"/>
                </a:solidFill>
              </a:ln>
            </c:spPr>
          </c:dPt>
          <c:dPt>
            <c:idx val="4"/>
            <c:bubble3D val="0"/>
            <c:spPr>
              <a:solidFill>
                <a:srgbClr val="7F2321"/>
              </a:solidFill>
              <a:ln>
                <a:solidFill>
                  <a:srgbClr val="FFFFFF"/>
                </a:solidFill>
              </a:ln>
            </c:spPr>
          </c:dPt>
          <c:dPt>
            <c:idx val="5"/>
            <c:bubble3D val="0"/>
            <c:spPr>
              <a:solidFill>
                <a:srgbClr val="008000"/>
              </a:solidFill>
              <a:ln>
                <a:solidFill>
                  <a:srgbClr val="FFFFFF"/>
                </a:solidFill>
              </a:ln>
            </c:spPr>
          </c:dPt>
          <c:cat>
            <c:strRef>
              <c:f>'NSWOS demersal u24m u300kW'!$B$74:$B$79</c:f>
              <c:strCache>
                <c:ptCount val="6"/>
                <c:pt idx="0">
                  <c:v>Haddock - 21.1%</c:v>
                </c:pt>
                <c:pt idx="1">
                  <c:v>Queen Scallops - 18.2%</c:v>
                </c:pt>
                <c:pt idx="2">
                  <c:v>Plaice - 16.3%</c:v>
                </c:pt>
                <c:pt idx="3">
                  <c:v>Whiting - 6.9%</c:v>
                </c:pt>
                <c:pt idx="4">
                  <c:v>Nephrops - 6.5%</c:v>
                </c:pt>
                <c:pt idx="5">
                  <c:v>Others - 31.0%</c:v>
                </c:pt>
              </c:strCache>
            </c:strRef>
          </c:cat>
          <c:val>
            <c:numRef>
              <c:f>'NSWOS demersal u24m u300kW'!$C$74:$C$79</c:f>
              <c:numCache>
                <c:formatCode>0.0%</c:formatCode>
                <c:ptCount val="6"/>
                <c:pt idx="0">
                  <c:v>0.21116281764944655</c:v>
                </c:pt>
                <c:pt idx="1">
                  <c:v>0.18208981570677896</c:v>
                </c:pt>
                <c:pt idx="2">
                  <c:v>0.16275405512655919</c:v>
                </c:pt>
                <c:pt idx="3">
                  <c:v>6.9307400755689266E-2</c:v>
                </c:pt>
                <c:pt idx="4">
                  <c:v>6.4821332072915044E-2</c:v>
                </c:pt>
                <c:pt idx="5">
                  <c:v>0.30986457868861095</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o250kW'!$F$73</c:f>
          <c:strCache>
            <c:ptCount val="1"/>
            <c:pt idx="0">
              <c:v>Top 5 landed species by value in 2013
Area VIIA nephrops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'Area VIIa nephrops o250kW'!$G$74:$G$79</c:f>
              <c:strCache>
                <c:ptCount val="6"/>
                <c:pt idx="0">
                  <c:v>Nephrops - 84.2%</c:v>
                </c:pt>
                <c:pt idx="1">
                  <c:v>Anglerfish - 2.8%</c:v>
                </c:pt>
                <c:pt idx="2">
                  <c:v>Cod - 2.5%</c:v>
                </c:pt>
                <c:pt idx="3">
                  <c:v>Haddock - 1.5%</c:v>
                </c:pt>
                <c:pt idx="4">
                  <c:v>Queen Scallops - 1.2%</c:v>
                </c:pt>
                <c:pt idx="5">
                  <c:v>Others - 7.8%</c:v>
                </c:pt>
              </c:strCache>
            </c:strRef>
          </c:cat>
          <c:val>
            <c:numRef>
              <c:f>'Area VIIa nephrops o250kW'!$H$74:$H$79</c:f>
              <c:numCache>
                <c:formatCode>0.0%</c:formatCode>
                <c:ptCount val="6"/>
                <c:pt idx="0">
                  <c:v>0.84232783644078868</c:v>
                </c:pt>
                <c:pt idx="1">
                  <c:v>2.7521627471795096E-2</c:v>
                </c:pt>
                <c:pt idx="2">
                  <c:v>2.5336597456421393E-2</c:v>
                </c:pt>
                <c:pt idx="3">
                  <c:v>1.4932312140121662E-2</c:v>
                </c:pt>
                <c:pt idx="4">
                  <c:v>1.1761999894535208E-2</c:v>
                </c:pt>
                <c:pt idx="5">
                  <c:v>7.8119626596337977E-2</c:v>
                </c:pt>
              </c:numCache>
            </c:numRef>
          </c:val>
        </c:ser>
        <c:dLbls>
          <c:showLegendKey val="0"/>
          <c:showVal val="0"/>
          <c:showCatName val="0"/>
          <c:showSerName val="0"/>
          <c:showPercent val="0"/>
          <c:showBubbleSize val="0"/>
          <c:showLeaderLines val="1"/>
        </c:dLbls>
        <c:firstSliceAng val="0"/>
      </c:pieChart>
    </c:plotArea>
    <c:legend>
      <c:legendPos val="l"/>
      <c:layout/>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u300kW'!$F$73</c:f>
          <c:strCache>
            <c:ptCount val="1"/>
            <c:pt idx="0">
              <c:v>Top 5 landed species by value in 2013
NSWOS demersal under 24m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'NSWOS demersal u24m u300kW'!$G$74:$G$79</c:f>
              <c:strCache>
                <c:ptCount val="6"/>
                <c:pt idx="0">
                  <c:v>Haddock - 15.1%</c:v>
                </c:pt>
                <c:pt idx="1">
                  <c:v>Nephrops - 14.8%</c:v>
                </c:pt>
                <c:pt idx="2">
                  <c:v>Plaice - 11.2%</c:v>
                </c:pt>
                <c:pt idx="3">
                  <c:v>Anglerfish - 9.0%</c:v>
                </c:pt>
                <c:pt idx="4">
                  <c:v>Cod - 6.7%</c:v>
                </c:pt>
                <c:pt idx="5">
                  <c:v>Others - 43.3%</c:v>
                </c:pt>
              </c:strCache>
            </c:strRef>
          </c:cat>
          <c:val>
            <c:numRef>
              <c:f>'NSWOS demersal u24m u300kW'!$H$74:$H$79</c:f>
              <c:numCache>
                <c:formatCode>0.0%</c:formatCode>
                <c:ptCount val="6"/>
                <c:pt idx="0">
                  <c:v>0.15075560341862665</c:v>
                </c:pt>
                <c:pt idx="1">
                  <c:v>0.14846494305751309</c:v>
                </c:pt>
                <c:pt idx="2">
                  <c:v>0.11169728353475987</c:v>
                </c:pt>
                <c:pt idx="3">
                  <c:v>8.9555601502770144E-2</c:v>
                </c:pt>
                <c:pt idx="4">
                  <c:v>6.6797440704241151E-2</c:v>
                </c:pt>
                <c:pt idx="5">
                  <c:v>0.43272912778208905</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u24m u300kW'!$C$88</c:f>
              <c:strCache>
                <c:ptCount val="1"/>
                <c:pt idx="0">
                  <c:v>Haddock</c:v>
                </c:pt>
              </c:strCache>
            </c:strRef>
          </c:tx>
          <c:spPr>
            <a:solidFill>
              <a:srgbClr val="224B7D"/>
            </a:solidFill>
            <a:ln>
              <a:solidFill>
                <a:srgbClr val="FFFFFF"/>
              </a:solidFill>
            </a:ln>
          </c:spPr>
          <c:invertIfNegative val="0"/>
          <c:cat>
            <c:numRef>
              <c:f>'NSWOS demersal u24m u300kW'!$D$87:$M$87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u300kW'!$D$88:$M$88</c:f>
              <c:numCache>
                <c:formatCode>0%</c:formatCode>
                <c:ptCount val="10"/>
                <c:pt idx="2">
                  <c:v>0.11166104354875965</c:v>
                </c:pt>
                <c:pt idx="3">
                  <c:v>0.15725933854795454</c:v>
                </c:pt>
                <c:pt idx="7">
                  <c:v>8.684902869294979E-2</c:v>
                </c:pt>
                <c:pt idx="8">
                  <c:v>0.15332689182634859</c:v>
                </c:pt>
                <c:pt idx="9">
                  <c:v>0.11613239142998348</c:v>
                </c:pt>
              </c:numCache>
            </c:numRef>
          </c:val>
        </c:ser>
        <c:ser>
          <c:idx val="1"/>
          <c:order val="1"/>
          <c:tx>
            <c:strRef>
              <c:f>'NSWOS demersal u24m u300kW'!$C$89</c:f>
              <c:strCache>
                <c:ptCount val="1"/>
                <c:pt idx="0">
                  <c:v>Nephrops</c:v>
                </c:pt>
              </c:strCache>
            </c:strRef>
          </c:tx>
          <c:spPr>
            <a:solidFill>
              <a:srgbClr val="7F2321"/>
            </a:solidFill>
            <a:ln>
              <a:solidFill>
                <a:srgbClr val="FFFFFF"/>
              </a:solidFill>
            </a:ln>
          </c:spPr>
          <c:invertIfNegative val="0"/>
          <c:cat>
            <c:numRef>
              <c:f>'NSWOS demersal u24m u300kW'!$D$87:$M$87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u300kW'!$D$89:$M$89</c:f>
              <c:numCache>
                <c:formatCode>0%</c:formatCode>
                <c:ptCount val="10"/>
                <c:pt idx="0">
                  <c:v>0.11104482044497095</c:v>
                </c:pt>
                <c:pt idx="1">
                  <c:v>0.16936985853824718</c:v>
                </c:pt>
                <c:pt idx="2">
                  <c:v>0.18930351771573856</c:v>
                </c:pt>
                <c:pt idx="3">
                  <c:v>0.1476274162541947</c:v>
                </c:pt>
                <c:pt idx="4">
                  <c:v>0.14099076121027856</c:v>
                </c:pt>
                <c:pt idx="5">
                  <c:v>0.1582576482384471</c:v>
                </c:pt>
                <c:pt idx="6">
                  <c:v>0.12777444756090747</c:v>
                </c:pt>
                <c:pt idx="7">
                  <c:v>0.15683745110240643</c:v>
                </c:pt>
                <c:pt idx="8">
                  <c:v>0.15099716194941606</c:v>
                </c:pt>
                <c:pt idx="9">
                  <c:v>9.0914391556723428E-2</c:v>
                </c:pt>
              </c:numCache>
            </c:numRef>
          </c:val>
        </c:ser>
        <c:ser>
          <c:idx val="2"/>
          <c:order val="2"/>
          <c:tx>
            <c:strRef>
              <c:f>'NSWOS demersal u24m u300kW'!$C$90</c:f>
              <c:strCache>
                <c:ptCount val="1"/>
                <c:pt idx="0">
                  <c:v>Plaice</c:v>
                </c:pt>
              </c:strCache>
            </c:strRef>
          </c:tx>
          <c:spPr>
            <a:solidFill>
              <a:srgbClr val="607A2A"/>
            </a:solidFill>
            <a:ln>
              <a:solidFill>
                <a:srgbClr val="FFFFFF"/>
              </a:solidFill>
            </a:ln>
          </c:spPr>
          <c:invertIfNegative val="0"/>
          <c:cat>
            <c:numRef>
              <c:f>'NSWOS demersal u24m u300kW'!$D$87:$M$87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u300kW'!$D$90:$M$90</c:f>
              <c:numCache>
                <c:formatCode>0%</c:formatCode>
                <c:ptCount val="10"/>
                <c:pt idx="6">
                  <c:v>8.693898723596169E-2</c:v>
                </c:pt>
                <c:pt idx="7">
                  <c:v>0.14892311412807341</c:v>
                </c:pt>
                <c:pt idx="8">
                  <c:v>0.11360239302199683</c:v>
                </c:pt>
              </c:numCache>
            </c:numRef>
          </c:val>
        </c:ser>
        <c:ser>
          <c:idx val="3"/>
          <c:order val="3"/>
          <c:tx>
            <c:strRef>
              <c:f>'NSWOS demersal u24m u300kW'!$C$91</c:f>
              <c:strCache>
                <c:ptCount val="1"/>
                <c:pt idx="0">
                  <c:v>Anglerfish</c:v>
                </c:pt>
              </c:strCache>
            </c:strRef>
          </c:tx>
          <c:spPr>
            <a:solidFill>
              <a:srgbClr val="4B3467"/>
            </a:solidFill>
            <a:ln>
              <a:solidFill>
                <a:srgbClr val="FFFFFF"/>
              </a:solidFill>
            </a:ln>
          </c:spPr>
          <c:invertIfNegative val="0"/>
          <c:cat>
            <c:numRef>
              <c:f>'NSWOS demersal u24m u300kW'!$D$87:$M$87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u300kW'!$D$91:$M$91</c:f>
              <c:numCache>
                <c:formatCode>0%</c:formatCode>
                <c:ptCount val="10"/>
                <c:pt idx="0">
                  <c:v>0.19465562199454753</c:v>
                </c:pt>
                <c:pt idx="1">
                  <c:v>0.14679940689940188</c:v>
                </c:pt>
                <c:pt idx="2">
                  <c:v>0.13792520455371943</c:v>
                </c:pt>
                <c:pt idx="3">
                  <c:v>0.14995598790270614</c:v>
                </c:pt>
                <c:pt idx="4">
                  <c:v>9.5219139580109163E-2</c:v>
                </c:pt>
                <c:pt idx="5">
                  <c:v>8.9069779545489544E-2</c:v>
                </c:pt>
                <c:pt idx="6">
                  <c:v>0.13996422238114103</c:v>
                </c:pt>
                <c:pt idx="7">
                  <c:v>0.10591286501415402</c:v>
                </c:pt>
                <c:pt idx="8">
                  <c:v>9.1083062338512363E-2</c:v>
                </c:pt>
                <c:pt idx="9">
                  <c:v>0.15221952269332673</c:v>
                </c:pt>
              </c:numCache>
            </c:numRef>
          </c:val>
        </c:ser>
        <c:ser>
          <c:idx val="4"/>
          <c:order val="4"/>
          <c:tx>
            <c:strRef>
              <c:f>'NSWOS demersal u24m u300kW'!$C$92</c:f>
              <c:strCache>
                <c:ptCount val="1"/>
                <c:pt idx="0">
                  <c:v>Cod</c:v>
                </c:pt>
              </c:strCache>
            </c:strRef>
          </c:tx>
          <c:spPr>
            <a:solidFill>
              <a:srgbClr val="9B2D2A"/>
            </a:solidFill>
            <a:ln>
              <a:solidFill>
                <a:srgbClr val="FFFFFF"/>
              </a:solidFill>
            </a:ln>
          </c:spPr>
          <c:invertIfNegative val="0"/>
          <c:cat>
            <c:numRef>
              <c:f>'NSWOS demersal u24m u300kW'!$D$87:$M$87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u300kW'!$D$92:$M$92</c:f>
              <c:numCache>
                <c:formatCode>0%</c:formatCode>
                <c:ptCount val="10"/>
                <c:pt idx="0">
                  <c:v>0.14829571954680851</c:v>
                </c:pt>
                <c:pt idx="1">
                  <c:v>0.16495077041645492</c:v>
                </c:pt>
                <c:pt idx="2">
                  <c:v>0.12168815873445805</c:v>
                </c:pt>
                <c:pt idx="3">
                  <c:v>0.10420242442348347</c:v>
                </c:pt>
                <c:pt idx="4">
                  <c:v>0.10745258754285425</c:v>
                </c:pt>
                <c:pt idx="8">
                  <c:v>6.7936738223228682E-2</c:v>
                </c:pt>
              </c:numCache>
            </c:numRef>
          </c:val>
        </c:ser>
        <c:ser>
          <c:idx val="5"/>
          <c:order val="5"/>
          <c:tx>
            <c:strRef>
              <c:f>'NSWOS demersal u24m u300kW'!$C$93</c:f>
              <c:strCache>
                <c:ptCount val="1"/>
                <c:pt idx="0">
                  <c:v>Megrim</c:v>
                </c:pt>
              </c:strCache>
            </c:strRef>
          </c:tx>
          <c:spPr>
            <a:solidFill>
              <a:srgbClr val="769535"/>
            </a:solidFill>
            <a:ln>
              <a:solidFill>
                <a:srgbClr val="FFFFFF"/>
              </a:solidFill>
            </a:ln>
          </c:spPr>
          <c:invertIfNegative val="0"/>
          <c:cat>
            <c:numRef>
              <c:f>'NSWOS demersal u24m u300kW'!$D$87:$M$87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u300kW'!$D$93:$M$93</c:f>
              <c:numCache>
                <c:formatCode>0%</c:formatCode>
                <c:ptCount val="10"/>
                <c:pt idx="1">
                  <c:v>6.6402233342082784E-2</c:v>
                </c:pt>
                <c:pt idx="4">
                  <c:v>0.10033299896826502</c:v>
                </c:pt>
                <c:pt idx="5">
                  <c:v>0.14322575620474126</c:v>
                </c:pt>
                <c:pt idx="6">
                  <c:v>0.14031188732515398</c:v>
                </c:pt>
                <c:pt idx="7">
                  <c:v>0.11610693627365963</c:v>
                </c:pt>
                <c:pt idx="9">
                  <c:v>0.11420109452006698</c:v>
                </c:pt>
              </c:numCache>
            </c:numRef>
          </c:val>
        </c:ser>
        <c:ser>
          <c:idx val="6"/>
          <c:order val="6"/>
          <c:tx>
            <c:strRef>
              <c:f>'NSWOS demersal u24m u300kW'!$C$94</c:f>
              <c:strCache>
                <c:ptCount val="1"/>
                <c:pt idx="0">
                  <c:v>Squid</c:v>
                </c:pt>
              </c:strCache>
            </c:strRef>
          </c:tx>
          <c:spPr>
            <a:solidFill>
              <a:srgbClr val="A85816"/>
            </a:solidFill>
            <a:ln>
              <a:solidFill>
                <a:srgbClr val="FFFFFF"/>
              </a:solidFill>
            </a:ln>
          </c:spPr>
          <c:invertIfNegative val="0"/>
          <c:cat>
            <c:numRef>
              <c:f>'NSWOS demersal u24m u300kW'!$D$87:$M$87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u300kW'!$D$94:$M$94</c:f>
              <c:numCache>
                <c:formatCode>0%</c:formatCode>
                <c:ptCount val="10"/>
                <c:pt idx="0">
                  <c:v>8.7027025958011914E-2</c:v>
                </c:pt>
                <c:pt idx="5">
                  <c:v>0.16391878143169522</c:v>
                </c:pt>
                <c:pt idx="6">
                  <c:v>8.4546545926496214E-2</c:v>
                </c:pt>
                <c:pt idx="9">
                  <c:v>0.10202720411265206</c:v>
                </c:pt>
              </c:numCache>
            </c:numRef>
          </c:val>
        </c:ser>
        <c:ser>
          <c:idx val="7"/>
          <c:order val="7"/>
          <c:tx>
            <c:strRef>
              <c:f>'NSWOS demersal u24m u300kW'!$C$95</c:f>
              <c:strCache>
                <c:ptCount val="1"/>
                <c:pt idx="0">
                  <c:v>Queen Scallops</c:v>
                </c:pt>
              </c:strCache>
            </c:strRef>
          </c:tx>
          <c:spPr>
            <a:solidFill>
              <a:srgbClr val="5D417E"/>
            </a:solidFill>
            <a:ln>
              <a:solidFill>
                <a:srgbClr val="FFFFFF"/>
              </a:solidFill>
            </a:ln>
          </c:spPr>
          <c:invertIfNegative val="0"/>
          <c:cat>
            <c:numRef>
              <c:f>'NSWOS demersal u24m u300kW'!$D$87:$M$87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u300kW'!$D$95:$M$95</c:f>
              <c:numCache>
                <c:formatCode>0%</c:formatCode>
                <c:ptCount val="10"/>
                <c:pt idx="5">
                  <c:v>9.6513981320592551E-2</c:v>
                </c:pt>
              </c:numCache>
            </c:numRef>
          </c:val>
        </c:ser>
        <c:ser>
          <c:idx val="8"/>
          <c:order val="8"/>
          <c:tx>
            <c:strRef>
              <c:f>'NSWOS demersal u24m u300kW'!$C$96</c:f>
              <c:strCache>
                <c:ptCount val="1"/>
                <c:pt idx="0">
                  <c:v>Sole</c:v>
                </c:pt>
              </c:strCache>
            </c:strRef>
          </c:tx>
          <c:spPr>
            <a:solidFill>
              <a:srgbClr val="2787A0"/>
            </a:solidFill>
            <a:ln>
              <a:solidFill>
                <a:srgbClr val="FFFFFF"/>
              </a:solidFill>
            </a:ln>
          </c:spPr>
          <c:invertIfNegative val="0"/>
          <c:cat>
            <c:numRef>
              <c:f>'NSWOS demersal u24m u300kW'!$D$87:$M$87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u300kW'!$D$96:$M$96</c:f>
              <c:numCache>
                <c:formatCode>0%</c:formatCode>
                <c:ptCount val="10"/>
                <c:pt idx="4">
                  <c:v>0.1210010934950093</c:v>
                </c:pt>
              </c:numCache>
            </c:numRef>
          </c:val>
        </c:ser>
        <c:ser>
          <c:idx val="9"/>
          <c:order val="9"/>
          <c:tx>
            <c:strRef>
              <c:f>'NSWOS demersal u24m u300kW'!$C$97</c:f>
              <c:strCache>
                <c:ptCount val="1"/>
                <c:pt idx="0">
                  <c:v>Whiting</c:v>
                </c:pt>
              </c:strCache>
            </c:strRef>
          </c:tx>
          <c:spPr>
            <a:solidFill>
              <a:srgbClr val="CB6C1D"/>
            </a:solidFill>
            <a:ln>
              <a:solidFill>
                <a:srgbClr val="FFFFFF"/>
              </a:solidFill>
            </a:ln>
          </c:spPr>
          <c:invertIfNegative val="0"/>
          <c:cat>
            <c:numRef>
              <c:f>'NSWOS demersal u24m u300kW'!$D$87:$M$87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u300kW'!$D$97:$M$97</c:f>
              <c:numCache>
                <c:formatCode>0%</c:formatCode>
                <c:ptCount val="10"/>
                <c:pt idx="0">
                  <c:v>9.3680758610892187E-2</c:v>
                </c:pt>
                <c:pt idx="1">
                  <c:v>0.15088448500215013</c:v>
                </c:pt>
                <c:pt idx="2">
                  <c:v>0.14540168043956148</c:v>
                </c:pt>
                <c:pt idx="3">
                  <c:v>9.1955129630049287E-2</c:v>
                </c:pt>
              </c:numCache>
            </c:numRef>
          </c:val>
        </c:ser>
        <c:ser>
          <c:idx val="10"/>
          <c:order val="10"/>
          <c:tx>
            <c:strRef>
              <c:f>'NSWOS demersal u24m u300kW'!$C$98</c:f>
              <c:strCache>
                <c:ptCount val="1"/>
                <c:pt idx="0">
                  <c:v>Others</c:v>
                </c:pt>
              </c:strCache>
            </c:strRef>
          </c:tx>
          <c:spPr>
            <a:solidFill>
              <a:srgbClr val="008000"/>
            </a:solidFill>
            <a:ln>
              <a:solidFill>
                <a:srgbClr val="FFFFFF"/>
              </a:solidFill>
            </a:ln>
          </c:spPr>
          <c:invertIfNegative val="0"/>
          <c:cat>
            <c:numRef>
              <c:f>'NSWOS demersal u24m u300kW'!$D$87:$M$87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'NSWOS demersal u24m u300kW'!$D$98:$M$98</c:f>
              <c:numCache>
                <c:formatCode>0%</c:formatCode>
                <c:ptCount val="10"/>
                <c:pt idx="0">
                  <c:v>0.3652960534447689</c:v>
                </c:pt>
                <c:pt idx="1">
                  <c:v>0.30159324580166313</c:v>
                </c:pt>
                <c:pt idx="2">
                  <c:v>0.29402039500776284</c:v>
                </c:pt>
                <c:pt idx="3">
                  <c:v>0.34899970324161184</c:v>
                </c:pt>
                <c:pt idx="4">
                  <c:v>0.43500341920348373</c:v>
                </c:pt>
                <c:pt idx="5">
                  <c:v>0.34901405325903434</c:v>
                </c:pt>
                <c:pt idx="6">
                  <c:v>0.42046390957033963</c:v>
                </c:pt>
                <c:pt idx="7">
                  <c:v>0.38537060478875668</c:v>
                </c:pt>
                <c:pt idx="8">
                  <c:v>0.42305375264049749</c:v>
                </c:pt>
                <c:pt idx="9">
                  <c:v>0.42450539568724732</c:v>
                </c:pt>
              </c:numCache>
            </c:numRef>
          </c:val>
        </c:ser>
        <c:dLbls>
          <c:showLegendKey val="0"/>
          <c:showVal val="0"/>
          <c:showCatName val="0"/>
          <c:showSerName val="0"/>
          <c:showPercent val="0"/>
          <c:showBubbleSize val="0"/>
        </c:dLbls>
        <c:gapWidth val="150"/>
        <c:overlap val="100"/>
        <c:axId val="131918848"/>
        <c:axId val="131928832"/>
      </c:barChart>
      <c:catAx>
        <c:axId val="131918848"/>
        <c:scaling>
          <c:orientation val="minMax"/>
        </c:scaling>
        <c:delete val="0"/>
        <c:axPos val="b"/>
        <c:numFmt formatCode="General" sourceLinked="1"/>
        <c:majorTickMark val="out"/>
        <c:minorTickMark val="none"/>
        <c:tickLblPos val="nextTo"/>
        <c:crossAx val="131928832"/>
        <c:crosses val="autoZero"/>
        <c:auto val="1"/>
        <c:lblAlgn val="ctr"/>
        <c:lblOffset val="100"/>
        <c:noMultiLvlLbl val="0"/>
      </c:catAx>
      <c:valAx>
        <c:axId val="131928832"/>
        <c:scaling>
          <c:orientation val="minMax"/>
          <c:max val="1"/>
          <c:min val="0"/>
        </c:scaling>
        <c:delete val="0"/>
        <c:axPos val="l"/>
        <c:majorGridlines/>
        <c:numFmt formatCode="0%" sourceLinked="1"/>
        <c:majorTickMark val="out"/>
        <c:minorTickMark val="none"/>
        <c:tickLblPos val="nextTo"/>
        <c:crossAx val="131918848"/>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'Pelagic over 40m'!$A$45</c:f>
          <c:strCache>
            <c:ptCount val="1"/>
            <c:pt idx="0">
              <c:v>Landings per kW day at sea (kg)
Pelagic over 40m</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'Pelagic over 40m'!$D$2:$M$2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40m'!$D$20:$M$20</c:f>
              <c:numCache>
                <c:formatCode>#,##0.00</c:formatCode>
                <c:ptCount val="10"/>
                <c:pt idx="0">
                  <c:v>31.421473677244926</c:v>
                </c:pt>
                <c:pt idx="1">
                  <c:v>32.324345557334695</c:v>
                </c:pt>
                <c:pt idx="2">
                  <c:v>28.453226650055555</c:v>
                </c:pt>
                <c:pt idx="3">
                  <c:v>29.419036564642511</c:v>
                </c:pt>
                <c:pt idx="4">
                  <c:v>30.347774903790246</c:v>
                </c:pt>
                <c:pt idx="5">
                  <c:v>29.288768181100544</c:v>
                </c:pt>
                <c:pt idx="6">
                  <c:v>33.119085859028047</c:v>
                </c:pt>
                <c:pt idx="7">
                  <c:v>32.569311735917061</c:v>
                </c:pt>
                <c:pt idx="8">
                  <c:v>33.473703919579208</c:v>
                </c:pt>
                <c:pt idx="9">
                  <c:v>44.737026995751435</c:v>
                </c:pt>
              </c:numCache>
            </c:numRef>
          </c:val>
          <c:smooth val="0"/>
        </c:ser>
        <c:dLbls>
          <c:showLegendKey val="0"/>
          <c:showVal val="0"/>
          <c:showCatName val="0"/>
          <c:showSerName val="0"/>
          <c:showPercent val="0"/>
          <c:showBubbleSize val="0"/>
        </c:dLbls>
        <c:marker val="1"/>
        <c:smooth val="0"/>
        <c:axId val="129981056"/>
        <c:axId val="129999232"/>
      </c:lineChart>
      <c:catAx>
        <c:axId val="129981056"/>
        <c:scaling>
          <c:orientation val="minMax"/>
        </c:scaling>
        <c:delete val="0"/>
        <c:axPos val="b"/>
        <c:numFmt formatCode="General" sourceLinked="1"/>
        <c:majorTickMark val="out"/>
        <c:minorTickMark val="none"/>
        <c:tickLblPos val="nextTo"/>
        <c:crossAx val="129999232"/>
        <c:crosses val="autoZero"/>
        <c:auto val="1"/>
        <c:lblAlgn val="ctr"/>
        <c:lblOffset val="100"/>
        <c:noMultiLvlLbl val="0"/>
      </c:catAx>
      <c:valAx>
        <c:axId val="129999232"/>
        <c:scaling>
          <c:orientation val="minMax"/>
        </c:scaling>
        <c:delete val="0"/>
        <c:axPos val="l"/>
        <c:majorGridlines>
          <c:spPr>
            <a:ln w="3175">
              <a:prstDash val="sysDot"/>
            </a:ln>
          </c:spPr>
        </c:majorGridlines>
        <c:numFmt formatCode="#,##0.00" sourceLinked="1"/>
        <c:majorTickMark val="out"/>
        <c:minorTickMark val="none"/>
        <c:tickLblPos val="nextTo"/>
        <c:crossAx val="129981056"/>
        <c:crosses val="autoZero"/>
        <c:crossBetween val="between"/>
      </c:valAx>
    </c:plotArea>
    <c:plotVisOnly val="1"/>
    <c:dispBlanksAs val="gap"/>
    <c:showDLblsOverMax val="0"/>
  </c:chart>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'Pelagic over 40m'!$F$59</c:f>
          <c:strCache>
            <c:ptCount val="1"/>
            <c:pt idx="0">
              <c:v>Average price per tonne landed (£)
Pelagic over 40m</c:v>
            </c:pt>
          </c:strCache>
        </c:strRef>
      </c:tx>
      <c:overlay val="0"/>
      <c:txPr>
        <a:bodyPr/>
        <a:lstStyle/>
        <a:p>
          <a:pPr>
            <a:defRPr sz="1200"/>
          </a:pPr>
          <a:endParaRPr lang="en-US"/>
        </a:p>
      </c:txPr>
    </c:title>
    <c:autoTitleDeleted val="0"/>
    <c:plotArea>
      <c:layout/>
      <c:lineChart>
        <c:grouping val="standard"/>
        <c:varyColors val="0"/>
        <c:ser>
          <c:idx val="1"/>
          <c:order val="1"/>
          <c:spPr>
            <a:ln w="57150">
              <a:solidFill>
                <a:srgbClr val="00B050"/>
              </a:solidFill>
            </a:ln>
          </c:spPr>
          <c:marker>
            <c:symbol val="none"/>
          </c:marker>
          <c:dPt>
            <c:idx val="9"/>
            <c:bubble3D val="0"/>
            <c:spPr>
              <a:ln w="57150">
                <a:solidFill>
                  <a:srgbClr val="00B050"/>
                </a:solidFill>
                <a:prstDash val="sysDot"/>
              </a:ln>
            </c:spPr>
          </c:dPt>
          <c:cat>
            <c:numRef>
              <c:f>'Pelagic over 40m'!$D$2:$M$2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40m'!$D$21:$M$21</c:f>
              <c:numCache>
                <c:formatCode>#,##0.00</c:formatCode>
                <c:ptCount val="10"/>
              </c:numCache>
            </c:numRef>
          </c:val>
          <c:smooth val="0"/>
        </c:ser>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'Pelagic over 40m'!$D$2:$M$2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40m'!$D$19:$M$19</c:f>
              <c:numCache>
                <c:formatCode>#,##0</c:formatCode>
                <c:ptCount val="10"/>
                <c:pt idx="0">
                  <c:v>414.35269243998198</c:v>
                </c:pt>
                <c:pt idx="1">
                  <c:v>475.30523602506901</c:v>
                </c:pt>
                <c:pt idx="2">
                  <c:v>499.22050760097602</c:v>
                </c:pt>
                <c:pt idx="3">
                  <c:v>525.78587181002297</c:v>
                </c:pt>
                <c:pt idx="4">
                  <c:v>727.42328986295399</c:v>
                </c:pt>
                <c:pt idx="5">
                  <c:v>647.95684844446203</c:v>
                </c:pt>
                <c:pt idx="6">
                  <c:v>915.88450481883001</c:v>
                </c:pt>
                <c:pt idx="7">
                  <c:v>714.88956407574801</c:v>
                </c:pt>
                <c:pt idx="8">
                  <c:v>698.29460371792595</c:v>
                </c:pt>
                <c:pt idx="9">
                  <c:v>654.98115201835105</c:v>
                </c:pt>
              </c:numCache>
            </c:numRef>
          </c:val>
          <c:smooth val="0"/>
        </c:ser>
        <c:dLbls>
          <c:showLegendKey val="0"/>
          <c:showVal val="0"/>
          <c:showCatName val="0"/>
          <c:showSerName val="0"/>
          <c:showPercent val="0"/>
          <c:showBubbleSize val="0"/>
        </c:dLbls>
        <c:marker val="1"/>
        <c:smooth val="0"/>
        <c:axId val="130160128"/>
        <c:axId val="130161664"/>
      </c:lineChart>
      <c:catAx>
        <c:axId val="130160128"/>
        <c:scaling>
          <c:orientation val="minMax"/>
        </c:scaling>
        <c:delete val="0"/>
        <c:axPos val="b"/>
        <c:numFmt formatCode="General" sourceLinked="1"/>
        <c:majorTickMark val="out"/>
        <c:minorTickMark val="none"/>
        <c:tickLblPos val="nextTo"/>
        <c:crossAx val="130161664"/>
        <c:crosses val="autoZero"/>
        <c:auto val="1"/>
        <c:lblAlgn val="ctr"/>
        <c:lblOffset val="100"/>
        <c:noMultiLvlLbl val="0"/>
      </c:catAx>
      <c:valAx>
        <c:axId val="130161664"/>
        <c:scaling>
          <c:orientation val="minMax"/>
        </c:scaling>
        <c:delete val="0"/>
        <c:axPos val="l"/>
        <c:majorGridlines>
          <c:spPr>
            <a:ln w="3175">
              <a:prstDash val="sysDot"/>
            </a:ln>
          </c:spPr>
        </c:majorGridlines>
        <c:numFmt formatCode="#,##0.00" sourceLinked="1"/>
        <c:majorTickMark val="out"/>
        <c:minorTickMark val="none"/>
        <c:tickLblPos val="nextTo"/>
        <c:crossAx val="130160128"/>
        <c:crosses val="autoZero"/>
        <c:crossBetween val="between"/>
      </c:valAx>
    </c:plotArea>
    <c:plotVisOnly val="1"/>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'Pelagic over 40m'!$A$112</c:f>
          <c:strCache>
            <c:ptCount val="1"/>
            <c:pt idx="0">
              <c:v>Top 5 landed species by volume in 2013
Pelagic over 40m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4B3467"/>
              </a:solidFill>
              <a:ln>
                <a:solidFill>
                  <a:srgbClr val="FFFFFF"/>
                </a:solidFill>
              </a:ln>
            </c:spPr>
          </c:dPt>
          <c:dPt>
            <c:idx val="3"/>
            <c:bubble3D val="0"/>
            <c:spPr>
              <a:solidFill>
                <a:srgbClr val="607A2A"/>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'Pelagic over 40m'!$B$74:$B$79</c:f>
              <c:strCache>
                <c:ptCount val="6"/>
                <c:pt idx="0">
                  <c:v>Mackerel - 56.5%</c:v>
                </c:pt>
                <c:pt idx="1">
                  <c:v>Herring - 32.4%</c:v>
                </c:pt>
                <c:pt idx="2">
                  <c:v>Blue Whiting - 4.7%</c:v>
                </c:pt>
                <c:pt idx="3">
                  <c:v>Horse Mackerel - 3.9%</c:v>
                </c:pt>
                <c:pt idx="4">
                  <c:v>Boarfish - 1.5%</c:v>
                </c:pt>
                <c:pt idx="5">
                  <c:v>Others - 1.0%</c:v>
                </c:pt>
              </c:strCache>
            </c:strRef>
          </c:cat>
          <c:val>
            <c:numRef>
              <c:f>'Pelagic over 40m'!$C$74:$C$79</c:f>
              <c:numCache>
                <c:formatCode>0.0%</c:formatCode>
                <c:ptCount val="6"/>
                <c:pt idx="0">
                  <c:v>0.56481578636905572</c:v>
                </c:pt>
                <c:pt idx="1">
                  <c:v>0.32406058306181662</c:v>
                </c:pt>
                <c:pt idx="2">
                  <c:v>4.696787712458525E-2</c:v>
                </c:pt>
                <c:pt idx="3">
                  <c:v>3.9193966485063549E-2</c:v>
                </c:pt>
                <c:pt idx="4">
                  <c:v>1.5238768301892127E-2</c:v>
                </c:pt>
                <c:pt idx="5">
                  <c:v>9.723018657586735E-3</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'Pelagic over 40m'!$F$73</c:f>
          <c:strCache>
            <c:ptCount val="1"/>
            <c:pt idx="0">
              <c:v>Top 5 landed species by value in 2013
Pelagic over 40m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'Pelagic over 40m'!$G$74:$G$79</c:f>
              <c:strCache>
                <c:ptCount val="6"/>
                <c:pt idx="0">
                  <c:v>Mackerel - 73.0%</c:v>
                </c:pt>
                <c:pt idx="1">
                  <c:v>Herring - 16.5%</c:v>
                </c:pt>
                <c:pt idx="2">
                  <c:v>Horse Mackerel - 2.4%</c:v>
                </c:pt>
                <c:pt idx="3">
                  <c:v>Blue Whiting - 1.5%</c:v>
                </c:pt>
                <c:pt idx="4">
                  <c:v>Boarfish - 0.3%</c:v>
                </c:pt>
                <c:pt idx="5">
                  <c:v>Others - 6.3%</c:v>
                </c:pt>
              </c:strCache>
            </c:strRef>
          </c:cat>
          <c:val>
            <c:numRef>
              <c:f>'Pelagic over 40m'!$H$74:$H$79</c:f>
              <c:numCache>
                <c:formatCode>0.0%</c:formatCode>
                <c:ptCount val="6"/>
                <c:pt idx="0">
                  <c:v>0.72983940984333229</c:v>
                </c:pt>
                <c:pt idx="1">
                  <c:v>0.16513315876206142</c:v>
                </c:pt>
                <c:pt idx="2">
                  <c:v>2.3817201734657512E-2</c:v>
                </c:pt>
                <c:pt idx="3">
                  <c:v>1.5068186588094978E-2</c:v>
                </c:pt>
                <c:pt idx="4">
                  <c:v>3.4951331722156628E-3</c:v>
                </c:pt>
                <c:pt idx="5">
                  <c:v>6.264690989963817E-2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'Pelagic over 40m'!$C$88</c:f>
              <c:strCache>
                <c:ptCount val="1"/>
                <c:pt idx="0">
                  <c:v>Mackerel</c:v>
                </c:pt>
              </c:strCache>
            </c:strRef>
          </c:tx>
          <c:spPr>
            <a:solidFill>
              <a:srgbClr val="224B7D"/>
            </a:solidFill>
            <a:ln>
              <a:solidFill>
                <a:srgbClr val="FFFFFF"/>
              </a:solidFill>
            </a:ln>
          </c:spPr>
          <c:invertIfNegative val="0"/>
          <c:cat>
            <c:numRef>
              <c:f>'Pelagic over 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40m'!$D$88:$M$88</c:f>
              <c:numCache>
                <c:formatCode>0%</c:formatCode>
                <c:ptCount val="10"/>
                <c:pt idx="0">
                  <c:v>0.71644493344004401</c:v>
                </c:pt>
                <c:pt idx="1">
                  <c:v>0.59087979731146834</c:v>
                </c:pt>
                <c:pt idx="2">
                  <c:v>0.65792352537383703</c:v>
                </c:pt>
                <c:pt idx="3">
                  <c:v>0.76721853898938475</c:v>
                </c:pt>
                <c:pt idx="4">
                  <c:v>0.81904896401106098</c:v>
                </c:pt>
                <c:pt idx="5">
                  <c:v>0.78756895879772126</c:v>
                </c:pt>
                <c:pt idx="6">
                  <c:v>0.82990955331041383</c:v>
                </c:pt>
                <c:pt idx="7">
                  <c:v>0.75053680326298866</c:v>
                </c:pt>
                <c:pt idx="8">
                  <c:v>0.74228757515956278</c:v>
                </c:pt>
                <c:pt idx="9">
                  <c:v>0.84318832736343241</c:v>
                </c:pt>
              </c:numCache>
            </c:numRef>
          </c:val>
        </c:ser>
        <c:ser>
          <c:idx val="1"/>
          <c:order val="1"/>
          <c:tx>
            <c:strRef>
              <c:f>'Pelagic over 40m'!$C$89</c:f>
              <c:strCache>
                <c:ptCount val="1"/>
                <c:pt idx="0">
                  <c:v>Herring</c:v>
                </c:pt>
              </c:strCache>
            </c:strRef>
          </c:tx>
          <c:spPr>
            <a:solidFill>
              <a:srgbClr val="7F2321"/>
            </a:solidFill>
            <a:ln>
              <a:solidFill>
                <a:srgbClr val="FFFFFF"/>
              </a:solidFill>
            </a:ln>
          </c:spPr>
          <c:invertIfNegative val="0"/>
          <c:cat>
            <c:numRef>
              <c:f>'Pelagic over 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40m'!$D$89:$M$89</c:f>
              <c:numCache>
                <c:formatCode>0%</c:formatCode>
                <c:ptCount val="10"/>
                <c:pt idx="0">
                  <c:v>0.18481762920537645</c:v>
                </c:pt>
                <c:pt idx="1">
                  <c:v>0.26184443078283998</c:v>
                </c:pt>
                <c:pt idx="2">
                  <c:v>0.19681031413599698</c:v>
                </c:pt>
                <c:pt idx="3">
                  <c:v>0.13964650143694807</c:v>
                </c:pt>
                <c:pt idx="4">
                  <c:v>0.12170012139837454</c:v>
                </c:pt>
                <c:pt idx="5">
                  <c:v>0.12659242844666282</c:v>
                </c:pt>
                <c:pt idx="6">
                  <c:v>0.11906778464821892</c:v>
                </c:pt>
                <c:pt idx="7">
                  <c:v>0.19820648078367861</c:v>
                </c:pt>
                <c:pt idx="8">
                  <c:v>0.16794967542550485</c:v>
                </c:pt>
                <c:pt idx="9">
                  <c:v>9.3374696547713187E-2</c:v>
                </c:pt>
              </c:numCache>
            </c:numRef>
          </c:val>
        </c:ser>
        <c:ser>
          <c:idx val="2"/>
          <c:order val="2"/>
          <c:tx>
            <c:strRef>
              <c:f>'Pelagic over 40m'!$C$90</c:f>
              <c:strCache>
                <c:ptCount val="1"/>
                <c:pt idx="0">
                  <c:v>Horse Mackerel</c:v>
                </c:pt>
              </c:strCache>
            </c:strRef>
          </c:tx>
          <c:spPr>
            <a:solidFill>
              <a:srgbClr val="607A2A"/>
            </a:solidFill>
            <a:ln>
              <a:solidFill>
                <a:srgbClr val="FFFFFF"/>
              </a:solidFill>
            </a:ln>
          </c:spPr>
          <c:invertIfNegative val="0"/>
          <c:cat>
            <c:numRef>
              <c:f>'Pelagic over 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40m'!$D$90:$M$90</c:f>
              <c:numCache>
                <c:formatCode>0%</c:formatCode>
                <c:ptCount val="10"/>
                <c:pt idx="0">
                  <c:v>1.5716854481536133E-2</c:v>
                </c:pt>
                <c:pt idx="1">
                  <c:v>3.3918873055850521E-2</c:v>
                </c:pt>
                <c:pt idx="2">
                  <c:v>3.1828631996831468E-2</c:v>
                </c:pt>
                <c:pt idx="3">
                  <c:v>2.6247344806152425E-2</c:v>
                </c:pt>
                <c:pt idx="4">
                  <c:v>2.9433264795723807E-2</c:v>
                </c:pt>
                <c:pt idx="5">
                  <c:v>3.5223830247662756E-2</c:v>
                </c:pt>
                <c:pt idx="6">
                  <c:v>2.6646612169274324E-2</c:v>
                </c:pt>
                <c:pt idx="7">
                  <c:v>2.9937155495265048E-2</c:v>
                </c:pt>
                <c:pt idx="8">
                  <c:v>2.4223428721806193E-2</c:v>
                </c:pt>
                <c:pt idx="9">
                  <c:v>1.4901933640427079E-2</c:v>
                </c:pt>
              </c:numCache>
            </c:numRef>
          </c:val>
        </c:ser>
        <c:ser>
          <c:idx val="3"/>
          <c:order val="3"/>
          <c:tx>
            <c:strRef>
              <c:f>'Pelagic over 40m'!$C$91</c:f>
              <c:strCache>
                <c:ptCount val="1"/>
                <c:pt idx="0">
                  <c:v>Blue Whiting</c:v>
                </c:pt>
              </c:strCache>
            </c:strRef>
          </c:tx>
          <c:spPr>
            <a:solidFill>
              <a:srgbClr val="4B3467"/>
            </a:solidFill>
            <a:ln>
              <a:solidFill>
                <a:srgbClr val="FFFFFF"/>
              </a:solidFill>
            </a:ln>
          </c:spPr>
          <c:invertIfNegative val="0"/>
          <c:cat>
            <c:numRef>
              <c:f>'Pelagic over 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40m'!$D$91:$M$91</c:f>
              <c:numCache>
                <c:formatCode>0%</c:formatCode>
                <c:ptCount val="10"/>
                <c:pt idx="0">
                  <c:v>4.9473562104440545E-2</c:v>
                </c:pt>
                <c:pt idx="1">
                  <c:v>5.6518159066748154E-2</c:v>
                </c:pt>
                <c:pt idx="2">
                  <c:v>5.0372019166344005E-2</c:v>
                </c:pt>
                <c:pt idx="3">
                  <c:v>3.9246514956669566E-2</c:v>
                </c:pt>
                <c:pt idx="4">
                  <c:v>6.1050451961700133E-3</c:v>
                </c:pt>
                <c:pt idx="5">
                  <c:v>9.4634410993607553E-3</c:v>
                </c:pt>
                <c:pt idx="7">
                  <c:v>1.5277404813239876E-2</c:v>
                </c:pt>
                <c:pt idx="8">
                  <c:v>1.5325190081102676E-2</c:v>
                </c:pt>
                <c:pt idx="9">
                  <c:v>1.9796530334407293E-2</c:v>
                </c:pt>
              </c:numCache>
            </c:numRef>
          </c:val>
        </c:ser>
        <c:ser>
          <c:idx val="4"/>
          <c:order val="4"/>
          <c:tx>
            <c:strRef>
              <c:f>'Pelagic over 40m'!$C$92</c:f>
              <c:strCache>
                <c:ptCount val="1"/>
                <c:pt idx="0">
                  <c:v>Boarfish</c:v>
                </c:pt>
              </c:strCache>
            </c:strRef>
          </c:tx>
          <c:spPr>
            <a:solidFill>
              <a:srgbClr val="9B2D2A"/>
            </a:solidFill>
            <a:ln>
              <a:solidFill>
                <a:srgbClr val="FFFFFF"/>
              </a:solidFill>
            </a:ln>
          </c:spPr>
          <c:invertIfNegative val="0"/>
          <c:cat>
            <c:numRef>
              <c:f>'Pelagic over 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40m'!$D$92:$M$92</c:f>
              <c:numCache>
                <c:formatCode>0%</c:formatCode>
                <c:ptCount val="10"/>
                <c:pt idx="8">
                  <c:v>3.5547462801722761E-3</c:v>
                </c:pt>
              </c:numCache>
            </c:numRef>
          </c:val>
        </c:ser>
        <c:ser>
          <c:idx val="5"/>
          <c:order val="5"/>
          <c:tx>
            <c:strRef>
              <c:f>'Pelagic over 40m'!$C$93</c:f>
              <c:strCache>
                <c:ptCount val="1"/>
                <c:pt idx="0">
                  <c:v>Other or mixed Demersal</c:v>
                </c:pt>
              </c:strCache>
            </c:strRef>
          </c:tx>
          <c:spPr>
            <a:solidFill>
              <a:srgbClr val="769535"/>
            </a:solidFill>
            <a:ln>
              <a:solidFill>
                <a:srgbClr val="FFFFFF"/>
              </a:solidFill>
            </a:ln>
          </c:spPr>
          <c:invertIfNegative val="0"/>
          <c:cat>
            <c:numRef>
              <c:f>'Pelagic over 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40m'!$D$93:$M$93</c:f>
              <c:numCache>
                <c:formatCode>0%</c:formatCode>
                <c:ptCount val="10"/>
                <c:pt idx="9">
                  <c:v>6.9389492689423001E-5</c:v>
                </c:pt>
              </c:numCache>
            </c:numRef>
          </c:val>
        </c:ser>
        <c:ser>
          <c:idx val="6"/>
          <c:order val="6"/>
          <c:tx>
            <c:strRef>
              <c:f>'Pelagic over 40m'!$C$94</c:f>
              <c:strCache>
                <c:ptCount val="1"/>
                <c:pt idx="0">
                  <c:v>Sprats</c:v>
                </c:pt>
              </c:strCache>
            </c:strRef>
          </c:tx>
          <c:spPr>
            <a:solidFill>
              <a:srgbClr val="A85816"/>
            </a:solidFill>
            <a:ln>
              <a:solidFill>
                <a:srgbClr val="FFFFFF"/>
              </a:solidFill>
            </a:ln>
          </c:spPr>
          <c:invertIfNegative val="0"/>
          <c:cat>
            <c:numRef>
              <c:f>'Pelagic over 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40m'!$D$94:$M$94</c:f>
              <c:numCache>
                <c:formatCode>0%</c:formatCode>
                <c:ptCount val="10"/>
                <c:pt idx="6">
                  <c:v>3.2372108622945091E-3</c:v>
                </c:pt>
                <c:pt idx="7">
                  <c:v>6.0421556448277732E-3</c:v>
                </c:pt>
              </c:numCache>
            </c:numRef>
          </c:val>
        </c:ser>
        <c:ser>
          <c:idx val="7"/>
          <c:order val="7"/>
          <c:tx>
            <c:strRef>
              <c:f>'Pelagic over 40m'!$C$95</c:f>
              <c:strCache>
                <c:ptCount val="1"/>
                <c:pt idx="0">
                  <c:v>Sardinelle Aurita</c:v>
                </c:pt>
              </c:strCache>
            </c:strRef>
          </c:tx>
          <c:spPr>
            <a:solidFill>
              <a:srgbClr val="5D417E"/>
            </a:solidFill>
            <a:ln>
              <a:solidFill>
                <a:srgbClr val="FFFFFF"/>
              </a:solidFill>
            </a:ln>
          </c:spPr>
          <c:invertIfNegative val="0"/>
          <c:cat>
            <c:numRef>
              <c:f>'Pelagic over 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40m'!$D$95:$M$95</c:f>
              <c:numCache>
                <c:formatCode>0%</c:formatCode>
                <c:ptCount val="10"/>
                <c:pt idx="1">
                  <c:v>1.5015811003520969E-2</c:v>
                </c:pt>
                <c:pt idx="2">
                  <c:v>2.2512649167195843E-2</c:v>
                </c:pt>
                <c:pt idx="3">
                  <c:v>1.360329479676929E-2</c:v>
                </c:pt>
                <c:pt idx="4">
                  <c:v>1.3008844245151299E-2</c:v>
                </c:pt>
                <c:pt idx="5">
                  <c:v>2.3716089707028355E-2</c:v>
                </c:pt>
                <c:pt idx="6">
                  <c:v>7.6046727307239456E-3</c:v>
                </c:pt>
              </c:numCache>
            </c:numRef>
          </c:val>
        </c:ser>
        <c:ser>
          <c:idx val="8"/>
          <c:order val="8"/>
          <c:tx>
            <c:strRef>
              <c:f>'Pelagic over 40m'!$C$96</c:f>
              <c:strCache>
                <c:ptCount val="1"/>
                <c:pt idx="0">
                  <c:v>Pilchards</c:v>
                </c:pt>
              </c:strCache>
            </c:strRef>
          </c:tx>
          <c:spPr>
            <a:solidFill>
              <a:srgbClr val="2787A0"/>
            </a:solidFill>
            <a:ln>
              <a:solidFill>
                <a:srgbClr val="FFFFFF"/>
              </a:solidFill>
            </a:ln>
          </c:spPr>
          <c:invertIfNegative val="0"/>
          <c:cat>
            <c:numRef>
              <c:f>'Pelagic over 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40m'!$D$96:$M$96</c:f>
              <c:numCache>
                <c:formatCode>0%</c:formatCode>
                <c:ptCount val="10"/>
                <c:pt idx="0">
                  <c:v>6.7782226259577834E-3</c:v>
                </c:pt>
              </c:numCache>
            </c:numRef>
          </c:val>
        </c:ser>
        <c:ser>
          <c:idx val="9"/>
          <c:order val="9"/>
          <c:tx>
            <c:strRef>
              <c:f>'Pelagic over 40m'!$C$97</c:f>
              <c:strCache>
                <c:ptCount val="1"/>
                <c:pt idx="0">
                  <c:v>Others</c:v>
                </c:pt>
              </c:strCache>
            </c:strRef>
          </c:tx>
          <c:spPr>
            <a:solidFill>
              <a:srgbClr val="008000"/>
            </a:solidFill>
            <a:ln>
              <a:solidFill>
                <a:srgbClr val="FFFFFF"/>
              </a:solidFill>
            </a:ln>
          </c:spPr>
          <c:invertIfNegative val="0"/>
          <c:cat>
            <c:numRef>
              <c:f>'Pelagic over 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'Pelagic over 40m'!$D$97:$M$97</c:f>
              <c:numCache>
                <c:formatCode>0%</c:formatCode>
                <c:ptCount val="10"/>
                <c:pt idx="0">
                  <c:v>2.6768798142645045E-2</c:v>
                </c:pt>
                <c:pt idx="1">
                  <c:v>4.1822928779572013E-2</c:v>
                </c:pt>
                <c:pt idx="2">
                  <c:v>4.0552860159794667E-2</c:v>
                </c:pt>
                <c:pt idx="3">
                  <c:v>1.4037805014075916E-2</c:v>
                </c:pt>
                <c:pt idx="4">
                  <c:v>1.0703760353519323E-2</c:v>
                </c:pt>
                <c:pt idx="5">
                  <c:v>1.7435251701564018E-2</c:v>
                </c:pt>
                <c:pt idx="6">
                  <c:v>1.3534166279074489E-2</c:v>
                </c:pt>
                <c:pt idx="7">
                  <c:v>0</c:v>
                </c:pt>
                <c:pt idx="8">
                  <c:v>4.6659384331851211E-2</c:v>
                </c:pt>
                <c:pt idx="9">
                  <c:v>2.8669122621330614E-2</c:v>
                </c:pt>
              </c:numCache>
            </c:numRef>
          </c:val>
        </c:ser>
        <c:dLbls>
          <c:showLegendKey val="0"/>
          <c:showVal val="0"/>
          <c:showCatName val="0"/>
          <c:showSerName val="0"/>
          <c:showPercent val="0"/>
          <c:showBubbleSize val="0"/>
        </c:dLbls>
        <c:gapWidth val="150"/>
        <c:overlap val="100"/>
        <c:axId val="134479232"/>
        <c:axId val="130098304"/>
      </c:barChart>
      <c:catAx>
        <c:axId val="134479232"/>
        <c:scaling>
          <c:orientation val="minMax"/>
        </c:scaling>
        <c:delete val="0"/>
        <c:axPos val="b"/>
        <c:numFmt formatCode="General" sourceLinked="1"/>
        <c:majorTickMark val="out"/>
        <c:minorTickMark val="none"/>
        <c:tickLblPos val="nextTo"/>
        <c:crossAx val="130098304"/>
        <c:crosses val="autoZero"/>
        <c:auto val="1"/>
        <c:lblAlgn val="ctr"/>
        <c:lblOffset val="100"/>
        <c:noMultiLvlLbl val="0"/>
      </c:catAx>
      <c:valAx>
        <c:axId val="130098304"/>
        <c:scaling>
          <c:orientation val="minMax"/>
          <c:max val="1"/>
          <c:min val="0"/>
        </c:scaling>
        <c:delete val="0"/>
        <c:axPos val="l"/>
        <c:majorGridlines/>
        <c:numFmt formatCode="0%" sourceLinked="1"/>
        <c:majorTickMark val="out"/>
        <c:minorTickMark val="none"/>
        <c:tickLblPos val="nextTo"/>
        <c:crossAx val="13447923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10-12m'!$A$45</c:f>
          <c:strCache>
            <c:ptCount val="1"/>
            <c:pt idx="0">
              <c:v>Landings per kW day at sea (kg)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'Pots and traps 10-12m'!$D$2:$M$2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10-12m'!$D$20:$M$20</c:f>
              <c:numCache>
                <c:formatCode>#,##0.00</c:formatCode>
                <c:ptCount val="10"/>
                <c:pt idx="0">
                  <c:v>2.4840889787315596</c:v>
                </c:pt>
                <c:pt idx="1">
                  <c:v>2.3226056630055232</c:v>
                </c:pt>
                <c:pt idx="2">
                  <c:v>2.4431509619976932</c:v>
                </c:pt>
                <c:pt idx="3">
                  <c:v>2.1783274707494025</c:v>
                </c:pt>
                <c:pt idx="4">
                  <c:v>2.1302495808774644</c:v>
                </c:pt>
                <c:pt idx="5">
                  <c:v>2.2392295190836768</c:v>
                </c:pt>
                <c:pt idx="6">
                  <c:v>2.4107610703215476</c:v>
                </c:pt>
                <c:pt idx="7">
                  <c:v>2.537408404741794</c:v>
                </c:pt>
                <c:pt idx="8">
                  <c:v>3.0011170168044861</c:v>
                </c:pt>
                <c:pt idx="9">
                  <c:v>2.8699057176156053</c:v>
                </c:pt>
              </c:numCache>
            </c:numRef>
          </c:val>
          <c:smooth val="0"/>
        </c:ser>
        <c:dLbls>
          <c:showLegendKey val="0"/>
          <c:showVal val="0"/>
          <c:showCatName val="0"/>
          <c:showSerName val="0"/>
          <c:showPercent val="0"/>
          <c:showBubbleSize val="0"/>
        </c:dLbls>
        <c:marker val="1"/>
        <c:smooth val="0"/>
        <c:axId val="134265856"/>
        <c:axId val="134267648"/>
      </c:lineChart>
      <c:catAx>
        <c:axId val="134265856"/>
        <c:scaling>
          <c:orientation val="minMax"/>
        </c:scaling>
        <c:delete val="0"/>
        <c:axPos val="b"/>
        <c:numFmt formatCode="General" sourceLinked="1"/>
        <c:majorTickMark val="out"/>
        <c:minorTickMark val="none"/>
        <c:tickLblPos val="nextTo"/>
        <c:crossAx val="134267648"/>
        <c:crosses val="autoZero"/>
        <c:auto val="1"/>
        <c:lblAlgn val="ctr"/>
        <c:lblOffset val="100"/>
        <c:noMultiLvlLbl val="0"/>
      </c:catAx>
      <c:valAx>
        <c:axId val="134267648"/>
        <c:scaling>
          <c:orientation val="minMax"/>
        </c:scaling>
        <c:delete val="0"/>
        <c:axPos val="l"/>
        <c:majorGridlines>
          <c:spPr>
            <a:ln w="3175">
              <a:prstDash val="sysDot"/>
            </a:ln>
          </c:spPr>
        </c:majorGridlines>
        <c:numFmt formatCode="#,##0.00" sourceLinked="1"/>
        <c:majorTickMark val="out"/>
        <c:minorTickMark val="none"/>
        <c:tickLblPos val="nextTo"/>
        <c:crossAx val="134265856"/>
        <c:crosses val="autoZero"/>
        <c:crossBetween val="between"/>
      </c:valAx>
    </c:plotArea>
    <c:plotVisOnly val="1"/>
    <c:dispBlanksAs val="gap"/>
    <c:showDLblsOverMax val="0"/>
  </c:chart>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10-12m'!$F$45</c:f>
          <c:strCache>
            <c:ptCount val="1"/>
            <c:pt idx="0">
              <c:v>Income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'Pots and traps 10-12m'!$D$2:$M$2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10-12m'!$D$21:$M$21</c:f>
              <c:numCache>
                <c:formatCode>#,##0.00</c:formatCode>
                <c:ptCount val="10"/>
                <c:pt idx="0">
                  <c:v>4.4614289571992982</c:v>
                </c:pt>
                <c:pt idx="1">
                  <c:v>4.7209524759370352</c:v>
                </c:pt>
                <c:pt idx="2">
                  <c:v>4.8219556865939657</c:v>
                </c:pt>
                <c:pt idx="3">
                  <c:v>4.4812421336615209</c:v>
                </c:pt>
                <c:pt idx="4">
                  <c:v>4.3612195624244023</c:v>
                </c:pt>
                <c:pt idx="5">
                  <c:v>4.5687353614934745</c:v>
                </c:pt>
                <c:pt idx="6">
                  <c:v>5.0725761303878878</c:v>
                </c:pt>
                <c:pt idx="7">
                  <c:v>5.0875028897101382</c:v>
                </c:pt>
                <c:pt idx="8">
                  <c:v>5.1818824152171077</c:v>
                </c:pt>
                <c:pt idx="9">
                  <c:v>5.5766905889711831</c:v>
                </c:pt>
              </c:numCache>
            </c:numRef>
          </c:val>
          <c:smooth val="0"/>
        </c:ser>
        <c:dLbls>
          <c:showLegendKey val="0"/>
          <c:showVal val="0"/>
          <c:showCatName val="0"/>
          <c:showSerName val="0"/>
          <c:showPercent val="0"/>
          <c:showBubbleSize val="0"/>
        </c:dLbls>
        <c:marker val="1"/>
        <c:smooth val="0"/>
        <c:axId val="134169344"/>
        <c:axId val="134170880"/>
      </c:lineChart>
      <c:catAx>
        <c:axId val="134169344"/>
        <c:scaling>
          <c:orientation val="minMax"/>
        </c:scaling>
        <c:delete val="0"/>
        <c:axPos val="b"/>
        <c:numFmt formatCode="General" sourceLinked="1"/>
        <c:majorTickMark val="out"/>
        <c:minorTickMark val="none"/>
        <c:tickLblPos val="nextTo"/>
        <c:crossAx val="134170880"/>
        <c:crosses val="autoZero"/>
        <c:auto val="1"/>
        <c:lblAlgn val="ctr"/>
        <c:lblOffset val="100"/>
        <c:noMultiLvlLbl val="0"/>
      </c:catAx>
      <c:valAx>
        <c:axId val="134170880"/>
        <c:scaling>
          <c:orientation val="minMax"/>
        </c:scaling>
        <c:delete val="0"/>
        <c:axPos val="l"/>
        <c:majorGridlines>
          <c:spPr>
            <a:ln w="3175">
              <a:prstDash val="sysDot"/>
            </a:ln>
          </c:spPr>
        </c:majorGridlines>
        <c:numFmt formatCode="#,##0.00" sourceLinked="1"/>
        <c:majorTickMark val="out"/>
        <c:minorTickMark val="none"/>
        <c:tickLblPos val="nextTo"/>
        <c:crossAx val="134169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10-12m'!$K$45</c:f>
          <c:strCache>
            <c:ptCount val="1"/>
            <c:pt idx="0">
              <c:v>Operating profit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'Pots and traps 10-12m'!$D$2:$M$2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10-12m'!$D$23:$M$23</c:f>
              <c:numCache>
                <c:formatCode>#,##0.00</c:formatCode>
                <c:ptCount val="10"/>
                <c:pt idx="0">
                  <c:v>0.58438156495707838</c:v>
                </c:pt>
                <c:pt idx="1">
                  <c:v>1.6329443778704713</c:v>
                </c:pt>
                <c:pt idx="2">
                  <c:v>0.74634553123421898</c:v>
                </c:pt>
                <c:pt idx="3">
                  <c:v>1.211314825305577</c:v>
                </c:pt>
                <c:pt idx="4">
                  <c:v>1.2512620834898016</c:v>
                </c:pt>
                <c:pt idx="5">
                  <c:v>1.1011010535172372</c:v>
                </c:pt>
                <c:pt idx="6">
                  <c:v>0.69782701521516755</c:v>
                </c:pt>
                <c:pt idx="7">
                  <c:v>1.6622316175943586</c:v>
                </c:pt>
                <c:pt idx="8">
                  <c:v>1.2655542110011513</c:v>
                </c:pt>
                <c:pt idx="9">
                  <c:v>1.4191348173867337</c:v>
                </c:pt>
              </c:numCache>
            </c:numRef>
          </c:val>
          <c:smooth val="0"/>
        </c:ser>
        <c:dLbls>
          <c:showLegendKey val="0"/>
          <c:showVal val="0"/>
          <c:showCatName val="0"/>
          <c:showSerName val="0"/>
          <c:showPercent val="0"/>
          <c:showBubbleSize val="0"/>
        </c:dLbls>
        <c:marker val="1"/>
        <c:smooth val="0"/>
        <c:axId val="134199552"/>
        <c:axId val="134205440"/>
      </c:lineChart>
      <c:catAx>
        <c:axId val="134199552"/>
        <c:scaling>
          <c:orientation val="minMax"/>
        </c:scaling>
        <c:delete val="0"/>
        <c:axPos val="b"/>
        <c:numFmt formatCode="General" sourceLinked="1"/>
        <c:majorTickMark val="out"/>
        <c:minorTickMark val="none"/>
        <c:tickLblPos val="nextTo"/>
        <c:crossAx val="134205440"/>
        <c:crosses val="autoZero"/>
        <c:auto val="1"/>
        <c:lblAlgn val="ctr"/>
        <c:lblOffset val="100"/>
        <c:noMultiLvlLbl val="0"/>
      </c:catAx>
      <c:valAx>
        <c:axId val="134205440"/>
        <c:scaling>
          <c:orientation val="minMax"/>
        </c:scaling>
        <c:delete val="0"/>
        <c:axPos val="l"/>
        <c:majorGridlines>
          <c:spPr>
            <a:ln w="3175">
              <a:prstDash val="sysDot"/>
            </a:ln>
          </c:spPr>
        </c:majorGridlines>
        <c:numFmt formatCode="#,##0.00" sourceLinked="1"/>
        <c:majorTickMark val="out"/>
        <c:minorTickMark val="none"/>
        <c:tickLblPos val="nextTo"/>
        <c:crossAx val="13419955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nephrops o250kW'!$C$88</c:f>
              <c:strCache>
                <c:ptCount val="1"/>
                <c:pt idx="0">
                  <c:v>Nephrops</c:v>
                </c:pt>
              </c:strCache>
            </c:strRef>
          </c:tx>
          <c:spPr>
            <a:solidFill>
              <a:srgbClr val="224B7D"/>
            </a:solidFill>
            <a:ln>
              <a:solidFill>
                <a:srgbClr val="FFFFFF"/>
              </a:solidFill>
            </a:ln>
          </c:spPr>
          <c:invertIfNegative val="0"/>
          <c:cat>
            <c:numRef>
              <c:f>'Area VIIa nephrops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o250kW'!$D$88:$M$88</c:f>
              <c:numCache>
                <c:formatCode>0%</c:formatCode>
                <c:ptCount val="10"/>
                <c:pt idx="0">
                  <c:v>0.75348985341266661</c:v>
                </c:pt>
                <c:pt idx="1">
                  <c:v>0.79402600969765058</c:v>
                </c:pt>
                <c:pt idx="2">
                  <c:v>0.82949805553066425</c:v>
                </c:pt>
                <c:pt idx="3">
                  <c:v>0.87716895777819814</c:v>
                </c:pt>
                <c:pt idx="4">
                  <c:v>0.87667529641914166</c:v>
                </c:pt>
                <c:pt idx="5">
                  <c:v>0.87411106008202866</c:v>
                </c:pt>
                <c:pt idx="6">
                  <c:v>0.87392978132073817</c:v>
                </c:pt>
                <c:pt idx="7">
                  <c:v>0.89930245506556816</c:v>
                </c:pt>
                <c:pt idx="8">
                  <c:v>0.85669469595525238</c:v>
                </c:pt>
                <c:pt idx="9">
                  <c:v>0.89550721871990802</c:v>
                </c:pt>
              </c:numCache>
            </c:numRef>
          </c:val>
        </c:ser>
        <c:ser>
          <c:idx val="1"/>
          <c:order val="1"/>
          <c:tx>
            <c:strRef>
              <c:f>'Area VIIa nephrops o250kW'!$C$89</c:f>
              <c:strCache>
                <c:ptCount val="1"/>
                <c:pt idx="0">
                  <c:v>Anglerfish</c:v>
                </c:pt>
              </c:strCache>
            </c:strRef>
          </c:tx>
          <c:spPr>
            <a:solidFill>
              <a:srgbClr val="7F2321"/>
            </a:solidFill>
            <a:ln>
              <a:solidFill>
                <a:srgbClr val="FFFFFF"/>
              </a:solidFill>
            </a:ln>
          </c:spPr>
          <c:invertIfNegative val="0"/>
          <c:cat>
            <c:numRef>
              <c:f>'Area VIIa nephrops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o250kW'!$D$89:$M$89</c:f>
              <c:numCache>
                <c:formatCode>0%</c:formatCode>
                <c:ptCount val="10"/>
                <c:pt idx="0">
                  <c:v>2.9720835977588924E-2</c:v>
                </c:pt>
                <c:pt idx="1">
                  <c:v>2.0217141986199592E-2</c:v>
                </c:pt>
                <c:pt idx="2">
                  <c:v>2.1343450227377953E-2</c:v>
                </c:pt>
                <c:pt idx="3">
                  <c:v>2.0622087137559073E-2</c:v>
                </c:pt>
                <c:pt idx="4">
                  <c:v>2.862775754632562E-2</c:v>
                </c:pt>
                <c:pt idx="5">
                  <c:v>2.4674861913126251E-2</c:v>
                </c:pt>
                <c:pt idx="6">
                  <c:v>2.1824132965860048E-2</c:v>
                </c:pt>
                <c:pt idx="7">
                  <c:v>2.0945217005298365E-2</c:v>
                </c:pt>
                <c:pt idx="8">
                  <c:v>2.7991040137969617E-2</c:v>
                </c:pt>
                <c:pt idx="9">
                  <c:v>2.7158411413421867E-2</c:v>
                </c:pt>
              </c:numCache>
            </c:numRef>
          </c:val>
        </c:ser>
        <c:ser>
          <c:idx val="2"/>
          <c:order val="2"/>
          <c:tx>
            <c:strRef>
              <c:f>'Area VIIa nephrops o250kW'!$C$90</c:f>
              <c:strCache>
                <c:ptCount val="1"/>
                <c:pt idx="0">
                  <c:v>Cod</c:v>
                </c:pt>
              </c:strCache>
            </c:strRef>
          </c:tx>
          <c:spPr>
            <a:solidFill>
              <a:srgbClr val="607A2A"/>
            </a:solidFill>
            <a:ln>
              <a:solidFill>
                <a:srgbClr val="FFFFFF"/>
              </a:solidFill>
            </a:ln>
          </c:spPr>
          <c:invertIfNegative val="0"/>
          <c:cat>
            <c:numRef>
              <c:f>'Area VIIa nephrops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o250kW'!$D$90:$M$90</c:f>
              <c:numCache>
                <c:formatCode>0%</c:formatCode>
                <c:ptCount val="10"/>
                <c:pt idx="0">
                  <c:v>6.3097704029678583E-2</c:v>
                </c:pt>
                <c:pt idx="1">
                  <c:v>3.8192425303469155E-2</c:v>
                </c:pt>
                <c:pt idx="2">
                  <c:v>4.1645307703514302E-2</c:v>
                </c:pt>
                <c:pt idx="3">
                  <c:v>3.0500745608521326E-2</c:v>
                </c:pt>
                <c:pt idx="4">
                  <c:v>2.1762131719066248E-2</c:v>
                </c:pt>
                <c:pt idx="5">
                  <c:v>2.387943399799318E-2</c:v>
                </c:pt>
                <c:pt idx="6">
                  <c:v>1.3737831099790139E-2</c:v>
                </c:pt>
                <c:pt idx="7">
                  <c:v>1.8390466496054331E-2</c:v>
                </c:pt>
                <c:pt idx="8">
                  <c:v>2.576874194991103E-2</c:v>
                </c:pt>
                <c:pt idx="9">
                  <c:v>1.7404112937073096E-2</c:v>
                </c:pt>
              </c:numCache>
            </c:numRef>
          </c:val>
        </c:ser>
        <c:ser>
          <c:idx val="3"/>
          <c:order val="3"/>
          <c:tx>
            <c:strRef>
              <c:f>'Area VIIa nephrops o250kW'!$C$91</c:f>
              <c:strCache>
                <c:ptCount val="1"/>
                <c:pt idx="0">
                  <c:v>Haddock</c:v>
                </c:pt>
              </c:strCache>
            </c:strRef>
          </c:tx>
          <c:spPr>
            <a:solidFill>
              <a:srgbClr val="4B3467"/>
            </a:solidFill>
            <a:ln>
              <a:solidFill>
                <a:srgbClr val="FFFFFF"/>
              </a:solidFill>
            </a:ln>
          </c:spPr>
          <c:invertIfNegative val="0"/>
          <c:cat>
            <c:numRef>
              <c:f>'Area VIIa nephrops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o250kW'!$D$91:$M$91</c:f>
              <c:numCache>
                <c:formatCode>0%</c:formatCode>
                <c:ptCount val="10"/>
                <c:pt idx="2">
                  <c:v>1.6748148875666946E-2</c:v>
                </c:pt>
                <c:pt idx="3">
                  <c:v>1.1700626414318807E-2</c:v>
                </c:pt>
                <c:pt idx="4">
                  <c:v>8.6754395995186466E-3</c:v>
                </c:pt>
                <c:pt idx="5">
                  <c:v>1.1375128419160139E-2</c:v>
                </c:pt>
                <c:pt idx="6">
                  <c:v>1.3592290924372348E-2</c:v>
                </c:pt>
                <c:pt idx="7">
                  <c:v>5.4851038214959631E-3</c:v>
                </c:pt>
                <c:pt idx="8">
                  <c:v>1.5186999711233802E-2</c:v>
                </c:pt>
                <c:pt idx="9">
                  <c:v>1.2869886500566332E-2</c:v>
                </c:pt>
              </c:numCache>
            </c:numRef>
          </c:val>
        </c:ser>
        <c:ser>
          <c:idx val="4"/>
          <c:order val="4"/>
          <c:tx>
            <c:strRef>
              <c:f>'Area VIIa nephrops o250kW'!$C$92</c:f>
              <c:strCache>
                <c:ptCount val="1"/>
                <c:pt idx="0">
                  <c:v>Queen Scallops</c:v>
                </c:pt>
              </c:strCache>
            </c:strRef>
          </c:tx>
          <c:spPr>
            <a:solidFill>
              <a:srgbClr val="9B2D2A"/>
            </a:solidFill>
            <a:ln>
              <a:solidFill>
                <a:srgbClr val="FFFFFF"/>
              </a:solidFill>
            </a:ln>
          </c:spPr>
          <c:invertIfNegative val="0"/>
          <c:cat>
            <c:numRef>
              <c:f>'Area VIIa nephrops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o250kW'!$D$92:$M$92</c:f>
              <c:numCache>
                <c:formatCode>0%</c:formatCode>
                <c:ptCount val="10"/>
                <c:pt idx="5">
                  <c:v>7.5837550714685275E-3</c:v>
                </c:pt>
                <c:pt idx="6">
                  <c:v>2.2649678117120507E-2</c:v>
                </c:pt>
                <c:pt idx="7">
                  <c:v>1.868423190314631E-2</c:v>
                </c:pt>
                <c:pt idx="8">
                  <c:v>1.1962614183631903E-2</c:v>
                </c:pt>
              </c:numCache>
            </c:numRef>
          </c:val>
        </c:ser>
        <c:ser>
          <c:idx val="5"/>
          <c:order val="5"/>
          <c:tx>
            <c:strRef>
              <c:f>'Area VIIa nephrops o250kW'!$C$93</c:f>
              <c:strCache>
                <c:ptCount val="1"/>
                <c:pt idx="0">
                  <c:v>Thornback Ray</c:v>
                </c:pt>
              </c:strCache>
            </c:strRef>
          </c:tx>
          <c:spPr>
            <a:solidFill>
              <a:srgbClr val="769535"/>
            </a:solidFill>
            <a:ln>
              <a:solidFill>
                <a:srgbClr val="FFFFFF"/>
              </a:solidFill>
            </a:ln>
          </c:spPr>
          <c:invertIfNegative val="0"/>
          <c:cat>
            <c:numRef>
              <c:f>'Area VIIa nephrops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o250kW'!$D$93:$M$93</c:f>
              <c:numCache>
                <c:formatCode>0%</c:formatCode>
                <c:ptCount val="10"/>
                <c:pt idx="9">
                  <c:v>7.5085548096198874E-3</c:v>
                </c:pt>
              </c:numCache>
            </c:numRef>
          </c:val>
        </c:ser>
        <c:ser>
          <c:idx val="6"/>
          <c:order val="6"/>
          <c:tx>
            <c:strRef>
              <c:f>'Area VIIa nephrops o250kW'!$C$94</c:f>
              <c:strCache>
                <c:ptCount val="1"/>
                <c:pt idx="0">
                  <c:v>Albacore</c:v>
                </c:pt>
              </c:strCache>
            </c:strRef>
          </c:tx>
          <c:spPr>
            <a:solidFill>
              <a:srgbClr val="A85816"/>
            </a:solidFill>
            <a:ln>
              <a:solidFill>
                <a:srgbClr val="FFFFFF"/>
              </a:solidFill>
            </a:ln>
          </c:spPr>
          <c:invertIfNegative val="0"/>
          <c:cat>
            <c:numRef>
              <c:f>'Area VIIa nephrops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o250kW'!$D$94:$M$94</c:f>
              <c:numCache>
                <c:formatCode>0%</c:formatCode>
                <c:ptCount val="10"/>
                <c:pt idx="4">
                  <c:v>7.3325169833745986E-3</c:v>
                </c:pt>
              </c:numCache>
            </c:numRef>
          </c:val>
        </c:ser>
        <c:ser>
          <c:idx val="7"/>
          <c:order val="7"/>
          <c:tx>
            <c:strRef>
              <c:f>'Area VIIa nephrops o250kW'!$C$95</c:f>
              <c:strCache>
                <c:ptCount val="1"/>
                <c:pt idx="0">
                  <c:v>Sole</c:v>
                </c:pt>
              </c:strCache>
            </c:strRef>
          </c:tx>
          <c:spPr>
            <a:solidFill>
              <a:srgbClr val="5D417E"/>
            </a:solidFill>
            <a:ln>
              <a:solidFill>
                <a:srgbClr val="FFFFFF"/>
              </a:solidFill>
            </a:ln>
          </c:spPr>
          <c:invertIfNegative val="0"/>
          <c:cat>
            <c:numRef>
              <c:f>'Area VIIa nephrops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o250kW'!$D$95:$M$95</c:f>
              <c:numCache>
                <c:formatCode>0%</c:formatCode>
                <c:ptCount val="10"/>
                <c:pt idx="3">
                  <c:v>8.5671065404811717E-3</c:v>
                </c:pt>
              </c:numCache>
            </c:numRef>
          </c:val>
        </c:ser>
        <c:ser>
          <c:idx val="8"/>
          <c:order val="8"/>
          <c:tx>
            <c:strRef>
              <c:f>'Area VIIa nephrops o250kW'!$C$96</c:f>
              <c:strCache>
                <c:ptCount val="1"/>
                <c:pt idx="0">
                  <c:v>Hake</c:v>
                </c:pt>
              </c:strCache>
            </c:strRef>
          </c:tx>
          <c:spPr>
            <a:solidFill>
              <a:srgbClr val="2787A0"/>
            </a:solidFill>
            <a:ln>
              <a:solidFill>
                <a:srgbClr val="FFFFFF"/>
              </a:solidFill>
            </a:ln>
          </c:spPr>
          <c:invertIfNegative val="0"/>
          <c:cat>
            <c:numRef>
              <c:f>'Area VIIa nephrops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o250kW'!$D$96:$M$96</c:f>
              <c:numCache>
                <c:formatCode>0%</c:formatCode>
                <c:ptCount val="10"/>
                <c:pt idx="0">
                  <c:v>1.6447765127661034E-2</c:v>
                </c:pt>
                <c:pt idx="1">
                  <c:v>1.1866488611941794E-2</c:v>
                </c:pt>
                <c:pt idx="2">
                  <c:v>1.6358533085677938E-2</c:v>
                </c:pt>
              </c:numCache>
            </c:numRef>
          </c:val>
        </c:ser>
        <c:ser>
          <c:idx val="9"/>
          <c:order val="9"/>
          <c:tx>
            <c:strRef>
              <c:f>'Area VIIa nephrops o250kW'!$C$97</c:f>
              <c:strCache>
                <c:ptCount val="1"/>
                <c:pt idx="0">
                  <c:v>Plaice</c:v>
                </c:pt>
              </c:strCache>
            </c:strRef>
          </c:tx>
          <c:spPr>
            <a:solidFill>
              <a:srgbClr val="CB6C1D"/>
            </a:solidFill>
            <a:ln>
              <a:solidFill>
                <a:srgbClr val="FFFFFF"/>
              </a:solidFill>
            </a:ln>
          </c:spPr>
          <c:invertIfNegative val="0"/>
          <c:cat>
            <c:numRef>
              <c:f>'Area VIIa nephrops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o250kW'!$D$97:$M$97</c:f>
              <c:numCache>
                <c:formatCode>0%</c:formatCode>
                <c:ptCount val="10"/>
                <c:pt idx="0">
                  <c:v>1.7127003347891516E-2</c:v>
                </c:pt>
                <c:pt idx="1">
                  <c:v>1.2631951936746277E-2</c:v>
                </c:pt>
              </c:numCache>
            </c:numRef>
          </c:val>
        </c:ser>
        <c:ser>
          <c:idx val="10"/>
          <c:order val="10"/>
          <c:tx>
            <c:strRef>
              <c:f>'Area VIIa nephrops o250kW'!$C$98</c:f>
              <c:strCache>
                <c:ptCount val="1"/>
                <c:pt idx="0">
                  <c:v>Others</c:v>
                </c:pt>
              </c:strCache>
            </c:strRef>
          </c:tx>
          <c:spPr>
            <a:solidFill>
              <a:srgbClr val="008000"/>
            </a:solidFill>
            <a:ln>
              <a:solidFill>
                <a:srgbClr val="FFFFFF"/>
              </a:solidFill>
            </a:ln>
          </c:spPr>
          <c:invertIfNegative val="0"/>
          <c:cat>
            <c:numRef>
              <c:f>'Area VIIa nephrops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o250kW'!$D$98:$M$98</c:f>
              <c:numCache>
                <c:formatCode>0%</c:formatCode>
                <c:ptCount val="10"/>
                <c:pt idx="0">
                  <c:v>0.12011683810451337</c:v>
                </c:pt>
                <c:pt idx="1">
                  <c:v>0.12306598246399261</c:v>
                </c:pt>
                <c:pt idx="2">
                  <c:v>7.4406504577098603E-2</c:v>
                </c:pt>
                <c:pt idx="3">
                  <c:v>5.1440476520921492E-2</c:v>
                </c:pt>
                <c:pt idx="4">
                  <c:v>5.6926857732573277E-2</c:v>
                </c:pt>
                <c:pt idx="5">
                  <c:v>5.8375760516223257E-2</c:v>
                </c:pt>
                <c:pt idx="6">
                  <c:v>5.426628557211878E-2</c:v>
                </c:pt>
                <c:pt idx="7">
                  <c:v>3.7192525708436903E-2</c:v>
                </c:pt>
                <c:pt idx="8">
                  <c:v>6.2395908062001237E-2</c:v>
                </c:pt>
                <c:pt idx="9">
                  <c:v>3.9551815619410749E-2</c:v>
                </c:pt>
              </c:numCache>
            </c:numRef>
          </c:val>
        </c:ser>
        <c:dLbls>
          <c:showLegendKey val="0"/>
          <c:showVal val="0"/>
          <c:showCatName val="0"/>
          <c:showSerName val="0"/>
          <c:showPercent val="0"/>
          <c:showBubbleSize val="0"/>
        </c:dLbls>
        <c:gapWidth val="150"/>
        <c:overlap val="100"/>
        <c:axId val="105618432"/>
        <c:axId val="105640704"/>
      </c:barChart>
      <c:catAx>
        <c:axId val="105618432"/>
        <c:scaling>
          <c:orientation val="minMax"/>
        </c:scaling>
        <c:delete val="0"/>
        <c:axPos val="b"/>
        <c:numFmt formatCode="General" sourceLinked="1"/>
        <c:majorTickMark val="out"/>
        <c:minorTickMark val="none"/>
        <c:tickLblPos val="nextTo"/>
        <c:crossAx val="105640704"/>
        <c:crosses val="autoZero"/>
        <c:auto val="1"/>
        <c:lblAlgn val="ctr"/>
        <c:lblOffset val="100"/>
        <c:noMultiLvlLbl val="0"/>
      </c:catAx>
      <c:valAx>
        <c:axId val="105640704"/>
        <c:scaling>
          <c:orientation val="minMax"/>
          <c:max val="1"/>
          <c:min val="0"/>
        </c:scaling>
        <c:delete val="0"/>
        <c:axPos val="l"/>
        <c:majorGridlines/>
        <c:numFmt formatCode="0%" sourceLinked="1"/>
        <c:majorTickMark val="out"/>
        <c:minorTickMark val="none"/>
        <c:tickLblPos val="nextTo"/>
        <c:crossAx val="10561843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10-12m'!$B$59</c:f>
          <c:strCache>
            <c:ptCount val="1"/>
            <c:pt idx="0">
              <c:v>Total cost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'Pots and traps 10-12m'!$D$2:$M$2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10-12m'!$D$22:$M$22</c:f>
              <c:numCache>
                <c:formatCode>#,##0.00</c:formatCode>
                <c:ptCount val="10"/>
                <c:pt idx="0">
                  <c:v>3.8770473922422228</c:v>
                </c:pt>
                <c:pt idx="1">
                  <c:v>3.0880080980665645</c:v>
                </c:pt>
                <c:pt idx="2">
                  <c:v>4.0756101553597395</c:v>
                </c:pt>
                <c:pt idx="3">
                  <c:v>3.2699273083559444</c:v>
                </c:pt>
                <c:pt idx="4">
                  <c:v>3.1099574789346005</c:v>
                </c:pt>
                <c:pt idx="5">
                  <c:v>3.4676343079762462</c:v>
                </c:pt>
                <c:pt idx="6">
                  <c:v>4.3747491151727127</c:v>
                </c:pt>
                <c:pt idx="7">
                  <c:v>3.4252712721157703</c:v>
                </c:pt>
                <c:pt idx="8">
                  <c:v>3.916328204215946</c:v>
                </c:pt>
                <c:pt idx="9">
                  <c:v>4.1575557715844482</c:v>
                </c:pt>
              </c:numCache>
            </c:numRef>
          </c:val>
          <c:smooth val="0"/>
        </c:ser>
        <c:dLbls>
          <c:showLegendKey val="0"/>
          <c:showVal val="0"/>
          <c:showCatName val="0"/>
          <c:showSerName val="0"/>
          <c:showPercent val="0"/>
          <c:showBubbleSize val="0"/>
        </c:dLbls>
        <c:marker val="1"/>
        <c:smooth val="0"/>
        <c:axId val="134356992"/>
        <c:axId val="134358528"/>
      </c:lineChart>
      <c:catAx>
        <c:axId val="134356992"/>
        <c:scaling>
          <c:orientation val="minMax"/>
        </c:scaling>
        <c:delete val="0"/>
        <c:axPos val="b"/>
        <c:numFmt formatCode="General" sourceLinked="1"/>
        <c:majorTickMark val="out"/>
        <c:minorTickMark val="none"/>
        <c:tickLblPos val="nextTo"/>
        <c:crossAx val="134358528"/>
        <c:crosses val="autoZero"/>
        <c:auto val="1"/>
        <c:lblAlgn val="ctr"/>
        <c:lblOffset val="100"/>
        <c:noMultiLvlLbl val="0"/>
      </c:catAx>
      <c:valAx>
        <c:axId val="134358528"/>
        <c:scaling>
          <c:orientation val="minMax"/>
        </c:scaling>
        <c:delete val="0"/>
        <c:axPos val="l"/>
        <c:majorGridlines>
          <c:spPr>
            <a:ln w="3175">
              <a:prstDash val="sysDot"/>
            </a:ln>
          </c:spPr>
        </c:majorGridlines>
        <c:numFmt formatCode="#,##0.00" sourceLinked="1"/>
        <c:majorTickMark val="out"/>
        <c:minorTickMark val="none"/>
        <c:tickLblPos val="nextTo"/>
        <c:crossAx val="134356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10-12m'!$F$59</c:f>
          <c:strCache>
            <c:ptCount val="1"/>
            <c:pt idx="0">
              <c:v>Average price per tonne landed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'Pots and traps 10-12m'!$D$2:$M$2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10-12m'!$D$19:$M$19</c:f>
              <c:numCache>
                <c:formatCode>#,##0</c:formatCode>
                <c:ptCount val="10"/>
                <c:pt idx="0">
                  <c:v>1796.0021028807193</c:v>
                </c:pt>
                <c:pt idx="1">
                  <c:v>2032.6104912627718</c:v>
                </c:pt>
                <c:pt idx="2">
                  <c:v>1973.6627211502798</c:v>
                </c:pt>
                <c:pt idx="3">
                  <c:v>2057.1940935773532</c:v>
                </c:pt>
                <c:pt idx="4">
                  <c:v>2047.2810150220989</c:v>
                </c:pt>
                <c:pt idx="5">
                  <c:v>2040.3157894564297</c:v>
                </c:pt>
                <c:pt idx="6">
                  <c:v>2104.1389899288188</c:v>
                </c:pt>
                <c:pt idx="7">
                  <c:v>2004.999480908107</c:v>
                </c:pt>
                <c:pt idx="8">
                  <c:v>1726.6512042674185</c:v>
                </c:pt>
                <c:pt idx="9">
                  <c:v>1943.1615723070995</c:v>
                </c:pt>
              </c:numCache>
            </c:numRef>
          </c:val>
          <c:smooth val="0"/>
        </c:ser>
        <c:dLbls>
          <c:showLegendKey val="0"/>
          <c:showVal val="0"/>
          <c:showCatName val="0"/>
          <c:showSerName val="0"/>
          <c:showPercent val="0"/>
          <c:showBubbleSize val="0"/>
        </c:dLbls>
        <c:marker val="1"/>
        <c:smooth val="0"/>
        <c:axId val="134391296"/>
        <c:axId val="134392832"/>
      </c:lineChart>
      <c:catAx>
        <c:axId val="134391296"/>
        <c:scaling>
          <c:orientation val="minMax"/>
        </c:scaling>
        <c:delete val="0"/>
        <c:axPos val="b"/>
        <c:numFmt formatCode="General" sourceLinked="1"/>
        <c:majorTickMark val="out"/>
        <c:minorTickMark val="none"/>
        <c:tickLblPos val="nextTo"/>
        <c:crossAx val="134392832"/>
        <c:crosses val="autoZero"/>
        <c:auto val="1"/>
        <c:lblAlgn val="ctr"/>
        <c:lblOffset val="100"/>
        <c:noMultiLvlLbl val="0"/>
      </c:catAx>
      <c:valAx>
        <c:axId val="134392832"/>
        <c:scaling>
          <c:orientation val="minMax"/>
        </c:scaling>
        <c:delete val="0"/>
        <c:axPos val="l"/>
        <c:majorGridlines>
          <c:spPr>
            <a:ln w="3175">
              <a:prstDash val="sysDot"/>
            </a:ln>
          </c:spPr>
        </c:majorGridlines>
        <c:numFmt formatCode="#,##0" sourceLinked="1"/>
        <c:majorTickMark val="out"/>
        <c:minorTickMark val="none"/>
        <c:tickLblPos val="nextTo"/>
        <c:crossAx val="134391296"/>
        <c:crosses val="autoZero"/>
        <c:crossBetween val="between"/>
      </c:valAx>
    </c:plotArea>
    <c:plotVisOnly val="1"/>
    <c:dispBlanksAs val="gap"/>
    <c:showDLblsOverMax val="0"/>
  </c:chart>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10-12m'!$K$59</c:f>
          <c:strCache>
            <c:ptCount val="1"/>
            <c:pt idx="0">
              <c:v>Average annual operating profit per vessel (£'000)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'Pots and traps 10-12m'!$D$2:$M$2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10-12m'!$D$34:$M$34</c:f>
              <c:numCache>
                <c:formatCode>#,##0.0</c:formatCode>
                <c:ptCount val="10"/>
                <c:pt idx="0">
                  <c:v>12.120553891417108</c:v>
                </c:pt>
                <c:pt idx="1">
                  <c:v>32.160202552370592</c:v>
                </c:pt>
                <c:pt idx="2">
                  <c:v>15.639623595081423</c:v>
                </c:pt>
                <c:pt idx="3">
                  <c:v>25.643830341755216</c:v>
                </c:pt>
                <c:pt idx="4">
                  <c:v>27.05340043358764</c:v>
                </c:pt>
                <c:pt idx="5">
                  <c:v>24.469256681339008</c:v>
                </c:pt>
                <c:pt idx="6">
                  <c:v>14.062367889007964</c:v>
                </c:pt>
                <c:pt idx="7">
                  <c:v>33.904493668643006</c:v>
                </c:pt>
                <c:pt idx="8">
                  <c:v>25.269010555519575</c:v>
                </c:pt>
                <c:pt idx="9">
                  <c:v>28.899999887719073</c:v>
                </c:pt>
              </c:numCache>
            </c:numRef>
          </c:val>
          <c:smooth val="0"/>
        </c:ser>
        <c:dLbls>
          <c:showLegendKey val="0"/>
          <c:showVal val="0"/>
          <c:showCatName val="0"/>
          <c:showSerName val="0"/>
          <c:showPercent val="0"/>
          <c:showBubbleSize val="0"/>
        </c:dLbls>
        <c:marker val="1"/>
        <c:smooth val="0"/>
        <c:axId val="134548480"/>
        <c:axId val="134558464"/>
      </c:lineChart>
      <c:catAx>
        <c:axId val="134548480"/>
        <c:scaling>
          <c:orientation val="minMax"/>
        </c:scaling>
        <c:delete val="0"/>
        <c:axPos val="b"/>
        <c:numFmt formatCode="General" sourceLinked="1"/>
        <c:majorTickMark val="out"/>
        <c:minorTickMark val="none"/>
        <c:tickLblPos val="nextTo"/>
        <c:crossAx val="134558464"/>
        <c:crosses val="autoZero"/>
        <c:auto val="1"/>
        <c:lblAlgn val="ctr"/>
        <c:lblOffset val="100"/>
        <c:noMultiLvlLbl val="0"/>
      </c:catAx>
      <c:valAx>
        <c:axId val="134558464"/>
        <c:scaling>
          <c:orientation val="minMax"/>
        </c:scaling>
        <c:delete val="0"/>
        <c:axPos val="l"/>
        <c:majorGridlines>
          <c:spPr>
            <a:ln w="3175">
              <a:prstDash val="sysDot"/>
            </a:ln>
          </c:spPr>
        </c:majorGridlines>
        <c:numFmt formatCode="#,##0.0" sourceLinked="1"/>
        <c:majorTickMark val="out"/>
        <c:minorTickMark val="none"/>
        <c:tickLblPos val="nextTo"/>
        <c:crossAx val="134548480"/>
        <c:crosses val="autoZero"/>
        <c:crossBetween val="between"/>
      </c:valAx>
    </c:plotArea>
    <c:plotVisOnly val="1"/>
    <c:dispBlanksAs val="gap"/>
    <c:showDLblsOverMax val="0"/>
  </c:chart>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10-12m'!$A$73</c:f>
          <c:strCache>
            <c:ptCount val="1"/>
            <c:pt idx="0">
              <c:v>Top 5 landed species by volume in 2013
Pots and traps 10-12m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4B3467"/>
              </a:solidFill>
              <a:ln>
                <a:solidFill>
                  <a:srgbClr val="FFFFFF"/>
                </a:solidFill>
              </a:ln>
            </c:spPr>
          </c:dPt>
          <c:dPt>
            <c:idx val="1"/>
            <c:bubble3D val="0"/>
            <c:spPr>
              <a:solidFill>
                <a:srgbClr val="7F2321"/>
              </a:solidFill>
              <a:ln>
                <a:solidFill>
                  <a:srgbClr val="FFFFFF"/>
                </a:solidFill>
              </a:ln>
            </c:spPr>
          </c:dPt>
          <c:dPt>
            <c:idx val="2"/>
            <c:bubble3D val="0"/>
            <c:spPr>
              <a:solidFill>
                <a:srgbClr val="224B7D"/>
              </a:solidFill>
              <a:ln>
                <a:solidFill>
                  <a:srgbClr val="FFFFFF"/>
                </a:solidFill>
              </a:ln>
            </c:spPr>
          </c:dPt>
          <c:dPt>
            <c:idx val="3"/>
            <c:bubble3D val="0"/>
            <c:spPr>
              <a:solidFill>
                <a:srgbClr val="607A2A"/>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'Pots and traps 10-12m'!$B$74:$B$79</c:f>
              <c:strCache>
                <c:ptCount val="6"/>
                <c:pt idx="0">
                  <c:v>Whelks - 43.7%</c:v>
                </c:pt>
                <c:pt idx="1">
                  <c:v>Brown Crab - 39.8%</c:v>
                </c:pt>
                <c:pt idx="2">
                  <c:v>Lobsters - 4.9%</c:v>
                </c:pt>
                <c:pt idx="3">
                  <c:v>Nephrops - 4.8%</c:v>
                </c:pt>
                <c:pt idx="4">
                  <c:v>Velvet Crab - 2.8%</c:v>
                </c:pt>
                <c:pt idx="5">
                  <c:v>Others - 4.1%</c:v>
                </c:pt>
              </c:strCache>
            </c:strRef>
          </c:cat>
          <c:val>
            <c:numRef>
              <c:f>'Pots and traps 10-12m'!$C$74:$C$79</c:f>
              <c:numCache>
                <c:formatCode>0.0%</c:formatCode>
                <c:ptCount val="6"/>
                <c:pt idx="0">
                  <c:v>0.43730368915850432</c:v>
                </c:pt>
                <c:pt idx="1">
                  <c:v>0.39750803490843573</c:v>
                </c:pt>
                <c:pt idx="2">
                  <c:v>4.8864761949377548E-2</c:v>
                </c:pt>
                <c:pt idx="3">
                  <c:v>4.7675519309249681E-2</c:v>
                </c:pt>
                <c:pt idx="4">
                  <c:v>2.7784920159341402E-2</c:v>
                </c:pt>
                <c:pt idx="5">
                  <c:v>4.0863074515091302E-2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10-12m'!$F$73</c:f>
          <c:strCache>
            <c:ptCount val="1"/>
            <c:pt idx="0">
              <c:v>Top 5 landed species by value in 2013
Pots and traps 10-12m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'Pots and traps 10-12m'!$G$74:$G$79</c:f>
              <c:strCache>
                <c:ptCount val="6"/>
                <c:pt idx="0">
                  <c:v>Lobsters - 28.5%</c:v>
                </c:pt>
                <c:pt idx="1">
                  <c:v>Brown Crab - 27.6%</c:v>
                </c:pt>
                <c:pt idx="2">
                  <c:v>Nephrops - 21.7%</c:v>
                </c:pt>
                <c:pt idx="3">
                  <c:v>Whelks - 12.2%</c:v>
                </c:pt>
                <c:pt idx="4">
                  <c:v>Velvet Crab - 4.2%</c:v>
                </c:pt>
                <c:pt idx="5">
                  <c:v>Others - 5.7%</c:v>
                </c:pt>
              </c:strCache>
            </c:strRef>
          </c:cat>
          <c:val>
            <c:numRef>
              <c:f>'Pots and traps 10-12m'!$H$74:$H$79</c:f>
              <c:numCache>
                <c:formatCode>0.0%</c:formatCode>
                <c:ptCount val="6"/>
                <c:pt idx="0">
                  <c:v>0.28475063998932715</c:v>
                </c:pt>
                <c:pt idx="1">
                  <c:v>0.27624983772862294</c:v>
                </c:pt>
                <c:pt idx="2">
                  <c:v>0.21738040711810974</c:v>
                </c:pt>
                <c:pt idx="3">
                  <c:v>0.12223515402192696</c:v>
                </c:pt>
                <c:pt idx="4">
                  <c:v>4.2423440616986094E-2</c:v>
                </c:pt>
                <c:pt idx="5">
                  <c:v>5.6960520525027092E-2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'Pots and traps 10-12m'!$C$88</c:f>
              <c:strCache>
                <c:ptCount val="1"/>
                <c:pt idx="0">
                  <c:v>Lobsters</c:v>
                </c:pt>
              </c:strCache>
            </c:strRef>
          </c:tx>
          <c:spPr>
            <a:solidFill>
              <a:srgbClr val="224B7D"/>
            </a:solidFill>
            <a:ln>
              <a:solidFill>
                <a:srgbClr val="FFFFFF"/>
              </a:solidFill>
            </a:ln>
          </c:spPr>
          <c:invertIfNegative val="0"/>
          <c:cat>
            <c:numRef>
              <c:f>'Pots and traps 10-12m'!$D$87:$M$87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10-12m'!$D$88:$M$88</c:f>
              <c:numCache>
                <c:formatCode>0%</c:formatCode>
                <c:ptCount val="10"/>
                <c:pt idx="0">
                  <c:v>0.2475806551536282</c:v>
                </c:pt>
                <c:pt idx="1">
                  <c:v>0.26115293011608653</c:v>
                </c:pt>
                <c:pt idx="2">
                  <c:v>0.25371599906200842</c:v>
                </c:pt>
                <c:pt idx="3">
                  <c:v>0.24830665941669774</c:v>
                </c:pt>
                <c:pt idx="4">
                  <c:v>0.24707132264894333</c:v>
                </c:pt>
                <c:pt idx="5">
                  <c:v>0.25098128271293607</c:v>
                </c:pt>
                <c:pt idx="6">
                  <c:v>0.28604690630855101</c:v>
                </c:pt>
                <c:pt idx="7">
                  <c:v>0.29017921441707989</c:v>
                </c:pt>
                <c:pt idx="8">
                  <c:v>0.28960735203989446</c:v>
                </c:pt>
                <c:pt idx="9">
                  <c:v>0.276780400714144</c:v>
                </c:pt>
              </c:numCache>
            </c:numRef>
          </c:val>
        </c:ser>
        <c:ser>
          <c:idx val="1"/>
          <c:order val="1"/>
          <c:tx>
            <c:strRef>
              <c:f>'Pots and traps 10-12m'!$C$89</c:f>
              <c:strCache>
                <c:ptCount val="1"/>
                <c:pt idx="0">
                  <c:v>Brown Crab</c:v>
                </c:pt>
              </c:strCache>
            </c:strRef>
          </c:tx>
          <c:spPr>
            <a:solidFill>
              <a:srgbClr val="7F2321"/>
            </a:solidFill>
            <a:ln>
              <a:solidFill>
                <a:srgbClr val="FFFFFF"/>
              </a:solidFill>
            </a:ln>
          </c:spPr>
          <c:invertIfNegative val="0"/>
          <c:cat>
            <c:numRef>
              <c:f>'Pots and traps 10-12m'!$D$87:$M$87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10-12m'!$D$89:$M$89</c:f>
              <c:numCache>
                <c:formatCode>0%</c:formatCode>
                <c:ptCount val="10"/>
                <c:pt idx="0">
                  <c:v>0.28909348977870436</c:v>
                </c:pt>
                <c:pt idx="1">
                  <c:v>0.2693273173735537</c:v>
                </c:pt>
                <c:pt idx="2">
                  <c:v>0.28544380873678188</c:v>
                </c:pt>
                <c:pt idx="3">
                  <c:v>0.24890028728378361</c:v>
                </c:pt>
                <c:pt idx="4">
                  <c:v>0.23791478651795231</c:v>
                </c:pt>
                <c:pt idx="5">
                  <c:v>0.26628499958920043</c:v>
                </c:pt>
                <c:pt idx="6">
                  <c:v>0.27379445734854785</c:v>
                </c:pt>
                <c:pt idx="7">
                  <c:v>0.30603893899631934</c:v>
                </c:pt>
                <c:pt idx="8">
                  <c:v>0.28096155994253669</c:v>
                </c:pt>
                <c:pt idx="9">
                  <c:v>0.29893653192252567</c:v>
                </c:pt>
              </c:numCache>
            </c:numRef>
          </c:val>
        </c:ser>
        <c:ser>
          <c:idx val="2"/>
          <c:order val="2"/>
          <c:tx>
            <c:strRef>
              <c:f>'Pots and traps 10-12m'!$C$90</c:f>
              <c:strCache>
                <c:ptCount val="1"/>
                <c:pt idx="0">
                  <c:v>Nephrops</c:v>
                </c:pt>
              </c:strCache>
            </c:strRef>
          </c:tx>
          <c:spPr>
            <a:solidFill>
              <a:srgbClr val="607A2A"/>
            </a:solidFill>
            <a:ln>
              <a:solidFill>
                <a:srgbClr val="FFFFFF"/>
              </a:solidFill>
            </a:ln>
          </c:spPr>
          <c:invertIfNegative val="0"/>
          <c:cat>
            <c:numRef>
              <c:f>'Pots and traps 10-12m'!$D$87:$M$87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10-12m'!$D$90:$M$90</c:f>
              <c:numCache>
                <c:formatCode>0%</c:formatCode>
                <c:ptCount val="10"/>
                <c:pt idx="0">
                  <c:v>0.26120983762983879</c:v>
                </c:pt>
                <c:pt idx="1">
                  <c:v>0.2704461715404326</c:v>
                </c:pt>
                <c:pt idx="2">
                  <c:v>0.24502266794306735</c:v>
                </c:pt>
                <c:pt idx="3">
                  <c:v>0.27929245860151619</c:v>
                </c:pt>
                <c:pt idx="4">
                  <c:v>0.28382346431585409</c:v>
                </c:pt>
                <c:pt idx="5">
                  <c:v>0.26944708851005411</c:v>
                </c:pt>
                <c:pt idx="6">
                  <c:v>0.23723418814105471</c:v>
                </c:pt>
                <c:pt idx="7">
                  <c:v>0.21904219161272878</c:v>
                </c:pt>
                <c:pt idx="8">
                  <c:v>0.22108805126193792</c:v>
                </c:pt>
                <c:pt idx="9">
                  <c:v>0.20474645824069285</c:v>
                </c:pt>
              </c:numCache>
            </c:numRef>
          </c:val>
        </c:ser>
        <c:ser>
          <c:idx val="3"/>
          <c:order val="3"/>
          <c:tx>
            <c:strRef>
              <c:f>'Pots and traps 10-12m'!$C$91</c:f>
              <c:strCache>
                <c:ptCount val="1"/>
                <c:pt idx="0">
                  <c:v>Whelks</c:v>
                </c:pt>
              </c:strCache>
            </c:strRef>
          </c:tx>
          <c:spPr>
            <a:solidFill>
              <a:srgbClr val="4B3467"/>
            </a:solidFill>
            <a:ln>
              <a:solidFill>
                <a:srgbClr val="FFFFFF"/>
              </a:solidFill>
            </a:ln>
          </c:spPr>
          <c:invertIfNegative val="0"/>
          <c:cat>
            <c:numRef>
              <c:f>'Pots and traps 10-12m'!$D$87:$M$87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10-12m'!$D$91:$M$91</c:f>
              <c:numCache>
                <c:formatCode>0%</c:formatCode>
                <c:ptCount val="10"/>
                <c:pt idx="0">
                  <c:v>0.10825462368788946</c:v>
                </c:pt>
                <c:pt idx="1">
                  <c:v>9.9239718819700701E-2</c:v>
                </c:pt>
                <c:pt idx="2">
                  <c:v>9.3424046123200793E-2</c:v>
                </c:pt>
                <c:pt idx="3">
                  <c:v>0.10268469020354093</c:v>
                </c:pt>
                <c:pt idx="4">
                  <c:v>9.1451426289455115E-2</c:v>
                </c:pt>
                <c:pt idx="5">
                  <c:v>8.9895006430614835E-2</c:v>
                </c:pt>
                <c:pt idx="6">
                  <c:v>9.2249374470994044E-2</c:v>
                </c:pt>
                <c:pt idx="7">
                  <c:v>9.8337389911911044E-2</c:v>
                </c:pt>
                <c:pt idx="8">
                  <c:v>0.12431999901319193</c:v>
                </c:pt>
                <c:pt idx="9">
                  <c:v>0.14698467689539493</c:v>
                </c:pt>
              </c:numCache>
            </c:numRef>
          </c:val>
        </c:ser>
        <c:ser>
          <c:idx val="4"/>
          <c:order val="4"/>
          <c:tx>
            <c:strRef>
              <c:f>'Pots and traps 10-12m'!$C$92</c:f>
              <c:strCache>
                <c:ptCount val="1"/>
                <c:pt idx="0">
                  <c:v>Velvet Crab</c:v>
                </c:pt>
              </c:strCache>
            </c:strRef>
          </c:tx>
          <c:spPr>
            <a:solidFill>
              <a:srgbClr val="9B2D2A"/>
            </a:solidFill>
            <a:ln>
              <a:solidFill>
                <a:srgbClr val="FFFFFF"/>
              </a:solidFill>
            </a:ln>
          </c:spPr>
          <c:invertIfNegative val="0"/>
          <c:cat>
            <c:numRef>
              <c:f>'Pots and traps 10-12m'!$D$87:$M$87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10-12m'!$D$92:$M$92</c:f>
              <c:numCache>
                <c:formatCode>0%</c:formatCode>
                <c:ptCount val="10"/>
                <c:pt idx="0">
                  <c:v>4.6779067311185786E-2</c:v>
                </c:pt>
                <c:pt idx="1">
                  <c:v>5.9495605191710557E-2</c:v>
                </c:pt>
                <c:pt idx="2">
                  <c:v>6.8804355990784827E-2</c:v>
                </c:pt>
                <c:pt idx="3">
                  <c:v>7.6059202147500088E-2</c:v>
                </c:pt>
                <c:pt idx="4">
                  <c:v>8.9867192662060572E-2</c:v>
                </c:pt>
                <c:pt idx="5">
                  <c:v>8.4141480326072576E-2</c:v>
                </c:pt>
                <c:pt idx="6">
                  <c:v>6.5781569678237353E-2</c:v>
                </c:pt>
                <c:pt idx="7">
                  <c:v>4.3388398937947575E-2</c:v>
                </c:pt>
                <c:pt idx="8">
                  <c:v>4.3147015585171471E-2</c:v>
                </c:pt>
                <c:pt idx="9">
                  <c:v>4.1316782019079519E-2</c:v>
                </c:pt>
              </c:numCache>
            </c:numRef>
          </c:val>
        </c:ser>
        <c:ser>
          <c:idx val="5"/>
          <c:order val="5"/>
          <c:tx>
            <c:strRef>
              <c:f>'Pots and traps 10-12m'!$C$93</c:f>
              <c:strCache>
                <c:ptCount val="1"/>
                <c:pt idx="0">
                  <c:v>Others</c:v>
                </c:pt>
              </c:strCache>
            </c:strRef>
          </c:tx>
          <c:spPr>
            <a:solidFill>
              <a:srgbClr val="008000"/>
            </a:solidFill>
            <a:ln>
              <a:solidFill>
                <a:srgbClr val="FFFFFF"/>
              </a:solidFill>
            </a:ln>
          </c:spPr>
          <c:invertIfNegative val="0"/>
          <c:cat>
            <c:numRef>
              <c:f>'Pots and traps 10-12m'!$D$87:$M$87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10-12m'!$D$93:$M$93</c:f>
              <c:numCache>
                <c:formatCode>0%</c:formatCode>
                <c:ptCount val="10"/>
                <c:pt idx="0">
                  <c:v>4.708232643875343E-2</c:v>
                </c:pt>
                <c:pt idx="1">
                  <c:v>4.0338256958515922E-2</c:v>
                </c:pt>
                <c:pt idx="2">
                  <c:v>5.358912214415671E-2</c:v>
                </c:pt>
                <c:pt idx="3">
                  <c:v>4.4756702346961427E-2</c:v>
                </c:pt>
                <c:pt idx="4">
                  <c:v>4.9871807565734602E-2</c:v>
                </c:pt>
                <c:pt idx="5">
                  <c:v>3.9250142431121952E-2</c:v>
                </c:pt>
                <c:pt idx="6">
                  <c:v>4.4893504052615017E-2</c:v>
                </c:pt>
                <c:pt idx="7">
                  <c:v>4.3013866124013381E-2</c:v>
                </c:pt>
                <c:pt idx="8">
                  <c:v>4.0876022157267509E-2</c:v>
                </c:pt>
                <c:pt idx="9">
                  <c:v>3.1235150208163052E-2</c:v>
                </c:pt>
              </c:numCache>
            </c:numRef>
          </c:val>
        </c:ser>
        <c:dLbls>
          <c:showLegendKey val="0"/>
          <c:showVal val="0"/>
          <c:showCatName val="0"/>
          <c:showSerName val="0"/>
          <c:showPercent val="0"/>
          <c:showBubbleSize val="0"/>
        </c:dLbls>
        <c:gapWidth val="150"/>
        <c:overlap val="100"/>
        <c:axId val="135583616"/>
        <c:axId val="135585152"/>
      </c:barChart>
      <c:catAx>
        <c:axId val="135583616"/>
        <c:scaling>
          <c:orientation val="minMax"/>
        </c:scaling>
        <c:delete val="0"/>
        <c:axPos val="b"/>
        <c:numFmt formatCode="General" sourceLinked="1"/>
        <c:majorTickMark val="out"/>
        <c:minorTickMark val="none"/>
        <c:tickLblPos val="nextTo"/>
        <c:crossAx val="135585152"/>
        <c:crosses val="autoZero"/>
        <c:auto val="1"/>
        <c:lblAlgn val="ctr"/>
        <c:lblOffset val="100"/>
        <c:noMultiLvlLbl val="0"/>
      </c:catAx>
      <c:valAx>
        <c:axId val="135585152"/>
        <c:scaling>
          <c:orientation val="minMax"/>
          <c:max val="1"/>
          <c:min val="0"/>
        </c:scaling>
        <c:delete val="0"/>
        <c:axPos val="l"/>
        <c:majorGridlines/>
        <c:numFmt formatCode="0%" sourceLinked="1"/>
        <c:majorTickMark val="out"/>
        <c:minorTickMark val="none"/>
        <c:tickLblPos val="nextTo"/>
        <c:crossAx val="13558361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12m'!$A$45</c:f>
          <c:strCache>
            <c:ptCount val="1"/>
            <c:pt idx="0">
              <c:v>Landings per kW day at sea (kg)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'Pots and traps over 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12m'!$D$20:$M$20</c:f>
              <c:numCache>
                <c:formatCode>#,##0.00</c:formatCode>
                <c:ptCount val="10"/>
                <c:pt idx="0">
                  <c:v>4.7792558514467087</c:v>
                </c:pt>
                <c:pt idx="1">
                  <c:v>4.8855286001372651</c:v>
                </c:pt>
                <c:pt idx="2">
                  <c:v>4.5015396267885093</c:v>
                </c:pt>
                <c:pt idx="3">
                  <c:v>4.7341561847516109</c:v>
                </c:pt>
                <c:pt idx="4">
                  <c:v>4.6776432594895407</c:v>
                </c:pt>
                <c:pt idx="5">
                  <c:v>4.8531887172411743</c:v>
                </c:pt>
                <c:pt idx="6">
                  <c:v>5.1766248906711558</c:v>
                </c:pt>
                <c:pt idx="7">
                  <c:v>5.4829840900979718</c:v>
                </c:pt>
                <c:pt idx="8">
                  <c:v>5.5881926027969602</c:v>
                </c:pt>
                <c:pt idx="9">
                  <c:v>6.4560835210854259</c:v>
                </c:pt>
              </c:numCache>
            </c:numRef>
          </c:val>
          <c:smooth val="0"/>
        </c:ser>
        <c:dLbls>
          <c:showLegendKey val="0"/>
          <c:showVal val="0"/>
          <c:showCatName val="0"/>
          <c:showSerName val="0"/>
          <c:showPercent val="0"/>
          <c:showBubbleSize val="0"/>
        </c:dLbls>
        <c:marker val="1"/>
        <c:smooth val="0"/>
        <c:axId val="134882816"/>
        <c:axId val="134884352"/>
      </c:lineChart>
      <c:catAx>
        <c:axId val="134882816"/>
        <c:scaling>
          <c:orientation val="minMax"/>
        </c:scaling>
        <c:delete val="0"/>
        <c:axPos val="b"/>
        <c:numFmt formatCode="General" sourceLinked="1"/>
        <c:majorTickMark val="out"/>
        <c:minorTickMark val="none"/>
        <c:tickLblPos val="nextTo"/>
        <c:crossAx val="134884352"/>
        <c:crosses val="autoZero"/>
        <c:auto val="1"/>
        <c:lblAlgn val="ctr"/>
        <c:lblOffset val="100"/>
        <c:noMultiLvlLbl val="0"/>
      </c:catAx>
      <c:valAx>
        <c:axId val="134884352"/>
        <c:scaling>
          <c:orientation val="minMax"/>
        </c:scaling>
        <c:delete val="0"/>
        <c:axPos val="l"/>
        <c:majorGridlines>
          <c:spPr>
            <a:ln w="3175">
              <a:prstDash val="sysDot"/>
            </a:ln>
          </c:spPr>
        </c:majorGridlines>
        <c:numFmt formatCode="#,##0.00" sourceLinked="1"/>
        <c:majorTickMark val="out"/>
        <c:minorTickMark val="none"/>
        <c:tickLblPos val="nextTo"/>
        <c:crossAx val="134882816"/>
        <c:crosses val="autoZero"/>
        <c:crossBetween val="between"/>
      </c:valAx>
    </c:plotArea>
    <c:plotVisOnly val="1"/>
    <c:dispBlanksAs val="gap"/>
    <c:showDLblsOverMax val="0"/>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12m'!$F$45</c:f>
          <c:strCache>
            <c:ptCount val="1"/>
            <c:pt idx="0">
              <c:v>Income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'Pots and traps over 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12m'!$D$21:$M$21</c:f>
              <c:numCache>
                <c:formatCode>#,##0.00</c:formatCode>
                <c:ptCount val="10"/>
                <c:pt idx="0">
                  <c:v>5.6935991030989568</c:v>
                </c:pt>
                <c:pt idx="1">
                  <c:v>6.4094181415205931</c:v>
                </c:pt>
                <c:pt idx="2">
                  <c:v>6.0901425513983645</c:v>
                </c:pt>
                <c:pt idx="3">
                  <c:v>6.2641951635960575</c:v>
                </c:pt>
                <c:pt idx="4">
                  <c:v>5.9675584552288106</c:v>
                </c:pt>
                <c:pt idx="5">
                  <c:v>6.7396390454449788</c:v>
                </c:pt>
                <c:pt idx="6">
                  <c:v>7.3192512728509378</c:v>
                </c:pt>
                <c:pt idx="7">
                  <c:v>7.7597658825922284</c:v>
                </c:pt>
                <c:pt idx="8">
                  <c:v>8.6487008945169439</c:v>
                </c:pt>
                <c:pt idx="9">
                  <c:v>9.9015238217017139</c:v>
                </c:pt>
              </c:numCache>
            </c:numRef>
          </c:val>
          <c:smooth val="0"/>
        </c:ser>
        <c:dLbls>
          <c:showLegendKey val="0"/>
          <c:showVal val="0"/>
          <c:showCatName val="0"/>
          <c:showSerName val="0"/>
          <c:showPercent val="0"/>
          <c:showBubbleSize val="0"/>
        </c:dLbls>
        <c:marker val="1"/>
        <c:smooth val="0"/>
        <c:axId val="134896640"/>
        <c:axId val="134906624"/>
      </c:lineChart>
      <c:catAx>
        <c:axId val="134896640"/>
        <c:scaling>
          <c:orientation val="minMax"/>
        </c:scaling>
        <c:delete val="0"/>
        <c:axPos val="b"/>
        <c:numFmt formatCode="General" sourceLinked="1"/>
        <c:majorTickMark val="out"/>
        <c:minorTickMark val="none"/>
        <c:tickLblPos val="nextTo"/>
        <c:crossAx val="134906624"/>
        <c:crosses val="autoZero"/>
        <c:auto val="1"/>
        <c:lblAlgn val="ctr"/>
        <c:lblOffset val="100"/>
        <c:noMultiLvlLbl val="0"/>
      </c:catAx>
      <c:valAx>
        <c:axId val="134906624"/>
        <c:scaling>
          <c:orientation val="minMax"/>
        </c:scaling>
        <c:delete val="0"/>
        <c:axPos val="l"/>
        <c:majorGridlines>
          <c:spPr>
            <a:ln w="3175">
              <a:prstDash val="sysDot"/>
            </a:ln>
          </c:spPr>
        </c:majorGridlines>
        <c:numFmt formatCode="#,##0.00" sourceLinked="1"/>
        <c:majorTickMark val="out"/>
        <c:minorTickMark val="none"/>
        <c:tickLblPos val="nextTo"/>
        <c:crossAx val="134896640"/>
        <c:crosses val="autoZero"/>
        <c:crossBetween val="between"/>
      </c:valAx>
    </c:plotArea>
    <c:plotVisOnly val="1"/>
    <c:dispBlanksAs val="gap"/>
    <c:showDLblsOverMax val="0"/>
  </c:chart>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12m'!$K$45</c:f>
          <c:strCache>
            <c:ptCount val="1"/>
            <c:pt idx="0">
              <c:v>Operating profit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'Pots and traps over 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12m'!$D$23:$M$23</c:f>
              <c:numCache>
                <c:formatCode>#,##0.00</c:formatCode>
                <c:ptCount val="10"/>
                <c:pt idx="0">
                  <c:v>1.0308875971949285</c:v>
                </c:pt>
                <c:pt idx="1">
                  <c:v>0.86574474143045876</c:v>
                </c:pt>
                <c:pt idx="2">
                  <c:v>0.73329620370036108</c:v>
                </c:pt>
                <c:pt idx="3">
                  <c:v>1.0793899363754746</c:v>
                </c:pt>
                <c:pt idx="4">
                  <c:v>1.2549896576644377</c:v>
                </c:pt>
                <c:pt idx="5">
                  <c:v>0.8606751966204067</c:v>
                </c:pt>
                <c:pt idx="6">
                  <c:v>0.66159107896221192</c:v>
                </c:pt>
                <c:pt idx="7">
                  <c:v>1.6803990058347535</c:v>
                </c:pt>
                <c:pt idx="8">
                  <c:v>1.5361436470075938</c:v>
                </c:pt>
                <c:pt idx="9">
                  <c:v>1.9445479386365732</c:v>
                </c:pt>
              </c:numCache>
            </c:numRef>
          </c:val>
          <c:smooth val="0"/>
        </c:ser>
        <c:dLbls>
          <c:showLegendKey val="0"/>
          <c:showVal val="0"/>
          <c:showCatName val="0"/>
          <c:showSerName val="0"/>
          <c:showPercent val="0"/>
          <c:showBubbleSize val="0"/>
        </c:dLbls>
        <c:marker val="1"/>
        <c:smooth val="0"/>
        <c:axId val="134935296"/>
        <c:axId val="134936832"/>
      </c:lineChart>
      <c:catAx>
        <c:axId val="134935296"/>
        <c:scaling>
          <c:orientation val="minMax"/>
        </c:scaling>
        <c:delete val="0"/>
        <c:axPos val="b"/>
        <c:numFmt formatCode="General" sourceLinked="1"/>
        <c:majorTickMark val="out"/>
        <c:minorTickMark val="none"/>
        <c:tickLblPos val="nextTo"/>
        <c:crossAx val="134936832"/>
        <c:crosses val="autoZero"/>
        <c:auto val="1"/>
        <c:lblAlgn val="ctr"/>
        <c:lblOffset val="100"/>
        <c:noMultiLvlLbl val="0"/>
      </c:catAx>
      <c:valAx>
        <c:axId val="134936832"/>
        <c:scaling>
          <c:orientation val="minMax"/>
        </c:scaling>
        <c:delete val="0"/>
        <c:axPos val="l"/>
        <c:majorGridlines>
          <c:spPr>
            <a:ln w="3175">
              <a:prstDash val="sysDot"/>
            </a:ln>
          </c:spPr>
        </c:majorGridlines>
        <c:numFmt formatCode="#,##0.00" sourceLinked="1"/>
        <c:majorTickMark val="out"/>
        <c:minorTickMark val="none"/>
        <c:tickLblPos val="nextTo"/>
        <c:crossAx val="13493529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12m'!$B$59</c:f>
          <c:strCache>
            <c:ptCount val="1"/>
            <c:pt idx="0">
              <c:v>Total cost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'Pots and traps over 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12m'!$D$22:$M$22</c:f>
              <c:numCache>
                <c:formatCode>#,##0.00</c:formatCode>
                <c:ptCount val="10"/>
                <c:pt idx="0">
                  <c:v>4.6627115059040367</c:v>
                </c:pt>
                <c:pt idx="1">
                  <c:v>5.5436734000901344</c:v>
                </c:pt>
                <c:pt idx="2">
                  <c:v>5.3568463476980099</c:v>
                </c:pt>
                <c:pt idx="3">
                  <c:v>5.1848052272205836</c:v>
                </c:pt>
                <c:pt idx="4">
                  <c:v>4.7125687975643729</c:v>
                </c:pt>
                <c:pt idx="5">
                  <c:v>5.8789638488245703</c:v>
                </c:pt>
                <c:pt idx="6">
                  <c:v>6.6576601938887263</c:v>
                </c:pt>
                <c:pt idx="7">
                  <c:v>6.0793668767574758</c:v>
                </c:pt>
                <c:pt idx="8">
                  <c:v>7.1125572475093497</c:v>
                </c:pt>
                <c:pt idx="9">
                  <c:v>7.9569758830651391</c:v>
                </c:pt>
              </c:numCache>
            </c:numRef>
          </c:val>
          <c:smooth val="0"/>
        </c:ser>
        <c:dLbls>
          <c:showLegendKey val="0"/>
          <c:showVal val="0"/>
          <c:showCatName val="0"/>
          <c:showSerName val="0"/>
          <c:showPercent val="0"/>
          <c:showBubbleSize val="0"/>
        </c:dLbls>
        <c:marker val="1"/>
        <c:smooth val="0"/>
        <c:axId val="134945024"/>
        <c:axId val="134967296"/>
      </c:lineChart>
      <c:catAx>
        <c:axId val="134945024"/>
        <c:scaling>
          <c:orientation val="minMax"/>
        </c:scaling>
        <c:delete val="0"/>
        <c:axPos val="b"/>
        <c:numFmt formatCode="General" sourceLinked="1"/>
        <c:majorTickMark val="out"/>
        <c:minorTickMark val="none"/>
        <c:tickLblPos val="nextTo"/>
        <c:crossAx val="134967296"/>
        <c:crosses val="autoZero"/>
        <c:auto val="1"/>
        <c:lblAlgn val="ctr"/>
        <c:lblOffset val="100"/>
        <c:noMultiLvlLbl val="0"/>
      </c:catAx>
      <c:valAx>
        <c:axId val="134967296"/>
        <c:scaling>
          <c:orientation val="minMax"/>
        </c:scaling>
        <c:delete val="0"/>
        <c:axPos val="l"/>
        <c:majorGridlines>
          <c:spPr>
            <a:ln w="3175">
              <a:prstDash val="sysDot"/>
            </a:ln>
          </c:spPr>
        </c:majorGridlines>
        <c:numFmt formatCode="#,##0.00" sourceLinked="1"/>
        <c:majorTickMark val="out"/>
        <c:minorTickMark val="none"/>
        <c:tickLblPos val="nextTo"/>
        <c:crossAx val="134945024"/>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u250kW'!$A$45</c:f>
          <c:strCache>
            <c:ptCount val="1"/>
            <c:pt idx="0">
              <c:v>Landings per kW day at sea (kg)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'Area VIIa nephrops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u250kW'!$D$20:$M$20</c:f>
              <c:numCache>
                <c:formatCode>#,##0.00</c:formatCode>
                <c:ptCount val="10"/>
                <c:pt idx="0">
                  <c:v>2.2788752218759982</c:v>
                </c:pt>
                <c:pt idx="1">
                  <c:v>2.5782217800968503</c:v>
                </c:pt>
                <c:pt idx="2">
                  <c:v>2.6982718877614134</c:v>
                </c:pt>
                <c:pt idx="3">
                  <c:v>2.9716046831537888</c:v>
                </c:pt>
                <c:pt idx="4">
                  <c:v>2.9088916207667395</c:v>
                </c:pt>
                <c:pt idx="5">
                  <c:v>3.0612588554542031</c:v>
                </c:pt>
                <c:pt idx="6">
                  <c:v>3.2889814543001723</c:v>
                </c:pt>
                <c:pt idx="7">
                  <c:v>3.2289135466914742</c:v>
                </c:pt>
                <c:pt idx="8">
                  <c:v>3.1664176280642473</c:v>
                </c:pt>
                <c:pt idx="9">
                  <c:v>2.7821912934302961</c:v>
                </c:pt>
              </c:numCache>
            </c:numRef>
          </c:val>
          <c:smooth val="0"/>
        </c:ser>
        <c:dLbls>
          <c:showLegendKey val="0"/>
          <c:showVal val="0"/>
          <c:showCatName val="0"/>
          <c:showSerName val="0"/>
          <c:showPercent val="0"/>
          <c:showBubbleSize val="0"/>
        </c:dLbls>
        <c:marker val="1"/>
        <c:smooth val="0"/>
        <c:axId val="105753216"/>
        <c:axId val="105755008"/>
      </c:lineChart>
      <c:catAx>
        <c:axId val="105753216"/>
        <c:scaling>
          <c:orientation val="minMax"/>
        </c:scaling>
        <c:delete val="0"/>
        <c:axPos val="b"/>
        <c:numFmt formatCode="General" sourceLinked="1"/>
        <c:majorTickMark val="out"/>
        <c:minorTickMark val="none"/>
        <c:tickLblPos val="nextTo"/>
        <c:crossAx val="105755008"/>
        <c:crosses val="autoZero"/>
        <c:auto val="1"/>
        <c:lblAlgn val="ctr"/>
        <c:lblOffset val="100"/>
        <c:noMultiLvlLbl val="0"/>
      </c:catAx>
      <c:valAx>
        <c:axId val="105755008"/>
        <c:scaling>
          <c:orientation val="minMax"/>
        </c:scaling>
        <c:delete val="0"/>
        <c:axPos val="l"/>
        <c:majorGridlines>
          <c:spPr>
            <a:ln w="3175">
              <a:prstDash val="sysDot"/>
            </a:ln>
          </c:spPr>
        </c:majorGridlines>
        <c:numFmt formatCode="#,##0.00" sourceLinked="1"/>
        <c:majorTickMark val="out"/>
        <c:minorTickMark val="none"/>
        <c:tickLblPos val="nextTo"/>
        <c:crossAx val="105753216"/>
        <c:crosses val="autoZero"/>
        <c:crossBetween val="between"/>
      </c:valAx>
    </c:plotArea>
    <c:plotVisOnly val="1"/>
    <c:dispBlanksAs val="gap"/>
    <c:showDLblsOverMax val="0"/>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12m'!$F$59</c:f>
          <c:strCache>
            <c:ptCount val="1"/>
            <c:pt idx="0">
              <c:v>Average price per tonne landed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'Pots and traps over 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12m'!$D$19:$M$19</c:f>
              <c:numCache>
                <c:formatCode>#,##0</c:formatCode>
                <c:ptCount val="10"/>
                <c:pt idx="0">
                  <c:v>1191.3150060388546</c:v>
                </c:pt>
                <c:pt idx="1">
                  <c:v>1311.919098824764</c:v>
                </c:pt>
                <c:pt idx="2">
                  <c:v>1352.9020757167843</c:v>
                </c:pt>
                <c:pt idx="3">
                  <c:v>1323.1914921761668</c:v>
                </c:pt>
                <c:pt idx="4">
                  <c:v>1275.7618192547732</c:v>
                </c:pt>
                <c:pt idx="5">
                  <c:v>1388.7031749151236</c:v>
                </c:pt>
                <c:pt idx="6">
                  <c:v>1413.9041212432473</c:v>
                </c:pt>
                <c:pt idx="7">
                  <c:v>1415.245076569239</c:v>
                </c:pt>
                <c:pt idx="8">
                  <c:v>1547.6739286197619</c:v>
                </c:pt>
                <c:pt idx="9">
                  <c:v>1533.673335843044</c:v>
                </c:pt>
              </c:numCache>
            </c:numRef>
          </c:val>
          <c:smooth val="0"/>
        </c:ser>
        <c:dLbls>
          <c:showLegendKey val="0"/>
          <c:showVal val="0"/>
          <c:showCatName val="0"/>
          <c:showSerName val="0"/>
          <c:showPercent val="0"/>
          <c:showBubbleSize val="0"/>
        </c:dLbls>
        <c:marker val="1"/>
        <c:smooth val="0"/>
        <c:axId val="135012352"/>
        <c:axId val="135013888"/>
      </c:lineChart>
      <c:catAx>
        <c:axId val="135012352"/>
        <c:scaling>
          <c:orientation val="minMax"/>
        </c:scaling>
        <c:delete val="0"/>
        <c:axPos val="b"/>
        <c:numFmt formatCode="General" sourceLinked="1"/>
        <c:majorTickMark val="out"/>
        <c:minorTickMark val="none"/>
        <c:tickLblPos val="nextTo"/>
        <c:crossAx val="135013888"/>
        <c:crosses val="autoZero"/>
        <c:auto val="1"/>
        <c:lblAlgn val="ctr"/>
        <c:lblOffset val="100"/>
        <c:noMultiLvlLbl val="0"/>
      </c:catAx>
      <c:valAx>
        <c:axId val="135013888"/>
        <c:scaling>
          <c:orientation val="minMax"/>
        </c:scaling>
        <c:delete val="0"/>
        <c:axPos val="l"/>
        <c:majorGridlines>
          <c:spPr>
            <a:ln w="3175">
              <a:prstDash val="sysDot"/>
            </a:ln>
          </c:spPr>
        </c:majorGridlines>
        <c:numFmt formatCode="#,##0" sourceLinked="1"/>
        <c:majorTickMark val="out"/>
        <c:minorTickMark val="none"/>
        <c:tickLblPos val="nextTo"/>
        <c:crossAx val="135012352"/>
        <c:crosses val="autoZero"/>
        <c:crossBetween val="between"/>
      </c:valAx>
    </c:plotArea>
    <c:plotVisOnly val="1"/>
    <c:dispBlanksAs val="gap"/>
    <c:showDLblsOverMax val="0"/>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12m'!$K$59</c:f>
          <c:strCache>
            <c:ptCount val="1"/>
            <c:pt idx="0">
              <c:v>Average annual operating profit per vessel (£'000)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'Pots and traps over 12m'!$D$2:$M$2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12m'!$D$34:$M$34</c:f>
              <c:numCache>
                <c:formatCode>#,##0.0</c:formatCode>
                <c:ptCount val="10"/>
                <c:pt idx="0">
                  <c:v>44.008185605749361</c:v>
                </c:pt>
                <c:pt idx="1">
                  <c:v>34.582659368003704</c:v>
                </c:pt>
                <c:pt idx="2">
                  <c:v>32.224499165689743</c:v>
                </c:pt>
                <c:pt idx="3">
                  <c:v>40.411139538559084</c:v>
                </c:pt>
                <c:pt idx="4">
                  <c:v>52.483596841160022</c:v>
                </c:pt>
                <c:pt idx="5">
                  <c:v>37.866872506863025</c:v>
                </c:pt>
                <c:pt idx="6">
                  <c:v>27.839687780265766</c:v>
                </c:pt>
                <c:pt idx="7">
                  <c:v>65.20094936277502</c:v>
                </c:pt>
                <c:pt idx="8">
                  <c:v>60.173674941548562</c:v>
                </c:pt>
                <c:pt idx="9">
                  <c:v>77.699999698123605</c:v>
                </c:pt>
              </c:numCache>
            </c:numRef>
          </c:val>
          <c:smooth val="0"/>
        </c:ser>
        <c:dLbls>
          <c:showLegendKey val="0"/>
          <c:showVal val="0"/>
          <c:showCatName val="0"/>
          <c:showSerName val="0"/>
          <c:showPercent val="0"/>
          <c:showBubbleSize val="0"/>
        </c:dLbls>
        <c:marker val="1"/>
        <c:smooth val="0"/>
        <c:axId val="135042560"/>
        <c:axId val="135044096"/>
      </c:lineChart>
      <c:catAx>
        <c:axId val="135042560"/>
        <c:scaling>
          <c:orientation val="minMax"/>
        </c:scaling>
        <c:delete val="0"/>
        <c:axPos val="b"/>
        <c:numFmt formatCode="General" sourceLinked="1"/>
        <c:majorTickMark val="out"/>
        <c:minorTickMark val="none"/>
        <c:tickLblPos val="nextTo"/>
        <c:crossAx val="135044096"/>
        <c:crosses val="autoZero"/>
        <c:auto val="1"/>
        <c:lblAlgn val="ctr"/>
        <c:lblOffset val="100"/>
        <c:noMultiLvlLbl val="0"/>
      </c:catAx>
      <c:valAx>
        <c:axId val="135044096"/>
        <c:scaling>
          <c:orientation val="minMax"/>
        </c:scaling>
        <c:delete val="0"/>
        <c:axPos val="l"/>
        <c:majorGridlines>
          <c:spPr>
            <a:ln w="3175">
              <a:prstDash val="sysDot"/>
            </a:ln>
          </c:spPr>
        </c:majorGridlines>
        <c:numFmt formatCode="#,##0.0" sourceLinked="1"/>
        <c:majorTickMark val="out"/>
        <c:minorTickMark val="none"/>
        <c:tickLblPos val="nextTo"/>
        <c:crossAx val="135042560"/>
        <c:crosses val="autoZero"/>
        <c:crossBetween val="between"/>
      </c:valAx>
    </c:plotArea>
    <c:plotVisOnly val="1"/>
    <c:dispBlanksAs val="gap"/>
    <c:showDLblsOverMax val="0"/>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12m'!$A$73</c:f>
          <c:strCache>
            <c:ptCount val="1"/>
            <c:pt idx="0">
              <c:v>Top 5 landed species by volume in 2013
Pots and traps over 12m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607A2A"/>
              </a:solidFill>
              <a:ln>
                <a:solidFill>
                  <a:srgbClr val="FFFFFF"/>
                </a:solidFill>
              </a:ln>
            </c:spPr>
          </c:dPt>
          <c:dPt>
            <c:idx val="2"/>
            <c:bubble3D val="0"/>
            <c:spPr>
              <a:solidFill>
                <a:srgbClr val="7F2321"/>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'Pots and traps over 12m'!$B$74:$B$79</c:f>
              <c:strCache>
                <c:ptCount val="6"/>
                <c:pt idx="0">
                  <c:v>Brown Crab - 73.2%</c:v>
                </c:pt>
                <c:pt idx="1">
                  <c:v>Whelks - 22.6%</c:v>
                </c:pt>
                <c:pt idx="2">
                  <c:v>Lobsters - 2.3%</c:v>
                </c:pt>
                <c:pt idx="3">
                  <c:v>Nephrops - 0.8%</c:v>
                </c:pt>
                <c:pt idx="4">
                  <c:v>Pollack - 0.3%</c:v>
                </c:pt>
                <c:pt idx="5">
                  <c:v>Others - 0.8%</c:v>
                </c:pt>
              </c:strCache>
            </c:strRef>
          </c:cat>
          <c:val>
            <c:numRef>
              <c:f>'Pots and traps over 12m'!$C$74:$C$79</c:f>
              <c:numCache>
                <c:formatCode>0.0%</c:formatCode>
                <c:ptCount val="6"/>
                <c:pt idx="0">
                  <c:v>0.73158972565812597</c:v>
                </c:pt>
                <c:pt idx="1">
                  <c:v>0.22567331360577783</c:v>
                </c:pt>
                <c:pt idx="2">
                  <c:v>2.2939418780120895E-2</c:v>
                </c:pt>
                <c:pt idx="3">
                  <c:v>8.4797105123416844E-3</c:v>
                </c:pt>
                <c:pt idx="4">
                  <c:v>3.4805743875722817E-3</c:v>
                </c:pt>
                <c:pt idx="5">
                  <c:v>7.8372570560614196E-3</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12m'!$F$73</c:f>
          <c:strCache>
            <c:ptCount val="1"/>
            <c:pt idx="0">
              <c:v>Top 5 landed species by value in 2013
Pots and traps over 12m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'Pots and traps over 12m'!$G$74:$G$79</c:f>
              <c:strCache>
                <c:ptCount val="6"/>
                <c:pt idx="0">
                  <c:v>Brown Crab - 66.2%</c:v>
                </c:pt>
                <c:pt idx="1">
                  <c:v>Lobsters - 15.6%</c:v>
                </c:pt>
                <c:pt idx="2">
                  <c:v>Whelks - 10.7%</c:v>
                </c:pt>
                <c:pt idx="3">
                  <c:v>Nephrops - 4.3%</c:v>
                </c:pt>
                <c:pt idx="4">
                  <c:v>Pollack - 0.5%</c:v>
                </c:pt>
                <c:pt idx="5">
                  <c:v>Others - 2.7%</c:v>
                </c:pt>
              </c:strCache>
            </c:strRef>
          </c:cat>
          <c:val>
            <c:numRef>
              <c:f>'Pots and traps over 12m'!$H$74:$H$79</c:f>
              <c:numCache>
                <c:formatCode>0.0%</c:formatCode>
                <c:ptCount val="6"/>
                <c:pt idx="0">
                  <c:v>0.66179023789049141</c:v>
                </c:pt>
                <c:pt idx="1">
                  <c:v>0.15623510225259485</c:v>
                </c:pt>
                <c:pt idx="2">
                  <c:v>0.10683793807284794</c:v>
                </c:pt>
                <c:pt idx="3">
                  <c:v>4.3243489631396063E-2</c:v>
                </c:pt>
                <c:pt idx="4">
                  <c:v>4.5109594514537721E-3</c:v>
                </c:pt>
                <c:pt idx="5">
                  <c:v>2.738227270121607E-2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'Pots and traps over 12m'!$C$88</c:f>
              <c:strCache>
                <c:ptCount val="1"/>
                <c:pt idx="0">
                  <c:v>Brown Crab</c:v>
                </c:pt>
              </c:strCache>
            </c:strRef>
          </c:tx>
          <c:spPr>
            <a:solidFill>
              <a:srgbClr val="224B7D"/>
            </a:solidFill>
            <a:ln>
              <a:solidFill>
                <a:srgbClr val="FFFFFF"/>
              </a:solidFill>
            </a:ln>
          </c:spPr>
          <c:invertIfNegative val="0"/>
          <c:cat>
            <c:numRef>
              <c:f>'Pots and traps over 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12m'!$D$88:$M$88</c:f>
              <c:numCache>
                <c:formatCode>0%</c:formatCode>
                <c:ptCount val="10"/>
                <c:pt idx="0">
                  <c:v>0.59135275101444706</c:v>
                </c:pt>
                <c:pt idx="1">
                  <c:v>0.6275572416669557</c:v>
                </c:pt>
                <c:pt idx="2">
                  <c:v>0.64458017161021275</c:v>
                </c:pt>
                <c:pt idx="3">
                  <c:v>0.6033171299540584</c:v>
                </c:pt>
                <c:pt idx="4">
                  <c:v>0.63957731900213088</c:v>
                </c:pt>
                <c:pt idx="5">
                  <c:v>0.64176457666225184</c:v>
                </c:pt>
                <c:pt idx="6">
                  <c:v>0.69300231396681056</c:v>
                </c:pt>
                <c:pt idx="7">
                  <c:v>0.67043412636085764</c:v>
                </c:pt>
                <c:pt idx="8">
                  <c:v>0.67307774962809785</c:v>
                </c:pt>
                <c:pt idx="9">
                  <c:v>0.7099962136974608</c:v>
                </c:pt>
              </c:numCache>
            </c:numRef>
          </c:val>
        </c:ser>
        <c:ser>
          <c:idx val="1"/>
          <c:order val="1"/>
          <c:tx>
            <c:strRef>
              <c:f>'Pots and traps over 12m'!$C$89</c:f>
              <c:strCache>
                <c:ptCount val="1"/>
                <c:pt idx="0">
                  <c:v>Lobsters</c:v>
                </c:pt>
              </c:strCache>
            </c:strRef>
          </c:tx>
          <c:spPr>
            <a:solidFill>
              <a:srgbClr val="7F2321"/>
            </a:solidFill>
            <a:ln>
              <a:solidFill>
                <a:srgbClr val="FFFFFF"/>
              </a:solidFill>
            </a:ln>
          </c:spPr>
          <c:invertIfNegative val="0"/>
          <c:cat>
            <c:numRef>
              <c:f>'Pots and traps over 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12m'!$D$89:$M$89</c:f>
              <c:numCache>
                <c:formatCode>0%</c:formatCode>
                <c:ptCount val="10"/>
                <c:pt idx="0">
                  <c:v>0.15702291366437979</c:v>
                </c:pt>
                <c:pt idx="1">
                  <c:v>0.15647681534325011</c:v>
                </c:pt>
                <c:pt idx="2">
                  <c:v>0.17644992889179112</c:v>
                </c:pt>
                <c:pt idx="3">
                  <c:v>0.20445676794560502</c:v>
                </c:pt>
                <c:pt idx="4">
                  <c:v>0.19979181001437038</c:v>
                </c:pt>
                <c:pt idx="5">
                  <c:v>0.18582553029769303</c:v>
                </c:pt>
                <c:pt idx="6">
                  <c:v>0.16910094566447584</c:v>
                </c:pt>
                <c:pt idx="7">
                  <c:v>0.1647304792949271</c:v>
                </c:pt>
                <c:pt idx="8">
                  <c:v>0.15889985227387596</c:v>
                </c:pt>
                <c:pt idx="9">
                  <c:v>0.14738627228969714</c:v>
                </c:pt>
              </c:numCache>
            </c:numRef>
          </c:val>
        </c:ser>
        <c:ser>
          <c:idx val="2"/>
          <c:order val="2"/>
          <c:tx>
            <c:strRef>
              <c:f>'Pots and traps over 12m'!$C$90</c:f>
              <c:strCache>
                <c:ptCount val="1"/>
                <c:pt idx="0">
                  <c:v>Whelks</c:v>
                </c:pt>
              </c:strCache>
            </c:strRef>
          </c:tx>
          <c:spPr>
            <a:solidFill>
              <a:srgbClr val="607A2A"/>
            </a:solidFill>
            <a:ln>
              <a:solidFill>
                <a:srgbClr val="FFFFFF"/>
              </a:solidFill>
            </a:ln>
          </c:spPr>
          <c:invertIfNegative val="0"/>
          <c:cat>
            <c:numRef>
              <c:f>'Pots and traps over 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12m'!$D$90:$M$90</c:f>
              <c:numCache>
                <c:formatCode>0%</c:formatCode>
                <c:ptCount val="10"/>
                <c:pt idx="0">
                  <c:v>0.1451334308257537</c:v>
                </c:pt>
                <c:pt idx="1">
                  <c:v>0.11577021208427288</c:v>
                </c:pt>
                <c:pt idx="2">
                  <c:v>0.10299923041170014</c:v>
                </c:pt>
                <c:pt idx="3">
                  <c:v>0.13483578952076603</c:v>
                </c:pt>
                <c:pt idx="4">
                  <c:v>0.1124718220651082</c:v>
                </c:pt>
                <c:pt idx="5">
                  <c:v>0.11966809777887868</c:v>
                </c:pt>
                <c:pt idx="6">
                  <c:v>9.7648841469412842E-2</c:v>
                </c:pt>
                <c:pt idx="7">
                  <c:v>0.11371656228433315</c:v>
                </c:pt>
                <c:pt idx="8">
                  <c:v>0.10866016876011671</c:v>
                </c:pt>
                <c:pt idx="9">
                  <c:v>0.11685413712642365</c:v>
                </c:pt>
              </c:numCache>
            </c:numRef>
          </c:val>
        </c:ser>
        <c:ser>
          <c:idx val="3"/>
          <c:order val="3"/>
          <c:tx>
            <c:strRef>
              <c:f>'Pots and traps over 12m'!$C$91</c:f>
              <c:strCache>
                <c:ptCount val="1"/>
                <c:pt idx="0">
                  <c:v>Nephrops</c:v>
                </c:pt>
              </c:strCache>
            </c:strRef>
          </c:tx>
          <c:spPr>
            <a:solidFill>
              <a:srgbClr val="4B3467"/>
            </a:solidFill>
            <a:ln>
              <a:solidFill>
                <a:srgbClr val="FFFFFF"/>
              </a:solidFill>
            </a:ln>
          </c:spPr>
          <c:invertIfNegative val="0"/>
          <c:cat>
            <c:numRef>
              <c:f>'Pots and traps over 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12m'!$D$91:$M$91</c:f>
              <c:numCache>
                <c:formatCode>0%</c:formatCode>
                <c:ptCount val="10"/>
                <c:pt idx="0">
                  <c:v>2.3048081623408465E-2</c:v>
                </c:pt>
                <c:pt idx="4">
                  <c:v>2.1005962539487721E-2</c:v>
                </c:pt>
                <c:pt idx="5">
                  <c:v>3.2060859498279498E-2</c:v>
                </c:pt>
                <c:pt idx="6">
                  <c:v>2.4030175645900952E-2</c:v>
                </c:pt>
                <c:pt idx="7">
                  <c:v>3.6895665382964939E-2</c:v>
                </c:pt>
                <c:pt idx="8">
                  <c:v>4.3981051730144063E-2</c:v>
                </c:pt>
                <c:pt idx="9">
                  <c:v>2.0775428254453165E-2</c:v>
                </c:pt>
              </c:numCache>
            </c:numRef>
          </c:val>
        </c:ser>
        <c:ser>
          <c:idx val="4"/>
          <c:order val="4"/>
          <c:tx>
            <c:strRef>
              <c:f>'Pots and traps over 12m'!$C$92</c:f>
              <c:strCache>
                <c:ptCount val="1"/>
                <c:pt idx="0">
                  <c:v>Pollack</c:v>
                </c:pt>
              </c:strCache>
            </c:strRef>
          </c:tx>
          <c:spPr>
            <a:solidFill>
              <a:srgbClr val="9B2D2A"/>
            </a:solidFill>
            <a:ln>
              <a:solidFill>
                <a:srgbClr val="FFFFFF"/>
              </a:solidFill>
            </a:ln>
          </c:spPr>
          <c:invertIfNegative val="0"/>
          <c:cat>
            <c:numRef>
              <c:f>'Pots and traps over 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12m'!$D$92:$M$92</c:f>
              <c:numCache>
                <c:formatCode>0%</c:formatCode>
                <c:ptCount val="10"/>
                <c:pt idx="8">
                  <c:v>4.5878984947350021E-3</c:v>
                </c:pt>
              </c:numCache>
            </c:numRef>
          </c:val>
        </c:ser>
        <c:ser>
          <c:idx val="5"/>
          <c:order val="5"/>
          <c:tx>
            <c:strRef>
              <c:f>'Pots and traps over 12m'!$C$93</c:f>
              <c:strCache>
                <c:ptCount val="1"/>
                <c:pt idx="0">
                  <c:v>Velvet Crab</c:v>
                </c:pt>
              </c:strCache>
            </c:strRef>
          </c:tx>
          <c:spPr>
            <a:solidFill>
              <a:srgbClr val="769535"/>
            </a:solidFill>
            <a:ln>
              <a:solidFill>
                <a:srgbClr val="FFFFFF"/>
              </a:solidFill>
            </a:ln>
          </c:spPr>
          <c:invertIfNegative val="0"/>
          <c:cat>
            <c:numRef>
              <c:f>'Pots and traps over 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12m'!$D$93:$M$93</c:f>
              <c:numCache>
                <c:formatCode>0%</c:formatCode>
                <c:ptCount val="10"/>
                <c:pt idx="1">
                  <c:v>2.216078442702734E-2</c:v>
                </c:pt>
                <c:pt idx="2">
                  <c:v>1.2015902119022908E-2</c:v>
                </c:pt>
                <c:pt idx="3">
                  <c:v>1.2622160843201153E-2</c:v>
                </c:pt>
                <c:pt idx="4">
                  <c:v>1.1815788824797932E-2</c:v>
                </c:pt>
                <c:pt idx="5">
                  <c:v>7.2415673159517639E-3</c:v>
                </c:pt>
                <c:pt idx="6">
                  <c:v>5.3919566930336537E-3</c:v>
                </c:pt>
                <c:pt idx="7">
                  <c:v>3.6572873939508133E-3</c:v>
                </c:pt>
                <c:pt idx="9">
                  <c:v>2.7951555355584033E-3</c:v>
                </c:pt>
              </c:numCache>
            </c:numRef>
          </c:val>
        </c:ser>
        <c:ser>
          <c:idx val="6"/>
          <c:order val="6"/>
          <c:tx>
            <c:strRef>
              <c:f>'Pots and traps over 12m'!$C$94</c:f>
              <c:strCache>
                <c:ptCount val="1"/>
                <c:pt idx="0">
                  <c:v>Deepwater Red Crab</c:v>
                </c:pt>
              </c:strCache>
            </c:strRef>
          </c:tx>
          <c:spPr>
            <a:solidFill>
              <a:srgbClr val="A85816"/>
            </a:solidFill>
            <a:ln>
              <a:solidFill>
                <a:srgbClr val="FFFFFF"/>
              </a:solidFill>
            </a:ln>
          </c:spPr>
          <c:invertIfNegative val="0"/>
          <c:cat>
            <c:numRef>
              <c:f>'Pots and traps over 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12m'!$D$94:$M$94</c:f>
              <c:numCache>
                <c:formatCode>0%</c:formatCode>
                <c:ptCount val="10"/>
                <c:pt idx="0">
                  <c:v>2.6866214498119725E-2</c:v>
                </c:pt>
                <c:pt idx="1">
                  <c:v>3.6589506003533237E-2</c:v>
                </c:pt>
                <c:pt idx="2">
                  <c:v>4.0901726014726754E-2</c:v>
                </c:pt>
                <c:pt idx="3">
                  <c:v>1.4785000208950532E-2</c:v>
                </c:pt>
              </c:numCache>
            </c:numRef>
          </c:val>
        </c:ser>
        <c:ser>
          <c:idx val="7"/>
          <c:order val="7"/>
          <c:tx>
            <c:strRef>
              <c:f>'Pots and traps over 12m'!$C$95</c:f>
              <c:strCache>
                <c:ptCount val="1"/>
                <c:pt idx="0">
                  <c:v>Others</c:v>
                </c:pt>
              </c:strCache>
            </c:strRef>
          </c:tx>
          <c:spPr>
            <a:solidFill>
              <a:srgbClr val="008000"/>
            </a:solidFill>
            <a:ln>
              <a:solidFill>
                <a:srgbClr val="FFFFFF"/>
              </a:solidFill>
            </a:ln>
          </c:spPr>
          <c:invertIfNegative val="0"/>
          <c:cat>
            <c:numRef>
              <c:f>'Pots and traps over 12m'!$D$87:$M$87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'Pots and traps over 12m'!$D$95:$M$95</c:f>
              <c:numCache>
                <c:formatCode>0%</c:formatCode>
                <c:ptCount val="10"/>
                <c:pt idx="0">
                  <c:v>5.65766083738913E-2</c:v>
                </c:pt>
                <c:pt idx="1">
                  <c:v>4.1445440474960772E-2</c:v>
                </c:pt>
                <c:pt idx="2">
                  <c:v>2.3053040952546316E-2</c:v>
                </c:pt>
                <c:pt idx="3">
                  <c:v>2.9983151527418907E-2</c:v>
                </c:pt>
                <c:pt idx="4">
                  <c:v>1.5337297554104909E-2</c:v>
                </c:pt>
                <c:pt idx="5">
                  <c:v>1.3439368446945195E-2</c:v>
                </c:pt>
                <c:pt idx="6">
                  <c:v>1.0825766560366171E-2</c:v>
                </c:pt>
                <c:pt idx="7">
                  <c:v>1.0565879282966399E-2</c:v>
                </c:pt>
                <c:pt idx="8">
                  <c:v>1.0793279113030383E-2</c:v>
                </c:pt>
                <c:pt idx="9">
                  <c:v>2.1927930964068536E-3</c:v>
                </c:pt>
              </c:numCache>
            </c:numRef>
          </c:val>
        </c:ser>
        <c:dLbls>
          <c:showLegendKey val="0"/>
          <c:showVal val="0"/>
          <c:showCatName val="0"/>
          <c:showSerName val="0"/>
          <c:showPercent val="0"/>
          <c:showBubbleSize val="0"/>
        </c:dLbls>
        <c:gapWidth val="150"/>
        <c:overlap val="100"/>
        <c:axId val="135292800"/>
        <c:axId val="135294336"/>
      </c:barChart>
      <c:catAx>
        <c:axId val="135292800"/>
        <c:scaling>
          <c:orientation val="minMax"/>
        </c:scaling>
        <c:delete val="0"/>
        <c:axPos val="b"/>
        <c:numFmt formatCode="General" sourceLinked="1"/>
        <c:majorTickMark val="out"/>
        <c:minorTickMark val="none"/>
        <c:tickLblPos val="nextTo"/>
        <c:crossAx val="135294336"/>
        <c:crosses val="autoZero"/>
        <c:auto val="1"/>
        <c:lblAlgn val="ctr"/>
        <c:lblOffset val="100"/>
        <c:noMultiLvlLbl val="0"/>
      </c:catAx>
      <c:valAx>
        <c:axId val="135294336"/>
        <c:scaling>
          <c:orientation val="minMax"/>
          <c:max val="1"/>
          <c:min val="0"/>
        </c:scaling>
        <c:delete val="0"/>
        <c:axPos val="l"/>
        <c:majorGridlines/>
        <c:numFmt formatCode="0%" sourceLinked="1"/>
        <c:majorTickMark val="out"/>
        <c:minorTickMark val="none"/>
        <c:tickLblPos val="nextTo"/>
        <c:crossAx val="13529280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o250kW'!$A$45</c:f>
          <c:strCache>
            <c:ptCount val="1"/>
            <c:pt idx="0">
              <c:v>Landings per kW day at sea (kg)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'South West beamers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o250kW'!$D$20:$M$20</c:f>
              <c:numCache>
                <c:formatCode>#,##0.00</c:formatCode>
                <c:ptCount val="10"/>
                <c:pt idx="0">
                  <c:v>1.5052339295945594</c:v>
                </c:pt>
                <c:pt idx="1">
                  <c:v>1.5439341737765886</c:v>
                </c:pt>
                <c:pt idx="2">
                  <c:v>1.730483683008023</c:v>
                </c:pt>
                <c:pt idx="3">
                  <c:v>1.7227862066879531</c:v>
                </c:pt>
                <c:pt idx="4">
                  <c:v>1.6951750826123519</c:v>
                </c:pt>
                <c:pt idx="5">
                  <c:v>1.9220191206297017</c:v>
                </c:pt>
                <c:pt idx="6">
                  <c:v>2.0163893667326573</c:v>
                </c:pt>
                <c:pt idx="7">
                  <c:v>2.2618118554134337</c:v>
                </c:pt>
                <c:pt idx="8">
                  <c:v>2.1514240097587316</c:v>
                </c:pt>
                <c:pt idx="9">
                  <c:v>2.0042567787292187</c:v>
                </c:pt>
              </c:numCache>
            </c:numRef>
          </c:val>
          <c:smooth val="0"/>
        </c:ser>
        <c:dLbls>
          <c:showLegendKey val="0"/>
          <c:showVal val="0"/>
          <c:showCatName val="0"/>
          <c:showSerName val="0"/>
          <c:showPercent val="0"/>
          <c:showBubbleSize val="0"/>
        </c:dLbls>
        <c:marker val="1"/>
        <c:smooth val="0"/>
        <c:axId val="135903104"/>
        <c:axId val="135904640"/>
      </c:lineChart>
      <c:catAx>
        <c:axId val="135903104"/>
        <c:scaling>
          <c:orientation val="minMax"/>
        </c:scaling>
        <c:delete val="0"/>
        <c:axPos val="b"/>
        <c:numFmt formatCode="General" sourceLinked="1"/>
        <c:majorTickMark val="out"/>
        <c:minorTickMark val="none"/>
        <c:tickLblPos val="nextTo"/>
        <c:crossAx val="135904640"/>
        <c:crosses val="autoZero"/>
        <c:auto val="1"/>
        <c:lblAlgn val="ctr"/>
        <c:lblOffset val="100"/>
        <c:noMultiLvlLbl val="0"/>
      </c:catAx>
      <c:valAx>
        <c:axId val="135904640"/>
        <c:scaling>
          <c:orientation val="minMax"/>
        </c:scaling>
        <c:delete val="0"/>
        <c:axPos val="l"/>
        <c:majorGridlines>
          <c:spPr>
            <a:ln w="3175">
              <a:prstDash val="sysDot"/>
            </a:ln>
          </c:spPr>
        </c:majorGridlines>
        <c:numFmt formatCode="#,##0.00" sourceLinked="1"/>
        <c:majorTickMark val="out"/>
        <c:minorTickMark val="none"/>
        <c:tickLblPos val="nextTo"/>
        <c:crossAx val="135903104"/>
        <c:crosses val="autoZero"/>
        <c:crossBetween val="between"/>
      </c:valAx>
    </c:plotArea>
    <c:plotVisOnly val="1"/>
    <c:dispBlanksAs val="gap"/>
    <c:showDLblsOverMax val="0"/>
  </c:chart>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o250kW'!$F$45</c:f>
          <c:strCache>
            <c:ptCount val="1"/>
            <c:pt idx="0">
              <c:v>Income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'South West beamers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o250kW'!$D$21:$M$21</c:f>
              <c:numCache>
                <c:formatCode>#,##0.00</c:formatCode>
                <c:ptCount val="10"/>
                <c:pt idx="0">
                  <c:v>3.54900138343167</c:v>
                </c:pt>
                <c:pt idx="1">
                  <c:v>3.8725780001466044</c:v>
                </c:pt>
                <c:pt idx="2">
                  <c:v>4.1861715871724527</c:v>
                </c:pt>
                <c:pt idx="3">
                  <c:v>4.2350830015319021</c:v>
                </c:pt>
                <c:pt idx="4">
                  <c:v>4.2020411452673292</c:v>
                </c:pt>
                <c:pt idx="5">
                  <c:v>4.9396460345515996</c:v>
                </c:pt>
                <c:pt idx="6">
                  <c:v>5.7229040641525035</c:v>
                </c:pt>
                <c:pt idx="7">
                  <c:v>5.4780418009723739</c:v>
                </c:pt>
                <c:pt idx="8">
                  <c:v>5.2460816260672587</c:v>
                </c:pt>
                <c:pt idx="9">
                  <c:v>5.0839147810142826</c:v>
                </c:pt>
              </c:numCache>
            </c:numRef>
          </c:val>
          <c:smooth val="0"/>
        </c:ser>
        <c:dLbls>
          <c:showLegendKey val="0"/>
          <c:showVal val="0"/>
          <c:showCatName val="0"/>
          <c:showSerName val="0"/>
          <c:showPercent val="0"/>
          <c:showBubbleSize val="0"/>
        </c:dLbls>
        <c:marker val="1"/>
        <c:smooth val="0"/>
        <c:axId val="135339392"/>
        <c:axId val="129959040"/>
      </c:lineChart>
      <c:catAx>
        <c:axId val="135339392"/>
        <c:scaling>
          <c:orientation val="minMax"/>
        </c:scaling>
        <c:delete val="0"/>
        <c:axPos val="b"/>
        <c:numFmt formatCode="General" sourceLinked="1"/>
        <c:majorTickMark val="out"/>
        <c:minorTickMark val="none"/>
        <c:tickLblPos val="nextTo"/>
        <c:crossAx val="129959040"/>
        <c:crosses val="autoZero"/>
        <c:auto val="1"/>
        <c:lblAlgn val="ctr"/>
        <c:lblOffset val="100"/>
        <c:noMultiLvlLbl val="0"/>
      </c:catAx>
      <c:valAx>
        <c:axId val="129959040"/>
        <c:scaling>
          <c:orientation val="minMax"/>
        </c:scaling>
        <c:delete val="0"/>
        <c:axPos val="l"/>
        <c:majorGridlines>
          <c:spPr>
            <a:ln w="3175">
              <a:prstDash val="sysDot"/>
            </a:ln>
          </c:spPr>
        </c:majorGridlines>
        <c:numFmt formatCode="#,##0.00" sourceLinked="1"/>
        <c:majorTickMark val="out"/>
        <c:minorTickMark val="none"/>
        <c:tickLblPos val="nextTo"/>
        <c:crossAx val="135339392"/>
        <c:crosses val="autoZero"/>
        <c:crossBetween val="between"/>
      </c:valAx>
    </c:plotArea>
    <c:plotVisOnly val="1"/>
    <c:dispBlanksAs val="gap"/>
    <c:showDLblsOverMax val="0"/>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o250kW'!$K$45</c:f>
          <c:strCache>
            <c:ptCount val="1"/>
            <c:pt idx="0">
              <c:v>Operating profit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'South West beamers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o250kW'!$D$23:$M$23</c:f>
              <c:numCache>
                <c:formatCode>#,##0.00</c:formatCode>
                <c:ptCount val="10"/>
                <c:pt idx="0">
                  <c:v>-0.2245145094083289</c:v>
                </c:pt>
                <c:pt idx="1">
                  <c:v>0.7350945491648061</c:v>
                </c:pt>
                <c:pt idx="2">
                  <c:v>0.7670194936069713</c:v>
                </c:pt>
                <c:pt idx="3">
                  <c:v>-1.478205131328377E-2</c:v>
                </c:pt>
                <c:pt idx="4">
                  <c:v>0.21463924475387458</c:v>
                </c:pt>
                <c:pt idx="5">
                  <c:v>0.67730126390631773</c:v>
                </c:pt>
                <c:pt idx="6">
                  <c:v>0.64981547035022225</c:v>
                </c:pt>
                <c:pt idx="7">
                  <c:v>0.24187952973810348</c:v>
                </c:pt>
                <c:pt idx="8">
                  <c:v>8.7920237888501104E-2</c:v>
                </c:pt>
                <c:pt idx="9">
                  <c:v>0.13027347070468961</c:v>
                </c:pt>
              </c:numCache>
            </c:numRef>
          </c:val>
          <c:smooth val="0"/>
        </c:ser>
        <c:dLbls>
          <c:showLegendKey val="0"/>
          <c:showVal val="0"/>
          <c:showCatName val="0"/>
          <c:showSerName val="0"/>
          <c:showPercent val="0"/>
          <c:showBubbleSize val="0"/>
        </c:dLbls>
        <c:marker val="1"/>
        <c:smooth val="0"/>
        <c:axId val="135365760"/>
        <c:axId val="135367296"/>
      </c:lineChart>
      <c:catAx>
        <c:axId val="135365760"/>
        <c:scaling>
          <c:orientation val="minMax"/>
        </c:scaling>
        <c:delete val="0"/>
        <c:axPos val="b"/>
        <c:numFmt formatCode="General" sourceLinked="1"/>
        <c:majorTickMark val="out"/>
        <c:minorTickMark val="none"/>
        <c:tickLblPos val="nextTo"/>
        <c:crossAx val="135367296"/>
        <c:crosses val="autoZero"/>
        <c:auto val="1"/>
        <c:lblAlgn val="ctr"/>
        <c:lblOffset val="100"/>
        <c:noMultiLvlLbl val="0"/>
      </c:catAx>
      <c:valAx>
        <c:axId val="135367296"/>
        <c:scaling>
          <c:orientation val="minMax"/>
        </c:scaling>
        <c:delete val="0"/>
        <c:axPos val="l"/>
        <c:majorGridlines>
          <c:spPr>
            <a:ln w="3175">
              <a:prstDash val="sysDot"/>
            </a:ln>
          </c:spPr>
        </c:majorGridlines>
        <c:numFmt formatCode="#,##0.00" sourceLinked="1"/>
        <c:majorTickMark val="out"/>
        <c:minorTickMark val="none"/>
        <c:tickLblPos val="nextTo"/>
        <c:crossAx val="13536576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o250kW'!$B$59</c:f>
          <c:strCache>
            <c:ptCount val="1"/>
            <c:pt idx="0">
              <c:v>Total cost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'South West beamers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o250kW'!$D$22:$M$22</c:f>
              <c:numCache>
                <c:formatCode>#,##0.00</c:formatCode>
                <c:ptCount val="10"/>
                <c:pt idx="0">
                  <c:v>3.773515892839995</c:v>
                </c:pt>
                <c:pt idx="1">
                  <c:v>3.1374834509818017</c:v>
                </c:pt>
                <c:pt idx="2">
                  <c:v>3.4191520935654816</c:v>
                </c:pt>
                <c:pt idx="3">
                  <c:v>4.2498650528451822</c:v>
                </c:pt>
                <c:pt idx="4">
                  <c:v>3.9874019005134627</c:v>
                </c:pt>
                <c:pt idx="5">
                  <c:v>4.2623447706452842</c:v>
                </c:pt>
                <c:pt idx="6">
                  <c:v>5.0730885938022796</c:v>
                </c:pt>
                <c:pt idx="7">
                  <c:v>5.2361622712342699</c:v>
                </c:pt>
                <c:pt idx="8">
                  <c:v>5.1581613881787591</c:v>
                </c:pt>
                <c:pt idx="9">
                  <c:v>4.9536413103095942</c:v>
                </c:pt>
              </c:numCache>
            </c:numRef>
          </c:val>
          <c:smooth val="0"/>
        </c:ser>
        <c:dLbls>
          <c:showLegendKey val="0"/>
          <c:showVal val="0"/>
          <c:showCatName val="0"/>
          <c:showSerName val="0"/>
          <c:showPercent val="0"/>
          <c:showBubbleSize val="0"/>
        </c:dLbls>
        <c:marker val="1"/>
        <c:smooth val="0"/>
        <c:axId val="135379584"/>
        <c:axId val="135393664"/>
      </c:lineChart>
      <c:catAx>
        <c:axId val="135379584"/>
        <c:scaling>
          <c:orientation val="minMax"/>
        </c:scaling>
        <c:delete val="0"/>
        <c:axPos val="b"/>
        <c:numFmt formatCode="General" sourceLinked="1"/>
        <c:majorTickMark val="out"/>
        <c:minorTickMark val="none"/>
        <c:tickLblPos val="nextTo"/>
        <c:crossAx val="135393664"/>
        <c:crosses val="autoZero"/>
        <c:auto val="1"/>
        <c:lblAlgn val="ctr"/>
        <c:lblOffset val="100"/>
        <c:noMultiLvlLbl val="0"/>
      </c:catAx>
      <c:valAx>
        <c:axId val="135393664"/>
        <c:scaling>
          <c:orientation val="minMax"/>
        </c:scaling>
        <c:delete val="0"/>
        <c:axPos val="l"/>
        <c:majorGridlines>
          <c:spPr>
            <a:ln w="3175">
              <a:prstDash val="sysDot"/>
            </a:ln>
          </c:spPr>
        </c:majorGridlines>
        <c:numFmt formatCode="#,##0.00" sourceLinked="1"/>
        <c:majorTickMark val="out"/>
        <c:minorTickMark val="none"/>
        <c:tickLblPos val="nextTo"/>
        <c:crossAx val="135379584"/>
        <c:crosses val="autoZero"/>
        <c:crossBetween val="between"/>
      </c:valAx>
    </c:plotArea>
    <c:plotVisOnly val="1"/>
    <c:dispBlanksAs val="gap"/>
    <c:showDLblsOverMax val="0"/>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o250kW'!$F$59</c:f>
          <c:strCache>
            <c:ptCount val="1"/>
            <c:pt idx="0">
              <c:v>Average price per tonne landed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'South West beamers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o250kW'!$D$19:$M$19</c:f>
              <c:numCache>
                <c:formatCode>#,##0</c:formatCode>
                <c:ptCount val="10"/>
                <c:pt idx="0">
                  <c:v>2357.7739116305274</c:v>
                </c:pt>
                <c:pt idx="1">
                  <c:v>2508.2534058271322</c:v>
                </c:pt>
                <c:pt idx="2">
                  <c:v>2419.0761446955912</c:v>
                </c:pt>
                <c:pt idx="3">
                  <c:v>2458.2753804355907</c:v>
                </c:pt>
                <c:pt idx="4">
                  <c:v>2478.8244162505857</c:v>
                </c:pt>
                <c:pt idx="5">
                  <c:v>2570.0295512549424</c:v>
                </c:pt>
                <c:pt idx="6">
                  <c:v>2838.1937308222764</c:v>
                </c:pt>
                <c:pt idx="7">
                  <c:v>2421.9706977161127</c:v>
                </c:pt>
                <c:pt idx="8">
                  <c:v>2438.4229680993153</c:v>
                </c:pt>
                <c:pt idx="9">
                  <c:v>2536.5584665550818</c:v>
                </c:pt>
              </c:numCache>
            </c:numRef>
          </c:val>
          <c:smooth val="0"/>
        </c:ser>
        <c:dLbls>
          <c:showLegendKey val="0"/>
          <c:showVal val="0"/>
          <c:showCatName val="0"/>
          <c:showSerName val="0"/>
          <c:showPercent val="0"/>
          <c:showBubbleSize val="0"/>
        </c:dLbls>
        <c:marker val="1"/>
        <c:smooth val="0"/>
        <c:axId val="108089728"/>
        <c:axId val="108091264"/>
      </c:lineChart>
      <c:catAx>
        <c:axId val="108089728"/>
        <c:scaling>
          <c:orientation val="minMax"/>
        </c:scaling>
        <c:delete val="0"/>
        <c:axPos val="b"/>
        <c:numFmt formatCode="General" sourceLinked="1"/>
        <c:majorTickMark val="out"/>
        <c:minorTickMark val="none"/>
        <c:tickLblPos val="nextTo"/>
        <c:crossAx val="108091264"/>
        <c:crosses val="autoZero"/>
        <c:auto val="1"/>
        <c:lblAlgn val="ctr"/>
        <c:lblOffset val="100"/>
        <c:noMultiLvlLbl val="0"/>
      </c:catAx>
      <c:valAx>
        <c:axId val="108091264"/>
        <c:scaling>
          <c:orientation val="minMax"/>
        </c:scaling>
        <c:delete val="0"/>
        <c:axPos val="l"/>
        <c:majorGridlines>
          <c:spPr>
            <a:ln w="3175">
              <a:prstDash val="sysDot"/>
            </a:ln>
          </c:spPr>
        </c:majorGridlines>
        <c:numFmt formatCode="#,##0" sourceLinked="1"/>
        <c:majorTickMark val="out"/>
        <c:minorTickMark val="none"/>
        <c:tickLblPos val="nextTo"/>
        <c:crossAx val="108089728"/>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trawl'!$F$45</c:f>
          <c:strCache>
            <c:ptCount val="1"/>
            <c:pt idx="0">
              <c:v>Income per kW day at sea (£)
Area VIIA demersal trawl</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'Area VIIa demersal trawl'!$D$2:$M$2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trawl'!$D$21:$M$21</c:f>
              <c:numCache>
                <c:formatCode>#,##0.00</c:formatCode>
                <c:ptCount val="10"/>
                <c:pt idx="0">
                  <c:v>2.95424905613624</c:v>
                </c:pt>
                <c:pt idx="1">
                  <c:v>3.04507919311762</c:v>
                </c:pt>
                <c:pt idx="2">
                  <c:v>4.2806979761780601</c:v>
                </c:pt>
                <c:pt idx="3">
                  <c:v>4.5232464878272998</c:v>
                </c:pt>
                <c:pt idx="4">
                  <c:v>4.2226929111510501</c:v>
                </c:pt>
                <c:pt idx="5">
                  <c:v>4.8232744699934003</c:v>
                </c:pt>
                <c:pt idx="6">
                  <c:v>4.8456904893940997</c:v>
                </c:pt>
                <c:pt idx="7">
                  <c:v>7.2295014384218304</c:v>
                </c:pt>
                <c:pt idx="8">
                  <c:v>6.1327754159539003</c:v>
                </c:pt>
                <c:pt idx="9">
                  <c:v>7.37477637982155</c:v>
                </c:pt>
              </c:numCache>
            </c:numRef>
          </c:val>
          <c:smooth val="0"/>
        </c:ser>
        <c:dLbls>
          <c:showLegendKey val="0"/>
          <c:showVal val="0"/>
          <c:showCatName val="0"/>
          <c:showSerName val="0"/>
          <c:showPercent val="0"/>
          <c:showBubbleSize val="0"/>
        </c:dLbls>
        <c:marker val="1"/>
        <c:smooth val="0"/>
        <c:axId val="43422080"/>
        <c:axId val="43423616"/>
      </c:lineChart>
      <c:catAx>
        <c:axId val="43422080"/>
        <c:scaling>
          <c:orientation val="minMax"/>
        </c:scaling>
        <c:delete val="0"/>
        <c:axPos val="b"/>
        <c:numFmt formatCode="General" sourceLinked="1"/>
        <c:majorTickMark val="out"/>
        <c:minorTickMark val="none"/>
        <c:tickLblPos val="nextTo"/>
        <c:crossAx val="43423616"/>
        <c:crosses val="autoZero"/>
        <c:auto val="1"/>
        <c:lblAlgn val="ctr"/>
        <c:lblOffset val="100"/>
        <c:noMultiLvlLbl val="0"/>
      </c:catAx>
      <c:valAx>
        <c:axId val="43423616"/>
        <c:scaling>
          <c:orientation val="minMax"/>
        </c:scaling>
        <c:delete val="0"/>
        <c:axPos val="l"/>
        <c:majorGridlines>
          <c:spPr>
            <a:ln w="3175">
              <a:prstDash val="sysDot"/>
            </a:ln>
          </c:spPr>
        </c:majorGridlines>
        <c:numFmt formatCode="#,##0.00" sourceLinked="1"/>
        <c:majorTickMark val="out"/>
        <c:minorTickMark val="none"/>
        <c:tickLblPos val="nextTo"/>
        <c:crossAx val="43422080"/>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u250kW'!$F$45</c:f>
          <c:strCache>
            <c:ptCount val="1"/>
            <c:pt idx="0">
              <c:v>Income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'Area VIIa nephrops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u250kW'!$D$21:$M$21</c:f>
              <c:numCache>
                <c:formatCode>#,##0.00</c:formatCode>
                <c:ptCount val="10"/>
                <c:pt idx="0">
                  <c:v>3.3815730208336903</c:v>
                </c:pt>
                <c:pt idx="1">
                  <c:v>4.6106861496660425</c:v>
                </c:pt>
                <c:pt idx="2">
                  <c:v>4.6710580396608741</c:v>
                </c:pt>
                <c:pt idx="3">
                  <c:v>5.0469933869661903</c:v>
                </c:pt>
                <c:pt idx="4">
                  <c:v>4.0805702131952781</c:v>
                </c:pt>
                <c:pt idx="5">
                  <c:v>4.3625171895097017</c:v>
                </c:pt>
                <c:pt idx="6">
                  <c:v>6.4200370778627223</c:v>
                </c:pt>
                <c:pt idx="7">
                  <c:v>6.8692745292937332</c:v>
                </c:pt>
                <c:pt idx="8">
                  <c:v>5.6543568400044277</c:v>
                </c:pt>
                <c:pt idx="9">
                  <c:v>5.6662241188106917</c:v>
                </c:pt>
              </c:numCache>
            </c:numRef>
          </c:val>
          <c:smooth val="0"/>
        </c:ser>
        <c:dLbls>
          <c:showLegendKey val="0"/>
          <c:showVal val="0"/>
          <c:showCatName val="0"/>
          <c:showSerName val="0"/>
          <c:showPercent val="0"/>
          <c:showBubbleSize val="0"/>
        </c:dLbls>
        <c:marker val="1"/>
        <c:smooth val="0"/>
        <c:axId val="107712896"/>
        <c:axId val="107714432"/>
      </c:lineChart>
      <c:catAx>
        <c:axId val="107712896"/>
        <c:scaling>
          <c:orientation val="minMax"/>
        </c:scaling>
        <c:delete val="0"/>
        <c:axPos val="b"/>
        <c:numFmt formatCode="General" sourceLinked="1"/>
        <c:majorTickMark val="out"/>
        <c:minorTickMark val="none"/>
        <c:tickLblPos val="nextTo"/>
        <c:crossAx val="107714432"/>
        <c:crosses val="autoZero"/>
        <c:auto val="1"/>
        <c:lblAlgn val="ctr"/>
        <c:lblOffset val="100"/>
        <c:noMultiLvlLbl val="0"/>
      </c:catAx>
      <c:valAx>
        <c:axId val="107714432"/>
        <c:scaling>
          <c:orientation val="minMax"/>
        </c:scaling>
        <c:delete val="0"/>
        <c:axPos val="l"/>
        <c:majorGridlines>
          <c:spPr>
            <a:ln w="3175">
              <a:prstDash val="sysDot"/>
            </a:ln>
          </c:spPr>
        </c:majorGridlines>
        <c:numFmt formatCode="#,##0.00" sourceLinked="1"/>
        <c:majorTickMark val="out"/>
        <c:minorTickMark val="none"/>
        <c:tickLblPos val="nextTo"/>
        <c:crossAx val="107712896"/>
        <c:crosses val="autoZero"/>
        <c:crossBetween val="between"/>
      </c:valAx>
    </c:plotArea>
    <c:plotVisOnly val="1"/>
    <c:dispBlanksAs val="gap"/>
    <c:showDLblsOverMax val="0"/>
  </c:chart>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o250kW'!$K$59</c:f>
          <c:strCache>
            <c:ptCount val="1"/>
            <c:pt idx="0">
              <c:v>Average annual operating profit per vessel (£'000)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'South West beamers o250kW'!$D$2:$M$2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o250kW'!$D$34:$M$34</c:f>
              <c:numCache>
                <c:formatCode>#,##0.0</c:formatCode>
                <c:ptCount val="10"/>
                <c:pt idx="0">
                  <c:v>-28.227061747125749</c:v>
                </c:pt>
                <c:pt idx="1">
                  <c:v>93.807551860551115</c:v>
                </c:pt>
                <c:pt idx="2">
                  <c:v>91.861305621659568</c:v>
                </c:pt>
                <c:pt idx="3">
                  <c:v>-1.8569670247477914</c:v>
                </c:pt>
                <c:pt idx="4">
                  <c:v>28.135536450931145</c:v>
                </c:pt>
                <c:pt idx="5">
                  <c:v>88.945282841673333</c:v>
                </c:pt>
                <c:pt idx="6">
                  <c:v>89.22002329580053</c:v>
                </c:pt>
                <c:pt idx="7">
                  <c:v>32.455583682803564</c:v>
                </c:pt>
                <c:pt idx="8">
                  <c:v>11.897082790731005</c:v>
                </c:pt>
                <c:pt idx="9">
                  <c:v>17.199999933175363</c:v>
                </c:pt>
              </c:numCache>
            </c:numRef>
          </c:val>
          <c:smooth val="0"/>
        </c:ser>
        <c:dLbls>
          <c:showLegendKey val="0"/>
          <c:showVal val="0"/>
          <c:showCatName val="0"/>
          <c:showSerName val="0"/>
          <c:showPercent val="0"/>
          <c:showBubbleSize val="0"/>
        </c:dLbls>
        <c:marker val="1"/>
        <c:smooth val="0"/>
        <c:axId val="108107648"/>
        <c:axId val="108109184"/>
      </c:lineChart>
      <c:catAx>
        <c:axId val="108107648"/>
        <c:scaling>
          <c:orientation val="minMax"/>
        </c:scaling>
        <c:delete val="0"/>
        <c:axPos val="b"/>
        <c:numFmt formatCode="General" sourceLinked="1"/>
        <c:majorTickMark val="out"/>
        <c:minorTickMark val="none"/>
        <c:tickLblPos val="nextTo"/>
        <c:crossAx val="108109184"/>
        <c:crosses val="autoZero"/>
        <c:auto val="1"/>
        <c:lblAlgn val="ctr"/>
        <c:lblOffset val="100"/>
        <c:noMultiLvlLbl val="0"/>
      </c:catAx>
      <c:valAx>
        <c:axId val="108109184"/>
        <c:scaling>
          <c:orientation val="minMax"/>
        </c:scaling>
        <c:delete val="0"/>
        <c:axPos val="l"/>
        <c:majorGridlines>
          <c:spPr>
            <a:ln w="3175">
              <a:prstDash val="sysDot"/>
            </a:ln>
          </c:spPr>
        </c:majorGridlines>
        <c:numFmt formatCode="#,##0.0" sourceLinked="1"/>
        <c:majorTickMark val="out"/>
        <c:minorTickMark val="none"/>
        <c:tickLblPos val="nextTo"/>
        <c:crossAx val="108107648"/>
        <c:crosses val="autoZero"/>
        <c:crossBetween val="between"/>
      </c:valAx>
    </c:plotArea>
    <c:plotVisOnly val="1"/>
    <c:dispBlanksAs val="gap"/>
    <c:showDLblsOverMax val="0"/>
  </c:chart>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o250kW'!$A$73</c:f>
          <c:strCache>
            <c:ptCount val="1"/>
            <c:pt idx="0">
              <c:v>Top 5 landed species by volume in 2013
South West beamers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607A2A"/>
              </a:solidFill>
              <a:ln>
                <a:solidFill>
                  <a:srgbClr val="FFFFFF"/>
                </a:solidFill>
              </a:ln>
            </c:spPr>
          </c:dPt>
          <c:dPt>
            <c:idx val="2"/>
            <c:bubble3D val="0"/>
            <c:spPr>
              <a:solidFill>
                <a:srgbClr val="4B3467"/>
              </a:solidFill>
              <a:ln>
                <a:solidFill>
                  <a:srgbClr val="FFFFFF"/>
                </a:solidFill>
              </a:ln>
            </c:spPr>
          </c:dPt>
          <c:dPt>
            <c:idx val="3"/>
            <c:bubble3D val="0"/>
            <c:spPr>
              <a:solidFill>
                <a:srgbClr val="769535"/>
              </a:solidFill>
              <a:ln>
                <a:solidFill>
                  <a:srgbClr val="FFFFFF"/>
                </a:solidFill>
              </a:ln>
            </c:spPr>
          </c:dPt>
          <c:dPt>
            <c:idx val="4"/>
            <c:bubble3D val="0"/>
            <c:spPr>
              <a:solidFill>
                <a:srgbClr val="A85816"/>
              </a:solidFill>
              <a:ln>
                <a:solidFill>
                  <a:srgbClr val="FFFFFF"/>
                </a:solidFill>
              </a:ln>
            </c:spPr>
          </c:dPt>
          <c:dPt>
            <c:idx val="5"/>
            <c:bubble3D val="0"/>
            <c:spPr>
              <a:solidFill>
                <a:srgbClr val="008000"/>
              </a:solidFill>
              <a:ln>
                <a:solidFill>
                  <a:srgbClr val="FFFFFF"/>
                </a:solidFill>
              </a:ln>
            </c:spPr>
          </c:dPt>
          <c:cat>
            <c:strRef>
              <c:f>'South West beamers o250kW'!$B$74:$B$79</c:f>
              <c:strCache>
                <c:ptCount val="6"/>
                <c:pt idx="0">
                  <c:v>Anglerfish - 22.9%</c:v>
                </c:pt>
                <c:pt idx="1">
                  <c:v>Cuttlefish - 19.1%</c:v>
                </c:pt>
                <c:pt idx="2">
                  <c:v>Megrim - 14.8%</c:v>
                </c:pt>
                <c:pt idx="3">
                  <c:v>Scallops - 7.0%</c:v>
                </c:pt>
                <c:pt idx="4">
                  <c:v>Gurnard and Latchet - 6.2%</c:v>
                </c:pt>
                <c:pt idx="5">
                  <c:v>Others - 29.9%</c:v>
                </c:pt>
              </c:strCache>
            </c:strRef>
          </c:cat>
          <c:val>
            <c:numRef>
              <c:f>'South West beamers o250kW'!$C$74:$C$79</c:f>
              <c:numCache>
                <c:formatCode>0.0%</c:formatCode>
                <c:ptCount val="6"/>
                <c:pt idx="0">
                  <c:v>0.22913995119040989</c:v>
                </c:pt>
                <c:pt idx="1">
                  <c:v>0.19125849402752243</c:v>
                </c:pt>
                <c:pt idx="2">
                  <c:v>0.1482369976763788</c:v>
                </c:pt>
                <c:pt idx="3">
                  <c:v>7.036273261110769E-2</c:v>
                </c:pt>
                <c:pt idx="4">
                  <c:v>6.1867952592001348E-2</c:v>
                </c:pt>
                <c:pt idx="5">
                  <c:v>0.29913387190257978</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o250kW'!$F$73</c:f>
          <c:strCache>
            <c:ptCount val="1"/>
            <c:pt idx="0">
              <c:v>Top 5 landed species by value in 2013
South West beamers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'South West beamers o250kW'!$G$74:$G$79</c:f>
              <c:strCache>
                <c:ptCount val="6"/>
                <c:pt idx="0">
                  <c:v>Anglerfish - 28.1%</c:v>
                </c:pt>
                <c:pt idx="1">
                  <c:v>Sole - 17.2%</c:v>
                </c:pt>
                <c:pt idx="2">
                  <c:v>Cuttlefish - 13.8%</c:v>
                </c:pt>
                <c:pt idx="3">
                  <c:v>Megrim - 11.4%</c:v>
                </c:pt>
                <c:pt idx="4">
                  <c:v>Lemon Sole - 4.3%</c:v>
                </c:pt>
                <c:pt idx="5">
                  <c:v>Others - 25.1%</c:v>
                </c:pt>
              </c:strCache>
            </c:strRef>
          </c:cat>
          <c:val>
            <c:numRef>
              <c:f>'South West beamers o250kW'!$H$74:$H$79</c:f>
              <c:numCache>
                <c:formatCode>0.0%</c:formatCode>
                <c:ptCount val="6"/>
                <c:pt idx="0">
                  <c:v>0.28093808931465047</c:v>
                </c:pt>
                <c:pt idx="1">
                  <c:v>0.17245179385597612</c:v>
                </c:pt>
                <c:pt idx="2">
                  <c:v>0.13813751988065939</c:v>
                </c:pt>
                <c:pt idx="3">
                  <c:v>0.11417901786709722</c:v>
                </c:pt>
                <c:pt idx="4">
                  <c:v>4.3275087098397884E-2</c:v>
                </c:pt>
                <c:pt idx="5">
                  <c:v>0.25101849198321891</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'South West beamers o250kW'!$C$88</c:f>
              <c:strCache>
                <c:ptCount val="1"/>
                <c:pt idx="0">
                  <c:v>Anglerfish</c:v>
                </c:pt>
              </c:strCache>
            </c:strRef>
          </c:tx>
          <c:spPr>
            <a:solidFill>
              <a:srgbClr val="224B7D"/>
            </a:solidFill>
            <a:ln>
              <a:solidFill>
                <a:srgbClr val="FFFFFF"/>
              </a:solidFill>
            </a:ln>
          </c:spPr>
          <c:invertIfNegative val="0"/>
          <c:cat>
            <c:numRef>
              <c:f>'South West beamers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o250kW'!$D$88:$M$88</c:f>
              <c:numCache>
                <c:formatCode>0%</c:formatCode>
                <c:ptCount val="10"/>
                <c:pt idx="0">
                  <c:v>0.17948767101205224</c:v>
                </c:pt>
                <c:pt idx="1">
                  <c:v>0.20377066447977576</c:v>
                </c:pt>
                <c:pt idx="2">
                  <c:v>0.24649764406232838</c:v>
                </c:pt>
                <c:pt idx="3">
                  <c:v>0.24208936371043943</c:v>
                </c:pt>
                <c:pt idx="4">
                  <c:v>0.28061430667015996</c:v>
                </c:pt>
                <c:pt idx="5">
                  <c:v>0.30043004487269315</c:v>
                </c:pt>
                <c:pt idx="6">
                  <c:v>0.27827634020230424</c:v>
                </c:pt>
                <c:pt idx="7">
                  <c:v>0.25211459265480896</c:v>
                </c:pt>
                <c:pt idx="8">
                  <c:v>0.28572977001372657</c:v>
                </c:pt>
                <c:pt idx="9">
                  <c:v>0.27817872940463245</c:v>
                </c:pt>
              </c:numCache>
            </c:numRef>
          </c:val>
        </c:ser>
        <c:ser>
          <c:idx val="1"/>
          <c:order val="1"/>
          <c:tx>
            <c:strRef>
              <c:f>'South West beamers o250kW'!$C$89</c:f>
              <c:strCache>
                <c:ptCount val="1"/>
                <c:pt idx="0">
                  <c:v>Sole</c:v>
                </c:pt>
              </c:strCache>
            </c:strRef>
          </c:tx>
          <c:spPr>
            <a:solidFill>
              <a:srgbClr val="7F2321"/>
            </a:solidFill>
            <a:ln>
              <a:solidFill>
                <a:srgbClr val="FFFFFF"/>
              </a:solidFill>
            </a:ln>
          </c:spPr>
          <c:invertIfNegative val="0"/>
          <c:cat>
            <c:numRef>
              <c:f>'South West beamers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o250kW'!$D$89:$M$89</c:f>
              <c:numCache>
                <c:formatCode>0%</c:formatCode>
                <c:ptCount val="10"/>
                <c:pt idx="0">
                  <c:v>0.24274008226390192</c:v>
                </c:pt>
                <c:pt idx="1">
                  <c:v>0.22662137804839078</c:v>
                </c:pt>
                <c:pt idx="2">
                  <c:v>0.22478287005771111</c:v>
                </c:pt>
                <c:pt idx="3">
                  <c:v>0.22402460425881168</c:v>
                </c:pt>
                <c:pt idx="4">
                  <c:v>0.19189284382271343</c:v>
                </c:pt>
                <c:pt idx="5">
                  <c:v>0.16260822011993953</c:v>
                </c:pt>
                <c:pt idx="6">
                  <c:v>0.15269398362721961</c:v>
                </c:pt>
                <c:pt idx="7">
                  <c:v>0.15743112537599177</c:v>
                </c:pt>
                <c:pt idx="8">
                  <c:v>0.17539313204958515</c:v>
                </c:pt>
                <c:pt idx="9">
                  <c:v>0.17262110693447819</c:v>
                </c:pt>
              </c:numCache>
            </c:numRef>
          </c:val>
        </c:ser>
        <c:ser>
          <c:idx val="2"/>
          <c:order val="2"/>
          <c:tx>
            <c:strRef>
              <c:f>'South West beamers o250kW'!$C$90</c:f>
              <c:strCache>
                <c:ptCount val="1"/>
                <c:pt idx="0">
                  <c:v>Cuttlefish</c:v>
                </c:pt>
              </c:strCache>
            </c:strRef>
          </c:tx>
          <c:spPr>
            <a:solidFill>
              <a:srgbClr val="607A2A"/>
            </a:solidFill>
            <a:ln>
              <a:solidFill>
                <a:srgbClr val="FFFFFF"/>
              </a:solidFill>
            </a:ln>
          </c:spPr>
          <c:invertIfNegative val="0"/>
          <c:cat>
            <c:numRef>
              <c:f>'South West beamers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o250kW'!$D$90:$M$90</c:f>
              <c:numCache>
                <c:formatCode>0%</c:formatCode>
                <c:ptCount val="10"/>
                <c:pt idx="0">
                  <c:v>9.4904613481326561E-2</c:v>
                </c:pt>
                <c:pt idx="1">
                  <c:v>0.14780092386042135</c:v>
                </c:pt>
                <c:pt idx="2">
                  <c:v>0.14186773008805792</c:v>
                </c:pt>
                <c:pt idx="3">
                  <c:v>0.16005409173135907</c:v>
                </c:pt>
                <c:pt idx="4">
                  <c:v>0.11697308135559345</c:v>
                </c:pt>
                <c:pt idx="5">
                  <c:v>0.18899282531826272</c:v>
                </c:pt>
                <c:pt idx="6">
                  <c:v>0.21608280066914259</c:v>
                </c:pt>
                <c:pt idx="7">
                  <c:v>0.23275007320067098</c:v>
                </c:pt>
                <c:pt idx="8">
                  <c:v>0.14049359373823109</c:v>
                </c:pt>
                <c:pt idx="9">
                  <c:v>0.11959200571248335</c:v>
                </c:pt>
              </c:numCache>
            </c:numRef>
          </c:val>
        </c:ser>
        <c:ser>
          <c:idx val="3"/>
          <c:order val="3"/>
          <c:tx>
            <c:strRef>
              <c:f>'South West beamers o250kW'!$C$91</c:f>
              <c:strCache>
                <c:ptCount val="1"/>
                <c:pt idx="0">
                  <c:v>Megrim</c:v>
                </c:pt>
              </c:strCache>
            </c:strRef>
          </c:tx>
          <c:spPr>
            <a:solidFill>
              <a:srgbClr val="4B3467"/>
            </a:solidFill>
            <a:ln>
              <a:solidFill>
                <a:srgbClr val="FFFFFF"/>
              </a:solidFill>
            </a:ln>
          </c:spPr>
          <c:invertIfNegative val="0"/>
          <c:cat>
            <c:numRef>
              <c:f>'South West beamers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o250kW'!$D$91:$M$91</c:f>
              <c:numCache>
                <c:formatCode>0%</c:formatCode>
                <c:ptCount val="10"/>
                <c:pt idx="0">
                  <c:v>0.16126145353544638</c:v>
                </c:pt>
                <c:pt idx="1">
                  <c:v>0.11993003553836072</c:v>
                </c:pt>
                <c:pt idx="2">
                  <c:v>9.2281337832606378E-2</c:v>
                </c:pt>
                <c:pt idx="3">
                  <c:v>8.0026884216759561E-2</c:v>
                </c:pt>
                <c:pt idx="4">
                  <c:v>0.11961971616031798</c:v>
                </c:pt>
                <c:pt idx="5">
                  <c:v>0.10157778925417786</c:v>
                </c:pt>
                <c:pt idx="6">
                  <c:v>9.3697426845349902E-2</c:v>
                </c:pt>
                <c:pt idx="7">
                  <c:v>8.0144487000469361E-2</c:v>
                </c:pt>
                <c:pt idx="8">
                  <c:v>0.11612645545908735</c:v>
                </c:pt>
                <c:pt idx="9">
                  <c:v>0.12858490668669184</c:v>
                </c:pt>
              </c:numCache>
            </c:numRef>
          </c:val>
        </c:ser>
        <c:ser>
          <c:idx val="4"/>
          <c:order val="4"/>
          <c:tx>
            <c:strRef>
              <c:f>'South West beamers o250kW'!$C$92</c:f>
              <c:strCache>
                <c:ptCount val="1"/>
                <c:pt idx="0">
                  <c:v>Lemon Sole</c:v>
                </c:pt>
              </c:strCache>
            </c:strRef>
          </c:tx>
          <c:spPr>
            <a:solidFill>
              <a:srgbClr val="9B2D2A"/>
            </a:solidFill>
            <a:ln>
              <a:solidFill>
                <a:srgbClr val="FFFFFF"/>
              </a:solidFill>
            </a:ln>
          </c:spPr>
          <c:invertIfNegative val="0"/>
          <c:cat>
            <c:numRef>
              <c:f>'South West beamers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o250kW'!$D$92:$M$92</c:f>
              <c:numCache>
                <c:formatCode>0%</c:formatCode>
                <c:ptCount val="10"/>
                <c:pt idx="0">
                  <c:v>6.1344125536923484E-2</c:v>
                </c:pt>
                <c:pt idx="1">
                  <c:v>5.2550987825735453E-2</c:v>
                </c:pt>
                <c:pt idx="2">
                  <c:v>5.2978031311324732E-2</c:v>
                </c:pt>
                <c:pt idx="3">
                  <c:v>4.3240909049482183E-2</c:v>
                </c:pt>
                <c:pt idx="4">
                  <c:v>4.7186430912685449E-2</c:v>
                </c:pt>
                <c:pt idx="5">
                  <c:v>4.3542875815902993E-2</c:v>
                </c:pt>
                <c:pt idx="6">
                  <c:v>4.0342734027852718E-2</c:v>
                </c:pt>
                <c:pt idx="8">
                  <c:v>4.4013187083722365E-2</c:v>
                </c:pt>
                <c:pt idx="9">
                  <c:v>5.1826406234433721E-2</c:v>
                </c:pt>
              </c:numCache>
            </c:numRef>
          </c:val>
        </c:ser>
        <c:ser>
          <c:idx val="5"/>
          <c:order val="5"/>
          <c:tx>
            <c:strRef>
              <c:f>'South West beamers o250kW'!$C$93</c:f>
              <c:strCache>
                <c:ptCount val="1"/>
                <c:pt idx="0">
                  <c:v>Scallops</c:v>
                </c:pt>
              </c:strCache>
            </c:strRef>
          </c:tx>
          <c:spPr>
            <a:solidFill>
              <a:srgbClr val="769535"/>
            </a:solidFill>
            <a:ln>
              <a:solidFill>
                <a:srgbClr val="FFFFFF"/>
              </a:solidFill>
            </a:ln>
          </c:spPr>
          <c:invertIfNegative val="0"/>
          <c:cat>
            <c:numRef>
              <c:f>'South West beamers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o250kW'!$D$93:$M$93</c:f>
              <c:numCache>
                <c:formatCode>0%</c:formatCode>
                <c:ptCount val="10"/>
                <c:pt idx="7">
                  <c:v>4.5414425965453004E-2</c:v>
                </c:pt>
              </c:numCache>
            </c:numRef>
          </c:val>
        </c:ser>
        <c:ser>
          <c:idx val="6"/>
          <c:order val="6"/>
          <c:tx>
            <c:strRef>
              <c:f>'South West beamers o250kW'!$C$94</c:f>
              <c:strCache>
                <c:ptCount val="1"/>
                <c:pt idx="0">
                  <c:v>Others</c:v>
                </c:pt>
              </c:strCache>
            </c:strRef>
          </c:tx>
          <c:spPr>
            <a:solidFill>
              <a:srgbClr val="008000"/>
            </a:solidFill>
            <a:ln>
              <a:solidFill>
                <a:srgbClr val="FFFFFF"/>
              </a:solidFill>
            </a:ln>
          </c:spPr>
          <c:invertIfNegative val="0"/>
          <c:cat>
            <c:numRef>
              <c:f>'South West beamers o250kW'!$D$87:$M$87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o250kW'!$D$94:$M$94</c:f>
              <c:numCache>
                <c:formatCode>0%</c:formatCode>
                <c:ptCount val="10"/>
                <c:pt idx="0">
                  <c:v>0.26026205417034942</c:v>
                </c:pt>
                <c:pt idx="1">
                  <c:v>0.24932601024731596</c:v>
                </c:pt>
                <c:pt idx="2">
                  <c:v>0.24159238664797147</c:v>
                </c:pt>
                <c:pt idx="3">
                  <c:v>0.25056414703314805</c:v>
                </c:pt>
                <c:pt idx="4">
                  <c:v>0.2437136210785297</c:v>
                </c:pt>
                <c:pt idx="5">
                  <c:v>0.20284824461902376</c:v>
                </c:pt>
                <c:pt idx="6">
                  <c:v>0.21890671462813094</c:v>
                </c:pt>
                <c:pt idx="7">
                  <c:v>0.23214529580260593</c:v>
                </c:pt>
                <c:pt idx="8">
                  <c:v>0.23824386165564748</c:v>
                </c:pt>
                <c:pt idx="9">
                  <c:v>0.24919684502728043</c:v>
                </c:pt>
              </c:numCache>
            </c:numRef>
          </c:val>
        </c:ser>
        <c:dLbls>
          <c:showLegendKey val="0"/>
          <c:showVal val="0"/>
          <c:showCatName val="0"/>
          <c:showSerName val="0"/>
          <c:showPercent val="0"/>
          <c:showBubbleSize val="0"/>
        </c:dLbls>
        <c:gapWidth val="150"/>
        <c:overlap val="100"/>
        <c:axId val="136230400"/>
        <c:axId val="136231936"/>
      </c:barChart>
      <c:catAx>
        <c:axId val="136230400"/>
        <c:scaling>
          <c:orientation val="minMax"/>
        </c:scaling>
        <c:delete val="0"/>
        <c:axPos val="b"/>
        <c:numFmt formatCode="General" sourceLinked="1"/>
        <c:majorTickMark val="out"/>
        <c:minorTickMark val="none"/>
        <c:tickLblPos val="nextTo"/>
        <c:crossAx val="136231936"/>
        <c:crosses val="autoZero"/>
        <c:auto val="1"/>
        <c:lblAlgn val="ctr"/>
        <c:lblOffset val="100"/>
        <c:noMultiLvlLbl val="0"/>
      </c:catAx>
      <c:valAx>
        <c:axId val="136231936"/>
        <c:scaling>
          <c:orientation val="minMax"/>
          <c:max val="1"/>
          <c:min val="0"/>
        </c:scaling>
        <c:delete val="0"/>
        <c:axPos val="l"/>
        <c:majorGridlines/>
        <c:numFmt formatCode="0%" sourceLinked="1"/>
        <c:majorTickMark val="out"/>
        <c:minorTickMark val="none"/>
        <c:tickLblPos val="nextTo"/>
        <c:crossAx val="13623040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u250kW'!$A$45</c:f>
          <c:strCache>
            <c:ptCount val="1"/>
            <c:pt idx="0">
              <c:v>Landings per kW day at sea (kg)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'South West beamers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u250kW'!$D$20:$M$20</c:f>
              <c:numCache>
                <c:formatCode>#,##0.00</c:formatCode>
                <c:ptCount val="10"/>
                <c:pt idx="0">
                  <c:v>2.1498041157557153</c:v>
                </c:pt>
                <c:pt idx="1">
                  <c:v>3.0541969579946731</c:v>
                </c:pt>
                <c:pt idx="2">
                  <c:v>2.742008200491882</c:v>
                </c:pt>
                <c:pt idx="3">
                  <c:v>2.7488912646530435</c:v>
                </c:pt>
                <c:pt idx="4">
                  <c:v>2.8615045527187943</c:v>
                </c:pt>
                <c:pt idx="5">
                  <c:v>3.4322476992770192</c:v>
                </c:pt>
                <c:pt idx="6">
                  <c:v>3.7856728329881961</c:v>
                </c:pt>
                <c:pt idx="7">
                  <c:v>4.3327882461999767</c:v>
                </c:pt>
                <c:pt idx="8">
                  <c:v>4.354345631148349</c:v>
                </c:pt>
                <c:pt idx="9">
                  <c:v>4.2068172603732119</c:v>
                </c:pt>
              </c:numCache>
            </c:numRef>
          </c:val>
          <c:smooth val="0"/>
        </c:ser>
        <c:dLbls>
          <c:showLegendKey val="0"/>
          <c:showVal val="0"/>
          <c:showCatName val="0"/>
          <c:showSerName val="0"/>
          <c:showPercent val="0"/>
          <c:showBubbleSize val="0"/>
        </c:dLbls>
        <c:marker val="1"/>
        <c:smooth val="0"/>
        <c:axId val="135619712"/>
        <c:axId val="135621248"/>
      </c:lineChart>
      <c:catAx>
        <c:axId val="135619712"/>
        <c:scaling>
          <c:orientation val="minMax"/>
        </c:scaling>
        <c:delete val="0"/>
        <c:axPos val="b"/>
        <c:numFmt formatCode="General" sourceLinked="1"/>
        <c:majorTickMark val="out"/>
        <c:minorTickMark val="none"/>
        <c:tickLblPos val="nextTo"/>
        <c:crossAx val="135621248"/>
        <c:crosses val="autoZero"/>
        <c:auto val="1"/>
        <c:lblAlgn val="ctr"/>
        <c:lblOffset val="100"/>
        <c:noMultiLvlLbl val="0"/>
      </c:catAx>
      <c:valAx>
        <c:axId val="135621248"/>
        <c:scaling>
          <c:orientation val="minMax"/>
        </c:scaling>
        <c:delete val="0"/>
        <c:axPos val="l"/>
        <c:majorGridlines>
          <c:spPr>
            <a:ln w="3175">
              <a:prstDash val="sysDot"/>
            </a:ln>
          </c:spPr>
        </c:majorGridlines>
        <c:numFmt formatCode="#,##0.00" sourceLinked="1"/>
        <c:majorTickMark val="out"/>
        <c:minorTickMark val="none"/>
        <c:tickLblPos val="nextTo"/>
        <c:crossAx val="135619712"/>
        <c:crosses val="autoZero"/>
        <c:crossBetween val="between"/>
      </c:valAx>
    </c:plotArea>
    <c:plotVisOnly val="1"/>
    <c:dispBlanksAs val="gap"/>
    <c:showDLblsOverMax val="0"/>
  </c:chart>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u250kW'!$F$45</c:f>
          <c:strCache>
            <c:ptCount val="1"/>
            <c:pt idx="0">
              <c:v>Income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'South West beamers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u250kW'!$D$21:$M$21</c:f>
              <c:numCache>
                <c:formatCode>#,##0.00</c:formatCode>
                <c:ptCount val="10"/>
                <c:pt idx="0">
                  <c:v>7.1009319378525682</c:v>
                </c:pt>
                <c:pt idx="1">
                  <c:v>7.6970500104591899</c:v>
                </c:pt>
                <c:pt idx="2">
                  <c:v>7.4575715517242704</c:v>
                </c:pt>
                <c:pt idx="3">
                  <c:v>7.6063558238501079</c:v>
                </c:pt>
                <c:pt idx="4">
                  <c:v>7.9059376466550173</c:v>
                </c:pt>
                <c:pt idx="5">
                  <c:v>9.7355223888368627</c:v>
                </c:pt>
                <c:pt idx="6">
                  <c:v>11.901115143898489</c:v>
                </c:pt>
                <c:pt idx="7">
                  <c:v>11.296420285368937</c:v>
                </c:pt>
                <c:pt idx="8">
                  <c:v>10.988468414568539</c:v>
                </c:pt>
                <c:pt idx="9">
                  <c:v>11.09040684112267</c:v>
                </c:pt>
              </c:numCache>
            </c:numRef>
          </c:val>
          <c:smooth val="0"/>
        </c:ser>
        <c:dLbls>
          <c:showLegendKey val="0"/>
          <c:showVal val="0"/>
          <c:showCatName val="0"/>
          <c:showSerName val="0"/>
          <c:showPercent val="0"/>
          <c:showBubbleSize val="0"/>
        </c:dLbls>
        <c:marker val="1"/>
        <c:smooth val="0"/>
        <c:axId val="136350336"/>
        <c:axId val="136356224"/>
      </c:lineChart>
      <c:catAx>
        <c:axId val="136350336"/>
        <c:scaling>
          <c:orientation val="minMax"/>
        </c:scaling>
        <c:delete val="0"/>
        <c:axPos val="b"/>
        <c:numFmt formatCode="General" sourceLinked="1"/>
        <c:majorTickMark val="out"/>
        <c:minorTickMark val="none"/>
        <c:tickLblPos val="nextTo"/>
        <c:crossAx val="136356224"/>
        <c:crosses val="autoZero"/>
        <c:auto val="1"/>
        <c:lblAlgn val="ctr"/>
        <c:lblOffset val="100"/>
        <c:noMultiLvlLbl val="0"/>
      </c:catAx>
      <c:valAx>
        <c:axId val="136356224"/>
        <c:scaling>
          <c:orientation val="minMax"/>
        </c:scaling>
        <c:delete val="0"/>
        <c:axPos val="l"/>
        <c:majorGridlines>
          <c:spPr>
            <a:ln w="3175">
              <a:prstDash val="sysDot"/>
            </a:ln>
          </c:spPr>
        </c:majorGridlines>
        <c:numFmt formatCode="#,##0.00" sourceLinked="1"/>
        <c:majorTickMark val="out"/>
        <c:minorTickMark val="none"/>
        <c:tickLblPos val="nextTo"/>
        <c:crossAx val="136350336"/>
        <c:crosses val="autoZero"/>
        <c:crossBetween val="between"/>
      </c:valAx>
    </c:plotArea>
    <c:plotVisOnly val="1"/>
    <c:dispBlanksAs val="gap"/>
    <c:showDLblsOverMax val="0"/>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u250kW'!$K$45</c:f>
          <c:strCache>
            <c:ptCount val="1"/>
            <c:pt idx="0">
              <c:v>Operating profit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'South West beamers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u250kW'!$D$23:$M$23</c:f>
              <c:numCache>
                <c:formatCode>#,##0.00</c:formatCode>
                <c:ptCount val="10"/>
                <c:pt idx="0">
                  <c:v>0.80504321016263936</c:v>
                </c:pt>
                <c:pt idx="1">
                  <c:v>0.41934754810380492</c:v>
                </c:pt>
                <c:pt idx="2">
                  <c:v>0.93673271587937046</c:v>
                </c:pt>
                <c:pt idx="3">
                  <c:v>6.0495434611493655E-2</c:v>
                </c:pt>
                <c:pt idx="4">
                  <c:v>0.6655072992795904</c:v>
                </c:pt>
                <c:pt idx="5">
                  <c:v>0.42906068458158725</c:v>
                </c:pt>
                <c:pt idx="6">
                  <c:v>0.46655917574859707</c:v>
                </c:pt>
                <c:pt idx="7">
                  <c:v>1.6669387902018091</c:v>
                </c:pt>
                <c:pt idx="8">
                  <c:v>0.78539848831556491</c:v>
                </c:pt>
                <c:pt idx="9">
                  <c:v>0.90346628824999198</c:v>
                </c:pt>
              </c:numCache>
            </c:numRef>
          </c:val>
          <c:smooth val="0"/>
        </c:ser>
        <c:dLbls>
          <c:showLegendKey val="0"/>
          <c:showVal val="0"/>
          <c:showCatName val="0"/>
          <c:showSerName val="0"/>
          <c:showPercent val="0"/>
          <c:showBubbleSize val="0"/>
        </c:dLbls>
        <c:marker val="1"/>
        <c:smooth val="0"/>
        <c:axId val="135754112"/>
        <c:axId val="135755648"/>
      </c:lineChart>
      <c:catAx>
        <c:axId val="135754112"/>
        <c:scaling>
          <c:orientation val="minMax"/>
        </c:scaling>
        <c:delete val="0"/>
        <c:axPos val="b"/>
        <c:numFmt formatCode="General" sourceLinked="1"/>
        <c:majorTickMark val="out"/>
        <c:minorTickMark val="none"/>
        <c:tickLblPos val="nextTo"/>
        <c:crossAx val="135755648"/>
        <c:crosses val="autoZero"/>
        <c:auto val="1"/>
        <c:lblAlgn val="ctr"/>
        <c:lblOffset val="100"/>
        <c:noMultiLvlLbl val="0"/>
      </c:catAx>
      <c:valAx>
        <c:axId val="135755648"/>
        <c:scaling>
          <c:orientation val="minMax"/>
        </c:scaling>
        <c:delete val="0"/>
        <c:axPos val="l"/>
        <c:majorGridlines>
          <c:spPr>
            <a:ln w="3175">
              <a:prstDash val="sysDot"/>
            </a:ln>
          </c:spPr>
        </c:majorGridlines>
        <c:numFmt formatCode="#,##0.00" sourceLinked="1"/>
        <c:majorTickMark val="out"/>
        <c:minorTickMark val="none"/>
        <c:tickLblPos val="nextTo"/>
        <c:crossAx val="13575411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u250kW'!$B$59</c:f>
          <c:strCache>
            <c:ptCount val="1"/>
            <c:pt idx="0">
              <c:v>Total cost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'South West beamers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u250kW'!$D$22:$M$22</c:f>
              <c:numCache>
                <c:formatCode>#,##0.00</c:formatCode>
                <c:ptCount val="10"/>
                <c:pt idx="0">
                  <c:v>6.295888727689932</c:v>
                </c:pt>
                <c:pt idx="1">
                  <c:v>7.2777024623553848</c:v>
                </c:pt>
                <c:pt idx="2">
                  <c:v>6.5208388358449003</c:v>
                </c:pt>
                <c:pt idx="3">
                  <c:v>7.5458603892386096</c:v>
                </c:pt>
                <c:pt idx="4">
                  <c:v>7.2404303473754315</c:v>
                </c:pt>
                <c:pt idx="5">
                  <c:v>9.3064617042552769</c:v>
                </c:pt>
                <c:pt idx="6">
                  <c:v>11.434555968149908</c:v>
                </c:pt>
                <c:pt idx="7">
                  <c:v>9.6294814951671359</c:v>
                </c:pt>
                <c:pt idx="8">
                  <c:v>10.203069926252983</c:v>
                </c:pt>
                <c:pt idx="9">
                  <c:v>10.186940552872674</c:v>
                </c:pt>
              </c:numCache>
            </c:numRef>
          </c:val>
          <c:smooth val="0"/>
        </c:ser>
        <c:dLbls>
          <c:showLegendKey val="0"/>
          <c:showVal val="0"/>
          <c:showCatName val="0"/>
          <c:showSerName val="0"/>
          <c:showPercent val="0"/>
          <c:showBubbleSize val="0"/>
        </c:dLbls>
        <c:marker val="1"/>
        <c:smooth val="0"/>
        <c:axId val="135792512"/>
        <c:axId val="135794048"/>
      </c:lineChart>
      <c:catAx>
        <c:axId val="135792512"/>
        <c:scaling>
          <c:orientation val="minMax"/>
        </c:scaling>
        <c:delete val="0"/>
        <c:axPos val="b"/>
        <c:numFmt formatCode="General" sourceLinked="1"/>
        <c:majorTickMark val="out"/>
        <c:minorTickMark val="none"/>
        <c:tickLblPos val="nextTo"/>
        <c:crossAx val="135794048"/>
        <c:crosses val="autoZero"/>
        <c:auto val="1"/>
        <c:lblAlgn val="ctr"/>
        <c:lblOffset val="100"/>
        <c:noMultiLvlLbl val="0"/>
      </c:catAx>
      <c:valAx>
        <c:axId val="135794048"/>
        <c:scaling>
          <c:orientation val="minMax"/>
        </c:scaling>
        <c:delete val="0"/>
        <c:axPos val="l"/>
        <c:majorGridlines>
          <c:spPr>
            <a:ln w="3175">
              <a:prstDash val="sysDot"/>
            </a:ln>
          </c:spPr>
        </c:majorGridlines>
        <c:numFmt formatCode="#,##0.00" sourceLinked="1"/>
        <c:majorTickMark val="out"/>
        <c:minorTickMark val="none"/>
        <c:tickLblPos val="nextTo"/>
        <c:crossAx val="135792512"/>
        <c:crosses val="autoZero"/>
        <c:crossBetween val="between"/>
      </c:valAx>
    </c:plotArea>
    <c:plotVisOnly val="1"/>
    <c:dispBlanksAs val="gap"/>
    <c:showDLblsOverMax val="0"/>
  </c:chart>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u250kW'!$F$59</c:f>
          <c:strCache>
            <c:ptCount val="1"/>
            <c:pt idx="0">
              <c:v>Average price per tonne landed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'South West beamers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u250kW'!$D$19:$M$19</c:f>
              <c:numCache>
                <c:formatCode>#,##0</c:formatCode>
                <c:ptCount val="10"/>
                <c:pt idx="0">
                  <c:v>3303.0599791908917</c:v>
                </c:pt>
                <c:pt idx="1">
                  <c:v>2520.1550902967742</c:v>
                </c:pt>
                <c:pt idx="2">
                  <c:v>2719.748128660799</c:v>
                </c:pt>
                <c:pt idx="3">
                  <c:v>2767.0632062539539</c:v>
                </c:pt>
                <c:pt idx="4">
                  <c:v>2762.8604311917193</c:v>
                </c:pt>
                <c:pt idx="5">
                  <c:v>2836.4861256984345</c:v>
                </c:pt>
                <c:pt idx="6">
                  <c:v>3143.7248996027865</c:v>
                </c:pt>
                <c:pt idx="7">
                  <c:v>2607.1940650375009</c:v>
                </c:pt>
                <c:pt idx="8">
                  <c:v>2523.5636153846713</c:v>
                </c:pt>
                <c:pt idx="9">
                  <c:v>2636.2939378400238</c:v>
                </c:pt>
              </c:numCache>
            </c:numRef>
          </c:val>
          <c:smooth val="0"/>
        </c:ser>
        <c:dLbls>
          <c:showLegendKey val="0"/>
          <c:showVal val="0"/>
          <c:showCatName val="0"/>
          <c:showSerName val="0"/>
          <c:showPercent val="0"/>
          <c:showBubbleSize val="0"/>
        </c:dLbls>
        <c:marker val="1"/>
        <c:smooth val="0"/>
        <c:axId val="135806336"/>
        <c:axId val="135824512"/>
      </c:lineChart>
      <c:catAx>
        <c:axId val="135806336"/>
        <c:scaling>
          <c:orientation val="minMax"/>
        </c:scaling>
        <c:delete val="0"/>
        <c:axPos val="b"/>
        <c:numFmt formatCode="General" sourceLinked="1"/>
        <c:majorTickMark val="out"/>
        <c:minorTickMark val="none"/>
        <c:tickLblPos val="nextTo"/>
        <c:crossAx val="135824512"/>
        <c:crosses val="autoZero"/>
        <c:auto val="1"/>
        <c:lblAlgn val="ctr"/>
        <c:lblOffset val="100"/>
        <c:noMultiLvlLbl val="0"/>
      </c:catAx>
      <c:valAx>
        <c:axId val="135824512"/>
        <c:scaling>
          <c:orientation val="minMax"/>
        </c:scaling>
        <c:delete val="0"/>
        <c:axPos val="l"/>
        <c:majorGridlines>
          <c:spPr>
            <a:ln w="3175">
              <a:prstDash val="sysDot"/>
            </a:ln>
          </c:spPr>
        </c:majorGridlines>
        <c:numFmt formatCode="#,##0" sourceLinked="1"/>
        <c:majorTickMark val="out"/>
        <c:minorTickMark val="none"/>
        <c:tickLblPos val="nextTo"/>
        <c:crossAx val="135806336"/>
        <c:crosses val="autoZero"/>
        <c:crossBetween val="between"/>
      </c:valAx>
    </c:plotArea>
    <c:plotVisOnly val="1"/>
    <c:dispBlanksAs val="gap"/>
    <c:showDLblsOverMax val="0"/>
  </c:chart>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u250kW'!$K$59</c:f>
          <c:strCache>
            <c:ptCount val="1"/>
            <c:pt idx="0">
              <c:v>Average annual operating profit per vessel (£'000)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'South West beamers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u250kW'!$D$34:$M$34</c:f>
              <c:numCache>
                <c:formatCode>#,##0.0</c:formatCode>
                <c:ptCount val="10"/>
                <c:pt idx="0">
                  <c:v>40.103577640729085</c:v>
                </c:pt>
                <c:pt idx="1">
                  <c:v>20.46558344241765</c:v>
                </c:pt>
                <c:pt idx="2">
                  <c:v>42.536338898710461</c:v>
                </c:pt>
                <c:pt idx="3">
                  <c:v>2.9180910388893864</c:v>
                </c:pt>
                <c:pt idx="4">
                  <c:v>31.111410498625787</c:v>
                </c:pt>
                <c:pt idx="5">
                  <c:v>22.701515704360141</c:v>
                </c:pt>
                <c:pt idx="6">
                  <c:v>21.853679827512376</c:v>
                </c:pt>
                <c:pt idx="7">
                  <c:v>88.866479131485946</c:v>
                </c:pt>
                <c:pt idx="8">
                  <c:v>42.377212254587306</c:v>
                </c:pt>
                <c:pt idx="9">
                  <c:v>45.999999821282955</c:v>
                </c:pt>
              </c:numCache>
            </c:numRef>
          </c:val>
          <c:smooth val="0"/>
        </c:ser>
        <c:dLbls>
          <c:showLegendKey val="0"/>
          <c:showVal val="0"/>
          <c:showCatName val="0"/>
          <c:showSerName val="0"/>
          <c:showPercent val="0"/>
          <c:showBubbleSize val="0"/>
        </c:dLbls>
        <c:marker val="1"/>
        <c:smooth val="0"/>
        <c:axId val="135849088"/>
        <c:axId val="135850624"/>
      </c:lineChart>
      <c:catAx>
        <c:axId val="135849088"/>
        <c:scaling>
          <c:orientation val="minMax"/>
        </c:scaling>
        <c:delete val="0"/>
        <c:axPos val="b"/>
        <c:numFmt formatCode="General" sourceLinked="1"/>
        <c:majorTickMark val="out"/>
        <c:minorTickMark val="none"/>
        <c:tickLblPos val="nextTo"/>
        <c:crossAx val="135850624"/>
        <c:crosses val="autoZero"/>
        <c:auto val="1"/>
        <c:lblAlgn val="ctr"/>
        <c:lblOffset val="100"/>
        <c:noMultiLvlLbl val="0"/>
      </c:catAx>
      <c:valAx>
        <c:axId val="135850624"/>
        <c:scaling>
          <c:orientation val="minMax"/>
        </c:scaling>
        <c:delete val="0"/>
        <c:axPos val="l"/>
        <c:majorGridlines>
          <c:spPr>
            <a:ln w="3175">
              <a:prstDash val="sysDot"/>
            </a:ln>
          </c:spPr>
        </c:majorGridlines>
        <c:numFmt formatCode="#,##0.0" sourceLinked="1"/>
        <c:majorTickMark val="out"/>
        <c:minorTickMark val="none"/>
        <c:tickLblPos val="nextTo"/>
        <c:crossAx val="135849088"/>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u250kW'!$K$45</c:f>
          <c:strCache>
            <c:ptCount val="1"/>
            <c:pt idx="0">
              <c:v>Operating profit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'Area VIIa nephrops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u250kW'!$D$23:$M$23</c:f>
              <c:numCache>
                <c:formatCode>#,##0.00</c:formatCode>
                <c:ptCount val="10"/>
                <c:pt idx="0">
                  <c:v>0.83461613218809572</c:v>
                </c:pt>
                <c:pt idx="1">
                  <c:v>0.78251907463736192</c:v>
                </c:pt>
                <c:pt idx="2">
                  <c:v>0.95531287341781612</c:v>
                </c:pt>
                <c:pt idx="3">
                  <c:v>1.0784575263089353</c:v>
                </c:pt>
                <c:pt idx="4">
                  <c:v>0.71106243851602247</c:v>
                </c:pt>
                <c:pt idx="5">
                  <c:v>0.76047416923665434</c:v>
                </c:pt>
                <c:pt idx="6">
                  <c:v>1.5748693124693394</c:v>
                </c:pt>
                <c:pt idx="7">
                  <c:v>1.5914775312373683</c:v>
                </c:pt>
                <c:pt idx="8">
                  <c:v>1.392294290192549</c:v>
                </c:pt>
                <c:pt idx="9">
                  <c:v>1.4648826386887166</c:v>
                </c:pt>
              </c:numCache>
            </c:numRef>
          </c:val>
          <c:smooth val="0"/>
        </c:ser>
        <c:dLbls>
          <c:showLegendKey val="0"/>
          <c:showVal val="0"/>
          <c:showCatName val="0"/>
          <c:showSerName val="0"/>
          <c:showPercent val="0"/>
          <c:showBubbleSize val="0"/>
        </c:dLbls>
        <c:marker val="1"/>
        <c:smooth val="0"/>
        <c:axId val="107808640"/>
        <c:axId val="107810176"/>
      </c:lineChart>
      <c:catAx>
        <c:axId val="107808640"/>
        <c:scaling>
          <c:orientation val="minMax"/>
        </c:scaling>
        <c:delete val="0"/>
        <c:axPos val="b"/>
        <c:numFmt formatCode="General" sourceLinked="1"/>
        <c:majorTickMark val="out"/>
        <c:minorTickMark val="none"/>
        <c:tickLblPos val="nextTo"/>
        <c:crossAx val="107810176"/>
        <c:crosses val="autoZero"/>
        <c:auto val="1"/>
        <c:lblAlgn val="ctr"/>
        <c:lblOffset val="100"/>
        <c:noMultiLvlLbl val="0"/>
      </c:catAx>
      <c:valAx>
        <c:axId val="107810176"/>
        <c:scaling>
          <c:orientation val="minMax"/>
        </c:scaling>
        <c:delete val="0"/>
        <c:axPos val="l"/>
        <c:majorGridlines>
          <c:spPr>
            <a:ln w="3175">
              <a:prstDash val="sysDot"/>
            </a:ln>
          </c:spPr>
        </c:majorGridlines>
        <c:numFmt formatCode="#,##0.00" sourceLinked="1"/>
        <c:majorTickMark val="out"/>
        <c:minorTickMark val="none"/>
        <c:tickLblPos val="nextTo"/>
        <c:crossAx val="10780864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u250kW'!$A$73</c:f>
          <c:strCache>
            <c:ptCount val="1"/>
            <c:pt idx="0">
              <c:v>Top 5 landed species by volume in 2013
South West beamers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7F2321"/>
              </a:solidFill>
              <a:ln>
                <a:solidFill>
                  <a:srgbClr val="FFFFFF"/>
                </a:solidFill>
              </a:ln>
            </c:spPr>
          </c:dPt>
          <c:dPt>
            <c:idx val="1"/>
            <c:bubble3D val="0"/>
            <c:spPr>
              <a:solidFill>
                <a:srgbClr val="607A2A"/>
              </a:solidFill>
              <a:ln>
                <a:solidFill>
                  <a:srgbClr val="FFFFFF"/>
                </a:solidFill>
              </a:ln>
            </c:spPr>
          </c:dPt>
          <c:dPt>
            <c:idx val="2"/>
            <c:bubble3D val="0"/>
            <c:spPr>
              <a:solidFill>
                <a:srgbClr val="9B2D2A"/>
              </a:solidFill>
              <a:ln>
                <a:solidFill>
                  <a:srgbClr val="FFFFFF"/>
                </a:solidFill>
              </a:ln>
            </c:spPr>
          </c:dPt>
          <c:dPt>
            <c:idx val="3"/>
            <c:bubble3D val="0"/>
            <c:spPr>
              <a:solidFill>
                <a:srgbClr val="769535"/>
              </a:solidFill>
              <a:ln>
                <a:solidFill>
                  <a:srgbClr val="FFFFFF"/>
                </a:solidFill>
              </a:ln>
            </c:spPr>
          </c:dPt>
          <c:dPt>
            <c:idx val="4"/>
            <c:bubble3D val="0"/>
            <c:spPr>
              <a:solidFill>
                <a:srgbClr val="4B3467"/>
              </a:solidFill>
              <a:ln>
                <a:solidFill>
                  <a:srgbClr val="FFFFFF"/>
                </a:solidFill>
              </a:ln>
            </c:spPr>
          </c:dPt>
          <c:dPt>
            <c:idx val="5"/>
            <c:bubble3D val="0"/>
            <c:spPr>
              <a:solidFill>
                <a:srgbClr val="008000"/>
              </a:solidFill>
              <a:ln>
                <a:solidFill>
                  <a:srgbClr val="FFFFFF"/>
                </a:solidFill>
              </a:ln>
            </c:spPr>
          </c:dPt>
          <c:cat>
            <c:strRef>
              <c:f>'South West beamers u250kW'!$B$74:$B$79</c:f>
              <c:strCache>
                <c:ptCount val="6"/>
                <c:pt idx="0">
                  <c:v>Cuttlefish - 24.7%</c:v>
                </c:pt>
                <c:pt idx="1">
                  <c:v>Anglerfish - 13.4%</c:v>
                </c:pt>
                <c:pt idx="2">
                  <c:v>Plaice - 11.0%</c:v>
                </c:pt>
                <c:pt idx="3">
                  <c:v>Gurnard and Latchet - 9.0%</c:v>
                </c:pt>
                <c:pt idx="4">
                  <c:v>Scallops - 8.8%</c:v>
                </c:pt>
                <c:pt idx="5">
                  <c:v>Others - 33.2%</c:v>
                </c:pt>
              </c:strCache>
            </c:strRef>
          </c:cat>
          <c:val>
            <c:numRef>
              <c:f>'South West beamers u250kW'!$C$74:$C$79</c:f>
              <c:numCache>
                <c:formatCode>0.0%</c:formatCode>
                <c:ptCount val="6"/>
                <c:pt idx="0">
                  <c:v>0.24680415487951768</c:v>
                </c:pt>
                <c:pt idx="1">
                  <c:v>0.1335699965664216</c:v>
                </c:pt>
                <c:pt idx="2">
                  <c:v>0.10988257053690148</c:v>
                </c:pt>
                <c:pt idx="3">
                  <c:v>8.9675356244161217E-2</c:v>
                </c:pt>
                <c:pt idx="4">
                  <c:v>8.815770793412922E-2</c:v>
                </c:pt>
                <c:pt idx="5">
                  <c:v>0.33191021383886876</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u250kW'!$F$73</c:f>
          <c:strCache>
            <c:ptCount val="1"/>
            <c:pt idx="0">
              <c:v>Top 5 landed species by value in 2013
South West beamers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'South West beamers u250kW'!$G$74:$G$79</c:f>
              <c:strCache>
                <c:ptCount val="6"/>
                <c:pt idx="0">
                  <c:v>Sole - 29.6%</c:v>
                </c:pt>
                <c:pt idx="1">
                  <c:v>Cuttlefish - 17.4%</c:v>
                </c:pt>
                <c:pt idx="2">
                  <c:v>Anglerfish - 15.7%</c:v>
                </c:pt>
                <c:pt idx="3">
                  <c:v>Scallops - 5.7%</c:v>
                </c:pt>
                <c:pt idx="4">
                  <c:v>Plaice - 5.1%</c:v>
                </c:pt>
                <c:pt idx="5">
                  <c:v>Others - 26.5%</c:v>
                </c:pt>
              </c:strCache>
            </c:strRef>
          </c:cat>
          <c:val>
            <c:numRef>
              <c:f>'South West beamers u250kW'!$H$74:$H$79</c:f>
              <c:numCache>
                <c:formatCode>0.0%</c:formatCode>
                <c:ptCount val="6"/>
                <c:pt idx="0">
                  <c:v>0.29606675666061577</c:v>
                </c:pt>
                <c:pt idx="1">
                  <c:v>0.17362668863990519</c:v>
                </c:pt>
                <c:pt idx="2">
                  <c:v>0.15728838102594297</c:v>
                </c:pt>
                <c:pt idx="3">
                  <c:v>5.6955986046311802E-2</c:v>
                </c:pt>
                <c:pt idx="4">
                  <c:v>5.1237277907260195E-2</c:v>
                </c:pt>
                <c:pt idx="5">
                  <c:v>0.26482490971996409</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'South West beamers u250kW'!$C$88</c:f>
              <c:strCache>
                <c:ptCount val="1"/>
                <c:pt idx="0">
                  <c:v>Sole</c:v>
                </c:pt>
              </c:strCache>
            </c:strRef>
          </c:tx>
          <c:spPr>
            <a:solidFill>
              <a:srgbClr val="224B7D"/>
            </a:solidFill>
            <a:ln>
              <a:solidFill>
                <a:srgbClr val="FFFFFF"/>
              </a:solidFill>
            </a:ln>
          </c:spPr>
          <c:invertIfNegative val="0"/>
          <c:cat>
            <c:numRef>
              <c:f>'South West beamers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u250kW'!$D$88:$M$88</c:f>
              <c:numCache>
                <c:formatCode>0%</c:formatCode>
                <c:ptCount val="10"/>
                <c:pt idx="0">
                  <c:v>0.58422114816597326</c:v>
                </c:pt>
                <c:pt idx="1">
                  <c:v>0.64164787327845607</c:v>
                </c:pt>
                <c:pt idx="2">
                  <c:v>0.57598534238176813</c:v>
                </c:pt>
                <c:pt idx="3">
                  <c:v>0.48184982715416158</c:v>
                </c:pt>
                <c:pt idx="4">
                  <c:v>0.4529425601273816</c:v>
                </c:pt>
                <c:pt idx="5">
                  <c:v>0.40199757290121696</c:v>
                </c:pt>
                <c:pt idx="6">
                  <c:v>0.33226175382802625</c:v>
                </c:pt>
                <c:pt idx="7">
                  <c:v>0.29618205986184509</c:v>
                </c:pt>
                <c:pt idx="8">
                  <c:v>0.301116473220777</c:v>
                </c:pt>
                <c:pt idx="9">
                  <c:v>0.31139527434238129</c:v>
                </c:pt>
              </c:numCache>
            </c:numRef>
          </c:val>
        </c:ser>
        <c:ser>
          <c:idx val="1"/>
          <c:order val="1"/>
          <c:tx>
            <c:strRef>
              <c:f>'South West beamers u250kW'!$C$89</c:f>
              <c:strCache>
                <c:ptCount val="1"/>
                <c:pt idx="0">
                  <c:v>Cuttlefish</c:v>
                </c:pt>
              </c:strCache>
            </c:strRef>
          </c:tx>
          <c:spPr>
            <a:solidFill>
              <a:srgbClr val="7F2321"/>
            </a:solidFill>
            <a:ln>
              <a:solidFill>
                <a:srgbClr val="FFFFFF"/>
              </a:solidFill>
            </a:ln>
          </c:spPr>
          <c:invertIfNegative val="0"/>
          <c:cat>
            <c:numRef>
              <c:f>'South West beamers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u250kW'!$D$89:$M$89</c:f>
              <c:numCache>
                <c:formatCode>0%</c:formatCode>
                <c:ptCount val="10"/>
                <c:pt idx="1">
                  <c:v>2.9033772396690721E-2</c:v>
                </c:pt>
                <c:pt idx="2">
                  <c:v>6.1326023058018E-2</c:v>
                </c:pt>
                <c:pt idx="3">
                  <c:v>8.2962048064228522E-2</c:v>
                </c:pt>
                <c:pt idx="4">
                  <c:v>8.0895378122195133E-2</c:v>
                </c:pt>
                <c:pt idx="5">
                  <c:v>0.13992956092739323</c:v>
                </c:pt>
                <c:pt idx="6">
                  <c:v>0.18711437887891114</c:v>
                </c:pt>
                <c:pt idx="7">
                  <c:v>0.22727195377357787</c:v>
                </c:pt>
                <c:pt idx="8">
                  <c:v>0.17658806658993259</c:v>
                </c:pt>
                <c:pt idx="9">
                  <c:v>0.13066580187768617</c:v>
                </c:pt>
              </c:numCache>
            </c:numRef>
          </c:val>
        </c:ser>
        <c:ser>
          <c:idx val="2"/>
          <c:order val="2"/>
          <c:tx>
            <c:strRef>
              <c:f>'South West beamers u250kW'!$C$90</c:f>
              <c:strCache>
                <c:ptCount val="1"/>
                <c:pt idx="0">
                  <c:v>Anglerfish</c:v>
                </c:pt>
              </c:strCache>
            </c:strRef>
          </c:tx>
          <c:spPr>
            <a:solidFill>
              <a:srgbClr val="607A2A"/>
            </a:solidFill>
            <a:ln>
              <a:solidFill>
                <a:srgbClr val="FFFFFF"/>
              </a:solidFill>
            </a:ln>
          </c:spPr>
          <c:invertIfNegative val="0"/>
          <c:cat>
            <c:numRef>
              <c:f>'South West beamers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u250kW'!$D$90:$M$90</c:f>
              <c:numCache>
                <c:formatCode>0%</c:formatCode>
                <c:ptCount val="10"/>
                <c:pt idx="2">
                  <c:v>4.1703593320304204E-2</c:v>
                </c:pt>
                <c:pt idx="3">
                  <c:v>8.3720079270321907E-2</c:v>
                </c:pt>
                <c:pt idx="4">
                  <c:v>9.5891412526347045E-2</c:v>
                </c:pt>
                <c:pt idx="5">
                  <c:v>0.12707362438395228</c:v>
                </c:pt>
                <c:pt idx="6">
                  <c:v>0.14828701859492394</c:v>
                </c:pt>
                <c:pt idx="7">
                  <c:v>0.14484610231630807</c:v>
                </c:pt>
                <c:pt idx="8">
                  <c:v>0.15997109269322454</c:v>
                </c:pt>
                <c:pt idx="9">
                  <c:v>0.15454733826382649</c:v>
                </c:pt>
              </c:numCache>
            </c:numRef>
          </c:val>
        </c:ser>
        <c:ser>
          <c:idx val="3"/>
          <c:order val="3"/>
          <c:tx>
            <c:strRef>
              <c:f>'South West beamers u250kW'!$C$91</c:f>
              <c:strCache>
                <c:ptCount val="1"/>
                <c:pt idx="0">
                  <c:v>Scallops</c:v>
                </c:pt>
              </c:strCache>
            </c:strRef>
          </c:tx>
          <c:spPr>
            <a:solidFill>
              <a:srgbClr val="4B3467"/>
            </a:solidFill>
            <a:ln>
              <a:solidFill>
                <a:srgbClr val="FFFFFF"/>
              </a:solidFill>
            </a:ln>
          </c:spPr>
          <c:invertIfNegative val="0"/>
          <c:cat>
            <c:numRef>
              <c:f>'South West beamers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u250kW'!$D$91:$M$91</c:f>
              <c:numCache>
                <c:formatCode>0%</c:formatCode>
                <c:ptCount val="10"/>
                <c:pt idx="0">
                  <c:v>4.8280167357745124E-2</c:v>
                </c:pt>
                <c:pt idx="1">
                  <c:v>3.8301815754963393E-2</c:v>
                </c:pt>
                <c:pt idx="3">
                  <c:v>5.9188993121490244E-2</c:v>
                </c:pt>
                <c:pt idx="4">
                  <c:v>5.5183218713550489E-2</c:v>
                </c:pt>
                <c:pt idx="5">
                  <c:v>7.410924732822162E-2</c:v>
                </c:pt>
                <c:pt idx="6">
                  <c:v>4.7243865310277432E-2</c:v>
                </c:pt>
                <c:pt idx="8">
                  <c:v>5.7927427721096186E-2</c:v>
                </c:pt>
                <c:pt idx="9">
                  <c:v>7.9308592941671183E-2</c:v>
                </c:pt>
              </c:numCache>
            </c:numRef>
          </c:val>
        </c:ser>
        <c:ser>
          <c:idx val="4"/>
          <c:order val="4"/>
          <c:tx>
            <c:strRef>
              <c:f>'South West beamers u250kW'!$C$92</c:f>
              <c:strCache>
                <c:ptCount val="1"/>
                <c:pt idx="0">
                  <c:v>Plaice</c:v>
                </c:pt>
              </c:strCache>
            </c:strRef>
          </c:tx>
          <c:spPr>
            <a:solidFill>
              <a:srgbClr val="9B2D2A"/>
            </a:solidFill>
            <a:ln>
              <a:solidFill>
                <a:srgbClr val="FFFFFF"/>
              </a:solidFill>
            </a:ln>
          </c:spPr>
          <c:invertIfNegative val="0"/>
          <c:cat>
            <c:numRef>
              <c:f>'South West beamers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u250kW'!$D$92:$M$92</c:f>
              <c:numCache>
                <c:formatCode>0%</c:formatCode>
                <c:ptCount val="10"/>
                <c:pt idx="0">
                  <c:v>0.10229700901856502</c:v>
                </c:pt>
                <c:pt idx="1">
                  <c:v>0.10517032691925934</c:v>
                </c:pt>
                <c:pt idx="2">
                  <c:v>8.0334757182845717E-2</c:v>
                </c:pt>
                <c:pt idx="3">
                  <c:v>8.3294904391021413E-2</c:v>
                </c:pt>
                <c:pt idx="4">
                  <c:v>8.2864574794085655E-2</c:v>
                </c:pt>
                <c:pt idx="5">
                  <c:v>6.6534699991865329E-2</c:v>
                </c:pt>
                <c:pt idx="6">
                  <c:v>6.0446343331875603E-2</c:v>
                </c:pt>
                <c:pt idx="7">
                  <c:v>5.3265657682062387E-2</c:v>
                </c:pt>
                <c:pt idx="8">
                  <c:v>5.2111181258194195E-2</c:v>
                </c:pt>
              </c:numCache>
            </c:numRef>
          </c:val>
        </c:ser>
        <c:ser>
          <c:idx val="5"/>
          <c:order val="5"/>
          <c:tx>
            <c:strRef>
              <c:f>'South West beamers u250kW'!$C$93</c:f>
              <c:strCache>
                <c:ptCount val="1"/>
                <c:pt idx="0">
                  <c:v>Lemon Sole</c:v>
                </c:pt>
              </c:strCache>
            </c:strRef>
          </c:tx>
          <c:spPr>
            <a:solidFill>
              <a:srgbClr val="769535"/>
            </a:solidFill>
            <a:ln>
              <a:solidFill>
                <a:srgbClr val="FFFFFF"/>
              </a:solidFill>
            </a:ln>
          </c:spPr>
          <c:invertIfNegative val="0"/>
          <c:cat>
            <c:numRef>
              <c:f>'South West beamers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u250kW'!$D$93:$M$93</c:f>
              <c:numCache>
                <c:formatCode>0%</c:formatCode>
                <c:ptCount val="10"/>
                <c:pt idx="0">
                  <c:v>5.9640258662726993E-2</c:v>
                </c:pt>
                <c:pt idx="1">
                  <c:v>4.6247844508056961E-2</c:v>
                </c:pt>
                <c:pt idx="2">
                  <c:v>5.5334879661458225E-2</c:v>
                </c:pt>
                <c:pt idx="7">
                  <c:v>4.2328655440737578E-2</c:v>
                </c:pt>
                <c:pt idx="9">
                  <c:v>6.1401092694910286E-2</c:v>
                </c:pt>
              </c:numCache>
            </c:numRef>
          </c:val>
        </c:ser>
        <c:ser>
          <c:idx val="6"/>
          <c:order val="6"/>
          <c:tx>
            <c:strRef>
              <c:f>'South West beamers u250kW'!$C$94</c:f>
              <c:strCache>
                <c:ptCount val="1"/>
                <c:pt idx="0">
                  <c:v>Brill</c:v>
                </c:pt>
              </c:strCache>
            </c:strRef>
          </c:tx>
          <c:spPr>
            <a:solidFill>
              <a:srgbClr val="A85816"/>
            </a:solidFill>
            <a:ln>
              <a:solidFill>
                <a:srgbClr val="FFFFFF"/>
              </a:solidFill>
            </a:ln>
          </c:spPr>
          <c:invertIfNegative val="0"/>
          <c:cat>
            <c:numRef>
              <c:f>'South West beamers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u250kW'!$D$94:$M$94</c:f>
              <c:numCache>
                <c:formatCode>0%</c:formatCode>
                <c:ptCount val="10"/>
                <c:pt idx="0">
                  <c:v>3.1966081534840346E-2</c:v>
                </c:pt>
              </c:numCache>
            </c:numRef>
          </c:val>
        </c:ser>
        <c:ser>
          <c:idx val="7"/>
          <c:order val="7"/>
          <c:tx>
            <c:strRef>
              <c:f>'South West beamers u250kW'!$C$95</c:f>
              <c:strCache>
                <c:ptCount val="1"/>
                <c:pt idx="0">
                  <c:v>Others</c:v>
                </c:pt>
              </c:strCache>
            </c:strRef>
          </c:tx>
          <c:spPr>
            <a:solidFill>
              <a:srgbClr val="008000"/>
            </a:solidFill>
            <a:ln>
              <a:solidFill>
                <a:srgbClr val="FFFFFF"/>
              </a:solidFill>
            </a:ln>
          </c:spPr>
          <c:invertIfNegative val="0"/>
          <c:cat>
            <c:numRef>
              <c:f>'South West beamers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'South West beamers u250kW'!$D$95:$M$95</c:f>
              <c:numCache>
                <c:formatCode>0%</c:formatCode>
                <c:ptCount val="10"/>
                <c:pt idx="0">
                  <c:v>0.17359533526014928</c:v>
                </c:pt>
                <c:pt idx="1">
                  <c:v>0.13959836714257357</c:v>
                </c:pt>
                <c:pt idx="2">
                  <c:v>0.18531540439560576</c:v>
                </c:pt>
                <c:pt idx="3">
                  <c:v>0.20898414799877635</c:v>
                </c:pt>
                <c:pt idx="4">
                  <c:v>0.23222285571644011</c:v>
                </c:pt>
                <c:pt idx="5">
                  <c:v>0.19035529446735056</c:v>
                </c:pt>
                <c:pt idx="6">
                  <c:v>0.22464664005598561</c:v>
                </c:pt>
                <c:pt idx="7">
                  <c:v>0.23610557092546899</c:v>
                </c:pt>
                <c:pt idx="8">
                  <c:v>0.25228575851677548</c:v>
                </c:pt>
                <c:pt idx="9">
                  <c:v>0.26268189987952456</c:v>
                </c:pt>
              </c:numCache>
            </c:numRef>
          </c:val>
        </c:ser>
        <c:dLbls>
          <c:showLegendKey val="0"/>
          <c:showVal val="0"/>
          <c:showCatName val="0"/>
          <c:showSerName val="0"/>
          <c:showPercent val="0"/>
          <c:showBubbleSize val="0"/>
        </c:dLbls>
        <c:gapWidth val="150"/>
        <c:overlap val="100"/>
        <c:axId val="136488448"/>
        <c:axId val="136489984"/>
      </c:barChart>
      <c:catAx>
        <c:axId val="136488448"/>
        <c:scaling>
          <c:orientation val="minMax"/>
        </c:scaling>
        <c:delete val="0"/>
        <c:axPos val="b"/>
        <c:numFmt formatCode="General" sourceLinked="1"/>
        <c:majorTickMark val="out"/>
        <c:minorTickMark val="none"/>
        <c:tickLblPos val="nextTo"/>
        <c:crossAx val="136489984"/>
        <c:crosses val="autoZero"/>
        <c:auto val="1"/>
        <c:lblAlgn val="ctr"/>
        <c:lblOffset val="100"/>
        <c:noMultiLvlLbl val="0"/>
      </c:catAx>
      <c:valAx>
        <c:axId val="136489984"/>
        <c:scaling>
          <c:orientation val="minMax"/>
          <c:max val="1"/>
          <c:min val="0"/>
        </c:scaling>
        <c:delete val="0"/>
        <c:axPos val="l"/>
        <c:majorGridlines/>
        <c:numFmt formatCode="0%" sourceLinked="1"/>
        <c:majorTickMark val="out"/>
        <c:minorTickMark val="none"/>
        <c:tickLblPos val="nextTo"/>
        <c:crossAx val="136488448"/>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15m'!$A$45</c:f>
          <c:strCache>
            <c:ptCount val="1"/>
            <c:pt idx="0">
              <c:v>Landings per kW day at sea (kg)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'UK scallop dredge over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15m'!$D$20:$M$20</c:f>
              <c:numCache>
                <c:formatCode>#,##0.00</c:formatCode>
                <c:ptCount val="10"/>
                <c:pt idx="0">
                  <c:v>3.4444058452917972</c:v>
                </c:pt>
                <c:pt idx="1">
                  <c:v>3.3712528109552697</c:v>
                </c:pt>
                <c:pt idx="2">
                  <c:v>3.7243842251652746</c:v>
                </c:pt>
                <c:pt idx="3">
                  <c:v>3.985102837413399</c:v>
                </c:pt>
                <c:pt idx="4">
                  <c:v>4.5144944299261711</c:v>
                </c:pt>
                <c:pt idx="5">
                  <c:v>4.958012221453167</c:v>
                </c:pt>
                <c:pt idx="6">
                  <c:v>6.6362854546825405</c:v>
                </c:pt>
                <c:pt idx="7">
                  <c:v>6.6024260008663402</c:v>
                </c:pt>
                <c:pt idx="8">
                  <c:v>5.3110190607456405</c:v>
                </c:pt>
                <c:pt idx="9">
                  <c:v>4.1098179193348354</c:v>
                </c:pt>
              </c:numCache>
            </c:numRef>
          </c:val>
          <c:smooth val="0"/>
        </c:ser>
        <c:dLbls>
          <c:showLegendKey val="0"/>
          <c:showVal val="0"/>
          <c:showCatName val="0"/>
          <c:showSerName val="0"/>
          <c:showPercent val="0"/>
          <c:showBubbleSize val="0"/>
        </c:dLbls>
        <c:marker val="1"/>
        <c:smooth val="0"/>
        <c:axId val="137061504"/>
        <c:axId val="137063040"/>
      </c:lineChart>
      <c:catAx>
        <c:axId val="137061504"/>
        <c:scaling>
          <c:orientation val="minMax"/>
        </c:scaling>
        <c:delete val="0"/>
        <c:axPos val="b"/>
        <c:numFmt formatCode="General" sourceLinked="1"/>
        <c:majorTickMark val="out"/>
        <c:minorTickMark val="none"/>
        <c:tickLblPos val="nextTo"/>
        <c:crossAx val="137063040"/>
        <c:crosses val="autoZero"/>
        <c:auto val="1"/>
        <c:lblAlgn val="ctr"/>
        <c:lblOffset val="100"/>
        <c:noMultiLvlLbl val="0"/>
      </c:catAx>
      <c:valAx>
        <c:axId val="137063040"/>
        <c:scaling>
          <c:orientation val="minMax"/>
        </c:scaling>
        <c:delete val="0"/>
        <c:axPos val="l"/>
        <c:majorGridlines>
          <c:spPr>
            <a:ln w="3175">
              <a:prstDash val="sysDot"/>
            </a:ln>
          </c:spPr>
        </c:majorGridlines>
        <c:numFmt formatCode="#,##0.00" sourceLinked="1"/>
        <c:majorTickMark val="out"/>
        <c:minorTickMark val="none"/>
        <c:tickLblPos val="nextTo"/>
        <c:crossAx val="137061504"/>
        <c:crosses val="autoZero"/>
        <c:crossBetween val="between"/>
      </c:valAx>
    </c:plotArea>
    <c:plotVisOnly val="1"/>
    <c:dispBlanksAs val="gap"/>
    <c:showDLblsOverMax val="0"/>
  </c:chart>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15m'!$F$45</c:f>
          <c:strCache>
            <c:ptCount val="1"/>
            <c:pt idx="0">
              <c:v>Income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'UK scallop dredge over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15m'!$D$21:$M$21</c:f>
              <c:numCache>
                <c:formatCode>#,##0.00</c:formatCode>
                <c:ptCount val="10"/>
                <c:pt idx="0">
                  <c:v>4.522839725902033</c:v>
                </c:pt>
                <c:pt idx="1">
                  <c:v>5.0200220658482237</c:v>
                </c:pt>
                <c:pt idx="2">
                  <c:v>5.4826995834977925</c:v>
                </c:pt>
                <c:pt idx="3">
                  <c:v>5.9841263717372524</c:v>
                </c:pt>
                <c:pt idx="4">
                  <c:v>6.1428854729207059</c:v>
                </c:pt>
                <c:pt idx="5">
                  <c:v>6.5549877225182573</c:v>
                </c:pt>
                <c:pt idx="6">
                  <c:v>7.460302294448188</c:v>
                </c:pt>
                <c:pt idx="7">
                  <c:v>7.4530226286204213</c:v>
                </c:pt>
                <c:pt idx="8">
                  <c:v>6.40425310349202</c:v>
                </c:pt>
                <c:pt idx="9">
                  <c:v>6.0103870084425957</c:v>
                </c:pt>
              </c:numCache>
            </c:numRef>
          </c:val>
          <c:smooth val="0"/>
        </c:ser>
        <c:dLbls>
          <c:showLegendKey val="0"/>
          <c:showVal val="0"/>
          <c:showCatName val="0"/>
          <c:showSerName val="0"/>
          <c:showPercent val="0"/>
          <c:showBubbleSize val="0"/>
        </c:dLbls>
        <c:marker val="1"/>
        <c:smooth val="0"/>
        <c:axId val="137071232"/>
        <c:axId val="137089408"/>
      </c:lineChart>
      <c:catAx>
        <c:axId val="137071232"/>
        <c:scaling>
          <c:orientation val="minMax"/>
        </c:scaling>
        <c:delete val="0"/>
        <c:axPos val="b"/>
        <c:numFmt formatCode="General" sourceLinked="1"/>
        <c:majorTickMark val="out"/>
        <c:minorTickMark val="none"/>
        <c:tickLblPos val="nextTo"/>
        <c:crossAx val="137089408"/>
        <c:crosses val="autoZero"/>
        <c:auto val="1"/>
        <c:lblAlgn val="ctr"/>
        <c:lblOffset val="100"/>
        <c:noMultiLvlLbl val="0"/>
      </c:catAx>
      <c:valAx>
        <c:axId val="137089408"/>
        <c:scaling>
          <c:orientation val="minMax"/>
        </c:scaling>
        <c:delete val="0"/>
        <c:axPos val="l"/>
        <c:majorGridlines>
          <c:spPr>
            <a:ln w="3175">
              <a:prstDash val="sysDot"/>
            </a:ln>
          </c:spPr>
        </c:majorGridlines>
        <c:numFmt formatCode="#,##0.00" sourceLinked="1"/>
        <c:majorTickMark val="out"/>
        <c:minorTickMark val="none"/>
        <c:tickLblPos val="nextTo"/>
        <c:crossAx val="137071232"/>
        <c:crosses val="autoZero"/>
        <c:crossBetween val="between"/>
      </c:valAx>
    </c:plotArea>
    <c:plotVisOnly val="1"/>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15m'!$K$45</c:f>
          <c:strCache>
            <c:ptCount val="1"/>
            <c:pt idx="0">
              <c:v>Operating profit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'UK scallop dredge over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15m'!$D$23:$M$23</c:f>
              <c:numCache>
                <c:formatCode>#,##0.00</c:formatCode>
                <c:ptCount val="10"/>
                <c:pt idx="0">
                  <c:v>0.74387552160050874</c:v>
                </c:pt>
                <c:pt idx="1">
                  <c:v>0.75396715214876586</c:v>
                </c:pt>
                <c:pt idx="2">
                  <c:v>1.3799853943429166</c:v>
                </c:pt>
                <c:pt idx="3">
                  <c:v>1.2285124841766584</c:v>
                </c:pt>
                <c:pt idx="4">
                  <c:v>1.1542310588322076</c:v>
                </c:pt>
                <c:pt idx="5">
                  <c:v>1.7463395298106799</c:v>
                </c:pt>
                <c:pt idx="6">
                  <c:v>1.7970647636910415</c:v>
                </c:pt>
                <c:pt idx="7">
                  <c:v>1.6578603755869374</c:v>
                </c:pt>
                <c:pt idx="8">
                  <c:v>1.0647296719563362</c:v>
                </c:pt>
                <c:pt idx="9">
                  <c:v>1.000073083390433</c:v>
                </c:pt>
              </c:numCache>
            </c:numRef>
          </c:val>
          <c:smooth val="0"/>
        </c:ser>
        <c:dLbls>
          <c:showLegendKey val="0"/>
          <c:showVal val="0"/>
          <c:showCatName val="0"/>
          <c:showSerName val="0"/>
          <c:showPercent val="0"/>
          <c:showBubbleSize val="0"/>
        </c:dLbls>
        <c:marker val="1"/>
        <c:smooth val="0"/>
        <c:axId val="137654656"/>
        <c:axId val="137656192"/>
      </c:lineChart>
      <c:catAx>
        <c:axId val="137654656"/>
        <c:scaling>
          <c:orientation val="minMax"/>
        </c:scaling>
        <c:delete val="0"/>
        <c:axPos val="b"/>
        <c:numFmt formatCode="General" sourceLinked="1"/>
        <c:majorTickMark val="out"/>
        <c:minorTickMark val="none"/>
        <c:tickLblPos val="nextTo"/>
        <c:crossAx val="137656192"/>
        <c:crosses val="autoZero"/>
        <c:auto val="1"/>
        <c:lblAlgn val="ctr"/>
        <c:lblOffset val="100"/>
        <c:noMultiLvlLbl val="0"/>
      </c:catAx>
      <c:valAx>
        <c:axId val="137656192"/>
        <c:scaling>
          <c:orientation val="minMax"/>
        </c:scaling>
        <c:delete val="0"/>
        <c:axPos val="l"/>
        <c:majorGridlines>
          <c:spPr>
            <a:ln w="3175">
              <a:prstDash val="sysDot"/>
            </a:ln>
          </c:spPr>
        </c:majorGridlines>
        <c:numFmt formatCode="#,##0.00" sourceLinked="1"/>
        <c:majorTickMark val="out"/>
        <c:minorTickMark val="none"/>
        <c:tickLblPos val="nextTo"/>
        <c:crossAx val="13765465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15m'!$B$59</c:f>
          <c:strCache>
            <c:ptCount val="1"/>
            <c:pt idx="0">
              <c:v>Total cost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'UK scallop dredge over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15m'!$D$22:$M$22</c:f>
              <c:numCache>
                <c:formatCode>#,##0.00</c:formatCode>
                <c:ptCount val="10"/>
                <c:pt idx="0">
                  <c:v>3.7789642043015275</c:v>
                </c:pt>
                <c:pt idx="1">
                  <c:v>4.2660549136994526</c:v>
                </c:pt>
                <c:pt idx="2">
                  <c:v>4.1027141891548675</c:v>
                </c:pt>
                <c:pt idx="3">
                  <c:v>4.7556138875605853</c:v>
                </c:pt>
                <c:pt idx="4">
                  <c:v>4.9886544140884981</c:v>
                </c:pt>
                <c:pt idx="5">
                  <c:v>4.8086481927075866</c:v>
                </c:pt>
                <c:pt idx="6">
                  <c:v>5.6632375307571454</c:v>
                </c:pt>
                <c:pt idx="7">
                  <c:v>5.7951622530334843</c:v>
                </c:pt>
                <c:pt idx="8">
                  <c:v>5.3395234315356843</c:v>
                </c:pt>
                <c:pt idx="9">
                  <c:v>5.0103139250521727</c:v>
                </c:pt>
              </c:numCache>
            </c:numRef>
          </c:val>
          <c:smooth val="0"/>
        </c:ser>
        <c:dLbls>
          <c:showLegendKey val="0"/>
          <c:showVal val="0"/>
          <c:showCatName val="0"/>
          <c:showSerName val="0"/>
          <c:showPercent val="0"/>
          <c:showBubbleSize val="0"/>
        </c:dLbls>
        <c:marker val="1"/>
        <c:smooth val="0"/>
        <c:axId val="137676672"/>
        <c:axId val="137678208"/>
      </c:lineChart>
      <c:catAx>
        <c:axId val="137676672"/>
        <c:scaling>
          <c:orientation val="minMax"/>
        </c:scaling>
        <c:delete val="0"/>
        <c:axPos val="b"/>
        <c:numFmt formatCode="General" sourceLinked="1"/>
        <c:majorTickMark val="out"/>
        <c:minorTickMark val="none"/>
        <c:tickLblPos val="nextTo"/>
        <c:crossAx val="137678208"/>
        <c:crosses val="autoZero"/>
        <c:auto val="1"/>
        <c:lblAlgn val="ctr"/>
        <c:lblOffset val="100"/>
        <c:noMultiLvlLbl val="0"/>
      </c:catAx>
      <c:valAx>
        <c:axId val="137678208"/>
        <c:scaling>
          <c:orientation val="minMax"/>
        </c:scaling>
        <c:delete val="0"/>
        <c:axPos val="l"/>
        <c:majorGridlines>
          <c:spPr>
            <a:ln w="3175">
              <a:prstDash val="sysDot"/>
            </a:ln>
          </c:spPr>
        </c:majorGridlines>
        <c:numFmt formatCode="#,##0.00" sourceLinked="1"/>
        <c:majorTickMark val="out"/>
        <c:minorTickMark val="none"/>
        <c:tickLblPos val="nextTo"/>
        <c:crossAx val="137676672"/>
        <c:crosses val="autoZero"/>
        <c:crossBetween val="between"/>
      </c:valAx>
    </c:plotArea>
    <c:plotVisOnly val="1"/>
    <c:dispBlanksAs val="gap"/>
    <c:showDLblsOverMax val="0"/>
  </c:chart>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15m'!$F$59</c:f>
          <c:strCache>
            <c:ptCount val="1"/>
            <c:pt idx="0">
              <c:v>Average price per tonne landed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'UK scallop dredge over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15m'!$D$19:$M$19</c:f>
              <c:numCache>
                <c:formatCode>#,##0</c:formatCode>
                <c:ptCount val="10"/>
                <c:pt idx="0">
                  <c:v>1313.0971833324415</c:v>
                </c:pt>
                <c:pt idx="1">
                  <c:v>1489.0672265237567</c:v>
                </c:pt>
                <c:pt idx="2">
                  <c:v>1472.1089743824132</c:v>
                </c:pt>
                <c:pt idx="3">
                  <c:v>1501.6239530607768</c:v>
                </c:pt>
                <c:pt idx="4">
                  <c:v>1360.7029486578465</c:v>
                </c:pt>
                <c:pt idx="5">
                  <c:v>1322.0999700674222</c:v>
                </c:pt>
                <c:pt idx="6">
                  <c:v>1124.1684096451388</c:v>
                </c:pt>
                <c:pt idx="7">
                  <c:v>1128.830941786571</c:v>
                </c:pt>
                <c:pt idx="8">
                  <c:v>1205.842567365313</c:v>
                </c:pt>
                <c:pt idx="9">
                  <c:v>1462.4459983855133</c:v>
                </c:pt>
              </c:numCache>
            </c:numRef>
          </c:val>
          <c:smooth val="0"/>
        </c:ser>
        <c:dLbls>
          <c:showLegendKey val="0"/>
          <c:showVal val="0"/>
          <c:showCatName val="0"/>
          <c:showSerName val="0"/>
          <c:showPercent val="0"/>
          <c:showBubbleSize val="0"/>
        </c:dLbls>
        <c:marker val="1"/>
        <c:smooth val="0"/>
        <c:axId val="137690496"/>
        <c:axId val="137712768"/>
      </c:lineChart>
      <c:catAx>
        <c:axId val="137690496"/>
        <c:scaling>
          <c:orientation val="minMax"/>
        </c:scaling>
        <c:delete val="0"/>
        <c:axPos val="b"/>
        <c:numFmt formatCode="General" sourceLinked="1"/>
        <c:majorTickMark val="out"/>
        <c:minorTickMark val="none"/>
        <c:tickLblPos val="nextTo"/>
        <c:crossAx val="137712768"/>
        <c:crosses val="autoZero"/>
        <c:auto val="1"/>
        <c:lblAlgn val="ctr"/>
        <c:lblOffset val="100"/>
        <c:noMultiLvlLbl val="0"/>
      </c:catAx>
      <c:valAx>
        <c:axId val="137712768"/>
        <c:scaling>
          <c:orientation val="minMax"/>
        </c:scaling>
        <c:delete val="0"/>
        <c:axPos val="l"/>
        <c:majorGridlines>
          <c:spPr>
            <a:ln w="3175">
              <a:prstDash val="sysDot"/>
            </a:ln>
          </c:spPr>
        </c:majorGridlines>
        <c:numFmt formatCode="#,##0" sourceLinked="1"/>
        <c:majorTickMark val="out"/>
        <c:minorTickMark val="none"/>
        <c:tickLblPos val="nextTo"/>
        <c:crossAx val="137690496"/>
        <c:crosses val="autoZero"/>
        <c:crossBetween val="between"/>
      </c:valAx>
    </c:plotArea>
    <c:plotVisOnly val="1"/>
    <c:dispBlanksAs val="gap"/>
    <c:showDLblsOverMax val="0"/>
  </c:chart>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15m'!$K$59</c:f>
          <c:strCache>
            <c:ptCount val="1"/>
            <c:pt idx="0">
              <c:v>Average annual operating profit per vessel (£'000)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'UK scallop dredge over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15m'!$D$34:$M$34</c:f>
              <c:numCache>
                <c:formatCode>#,##0.0</c:formatCode>
                <c:ptCount val="10"/>
                <c:pt idx="0">
                  <c:v>48.970291561295966</c:v>
                </c:pt>
                <c:pt idx="1">
                  <c:v>50.871593128295302</c:v>
                </c:pt>
                <c:pt idx="2">
                  <c:v>107.58686121451616</c:v>
                </c:pt>
                <c:pt idx="3">
                  <c:v>95.766442276278951</c:v>
                </c:pt>
                <c:pt idx="4">
                  <c:v>89.366399432284496</c:v>
                </c:pt>
                <c:pt idx="5">
                  <c:v>145.9781890989388</c:v>
                </c:pt>
                <c:pt idx="6">
                  <c:v>132.83236695157524</c:v>
                </c:pt>
                <c:pt idx="7">
                  <c:v>117.94127284733081</c:v>
                </c:pt>
                <c:pt idx="8">
                  <c:v>73.840571701148633</c:v>
                </c:pt>
                <c:pt idx="9">
                  <c:v>68.699999733089982</c:v>
                </c:pt>
              </c:numCache>
            </c:numRef>
          </c:val>
          <c:smooth val="0"/>
        </c:ser>
        <c:dLbls>
          <c:showLegendKey val="0"/>
          <c:showVal val="0"/>
          <c:showCatName val="0"/>
          <c:showSerName val="0"/>
          <c:showPercent val="0"/>
          <c:showBubbleSize val="0"/>
        </c:dLbls>
        <c:marker val="1"/>
        <c:smooth val="0"/>
        <c:axId val="137745536"/>
        <c:axId val="137747072"/>
      </c:lineChart>
      <c:catAx>
        <c:axId val="137745536"/>
        <c:scaling>
          <c:orientation val="minMax"/>
        </c:scaling>
        <c:delete val="0"/>
        <c:axPos val="b"/>
        <c:numFmt formatCode="General" sourceLinked="1"/>
        <c:majorTickMark val="out"/>
        <c:minorTickMark val="none"/>
        <c:tickLblPos val="nextTo"/>
        <c:crossAx val="137747072"/>
        <c:crosses val="autoZero"/>
        <c:auto val="1"/>
        <c:lblAlgn val="ctr"/>
        <c:lblOffset val="100"/>
        <c:noMultiLvlLbl val="0"/>
      </c:catAx>
      <c:valAx>
        <c:axId val="137747072"/>
        <c:scaling>
          <c:orientation val="minMax"/>
        </c:scaling>
        <c:delete val="0"/>
        <c:axPos val="l"/>
        <c:majorGridlines>
          <c:spPr>
            <a:ln w="3175">
              <a:prstDash val="sysDot"/>
            </a:ln>
          </c:spPr>
        </c:majorGridlines>
        <c:numFmt formatCode="#,##0.0" sourceLinked="1"/>
        <c:majorTickMark val="out"/>
        <c:minorTickMark val="none"/>
        <c:tickLblPos val="nextTo"/>
        <c:crossAx val="137745536"/>
        <c:crosses val="autoZero"/>
        <c:crossBetween val="between"/>
      </c:valAx>
    </c:plotArea>
    <c:plotVisOnly val="1"/>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15m'!$A$73</c:f>
          <c:strCache>
            <c:ptCount val="1"/>
            <c:pt idx="0">
              <c:v>Top 5 landed species by volume in 2013
UK scallop dredge over 15m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769535"/>
              </a:solidFill>
              <a:ln>
                <a:solidFill>
                  <a:srgbClr val="FFFFFF"/>
                </a:solidFill>
              </a:ln>
            </c:spPr>
          </c:dPt>
          <c:dPt>
            <c:idx val="3"/>
            <c:bubble3D val="0"/>
            <c:spPr>
              <a:solidFill>
                <a:srgbClr val="607A2A"/>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'UK scallop dredge over 15m'!$B$74:$B$79</c:f>
              <c:strCache>
                <c:ptCount val="6"/>
                <c:pt idx="0">
                  <c:v>Scallops - 54.4%</c:v>
                </c:pt>
                <c:pt idx="1">
                  <c:v>Queen Scallops - 39.2%</c:v>
                </c:pt>
                <c:pt idx="2">
                  <c:v>Mussels - 3.9%</c:v>
                </c:pt>
                <c:pt idx="3">
                  <c:v>Cuttlefish - 0.7%</c:v>
                </c:pt>
                <c:pt idx="4">
                  <c:v>Anglerfish - 0.4%</c:v>
                </c:pt>
                <c:pt idx="5">
                  <c:v>Others - 1.5%</c:v>
                </c:pt>
              </c:strCache>
            </c:strRef>
          </c:cat>
          <c:val>
            <c:numRef>
              <c:f>'UK scallop dredge over 15m'!$C$74:$C$79</c:f>
              <c:numCache>
                <c:formatCode>0.0%</c:formatCode>
                <c:ptCount val="6"/>
                <c:pt idx="0">
                  <c:v>0.54433455442607748</c:v>
                </c:pt>
                <c:pt idx="1">
                  <c:v>0.39182024022795636</c:v>
                </c:pt>
                <c:pt idx="2">
                  <c:v>3.8707176534459549E-2</c:v>
                </c:pt>
                <c:pt idx="3">
                  <c:v>6.5090859486348638E-3</c:v>
                </c:pt>
                <c:pt idx="4">
                  <c:v>3.6745364918355262E-3</c:v>
                </c:pt>
                <c:pt idx="5">
                  <c:v>1.4954406371036177E-2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u250kW'!$B$59</c:f>
          <c:strCache>
            <c:ptCount val="1"/>
            <c:pt idx="0">
              <c:v>Total cost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'Area VIIa nephrops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u250kW'!$D$22:$M$22</c:f>
              <c:numCache>
                <c:formatCode>#,##0.00</c:formatCode>
                <c:ptCount val="10"/>
                <c:pt idx="0">
                  <c:v>2.5469568886455947</c:v>
                </c:pt>
                <c:pt idx="1">
                  <c:v>3.8281670750286798</c:v>
                </c:pt>
                <c:pt idx="2">
                  <c:v>3.7157451662430572</c:v>
                </c:pt>
                <c:pt idx="3">
                  <c:v>3.9685358606572545</c:v>
                </c:pt>
                <c:pt idx="4">
                  <c:v>3.3695077746792554</c:v>
                </c:pt>
                <c:pt idx="5">
                  <c:v>3.6020430202730416</c:v>
                </c:pt>
                <c:pt idx="6">
                  <c:v>4.8451677653933825</c:v>
                </c:pt>
                <c:pt idx="7">
                  <c:v>5.277796998056365</c:v>
                </c:pt>
                <c:pt idx="8">
                  <c:v>4.2620625498118789</c:v>
                </c:pt>
                <c:pt idx="9">
                  <c:v>4.2013414801219753</c:v>
                </c:pt>
              </c:numCache>
            </c:numRef>
          </c:val>
          <c:smooth val="0"/>
        </c:ser>
        <c:dLbls>
          <c:showLegendKey val="0"/>
          <c:showVal val="0"/>
          <c:showCatName val="0"/>
          <c:showSerName val="0"/>
          <c:showPercent val="0"/>
          <c:showBubbleSize val="0"/>
        </c:dLbls>
        <c:marker val="1"/>
        <c:smooth val="0"/>
        <c:axId val="107826560"/>
        <c:axId val="107865216"/>
      </c:lineChart>
      <c:catAx>
        <c:axId val="107826560"/>
        <c:scaling>
          <c:orientation val="minMax"/>
        </c:scaling>
        <c:delete val="0"/>
        <c:axPos val="b"/>
        <c:numFmt formatCode="General" sourceLinked="1"/>
        <c:majorTickMark val="out"/>
        <c:minorTickMark val="none"/>
        <c:tickLblPos val="nextTo"/>
        <c:crossAx val="107865216"/>
        <c:crosses val="autoZero"/>
        <c:auto val="1"/>
        <c:lblAlgn val="ctr"/>
        <c:lblOffset val="100"/>
        <c:noMultiLvlLbl val="0"/>
      </c:catAx>
      <c:valAx>
        <c:axId val="107865216"/>
        <c:scaling>
          <c:orientation val="minMax"/>
        </c:scaling>
        <c:delete val="0"/>
        <c:axPos val="l"/>
        <c:majorGridlines>
          <c:spPr>
            <a:ln w="3175">
              <a:prstDash val="sysDot"/>
            </a:ln>
          </c:spPr>
        </c:majorGridlines>
        <c:numFmt formatCode="#,##0.00" sourceLinked="1"/>
        <c:majorTickMark val="out"/>
        <c:minorTickMark val="none"/>
        <c:tickLblPos val="nextTo"/>
        <c:crossAx val="107826560"/>
        <c:crosses val="autoZero"/>
        <c:crossBetween val="between"/>
      </c:valAx>
    </c:plotArea>
    <c:plotVisOnly val="1"/>
    <c:dispBlanksAs val="gap"/>
    <c:showDLblsOverMax val="0"/>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15m'!$F$73</c:f>
          <c:strCache>
            <c:ptCount val="1"/>
            <c:pt idx="0">
              <c:v>Top 5 landed species by value in 2013
UK scallop dredge over 15m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'UK scallop dredge over 15m'!$G$74:$G$79</c:f>
              <c:strCache>
                <c:ptCount val="6"/>
                <c:pt idx="0">
                  <c:v>Scallops - 77.3%</c:v>
                </c:pt>
                <c:pt idx="1">
                  <c:v>Queen Scallops - 15.5%</c:v>
                </c:pt>
                <c:pt idx="2">
                  <c:v>Cuttlefish - 0.9%</c:v>
                </c:pt>
                <c:pt idx="3">
                  <c:v>Turbot - 0.8%</c:v>
                </c:pt>
                <c:pt idx="4">
                  <c:v>Anglerfish - 0.8%</c:v>
                </c:pt>
                <c:pt idx="5">
                  <c:v>Others - 4.6%</c:v>
                </c:pt>
              </c:strCache>
            </c:strRef>
          </c:cat>
          <c:val>
            <c:numRef>
              <c:f>'UK scallop dredge over 15m'!$H$74:$H$79</c:f>
              <c:numCache>
                <c:formatCode>0.0%</c:formatCode>
                <c:ptCount val="6"/>
                <c:pt idx="0">
                  <c:v>0.77309530866449316</c:v>
                </c:pt>
                <c:pt idx="1">
                  <c:v>0.15511198255093744</c:v>
                </c:pt>
                <c:pt idx="2">
                  <c:v>9.4908440422976151E-3</c:v>
                </c:pt>
                <c:pt idx="3">
                  <c:v>8.3800551295961263E-3</c:v>
                </c:pt>
                <c:pt idx="4">
                  <c:v>8.3455362663065278E-3</c:v>
                </c:pt>
                <c:pt idx="5">
                  <c:v>4.5576273346369045E-2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'UK scallop dredge over 15m'!$C$88</c:f>
              <c:strCache>
                <c:ptCount val="1"/>
                <c:pt idx="0">
                  <c:v>Scallops</c:v>
                </c:pt>
              </c:strCache>
            </c:strRef>
          </c:tx>
          <c:spPr>
            <a:solidFill>
              <a:srgbClr val="224B7D"/>
            </a:solidFill>
            <a:ln>
              <a:solidFill>
                <a:srgbClr val="FFFFFF"/>
              </a:solidFill>
            </a:ln>
          </c:spPr>
          <c:invertIfNegative val="0"/>
          <c:cat>
            <c:numRef>
              <c:f>'UK scallop dredge over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15m'!$D$88:$M$88</c:f>
              <c:numCache>
                <c:formatCode>0%</c:formatCode>
                <c:ptCount val="10"/>
                <c:pt idx="0">
                  <c:v>0.86933718328399046</c:v>
                </c:pt>
                <c:pt idx="1">
                  <c:v>0.84395004281483621</c:v>
                </c:pt>
                <c:pt idx="2">
                  <c:v>0.87577882966540077</c:v>
                </c:pt>
                <c:pt idx="3">
                  <c:v>0.91068793221273736</c:v>
                </c:pt>
                <c:pt idx="4">
                  <c:v>0.89313497678280362</c:v>
                </c:pt>
                <c:pt idx="5">
                  <c:v>0.76329205336495787</c:v>
                </c:pt>
                <c:pt idx="6">
                  <c:v>0.7809641867723166</c:v>
                </c:pt>
                <c:pt idx="7">
                  <c:v>0.78359852703712629</c:v>
                </c:pt>
                <c:pt idx="8">
                  <c:v>0.78628124605005556</c:v>
                </c:pt>
                <c:pt idx="9">
                  <c:v>0.83330359588757852</c:v>
                </c:pt>
              </c:numCache>
            </c:numRef>
          </c:val>
        </c:ser>
        <c:ser>
          <c:idx val="1"/>
          <c:order val="1"/>
          <c:tx>
            <c:strRef>
              <c:f>'UK scallop dredge over 15m'!$C$89</c:f>
              <c:strCache>
                <c:ptCount val="1"/>
                <c:pt idx="0">
                  <c:v>Queen Scallops</c:v>
                </c:pt>
              </c:strCache>
            </c:strRef>
          </c:tx>
          <c:spPr>
            <a:solidFill>
              <a:srgbClr val="7F2321"/>
            </a:solidFill>
            <a:ln>
              <a:solidFill>
                <a:srgbClr val="FFFFFF"/>
              </a:solidFill>
            </a:ln>
          </c:spPr>
          <c:invertIfNegative val="0"/>
          <c:cat>
            <c:numRef>
              <c:f>'UK scallop dredge over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15m'!$D$89:$M$89</c:f>
              <c:numCache>
                <c:formatCode>0%</c:formatCode>
                <c:ptCount val="10"/>
                <c:pt idx="0">
                  <c:v>8.1758199071693849E-2</c:v>
                </c:pt>
                <c:pt idx="1">
                  <c:v>9.4067382992205004E-2</c:v>
                </c:pt>
                <c:pt idx="2">
                  <c:v>5.8280046772158291E-2</c:v>
                </c:pt>
                <c:pt idx="3">
                  <c:v>5.5177078176905252E-2</c:v>
                </c:pt>
                <c:pt idx="4">
                  <c:v>5.7763054887292983E-2</c:v>
                </c:pt>
                <c:pt idx="5">
                  <c:v>7.1781198738830668E-2</c:v>
                </c:pt>
                <c:pt idx="6">
                  <c:v>0.16892690504416291</c:v>
                </c:pt>
                <c:pt idx="7">
                  <c:v>0.16452406958824928</c:v>
                </c:pt>
                <c:pt idx="8">
                  <c:v>0.15775757730069773</c:v>
                </c:pt>
                <c:pt idx="9">
                  <c:v>0.1016699777942474</c:v>
                </c:pt>
              </c:numCache>
            </c:numRef>
          </c:val>
        </c:ser>
        <c:ser>
          <c:idx val="2"/>
          <c:order val="2"/>
          <c:tx>
            <c:strRef>
              <c:f>'UK scallop dredge over 15m'!$C$90</c:f>
              <c:strCache>
                <c:ptCount val="1"/>
                <c:pt idx="0">
                  <c:v>Cuttlefish</c:v>
                </c:pt>
              </c:strCache>
            </c:strRef>
          </c:tx>
          <c:spPr>
            <a:solidFill>
              <a:srgbClr val="607A2A"/>
            </a:solidFill>
            <a:ln>
              <a:solidFill>
                <a:srgbClr val="FFFFFF"/>
              </a:solidFill>
            </a:ln>
          </c:spPr>
          <c:invertIfNegative val="0"/>
          <c:cat>
            <c:numRef>
              <c:f>'UK scallop dredge over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15m'!$D$90:$M$90</c:f>
              <c:numCache>
                <c:formatCode>0%</c:formatCode>
                <c:ptCount val="10"/>
                <c:pt idx="2">
                  <c:v>7.717462269690516E-3</c:v>
                </c:pt>
                <c:pt idx="4">
                  <c:v>7.7330401769213257E-3</c:v>
                </c:pt>
                <c:pt idx="6">
                  <c:v>1.000546121828582E-2</c:v>
                </c:pt>
                <c:pt idx="7">
                  <c:v>1.1472036616003968E-2</c:v>
                </c:pt>
                <c:pt idx="8">
                  <c:v>9.6527201704739198E-3</c:v>
                </c:pt>
                <c:pt idx="9">
                  <c:v>1.196876848924429E-2</c:v>
                </c:pt>
              </c:numCache>
            </c:numRef>
          </c:val>
        </c:ser>
        <c:ser>
          <c:idx val="3"/>
          <c:order val="3"/>
          <c:tx>
            <c:strRef>
              <c:f>'UK scallop dredge over 15m'!$C$91</c:f>
              <c:strCache>
                <c:ptCount val="1"/>
                <c:pt idx="0">
                  <c:v>Turbot</c:v>
                </c:pt>
              </c:strCache>
            </c:strRef>
          </c:tx>
          <c:spPr>
            <a:solidFill>
              <a:srgbClr val="4B3467"/>
            </a:solidFill>
            <a:ln>
              <a:solidFill>
                <a:srgbClr val="FFFFFF"/>
              </a:solidFill>
            </a:ln>
          </c:spPr>
          <c:invertIfNegative val="0"/>
          <c:cat>
            <c:numRef>
              <c:f>'UK scallop dredge over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15m'!$D$91:$M$91</c:f>
              <c:numCache>
                <c:formatCode>0%</c:formatCode>
                <c:ptCount val="10"/>
                <c:pt idx="8">
                  <c:v>8.5229856078799741E-3</c:v>
                </c:pt>
                <c:pt idx="9">
                  <c:v>1.1147917434057509E-2</c:v>
                </c:pt>
              </c:numCache>
            </c:numRef>
          </c:val>
        </c:ser>
        <c:ser>
          <c:idx val="4"/>
          <c:order val="4"/>
          <c:tx>
            <c:strRef>
              <c:f>'UK scallop dredge over 15m'!$C$92</c:f>
              <c:strCache>
                <c:ptCount val="1"/>
                <c:pt idx="0">
                  <c:v>Anglerfish</c:v>
                </c:pt>
              </c:strCache>
            </c:strRef>
          </c:tx>
          <c:spPr>
            <a:solidFill>
              <a:srgbClr val="9B2D2A"/>
            </a:solidFill>
            <a:ln>
              <a:solidFill>
                <a:srgbClr val="FFFFFF"/>
              </a:solidFill>
            </a:ln>
          </c:spPr>
          <c:invertIfNegative val="0"/>
          <c:cat>
            <c:numRef>
              <c:f>'UK scallop dredge over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15m'!$D$92:$M$92</c:f>
              <c:numCache>
                <c:formatCode>0%</c:formatCode>
                <c:ptCount val="10"/>
                <c:pt idx="0">
                  <c:v>5.8080165030859436E-3</c:v>
                </c:pt>
                <c:pt idx="1">
                  <c:v>8.5759323689669729E-3</c:v>
                </c:pt>
                <c:pt idx="3">
                  <c:v>4.4092460371241045E-3</c:v>
                </c:pt>
                <c:pt idx="5">
                  <c:v>9.3024428119829906E-3</c:v>
                </c:pt>
                <c:pt idx="6">
                  <c:v>1.0110942113938443E-2</c:v>
                </c:pt>
                <c:pt idx="7">
                  <c:v>6.933208632220236E-3</c:v>
                </c:pt>
                <c:pt idx="8">
                  <c:v>8.4878779897953893E-3</c:v>
                </c:pt>
              </c:numCache>
            </c:numRef>
          </c:val>
        </c:ser>
        <c:ser>
          <c:idx val="5"/>
          <c:order val="5"/>
          <c:tx>
            <c:strRef>
              <c:f>'UK scallop dredge over 15m'!$C$93</c:f>
              <c:strCache>
                <c:ptCount val="1"/>
                <c:pt idx="0">
                  <c:v>Sole</c:v>
                </c:pt>
              </c:strCache>
            </c:strRef>
          </c:tx>
          <c:spPr>
            <a:solidFill>
              <a:srgbClr val="769535"/>
            </a:solidFill>
            <a:ln>
              <a:solidFill>
                <a:srgbClr val="FFFFFF"/>
              </a:solidFill>
            </a:ln>
          </c:spPr>
          <c:invertIfNegative val="0"/>
          <c:cat>
            <c:numRef>
              <c:f>'UK scallop dredge over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15m'!$D$93:$M$93</c:f>
              <c:numCache>
                <c:formatCode>0%</c:formatCode>
                <c:ptCount val="10"/>
                <c:pt idx="0">
                  <c:v>1.2472740858593363E-2</c:v>
                </c:pt>
                <c:pt idx="1">
                  <c:v>2.0865324816932838E-2</c:v>
                </c:pt>
                <c:pt idx="2">
                  <c:v>2.1833185263312061E-2</c:v>
                </c:pt>
                <c:pt idx="3">
                  <c:v>8.768899556546618E-3</c:v>
                </c:pt>
                <c:pt idx="4">
                  <c:v>9.5130460166748566E-3</c:v>
                </c:pt>
                <c:pt idx="5">
                  <c:v>1.504154037397968E-2</c:v>
                </c:pt>
                <c:pt idx="6">
                  <c:v>9.2008466253675238E-3</c:v>
                </c:pt>
                <c:pt idx="7">
                  <c:v>1.2538881237976432E-2</c:v>
                </c:pt>
                <c:pt idx="9">
                  <c:v>8.6048772722669749E-3</c:v>
                </c:pt>
              </c:numCache>
            </c:numRef>
          </c:val>
        </c:ser>
        <c:ser>
          <c:idx val="6"/>
          <c:order val="6"/>
          <c:tx>
            <c:strRef>
              <c:f>'UK scallop dredge over 15m'!$C$94</c:f>
              <c:strCache>
                <c:ptCount val="1"/>
                <c:pt idx="0">
                  <c:v>Pink Shrimps</c:v>
                </c:pt>
              </c:strCache>
            </c:strRef>
          </c:tx>
          <c:spPr>
            <a:solidFill>
              <a:srgbClr val="A85816"/>
            </a:solidFill>
            <a:ln>
              <a:solidFill>
                <a:srgbClr val="FFFFFF"/>
              </a:solidFill>
            </a:ln>
          </c:spPr>
          <c:invertIfNegative val="0"/>
          <c:cat>
            <c:numRef>
              <c:f>'UK scallop dredge over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15m'!$D$94:$M$94</c:f>
              <c:numCache>
                <c:formatCode>0%</c:formatCode>
                <c:ptCount val="10"/>
                <c:pt idx="5">
                  <c:v>0.11253380911995102</c:v>
                </c:pt>
              </c:numCache>
            </c:numRef>
          </c:val>
        </c:ser>
        <c:ser>
          <c:idx val="7"/>
          <c:order val="7"/>
          <c:tx>
            <c:strRef>
              <c:f>'UK scallop dredge over 15m'!$C$95</c:f>
              <c:strCache>
                <c:ptCount val="1"/>
                <c:pt idx="0">
                  <c:v>Nephrops</c:v>
                </c:pt>
              </c:strCache>
            </c:strRef>
          </c:tx>
          <c:spPr>
            <a:solidFill>
              <a:srgbClr val="5D417E"/>
            </a:solidFill>
            <a:ln>
              <a:solidFill>
                <a:srgbClr val="FFFFFF"/>
              </a:solidFill>
            </a:ln>
          </c:spPr>
          <c:invertIfNegative val="0"/>
          <c:cat>
            <c:numRef>
              <c:f>'UK scallop dredge over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15m'!$D$95:$M$95</c:f>
              <c:numCache>
                <c:formatCode>0%</c:formatCode>
                <c:ptCount val="10"/>
                <c:pt idx="0">
                  <c:v>6.644312891640386E-3</c:v>
                </c:pt>
                <c:pt idx="1">
                  <c:v>9.4352649106654342E-3</c:v>
                </c:pt>
                <c:pt idx="2">
                  <c:v>1.1661755861267459E-2</c:v>
                </c:pt>
                <c:pt idx="3">
                  <c:v>8.9219415834231753E-3</c:v>
                </c:pt>
                <c:pt idx="4">
                  <c:v>8.3522939292348334E-3</c:v>
                </c:pt>
              </c:numCache>
            </c:numRef>
          </c:val>
        </c:ser>
        <c:ser>
          <c:idx val="8"/>
          <c:order val="8"/>
          <c:tx>
            <c:strRef>
              <c:f>'UK scallop dredge over 15m'!$C$96</c:f>
              <c:strCache>
                <c:ptCount val="1"/>
                <c:pt idx="0">
                  <c:v>Others</c:v>
                </c:pt>
              </c:strCache>
            </c:strRef>
          </c:tx>
          <c:spPr>
            <a:solidFill>
              <a:srgbClr val="008000"/>
            </a:solidFill>
            <a:ln>
              <a:solidFill>
                <a:srgbClr val="FFFFFF"/>
              </a:solidFill>
            </a:ln>
          </c:spPr>
          <c:invertIfNegative val="0"/>
          <c:cat>
            <c:numRef>
              <c:f>'UK scallop dredge over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over 15m'!$D$96:$M$96</c:f>
              <c:numCache>
                <c:formatCode>0%</c:formatCode>
                <c:ptCount val="10"/>
                <c:pt idx="0">
                  <c:v>2.3979547390996045E-2</c:v>
                </c:pt>
                <c:pt idx="1">
                  <c:v>2.3106052096393496E-2</c:v>
                </c:pt>
                <c:pt idx="2">
                  <c:v>2.4728720168170928E-2</c:v>
                </c:pt>
                <c:pt idx="3">
                  <c:v>1.2034902433263543E-2</c:v>
                </c:pt>
                <c:pt idx="4">
                  <c:v>2.3503588207072348E-2</c:v>
                </c:pt>
                <c:pt idx="5">
                  <c:v>2.8048955590297801E-2</c:v>
                </c:pt>
                <c:pt idx="6">
                  <c:v>2.0791658225928673E-2</c:v>
                </c:pt>
                <c:pt idx="7">
                  <c:v>2.0933276888423773E-2</c:v>
                </c:pt>
                <c:pt idx="8">
                  <c:v>2.9297592881097463E-2</c:v>
                </c:pt>
                <c:pt idx="9">
                  <c:v>3.3304863122605284E-2</c:v>
                </c:pt>
              </c:numCache>
            </c:numRef>
          </c:val>
        </c:ser>
        <c:dLbls>
          <c:showLegendKey val="0"/>
          <c:showVal val="0"/>
          <c:showCatName val="0"/>
          <c:showSerName val="0"/>
          <c:showPercent val="0"/>
          <c:showBubbleSize val="0"/>
        </c:dLbls>
        <c:gapWidth val="150"/>
        <c:overlap val="100"/>
        <c:axId val="138062080"/>
        <c:axId val="138076160"/>
      </c:barChart>
      <c:catAx>
        <c:axId val="138062080"/>
        <c:scaling>
          <c:orientation val="minMax"/>
        </c:scaling>
        <c:delete val="0"/>
        <c:axPos val="b"/>
        <c:numFmt formatCode="General" sourceLinked="1"/>
        <c:majorTickMark val="out"/>
        <c:minorTickMark val="none"/>
        <c:tickLblPos val="nextTo"/>
        <c:crossAx val="138076160"/>
        <c:crosses val="autoZero"/>
        <c:auto val="1"/>
        <c:lblAlgn val="ctr"/>
        <c:lblOffset val="100"/>
        <c:noMultiLvlLbl val="0"/>
      </c:catAx>
      <c:valAx>
        <c:axId val="138076160"/>
        <c:scaling>
          <c:orientation val="minMax"/>
          <c:max val="1"/>
          <c:min val="0"/>
        </c:scaling>
        <c:delete val="0"/>
        <c:axPos val="l"/>
        <c:majorGridlines/>
        <c:numFmt formatCode="0%" sourceLinked="1"/>
        <c:majorTickMark val="out"/>
        <c:minorTickMark val="none"/>
        <c:tickLblPos val="nextTo"/>
        <c:crossAx val="13806208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15m'!$A$45</c:f>
          <c:strCache>
            <c:ptCount val="1"/>
            <c:pt idx="0">
              <c:v>Landings per kW day at sea (kg)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'UK scallop dredge under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15m'!$D$20:$M$20</c:f>
              <c:numCache>
                <c:formatCode>#,##0.00</c:formatCode>
                <c:ptCount val="10"/>
                <c:pt idx="0">
                  <c:v>9.1701609982456311</c:v>
                </c:pt>
                <c:pt idx="1">
                  <c:v>6.2314814113272554</c:v>
                </c:pt>
                <c:pt idx="2">
                  <c:v>6.5200859334043786</c:v>
                </c:pt>
                <c:pt idx="3">
                  <c:v>6.7637798378250018</c:v>
                </c:pt>
                <c:pt idx="4">
                  <c:v>5.519957187378373</c:v>
                </c:pt>
                <c:pt idx="5">
                  <c:v>6.1952163514947554</c:v>
                </c:pt>
                <c:pt idx="6">
                  <c:v>7.2923673846530175</c:v>
                </c:pt>
                <c:pt idx="7">
                  <c:v>6.4219569563417451</c:v>
                </c:pt>
                <c:pt idx="8">
                  <c:v>7.7947006673427044</c:v>
                </c:pt>
                <c:pt idx="9">
                  <c:v>7.3368950865803386</c:v>
                </c:pt>
              </c:numCache>
            </c:numRef>
          </c:val>
          <c:smooth val="0"/>
        </c:ser>
        <c:dLbls>
          <c:showLegendKey val="0"/>
          <c:showVal val="0"/>
          <c:showCatName val="0"/>
          <c:showSerName val="0"/>
          <c:showPercent val="0"/>
          <c:showBubbleSize val="0"/>
        </c:dLbls>
        <c:marker val="1"/>
        <c:smooth val="0"/>
        <c:axId val="137426816"/>
        <c:axId val="137428352"/>
      </c:lineChart>
      <c:catAx>
        <c:axId val="137426816"/>
        <c:scaling>
          <c:orientation val="minMax"/>
        </c:scaling>
        <c:delete val="0"/>
        <c:axPos val="b"/>
        <c:numFmt formatCode="General" sourceLinked="1"/>
        <c:majorTickMark val="out"/>
        <c:minorTickMark val="none"/>
        <c:tickLblPos val="nextTo"/>
        <c:crossAx val="137428352"/>
        <c:crosses val="autoZero"/>
        <c:auto val="1"/>
        <c:lblAlgn val="ctr"/>
        <c:lblOffset val="100"/>
        <c:noMultiLvlLbl val="0"/>
      </c:catAx>
      <c:valAx>
        <c:axId val="137428352"/>
        <c:scaling>
          <c:orientation val="minMax"/>
        </c:scaling>
        <c:delete val="0"/>
        <c:axPos val="l"/>
        <c:majorGridlines>
          <c:spPr>
            <a:ln w="3175">
              <a:prstDash val="sysDot"/>
            </a:ln>
          </c:spPr>
        </c:majorGridlines>
        <c:numFmt formatCode="#,##0.00" sourceLinked="1"/>
        <c:majorTickMark val="out"/>
        <c:minorTickMark val="none"/>
        <c:tickLblPos val="nextTo"/>
        <c:crossAx val="137426816"/>
        <c:crosses val="autoZero"/>
        <c:crossBetween val="between"/>
      </c:valAx>
    </c:plotArea>
    <c:plotVisOnly val="1"/>
    <c:dispBlanksAs val="gap"/>
    <c:showDLblsOverMax val="0"/>
  </c:chart>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15m'!$F$45</c:f>
          <c:strCache>
            <c:ptCount val="1"/>
            <c:pt idx="0">
              <c:v>Income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'UK scallop dredge under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15m'!$D$21:$M$21</c:f>
              <c:numCache>
                <c:formatCode>#,##0.00</c:formatCode>
                <c:ptCount val="10"/>
                <c:pt idx="0">
                  <c:v>5.8524168386498694</c:v>
                </c:pt>
                <c:pt idx="1">
                  <c:v>6.8013344541220588</c:v>
                </c:pt>
                <c:pt idx="2">
                  <c:v>6.8262546681488585</c:v>
                </c:pt>
                <c:pt idx="3">
                  <c:v>7.2535736177077368</c:v>
                </c:pt>
                <c:pt idx="4">
                  <c:v>9.9067322764787313</c:v>
                </c:pt>
                <c:pt idx="5">
                  <c:v>7.9938485819221929</c:v>
                </c:pt>
                <c:pt idx="6">
                  <c:v>8.4700770863867749</c:v>
                </c:pt>
                <c:pt idx="7">
                  <c:v>8.8340158794965387</c:v>
                </c:pt>
                <c:pt idx="8">
                  <c:v>8.0418260586896206</c:v>
                </c:pt>
                <c:pt idx="9">
                  <c:v>9.4702597695749482</c:v>
                </c:pt>
              </c:numCache>
            </c:numRef>
          </c:val>
          <c:smooth val="0"/>
        </c:ser>
        <c:dLbls>
          <c:showLegendKey val="0"/>
          <c:showVal val="0"/>
          <c:showCatName val="0"/>
          <c:showSerName val="0"/>
          <c:showPercent val="0"/>
          <c:showBubbleSize val="0"/>
        </c:dLbls>
        <c:marker val="1"/>
        <c:smooth val="0"/>
        <c:axId val="137182592"/>
        <c:axId val="137192576"/>
      </c:lineChart>
      <c:catAx>
        <c:axId val="137182592"/>
        <c:scaling>
          <c:orientation val="minMax"/>
        </c:scaling>
        <c:delete val="0"/>
        <c:axPos val="b"/>
        <c:numFmt formatCode="General" sourceLinked="1"/>
        <c:majorTickMark val="out"/>
        <c:minorTickMark val="none"/>
        <c:tickLblPos val="nextTo"/>
        <c:crossAx val="137192576"/>
        <c:crosses val="autoZero"/>
        <c:auto val="1"/>
        <c:lblAlgn val="ctr"/>
        <c:lblOffset val="100"/>
        <c:noMultiLvlLbl val="0"/>
      </c:catAx>
      <c:valAx>
        <c:axId val="137192576"/>
        <c:scaling>
          <c:orientation val="minMax"/>
        </c:scaling>
        <c:delete val="0"/>
        <c:axPos val="l"/>
        <c:majorGridlines>
          <c:spPr>
            <a:ln w="3175">
              <a:prstDash val="sysDot"/>
            </a:ln>
          </c:spPr>
        </c:majorGridlines>
        <c:numFmt formatCode="#,##0.00" sourceLinked="1"/>
        <c:majorTickMark val="out"/>
        <c:minorTickMark val="none"/>
        <c:tickLblPos val="nextTo"/>
        <c:crossAx val="137182592"/>
        <c:crosses val="autoZero"/>
        <c:crossBetween val="between"/>
      </c:valAx>
    </c:plotArea>
    <c:plotVisOnly val="1"/>
    <c:dispBlanksAs val="gap"/>
    <c:showDLblsOverMax val="0"/>
  </c:chart>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15m'!$K$45</c:f>
          <c:strCache>
            <c:ptCount val="1"/>
            <c:pt idx="0">
              <c:v>Operating profit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'UK scallop dredge under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15m'!$D$23:$M$23</c:f>
              <c:numCache>
                <c:formatCode>#,##0.00</c:formatCode>
                <c:ptCount val="10"/>
                <c:pt idx="0">
                  <c:v>0.82483914210913312</c:v>
                </c:pt>
                <c:pt idx="1">
                  <c:v>0.74088037067113344</c:v>
                </c:pt>
                <c:pt idx="2">
                  <c:v>1.3816739037542394</c:v>
                </c:pt>
                <c:pt idx="3">
                  <c:v>1.1910456234826614</c:v>
                </c:pt>
                <c:pt idx="4">
                  <c:v>3.2085889820454718</c:v>
                </c:pt>
                <c:pt idx="5">
                  <c:v>1.4358194696592723</c:v>
                </c:pt>
                <c:pt idx="6">
                  <c:v>1.0760979883003365</c:v>
                </c:pt>
                <c:pt idx="7">
                  <c:v>2.0490957110508758</c:v>
                </c:pt>
                <c:pt idx="8">
                  <c:v>1.2347822120137641</c:v>
                </c:pt>
                <c:pt idx="9">
                  <c:v>1.7670527997408292</c:v>
                </c:pt>
              </c:numCache>
            </c:numRef>
          </c:val>
          <c:smooth val="0"/>
        </c:ser>
        <c:dLbls>
          <c:showLegendKey val="0"/>
          <c:showVal val="0"/>
          <c:showCatName val="0"/>
          <c:showSerName val="0"/>
          <c:showPercent val="0"/>
          <c:showBubbleSize val="0"/>
        </c:dLbls>
        <c:marker val="1"/>
        <c:smooth val="0"/>
        <c:axId val="137225344"/>
        <c:axId val="137226880"/>
      </c:lineChart>
      <c:catAx>
        <c:axId val="137225344"/>
        <c:scaling>
          <c:orientation val="minMax"/>
        </c:scaling>
        <c:delete val="0"/>
        <c:axPos val="b"/>
        <c:numFmt formatCode="General" sourceLinked="1"/>
        <c:majorTickMark val="out"/>
        <c:minorTickMark val="none"/>
        <c:tickLblPos val="nextTo"/>
        <c:crossAx val="137226880"/>
        <c:crosses val="autoZero"/>
        <c:auto val="1"/>
        <c:lblAlgn val="ctr"/>
        <c:lblOffset val="100"/>
        <c:noMultiLvlLbl val="0"/>
      </c:catAx>
      <c:valAx>
        <c:axId val="137226880"/>
        <c:scaling>
          <c:orientation val="minMax"/>
        </c:scaling>
        <c:delete val="0"/>
        <c:axPos val="l"/>
        <c:majorGridlines>
          <c:spPr>
            <a:ln w="3175">
              <a:prstDash val="sysDot"/>
            </a:ln>
          </c:spPr>
        </c:majorGridlines>
        <c:numFmt formatCode="#,##0.00" sourceLinked="1"/>
        <c:majorTickMark val="out"/>
        <c:minorTickMark val="none"/>
        <c:tickLblPos val="nextTo"/>
        <c:crossAx val="137225344"/>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15m'!$B$59</c:f>
          <c:strCache>
            <c:ptCount val="1"/>
            <c:pt idx="0">
              <c:v>Total cost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'UK scallop dredge under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15m'!$D$22:$M$22</c:f>
              <c:numCache>
                <c:formatCode>#,##0.00</c:formatCode>
                <c:ptCount val="10"/>
                <c:pt idx="0">
                  <c:v>5.0275776965407362</c:v>
                </c:pt>
                <c:pt idx="1">
                  <c:v>6.0604540834509208</c:v>
                </c:pt>
                <c:pt idx="2">
                  <c:v>5.4445807643946189</c:v>
                </c:pt>
                <c:pt idx="3">
                  <c:v>6.0625279942250758</c:v>
                </c:pt>
                <c:pt idx="4">
                  <c:v>6.6981432944332964</c:v>
                </c:pt>
                <c:pt idx="5">
                  <c:v>6.5580291122629122</c:v>
                </c:pt>
                <c:pt idx="6">
                  <c:v>7.3939790980864375</c:v>
                </c:pt>
                <c:pt idx="7">
                  <c:v>6.7849201684456633</c:v>
                </c:pt>
                <c:pt idx="8">
                  <c:v>6.8070438466758567</c:v>
                </c:pt>
                <c:pt idx="9">
                  <c:v>7.7032069698341212</c:v>
                </c:pt>
              </c:numCache>
            </c:numRef>
          </c:val>
          <c:smooth val="0"/>
        </c:ser>
        <c:dLbls>
          <c:showLegendKey val="0"/>
          <c:showVal val="0"/>
          <c:showCatName val="0"/>
          <c:showSerName val="0"/>
          <c:showPercent val="0"/>
          <c:showBubbleSize val="0"/>
        </c:dLbls>
        <c:marker val="1"/>
        <c:smooth val="0"/>
        <c:axId val="137235072"/>
        <c:axId val="137257344"/>
      </c:lineChart>
      <c:catAx>
        <c:axId val="137235072"/>
        <c:scaling>
          <c:orientation val="minMax"/>
        </c:scaling>
        <c:delete val="0"/>
        <c:axPos val="b"/>
        <c:numFmt formatCode="General" sourceLinked="1"/>
        <c:majorTickMark val="out"/>
        <c:minorTickMark val="none"/>
        <c:tickLblPos val="nextTo"/>
        <c:crossAx val="137257344"/>
        <c:crosses val="autoZero"/>
        <c:auto val="1"/>
        <c:lblAlgn val="ctr"/>
        <c:lblOffset val="100"/>
        <c:noMultiLvlLbl val="0"/>
      </c:catAx>
      <c:valAx>
        <c:axId val="137257344"/>
        <c:scaling>
          <c:orientation val="minMax"/>
        </c:scaling>
        <c:delete val="0"/>
        <c:axPos val="l"/>
        <c:majorGridlines>
          <c:spPr>
            <a:ln w="3175">
              <a:prstDash val="sysDot"/>
            </a:ln>
          </c:spPr>
        </c:majorGridlines>
        <c:numFmt formatCode="#,##0.00" sourceLinked="1"/>
        <c:majorTickMark val="out"/>
        <c:minorTickMark val="none"/>
        <c:tickLblPos val="nextTo"/>
        <c:crossAx val="137235072"/>
        <c:crosses val="autoZero"/>
        <c:crossBetween val="between"/>
      </c:valAx>
    </c:plotArea>
    <c:plotVisOnly val="1"/>
    <c:dispBlanksAs val="gap"/>
    <c:showDLblsOverMax val="0"/>
  </c:chart>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15m'!$F$59</c:f>
          <c:strCache>
            <c:ptCount val="1"/>
            <c:pt idx="0">
              <c:v>Average price per tonne landed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'UK scallop dredge under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15m'!$D$19:$M$19</c:f>
              <c:numCache>
                <c:formatCode>#,##0</c:formatCode>
                <c:ptCount val="10"/>
                <c:pt idx="0">
                  <c:v>638.20214162602019</c:v>
                </c:pt>
                <c:pt idx="1">
                  <c:v>1091.4474432610784</c:v>
                </c:pt>
                <c:pt idx="2">
                  <c:v>1046.9577998311183</c:v>
                </c:pt>
                <c:pt idx="3">
                  <c:v>1072.4142578574783</c:v>
                </c:pt>
                <c:pt idx="4">
                  <c:v>1794.7118223456348</c:v>
                </c:pt>
                <c:pt idx="5">
                  <c:v>1290.3258919718903</c:v>
                </c:pt>
                <c:pt idx="6">
                  <c:v>1161.4990005549957</c:v>
                </c:pt>
                <c:pt idx="7">
                  <c:v>1375.5955713472963</c:v>
                </c:pt>
                <c:pt idx="8">
                  <c:v>1031.7043441115982</c:v>
                </c:pt>
                <c:pt idx="9">
                  <c:v>1290.7720654758029</c:v>
                </c:pt>
              </c:numCache>
            </c:numRef>
          </c:val>
          <c:smooth val="0"/>
        </c:ser>
        <c:dLbls>
          <c:showLegendKey val="0"/>
          <c:showVal val="0"/>
          <c:showCatName val="0"/>
          <c:showSerName val="0"/>
          <c:showPercent val="0"/>
          <c:showBubbleSize val="0"/>
        </c:dLbls>
        <c:marker val="1"/>
        <c:smooth val="0"/>
        <c:axId val="137281920"/>
        <c:axId val="137283456"/>
      </c:lineChart>
      <c:catAx>
        <c:axId val="137281920"/>
        <c:scaling>
          <c:orientation val="minMax"/>
        </c:scaling>
        <c:delete val="0"/>
        <c:axPos val="b"/>
        <c:numFmt formatCode="General" sourceLinked="1"/>
        <c:majorTickMark val="out"/>
        <c:minorTickMark val="none"/>
        <c:tickLblPos val="nextTo"/>
        <c:crossAx val="137283456"/>
        <c:crosses val="autoZero"/>
        <c:auto val="1"/>
        <c:lblAlgn val="ctr"/>
        <c:lblOffset val="100"/>
        <c:noMultiLvlLbl val="0"/>
      </c:catAx>
      <c:valAx>
        <c:axId val="137283456"/>
        <c:scaling>
          <c:orientation val="minMax"/>
        </c:scaling>
        <c:delete val="0"/>
        <c:axPos val="l"/>
        <c:majorGridlines>
          <c:spPr>
            <a:ln w="3175">
              <a:prstDash val="sysDot"/>
            </a:ln>
          </c:spPr>
        </c:majorGridlines>
        <c:numFmt formatCode="#,##0" sourceLinked="1"/>
        <c:majorTickMark val="out"/>
        <c:minorTickMark val="none"/>
        <c:tickLblPos val="nextTo"/>
        <c:crossAx val="137281920"/>
        <c:crosses val="autoZero"/>
        <c:crossBetween val="between"/>
      </c:valAx>
    </c:plotArea>
    <c:plotVisOnly val="1"/>
    <c:dispBlanksAs val="gap"/>
    <c:showDLblsOverMax val="0"/>
  </c:chart>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15m'!$K$59</c:f>
          <c:strCache>
            <c:ptCount val="1"/>
            <c:pt idx="0">
              <c:v>Average annual operating profit per vessel (£'000)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'UK scallop dredge under 15m'!$D$2:$M$2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15m'!$D$34:$M$34</c:f>
              <c:numCache>
                <c:formatCode>#,##0.0</c:formatCode>
                <c:ptCount val="10"/>
                <c:pt idx="0">
                  <c:v>13.747473876842221</c:v>
                </c:pt>
                <c:pt idx="1">
                  <c:v>10.107492230745043</c:v>
                </c:pt>
                <c:pt idx="2">
                  <c:v>20.623679466041438</c:v>
                </c:pt>
                <c:pt idx="3">
                  <c:v>16.358995218016258</c:v>
                </c:pt>
                <c:pt idx="4">
                  <c:v>45.449712728427237</c:v>
                </c:pt>
                <c:pt idx="5">
                  <c:v>22.51543770678342</c:v>
                </c:pt>
                <c:pt idx="6">
                  <c:v>14.632463884508287</c:v>
                </c:pt>
                <c:pt idx="7">
                  <c:v>33.035147677139342</c:v>
                </c:pt>
                <c:pt idx="8">
                  <c:v>17.698139688690752</c:v>
                </c:pt>
                <c:pt idx="9">
                  <c:v>24.399999905202261</c:v>
                </c:pt>
              </c:numCache>
            </c:numRef>
          </c:val>
          <c:smooth val="0"/>
        </c:ser>
        <c:dLbls>
          <c:showLegendKey val="0"/>
          <c:showVal val="0"/>
          <c:showCatName val="0"/>
          <c:showSerName val="0"/>
          <c:showPercent val="0"/>
          <c:showBubbleSize val="0"/>
        </c:dLbls>
        <c:marker val="1"/>
        <c:smooth val="0"/>
        <c:axId val="137324416"/>
        <c:axId val="137325952"/>
      </c:lineChart>
      <c:catAx>
        <c:axId val="137324416"/>
        <c:scaling>
          <c:orientation val="minMax"/>
        </c:scaling>
        <c:delete val="0"/>
        <c:axPos val="b"/>
        <c:numFmt formatCode="General" sourceLinked="1"/>
        <c:majorTickMark val="out"/>
        <c:minorTickMark val="none"/>
        <c:tickLblPos val="nextTo"/>
        <c:crossAx val="137325952"/>
        <c:crosses val="autoZero"/>
        <c:auto val="1"/>
        <c:lblAlgn val="ctr"/>
        <c:lblOffset val="100"/>
        <c:noMultiLvlLbl val="0"/>
      </c:catAx>
      <c:valAx>
        <c:axId val="137325952"/>
        <c:scaling>
          <c:orientation val="minMax"/>
        </c:scaling>
        <c:delete val="0"/>
        <c:axPos val="l"/>
        <c:majorGridlines>
          <c:spPr>
            <a:ln w="3175">
              <a:prstDash val="sysDot"/>
            </a:ln>
          </c:spPr>
        </c:majorGridlines>
        <c:numFmt formatCode="#,##0.0" sourceLinked="1"/>
        <c:majorTickMark val="out"/>
        <c:minorTickMark val="none"/>
        <c:tickLblPos val="nextTo"/>
        <c:crossAx val="137324416"/>
        <c:crosses val="autoZero"/>
        <c:crossBetween val="between"/>
      </c:valAx>
    </c:plotArea>
    <c:plotVisOnly val="1"/>
    <c:dispBlanksAs val="gap"/>
    <c:showDLblsOverMax val="0"/>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15m'!$A$73</c:f>
          <c:strCache>
            <c:ptCount val="1"/>
            <c:pt idx="0">
              <c:v>Top 5 landed species by volume in 2013
UK scallop dredge under 15m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7F2321"/>
              </a:solidFill>
              <a:ln>
                <a:solidFill>
                  <a:srgbClr val="FFFFFF"/>
                </a:solidFill>
              </a:ln>
            </c:spPr>
          </c:dPt>
          <c:dPt>
            <c:idx val="1"/>
            <c:bubble3D val="0"/>
            <c:spPr>
              <a:solidFill>
                <a:srgbClr val="224B7D"/>
              </a:solidFill>
              <a:ln>
                <a:solidFill>
                  <a:srgbClr val="FFFFFF"/>
                </a:solidFill>
              </a:ln>
            </c:spPr>
          </c:dPt>
          <c:dPt>
            <c:idx val="2"/>
            <c:bubble3D val="0"/>
            <c:spPr>
              <a:solidFill>
                <a:srgbClr val="607A2A"/>
              </a:solidFill>
              <a:ln>
                <a:solidFill>
                  <a:srgbClr val="FFFFFF"/>
                </a:solidFill>
              </a:ln>
            </c:spPr>
          </c:dPt>
          <c:dPt>
            <c:idx val="3"/>
            <c:bubble3D val="0"/>
            <c:spPr>
              <a:solidFill>
                <a:srgbClr val="769535"/>
              </a:solidFill>
              <a:ln>
                <a:solidFill>
                  <a:srgbClr val="FFFFFF"/>
                </a:solidFill>
              </a:ln>
            </c:spPr>
          </c:dPt>
          <c:dPt>
            <c:idx val="4"/>
            <c:bubble3D val="0"/>
            <c:spPr>
              <a:solidFill>
                <a:srgbClr val="4B3467"/>
              </a:solidFill>
              <a:ln>
                <a:solidFill>
                  <a:srgbClr val="FFFFFF"/>
                </a:solidFill>
              </a:ln>
            </c:spPr>
          </c:dPt>
          <c:dPt>
            <c:idx val="5"/>
            <c:bubble3D val="0"/>
            <c:spPr>
              <a:solidFill>
                <a:srgbClr val="008000"/>
              </a:solidFill>
              <a:ln>
                <a:solidFill>
                  <a:srgbClr val="FFFFFF"/>
                </a:solidFill>
              </a:ln>
            </c:spPr>
          </c:dPt>
          <c:cat>
            <c:strRef>
              <c:f>'UK scallop dredge under 15m'!$B$74:$B$79</c:f>
              <c:strCache>
                <c:ptCount val="6"/>
                <c:pt idx="0">
                  <c:v>Cockles - 42.3%</c:v>
                </c:pt>
                <c:pt idx="1">
                  <c:v>Scallops - 36.7%</c:v>
                </c:pt>
                <c:pt idx="2">
                  <c:v>Queen Scallops - 14.9%</c:v>
                </c:pt>
                <c:pt idx="3">
                  <c:v>Mussels - 1.9%</c:v>
                </c:pt>
                <c:pt idx="4">
                  <c:v>Manilla Clam - 0.5%</c:v>
                </c:pt>
                <c:pt idx="5">
                  <c:v>Others - 3.6%</c:v>
                </c:pt>
              </c:strCache>
            </c:strRef>
          </c:cat>
          <c:val>
            <c:numRef>
              <c:f>'UK scallop dredge under 15m'!$C$74:$C$79</c:f>
              <c:numCache>
                <c:formatCode>0.0%</c:formatCode>
                <c:ptCount val="6"/>
                <c:pt idx="0">
                  <c:v>0.42324382318918868</c:v>
                </c:pt>
                <c:pt idx="1">
                  <c:v>0.36742821812844056</c:v>
                </c:pt>
                <c:pt idx="2">
                  <c:v>0.14919245818080148</c:v>
                </c:pt>
                <c:pt idx="3">
                  <c:v>1.8961027255437222E-2</c:v>
                </c:pt>
                <c:pt idx="4">
                  <c:v>5.3958103025735235E-3</c:v>
                </c:pt>
                <c:pt idx="5">
                  <c:v>3.577866294355847E-2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15m'!$F$73</c:f>
          <c:strCache>
            <c:ptCount val="1"/>
            <c:pt idx="0">
              <c:v>Top 5 landed species by value in 2013
UK scallop dredge under 15m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'UK scallop dredge under 15m'!$G$74:$G$79</c:f>
              <c:strCache>
                <c:ptCount val="6"/>
                <c:pt idx="0">
                  <c:v>Scallops - 61.4%</c:v>
                </c:pt>
                <c:pt idx="1">
                  <c:v>Cockles - 21.2%</c:v>
                </c:pt>
                <c:pt idx="2">
                  <c:v>Queen Scallops - 6.1%</c:v>
                </c:pt>
                <c:pt idx="3">
                  <c:v>Manilla Clam - 1.2%</c:v>
                </c:pt>
                <c:pt idx="4">
                  <c:v>Sole - 1.1%</c:v>
                </c:pt>
                <c:pt idx="5">
                  <c:v>Others - 9.0%</c:v>
                </c:pt>
              </c:strCache>
            </c:strRef>
          </c:cat>
          <c:val>
            <c:numRef>
              <c:f>'UK scallop dredge under 15m'!$H$74:$H$79</c:f>
              <c:numCache>
                <c:formatCode>0.0%</c:formatCode>
                <c:ptCount val="6"/>
                <c:pt idx="0">
                  <c:v>0.61415694036242241</c:v>
                </c:pt>
                <c:pt idx="1">
                  <c:v>0.21180704491548979</c:v>
                </c:pt>
                <c:pt idx="2">
                  <c:v>6.0928160022984741E-2</c:v>
                </c:pt>
                <c:pt idx="3">
                  <c:v>1.2303941227789527E-2</c:v>
                </c:pt>
                <c:pt idx="4">
                  <c:v>1.1090497239740819E-2</c:v>
                </c:pt>
                <c:pt idx="5">
                  <c:v>8.9713416231572696E-2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u250kW'!$F$59</c:f>
          <c:strCache>
            <c:ptCount val="1"/>
            <c:pt idx="0">
              <c:v>Average price per tonne landed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'Area VIIa nephrops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u250kW'!$D$19:$M$19</c:f>
              <c:numCache>
                <c:formatCode>#,##0</c:formatCode>
                <c:ptCount val="10"/>
                <c:pt idx="0">
                  <c:v>1483.878136878245</c:v>
                </c:pt>
                <c:pt idx="1">
                  <c:v>1788.3202309704809</c:v>
                </c:pt>
                <c:pt idx="2">
                  <c:v>1731.1294669827791</c:v>
                </c:pt>
                <c:pt idx="3">
                  <c:v>1698.4065990931119</c:v>
                </c:pt>
                <c:pt idx="4">
                  <c:v>1402.7919954228</c:v>
                </c:pt>
                <c:pt idx="5">
                  <c:v>1425.072946803027</c:v>
                </c:pt>
                <c:pt idx="6">
                  <c:v>1951.9834526325055</c:v>
                </c:pt>
                <c:pt idx="7">
                  <c:v>2127.4259476900606</c:v>
                </c:pt>
                <c:pt idx="8">
                  <c:v>1785.7269852029312</c:v>
                </c:pt>
                <c:pt idx="9">
                  <c:v>2036.6047803451183</c:v>
                </c:pt>
              </c:numCache>
            </c:numRef>
          </c:val>
          <c:smooth val="0"/>
        </c:ser>
        <c:dLbls>
          <c:showLegendKey val="0"/>
          <c:showVal val="0"/>
          <c:showCatName val="0"/>
          <c:showSerName val="0"/>
          <c:showPercent val="0"/>
          <c:showBubbleSize val="0"/>
        </c:dLbls>
        <c:marker val="1"/>
        <c:smooth val="0"/>
        <c:axId val="107955328"/>
        <c:axId val="107956864"/>
      </c:lineChart>
      <c:catAx>
        <c:axId val="107955328"/>
        <c:scaling>
          <c:orientation val="minMax"/>
        </c:scaling>
        <c:delete val="0"/>
        <c:axPos val="b"/>
        <c:numFmt formatCode="General" sourceLinked="1"/>
        <c:majorTickMark val="out"/>
        <c:minorTickMark val="none"/>
        <c:tickLblPos val="nextTo"/>
        <c:crossAx val="107956864"/>
        <c:crosses val="autoZero"/>
        <c:auto val="1"/>
        <c:lblAlgn val="ctr"/>
        <c:lblOffset val="100"/>
        <c:noMultiLvlLbl val="0"/>
      </c:catAx>
      <c:valAx>
        <c:axId val="107956864"/>
        <c:scaling>
          <c:orientation val="minMax"/>
        </c:scaling>
        <c:delete val="0"/>
        <c:axPos val="l"/>
        <c:majorGridlines>
          <c:spPr>
            <a:ln w="3175">
              <a:prstDash val="sysDot"/>
            </a:ln>
          </c:spPr>
        </c:majorGridlines>
        <c:numFmt formatCode="#,##0" sourceLinked="1"/>
        <c:majorTickMark val="out"/>
        <c:minorTickMark val="none"/>
        <c:tickLblPos val="nextTo"/>
        <c:crossAx val="107955328"/>
        <c:crosses val="autoZero"/>
        <c:crossBetween val="between"/>
      </c:valAx>
    </c:plotArea>
    <c:plotVisOnly val="1"/>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'UK scallop dredge under 15m'!$C$88</c:f>
              <c:strCache>
                <c:ptCount val="1"/>
                <c:pt idx="0">
                  <c:v>Scallops</c:v>
                </c:pt>
              </c:strCache>
            </c:strRef>
          </c:tx>
          <c:spPr>
            <a:solidFill>
              <a:srgbClr val="224B7D"/>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15m'!$D$88:$M$88</c:f>
              <c:numCache>
                <c:formatCode>0%</c:formatCode>
                <c:ptCount val="10"/>
                <c:pt idx="0">
                  <c:v>0.56213619265815695</c:v>
                </c:pt>
                <c:pt idx="1">
                  <c:v>0.69129699218022478</c:v>
                </c:pt>
                <c:pt idx="2">
                  <c:v>0.57652557768554291</c:v>
                </c:pt>
                <c:pt idx="3">
                  <c:v>0.62987676736229181</c:v>
                </c:pt>
                <c:pt idx="4">
                  <c:v>0.45944050330653324</c:v>
                </c:pt>
                <c:pt idx="5">
                  <c:v>0.70009931866975539</c:v>
                </c:pt>
                <c:pt idx="6">
                  <c:v>0.67863127745068952</c:v>
                </c:pt>
                <c:pt idx="7">
                  <c:v>0.77535266555436366</c:v>
                </c:pt>
                <c:pt idx="8">
                  <c:v>0.62463203602591644</c:v>
                </c:pt>
                <c:pt idx="9">
                  <c:v>0.5873012897265697</c:v>
                </c:pt>
              </c:numCache>
            </c:numRef>
          </c:val>
        </c:ser>
        <c:ser>
          <c:idx val="1"/>
          <c:order val="1"/>
          <c:tx>
            <c:strRef>
              <c:f>'UK scallop dredge under 15m'!$C$89</c:f>
              <c:strCache>
                <c:ptCount val="1"/>
                <c:pt idx="0">
                  <c:v>Cockles</c:v>
                </c:pt>
              </c:strCache>
            </c:strRef>
          </c:tx>
          <c:spPr>
            <a:solidFill>
              <a:srgbClr val="7F2321"/>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15m'!$D$89:$M$89</c:f>
              <c:numCache>
                <c:formatCode>0%</c:formatCode>
                <c:ptCount val="10"/>
                <c:pt idx="0">
                  <c:v>8.1396268837249014E-2</c:v>
                </c:pt>
                <c:pt idx="1">
                  <c:v>5.802183768509709E-2</c:v>
                </c:pt>
                <c:pt idx="2">
                  <c:v>0.19652019880181473</c:v>
                </c:pt>
                <c:pt idx="3">
                  <c:v>8.5957108373735075E-2</c:v>
                </c:pt>
                <c:pt idx="4">
                  <c:v>0.35922563347356207</c:v>
                </c:pt>
                <c:pt idx="5">
                  <c:v>9.3188637297177523E-2</c:v>
                </c:pt>
                <c:pt idx="6">
                  <c:v>0.12131615533762052</c:v>
                </c:pt>
                <c:pt idx="7">
                  <c:v>4.8613698080305107E-2</c:v>
                </c:pt>
                <c:pt idx="8">
                  <c:v>0.21541963790578059</c:v>
                </c:pt>
                <c:pt idx="9">
                  <c:v>0.31388833739192884</c:v>
                </c:pt>
              </c:numCache>
            </c:numRef>
          </c:val>
        </c:ser>
        <c:ser>
          <c:idx val="2"/>
          <c:order val="2"/>
          <c:tx>
            <c:strRef>
              <c:f>'UK scallop dredge under 15m'!$C$90</c:f>
              <c:strCache>
                <c:ptCount val="1"/>
                <c:pt idx="0">
                  <c:v>Queen Scallops</c:v>
                </c:pt>
              </c:strCache>
            </c:strRef>
          </c:tx>
          <c:spPr>
            <a:solidFill>
              <a:srgbClr val="607A2A"/>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15m'!$D$90:$M$90</c:f>
              <c:numCache>
                <c:formatCode>0%</c:formatCode>
                <c:ptCount val="10"/>
                <c:pt idx="5">
                  <c:v>3.8338849124142524E-2</c:v>
                </c:pt>
                <c:pt idx="6">
                  <c:v>5.0631988723719039E-2</c:v>
                </c:pt>
                <c:pt idx="7">
                  <c:v>4.6017935287259081E-2</c:v>
                </c:pt>
                <c:pt idx="8">
                  <c:v>6.1967354181508477E-2</c:v>
                </c:pt>
                <c:pt idx="9">
                  <c:v>3.3821183093668904E-2</c:v>
                </c:pt>
              </c:numCache>
            </c:numRef>
          </c:val>
        </c:ser>
        <c:ser>
          <c:idx val="3"/>
          <c:order val="3"/>
          <c:tx>
            <c:strRef>
              <c:f>'UK scallop dredge under 15m'!$C$91</c:f>
              <c:strCache>
                <c:ptCount val="1"/>
                <c:pt idx="0">
                  <c:v>Manilla Clam</c:v>
                </c:pt>
              </c:strCache>
            </c:strRef>
          </c:tx>
          <c:spPr>
            <a:solidFill>
              <a:srgbClr val="4B3467"/>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15m'!$D$91:$M$91</c:f>
              <c:numCache>
                <c:formatCode>0%</c:formatCode>
                <c:ptCount val="10"/>
                <c:pt idx="3">
                  <c:v>2.9792435059121415E-2</c:v>
                </c:pt>
                <c:pt idx="4">
                  <c:v>2.5508125398589834E-2</c:v>
                </c:pt>
                <c:pt idx="5">
                  <c:v>3.6045402292423256E-2</c:v>
                </c:pt>
                <c:pt idx="6">
                  <c:v>2.8217705768370665E-2</c:v>
                </c:pt>
                <c:pt idx="7">
                  <c:v>2.1321992609100532E-2</c:v>
                </c:pt>
                <c:pt idx="8">
                  <c:v>1.2513797948325888E-2</c:v>
                </c:pt>
                <c:pt idx="9">
                  <c:v>1.081399697013443E-2</c:v>
                </c:pt>
              </c:numCache>
            </c:numRef>
          </c:val>
        </c:ser>
        <c:ser>
          <c:idx val="4"/>
          <c:order val="4"/>
          <c:tx>
            <c:strRef>
              <c:f>'UK scallop dredge under 15m'!$C$92</c:f>
              <c:strCache>
                <c:ptCount val="1"/>
                <c:pt idx="0">
                  <c:v>Sole</c:v>
                </c:pt>
              </c:strCache>
            </c:strRef>
          </c:tx>
          <c:spPr>
            <a:solidFill>
              <a:srgbClr val="9B2D2A"/>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15m'!$D$92:$M$92</c:f>
              <c:numCache>
                <c:formatCode>0%</c:formatCode>
                <c:ptCount val="10"/>
                <c:pt idx="2">
                  <c:v>2.5409044219067888E-2</c:v>
                </c:pt>
                <c:pt idx="5">
                  <c:v>1.8915609174621352E-2</c:v>
                </c:pt>
                <c:pt idx="6">
                  <c:v>1.9297059004430163E-2</c:v>
                </c:pt>
                <c:pt idx="8">
                  <c:v>1.1279657390684397E-2</c:v>
                </c:pt>
              </c:numCache>
            </c:numRef>
          </c:val>
        </c:ser>
        <c:ser>
          <c:idx val="5"/>
          <c:order val="5"/>
          <c:tx>
            <c:strRef>
              <c:f>'UK scallop dredge under 15m'!$C$93</c:f>
              <c:strCache>
                <c:ptCount val="1"/>
                <c:pt idx="0">
                  <c:v>Mixed Clams</c:v>
                </c:pt>
              </c:strCache>
            </c:strRef>
          </c:tx>
          <c:spPr>
            <a:solidFill>
              <a:srgbClr val="769535"/>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15m'!$D$93:$M$93</c:f>
              <c:numCache>
                <c:formatCode>0%</c:formatCode>
                <c:ptCount val="10"/>
                <c:pt idx="4">
                  <c:v>1.7172540389446104E-2</c:v>
                </c:pt>
                <c:pt idx="9">
                  <c:v>7.0989808064329911E-3</c:v>
                </c:pt>
              </c:numCache>
            </c:numRef>
          </c:val>
        </c:ser>
        <c:ser>
          <c:idx val="6"/>
          <c:order val="6"/>
          <c:tx>
            <c:strRef>
              <c:f>'UK scallop dredge under 15m'!$C$94</c:f>
              <c:strCache>
                <c:ptCount val="1"/>
                <c:pt idx="0">
                  <c:v>Nephrops</c:v>
                </c:pt>
              </c:strCache>
            </c:strRef>
          </c:tx>
          <c:spPr>
            <a:solidFill>
              <a:srgbClr val="A85816"/>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15m'!$D$94:$M$94</c:f>
              <c:numCache>
                <c:formatCode>0%</c:formatCode>
                <c:ptCount val="10"/>
                <c:pt idx="1">
                  <c:v>1.6212090176022896E-2</c:v>
                </c:pt>
                <c:pt idx="7">
                  <c:v>2.2669358114643684E-2</c:v>
                </c:pt>
              </c:numCache>
            </c:numRef>
          </c:val>
        </c:ser>
        <c:ser>
          <c:idx val="7"/>
          <c:order val="7"/>
          <c:tx>
            <c:strRef>
              <c:f>'UK scallop dredge under 15m'!$C$95</c:f>
              <c:strCache>
                <c:ptCount val="1"/>
                <c:pt idx="0">
                  <c:v>Razor Clam</c:v>
                </c:pt>
              </c:strCache>
            </c:strRef>
          </c:tx>
          <c:spPr>
            <a:solidFill>
              <a:srgbClr val="5D417E"/>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15m'!$D$95:$M$95</c:f>
              <c:numCache>
                <c:formatCode>0%</c:formatCode>
                <c:ptCount val="10"/>
                <c:pt idx="2">
                  <c:v>2.4153860732717896E-2</c:v>
                </c:pt>
                <c:pt idx="3">
                  <c:v>3.3675942400310445E-2</c:v>
                </c:pt>
                <c:pt idx="4">
                  <c:v>2.3843297097828463E-2</c:v>
                </c:pt>
              </c:numCache>
            </c:numRef>
          </c:val>
        </c:ser>
        <c:ser>
          <c:idx val="8"/>
          <c:order val="8"/>
          <c:tx>
            <c:strRef>
              <c:f>'UK scallop dredge under 15m'!$C$96</c:f>
              <c:strCache>
                <c:ptCount val="1"/>
                <c:pt idx="0">
                  <c:v>Mussels</c:v>
                </c:pt>
              </c:strCache>
            </c:strRef>
          </c:tx>
          <c:spPr>
            <a:solidFill>
              <a:srgbClr val="2787A0"/>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15m'!$D$96:$M$96</c:f>
              <c:numCache>
                <c:formatCode>0%</c:formatCode>
                <c:ptCount val="10"/>
                <c:pt idx="0">
                  <c:v>0.10597318078541308</c:v>
                </c:pt>
                <c:pt idx="1">
                  <c:v>6.1226726709011491E-2</c:v>
                </c:pt>
                <c:pt idx="2">
                  <c:v>5.7301130465513272E-2</c:v>
                </c:pt>
                <c:pt idx="3">
                  <c:v>7.5443298148119828E-2</c:v>
                </c:pt>
              </c:numCache>
            </c:numRef>
          </c:val>
        </c:ser>
        <c:ser>
          <c:idx val="9"/>
          <c:order val="9"/>
          <c:tx>
            <c:strRef>
              <c:f>'UK scallop dredge under 15m'!$C$97</c:f>
              <c:strCache>
                <c:ptCount val="1"/>
                <c:pt idx="0">
                  <c:v>Native Oysters</c:v>
                </c:pt>
              </c:strCache>
            </c:strRef>
          </c:tx>
          <c:spPr>
            <a:solidFill>
              <a:srgbClr val="CB6C1D"/>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15m'!$D$97:$M$97</c:f>
              <c:numCache>
                <c:formatCode>0%</c:formatCode>
                <c:ptCount val="10"/>
                <c:pt idx="0">
                  <c:v>3.5703337341510967E-2</c:v>
                </c:pt>
                <c:pt idx="1">
                  <c:v>2.6936566824567864E-2</c:v>
                </c:pt>
              </c:numCache>
            </c:numRef>
          </c:val>
        </c:ser>
        <c:ser>
          <c:idx val="10"/>
          <c:order val="10"/>
          <c:tx>
            <c:strRef>
              <c:f>'UK scallop dredge under 15m'!$C$98</c:f>
              <c:strCache>
                <c:ptCount val="1"/>
                <c:pt idx="0">
                  <c:v>Lemon Sole</c:v>
                </c:pt>
              </c:strCache>
            </c:strRef>
          </c:tx>
          <c:spPr>
            <a:solidFill>
              <a:srgbClr val="7888A4"/>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15m'!$D$98:$M$98</c:f>
              <c:numCache>
                <c:formatCode>0%</c:formatCode>
                <c:ptCount val="10"/>
                <c:pt idx="0">
                  <c:v>1.8237614375364648E-2</c:v>
                </c:pt>
              </c:numCache>
            </c:numRef>
          </c:val>
        </c:ser>
        <c:ser>
          <c:idx val="11"/>
          <c:order val="11"/>
          <c:tx>
            <c:strRef>
              <c:f>'UK scallop dredge under 15m'!$C$99</c:f>
              <c:strCache>
                <c:ptCount val="1"/>
                <c:pt idx="0">
                  <c:v>Others</c:v>
                </c:pt>
              </c:strCache>
            </c:strRef>
          </c:tx>
          <c:spPr>
            <a:solidFill>
              <a:srgbClr val="008000"/>
            </a:solidFill>
            <a:ln>
              <a:solidFill>
                <a:srgbClr val="FFFFFF"/>
              </a:solidFill>
            </a:ln>
          </c:spPr>
          <c:invertIfNegative val="0"/>
          <c:cat>
            <c:numRef>
              <c:f>'UK scallop dredge under 15m'!$D$87:$M$87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'UK scallop dredge under 15m'!$D$99:$M$99</c:f>
              <c:numCache>
                <c:formatCode>0%</c:formatCode>
                <c:ptCount val="10"/>
                <c:pt idx="0">
                  <c:v>0.19655340600230531</c:v>
                </c:pt>
                <c:pt idx="1">
                  <c:v>0.14630578642507586</c:v>
                </c:pt>
                <c:pt idx="2">
                  <c:v>0.1200901880953433</c:v>
                </c:pt>
                <c:pt idx="3">
                  <c:v>0.14525444865642143</c:v>
                </c:pt>
                <c:pt idx="4">
                  <c:v>0.11480990033404029</c:v>
                </c:pt>
                <c:pt idx="5">
                  <c:v>0.11341218344188</c:v>
                </c:pt>
                <c:pt idx="6">
                  <c:v>0.10190581371517007</c:v>
                </c:pt>
                <c:pt idx="7">
                  <c:v>8.6024350354327969E-2</c:v>
                </c:pt>
                <c:pt idx="8">
                  <c:v>7.4187516547784216E-2</c:v>
                </c:pt>
                <c:pt idx="9">
                  <c:v>4.7076212011265182E-2</c:v>
                </c:pt>
              </c:numCache>
            </c:numRef>
          </c:val>
        </c:ser>
        <c:dLbls>
          <c:showLegendKey val="0"/>
          <c:showVal val="0"/>
          <c:showCatName val="0"/>
          <c:showSerName val="0"/>
          <c:showPercent val="0"/>
          <c:showBubbleSize val="0"/>
        </c:dLbls>
        <c:gapWidth val="150"/>
        <c:overlap val="100"/>
        <c:axId val="137590272"/>
        <c:axId val="137591808"/>
      </c:barChart>
      <c:catAx>
        <c:axId val="137590272"/>
        <c:scaling>
          <c:orientation val="minMax"/>
        </c:scaling>
        <c:delete val="0"/>
        <c:axPos val="b"/>
        <c:numFmt formatCode="General" sourceLinked="1"/>
        <c:majorTickMark val="out"/>
        <c:minorTickMark val="none"/>
        <c:tickLblPos val="nextTo"/>
        <c:crossAx val="137591808"/>
        <c:crosses val="autoZero"/>
        <c:auto val="1"/>
        <c:lblAlgn val="ctr"/>
        <c:lblOffset val="100"/>
        <c:noMultiLvlLbl val="0"/>
      </c:catAx>
      <c:valAx>
        <c:axId val="137591808"/>
        <c:scaling>
          <c:orientation val="minMax"/>
          <c:max val="1"/>
          <c:min val="0"/>
        </c:scaling>
        <c:delete val="0"/>
        <c:axPos val="l"/>
        <c:majorGridlines/>
        <c:numFmt formatCode="0%" sourceLinked="1"/>
        <c:majorTickMark val="out"/>
        <c:minorTickMark val="none"/>
        <c:tickLblPos val="nextTo"/>
        <c:crossAx val="1375902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trawl-seine'!$A$45</c:f>
          <c:strCache>
            <c:ptCount val="1"/>
            <c:pt idx="0">
              <c:v>Landings per kW day at sea (kg)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'U10m demersal trawl-seine'!$D$2:$M$2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trawl-seine'!$D$20:$M$20</c:f>
              <c:numCache>
                <c:formatCode>#,##0.00</c:formatCode>
                <c:ptCount val="10"/>
                <c:pt idx="0">
                  <c:v>1.7640136454458162</c:v>
                </c:pt>
                <c:pt idx="1">
                  <c:v>2.3530804304718198</c:v>
                </c:pt>
                <c:pt idx="2">
                  <c:v>2.4257278765443018</c:v>
                </c:pt>
                <c:pt idx="3">
                  <c:v>2.180923987630651</c:v>
                </c:pt>
                <c:pt idx="4">
                  <c:v>2.430407127964139</c:v>
                </c:pt>
                <c:pt idx="5">
                  <c:v>2.2376317665257308</c:v>
                </c:pt>
                <c:pt idx="6">
                  <c:v>2.2355458456570521</c:v>
                </c:pt>
                <c:pt idx="7">
                  <c:v>2.5677119709876282</c:v>
                </c:pt>
                <c:pt idx="8">
                  <c:v>2.6321314727994696</c:v>
                </c:pt>
                <c:pt idx="9">
                  <c:v>2.3035398448607642</c:v>
                </c:pt>
              </c:numCache>
            </c:numRef>
          </c:val>
          <c:smooth val="0"/>
        </c:ser>
        <c:dLbls>
          <c:showLegendKey val="0"/>
          <c:showVal val="0"/>
          <c:showCatName val="0"/>
          <c:showSerName val="0"/>
          <c:showPercent val="0"/>
          <c:showBubbleSize val="0"/>
        </c:dLbls>
        <c:marker val="1"/>
        <c:smooth val="0"/>
        <c:axId val="138085504"/>
        <c:axId val="138087040"/>
      </c:lineChart>
      <c:catAx>
        <c:axId val="138085504"/>
        <c:scaling>
          <c:orientation val="minMax"/>
        </c:scaling>
        <c:delete val="0"/>
        <c:axPos val="b"/>
        <c:numFmt formatCode="General" sourceLinked="1"/>
        <c:majorTickMark val="out"/>
        <c:minorTickMark val="none"/>
        <c:tickLblPos val="nextTo"/>
        <c:crossAx val="138087040"/>
        <c:crosses val="autoZero"/>
        <c:auto val="1"/>
        <c:lblAlgn val="ctr"/>
        <c:lblOffset val="100"/>
        <c:noMultiLvlLbl val="0"/>
      </c:catAx>
      <c:valAx>
        <c:axId val="138087040"/>
        <c:scaling>
          <c:orientation val="minMax"/>
        </c:scaling>
        <c:delete val="0"/>
        <c:axPos val="l"/>
        <c:majorGridlines>
          <c:spPr>
            <a:ln w="3175">
              <a:prstDash val="sysDot"/>
            </a:ln>
          </c:spPr>
        </c:majorGridlines>
        <c:numFmt formatCode="#,##0.00" sourceLinked="1"/>
        <c:majorTickMark val="out"/>
        <c:minorTickMark val="none"/>
        <c:tickLblPos val="nextTo"/>
        <c:crossAx val="138085504"/>
        <c:crosses val="autoZero"/>
        <c:crossBetween val="between"/>
      </c:valAx>
    </c:plotArea>
    <c:plotVisOnly val="1"/>
    <c:dispBlanksAs val="gap"/>
    <c:showDLblsOverMax val="0"/>
  </c:chart>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trawl-seine'!$F$45</c:f>
          <c:strCache>
            <c:ptCount val="1"/>
            <c:pt idx="0">
              <c:v>Income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'U10m demersal trawl-seine'!$D$2:$M$2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trawl-seine'!$D$21:$M$21</c:f>
              <c:numCache>
                <c:formatCode>#,##0.00</c:formatCode>
                <c:ptCount val="10"/>
                <c:pt idx="0">
                  <c:v>4.0025208047030976</c:v>
                </c:pt>
                <c:pt idx="1">
                  <c:v>5.2669591054512575</c:v>
                </c:pt>
                <c:pt idx="2">
                  <c:v>5.2881565710322755</c:v>
                </c:pt>
                <c:pt idx="3">
                  <c:v>4.8965378677386653</c:v>
                </c:pt>
                <c:pt idx="4">
                  <c:v>4.9232928956466449</c:v>
                </c:pt>
                <c:pt idx="5">
                  <c:v>4.9569696246065602</c:v>
                </c:pt>
                <c:pt idx="6">
                  <c:v>5.5793479156207697</c:v>
                </c:pt>
                <c:pt idx="7">
                  <c:v>5.9034737610562047</c:v>
                </c:pt>
                <c:pt idx="8">
                  <c:v>5.5125960955572726</c:v>
                </c:pt>
                <c:pt idx="9">
                  <c:v>5.5982406205399178</c:v>
                </c:pt>
              </c:numCache>
            </c:numRef>
          </c:val>
          <c:smooth val="0"/>
        </c:ser>
        <c:dLbls>
          <c:showLegendKey val="0"/>
          <c:showVal val="0"/>
          <c:showCatName val="0"/>
          <c:showSerName val="0"/>
          <c:showPercent val="0"/>
          <c:showBubbleSize val="0"/>
        </c:dLbls>
        <c:marker val="1"/>
        <c:smooth val="0"/>
        <c:axId val="138107520"/>
        <c:axId val="135647616"/>
      </c:lineChart>
      <c:catAx>
        <c:axId val="138107520"/>
        <c:scaling>
          <c:orientation val="minMax"/>
        </c:scaling>
        <c:delete val="0"/>
        <c:axPos val="b"/>
        <c:numFmt formatCode="General" sourceLinked="1"/>
        <c:majorTickMark val="out"/>
        <c:minorTickMark val="none"/>
        <c:tickLblPos val="nextTo"/>
        <c:crossAx val="135647616"/>
        <c:crosses val="autoZero"/>
        <c:auto val="1"/>
        <c:lblAlgn val="ctr"/>
        <c:lblOffset val="100"/>
        <c:noMultiLvlLbl val="0"/>
      </c:catAx>
      <c:valAx>
        <c:axId val="135647616"/>
        <c:scaling>
          <c:orientation val="minMax"/>
        </c:scaling>
        <c:delete val="0"/>
        <c:axPos val="l"/>
        <c:majorGridlines>
          <c:spPr>
            <a:ln w="3175">
              <a:prstDash val="sysDot"/>
            </a:ln>
          </c:spPr>
        </c:majorGridlines>
        <c:numFmt formatCode="#,##0.00" sourceLinked="1"/>
        <c:majorTickMark val="out"/>
        <c:minorTickMark val="none"/>
        <c:tickLblPos val="nextTo"/>
        <c:crossAx val="138107520"/>
        <c:crosses val="autoZero"/>
        <c:crossBetween val="between"/>
      </c:valAx>
    </c:plotArea>
    <c:plotVisOnly val="1"/>
    <c:dispBlanksAs val="gap"/>
    <c:showDLblsOverMax val="0"/>
  </c:chart>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trawl-seine'!$K$45</c:f>
          <c:strCache>
            <c:ptCount val="1"/>
            <c:pt idx="0">
              <c:v>Operating profit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'U10m demersal trawl-seine'!$D$2:$M$2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trawl-seine'!$D$23:$M$23</c:f>
              <c:numCache>
                <c:formatCode>#,##0.00</c:formatCode>
                <c:ptCount val="10"/>
                <c:pt idx="0">
                  <c:v>0.69244837841242179</c:v>
                </c:pt>
                <c:pt idx="1">
                  <c:v>0.99467364940422232</c:v>
                </c:pt>
                <c:pt idx="2">
                  <c:v>1.3564773309053157</c:v>
                </c:pt>
                <c:pt idx="3">
                  <c:v>0.61216969553274181</c:v>
                </c:pt>
                <c:pt idx="4">
                  <c:v>1.2258779672162357</c:v>
                </c:pt>
                <c:pt idx="5">
                  <c:v>1.0123605363769863</c:v>
                </c:pt>
                <c:pt idx="6">
                  <c:v>1.1786490006228705</c:v>
                </c:pt>
                <c:pt idx="7">
                  <c:v>1.2074135684933311</c:v>
                </c:pt>
                <c:pt idx="8">
                  <c:v>1.3852693394142355</c:v>
                </c:pt>
                <c:pt idx="9">
                  <c:v>1.4583149022507034</c:v>
                </c:pt>
              </c:numCache>
            </c:numRef>
          </c:val>
          <c:smooth val="0"/>
        </c:ser>
        <c:dLbls>
          <c:showLegendKey val="0"/>
          <c:showVal val="0"/>
          <c:showCatName val="0"/>
          <c:showSerName val="0"/>
          <c:showPercent val="0"/>
          <c:showBubbleSize val="0"/>
        </c:dLbls>
        <c:marker val="1"/>
        <c:smooth val="0"/>
        <c:axId val="138125696"/>
        <c:axId val="138127232"/>
      </c:lineChart>
      <c:catAx>
        <c:axId val="138125696"/>
        <c:scaling>
          <c:orientation val="minMax"/>
        </c:scaling>
        <c:delete val="0"/>
        <c:axPos val="b"/>
        <c:numFmt formatCode="General" sourceLinked="1"/>
        <c:majorTickMark val="out"/>
        <c:minorTickMark val="none"/>
        <c:tickLblPos val="nextTo"/>
        <c:crossAx val="138127232"/>
        <c:crosses val="autoZero"/>
        <c:auto val="1"/>
        <c:lblAlgn val="ctr"/>
        <c:lblOffset val="100"/>
        <c:noMultiLvlLbl val="0"/>
      </c:catAx>
      <c:valAx>
        <c:axId val="138127232"/>
        <c:scaling>
          <c:orientation val="minMax"/>
        </c:scaling>
        <c:delete val="0"/>
        <c:axPos val="l"/>
        <c:majorGridlines>
          <c:spPr>
            <a:ln w="3175">
              <a:prstDash val="sysDot"/>
            </a:ln>
          </c:spPr>
        </c:majorGridlines>
        <c:numFmt formatCode="#,##0.00" sourceLinked="1"/>
        <c:majorTickMark val="out"/>
        <c:minorTickMark val="none"/>
        <c:tickLblPos val="nextTo"/>
        <c:crossAx val="13812569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trawl-seine'!$B$59</c:f>
          <c:strCache>
            <c:ptCount val="1"/>
            <c:pt idx="0">
              <c:v>Total cost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'U10m demersal trawl-seine'!$D$2:$M$2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trawl-seine'!$D$22:$M$22</c:f>
              <c:numCache>
                <c:formatCode>#,##0.00</c:formatCode>
                <c:ptCount val="10"/>
                <c:pt idx="0">
                  <c:v>3.3100724262906782</c:v>
                </c:pt>
                <c:pt idx="1">
                  <c:v>4.272285456047034</c:v>
                </c:pt>
                <c:pt idx="2">
                  <c:v>3.93167924012696</c:v>
                </c:pt>
                <c:pt idx="3">
                  <c:v>4.2843681722059257</c:v>
                </c:pt>
                <c:pt idx="4">
                  <c:v>3.6974149284304088</c:v>
                </c:pt>
                <c:pt idx="5">
                  <c:v>3.9446090882295746</c:v>
                </c:pt>
                <c:pt idx="6">
                  <c:v>4.4006989149979079</c:v>
                </c:pt>
                <c:pt idx="7">
                  <c:v>4.6960601925628742</c:v>
                </c:pt>
                <c:pt idx="8">
                  <c:v>4.127326756143038</c:v>
                </c:pt>
                <c:pt idx="9">
                  <c:v>4.139925718289204</c:v>
                </c:pt>
              </c:numCache>
            </c:numRef>
          </c:val>
          <c:smooth val="0"/>
        </c:ser>
        <c:dLbls>
          <c:showLegendKey val="0"/>
          <c:showVal val="0"/>
          <c:showCatName val="0"/>
          <c:showSerName val="0"/>
          <c:showPercent val="0"/>
          <c:showBubbleSize val="0"/>
        </c:dLbls>
        <c:marker val="1"/>
        <c:smooth val="0"/>
        <c:axId val="138143616"/>
        <c:axId val="138145152"/>
      </c:lineChart>
      <c:catAx>
        <c:axId val="138143616"/>
        <c:scaling>
          <c:orientation val="minMax"/>
        </c:scaling>
        <c:delete val="0"/>
        <c:axPos val="b"/>
        <c:numFmt formatCode="General" sourceLinked="1"/>
        <c:majorTickMark val="out"/>
        <c:minorTickMark val="none"/>
        <c:tickLblPos val="nextTo"/>
        <c:crossAx val="138145152"/>
        <c:crosses val="autoZero"/>
        <c:auto val="1"/>
        <c:lblAlgn val="ctr"/>
        <c:lblOffset val="100"/>
        <c:noMultiLvlLbl val="0"/>
      </c:catAx>
      <c:valAx>
        <c:axId val="138145152"/>
        <c:scaling>
          <c:orientation val="minMax"/>
        </c:scaling>
        <c:delete val="0"/>
        <c:axPos val="l"/>
        <c:majorGridlines>
          <c:spPr>
            <a:ln w="3175">
              <a:prstDash val="sysDot"/>
            </a:ln>
          </c:spPr>
        </c:majorGridlines>
        <c:numFmt formatCode="#,##0.00" sourceLinked="1"/>
        <c:majorTickMark val="out"/>
        <c:minorTickMark val="none"/>
        <c:tickLblPos val="nextTo"/>
        <c:crossAx val="138143616"/>
        <c:crosses val="autoZero"/>
        <c:crossBetween val="between"/>
      </c:valAx>
    </c:plotArea>
    <c:plotVisOnly val="1"/>
    <c:dispBlanksAs val="gap"/>
    <c:showDLblsOverMax val="0"/>
  </c:chart>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trawl-seine'!$F$59</c:f>
          <c:strCache>
            <c:ptCount val="1"/>
            <c:pt idx="0">
              <c:v>Average price per tonne landed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'U10m demersal trawl-seine'!$D$2:$M$2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trawl-seine'!$D$19:$M$19</c:f>
              <c:numCache>
                <c:formatCode>#,##0</c:formatCode>
                <c:ptCount val="10"/>
                <c:pt idx="0">
                  <c:v>2268.985341775729</c:v>
                </c:pt>
                <c:pt idx="1">
                  <c:v>2238.3250256580059</c:v>
                </c:pt>
                <c:pt idx="2">
                  <c:v>2180.0285668288284</c:v>
                </c:pt>
                <c:pt idx="3">
                  <c:v>2245.1667953379301</c:v>
                </c:pt>
                <c:pt idx="4">
                  <c:v>2025.7070343247933</c:v>
                </c:pt>
                <c:pt idx="5">
                  <c:v>2215.2748919560313</c:v>
                </c:pt>
                <c:pt idx="6">
                  <c:v>2495.7430259675089</c:v>
                </c:pt>
                <c:pt idx="7">
                  <c:v>2299.1181970728526</c:v>
                </c:pt>
                <c:pt idx="8">
                  <c:v>2094.3467837567509</c:v>
                </c:pt>
                <c:pt idx="9">
                  <c:v>2430.2771782078407</c:v>
                </c:pt>
              </c:numCache>
            </c:numRef>
          </c:val>
          <c:smooth val="0"/>
        </c:ser>
        <c:dLbls>
          <c:showLegendKey val="0"/>
          <c:showVal val="0"/>
          <c:showCatName val="0"/>
          <c:showSerName val="0"/>
          <c:showPercent val="0"/>
          <c:showBubbleSize val="0"/>
        </c:dLbls>
        <c:marker val="1"/>
        <c:smooth val="0"/>
        <c:axId val="138833280"/>
        <c:axId val="138839168"/>
      </c:lineChart>
      <c:catAx>
        <c:axId val="138833280"/>
        <c:scaling>
          <c:orientation val="minMax"/>
        </c:scaling>
        <c:delete val="0"/>
        <c:axPos val="b"/>
        <c:numFmt formatCode="General" sourceLinked="1"/>
        <c:majorTickMark val="out"/>
        <c:minorTickMark val="none"/>
        <c:tickLblPos val="nextTo"/>
        <c:crossAx val="138839168"/>
        <c:crosses val="autoZero"/>
        <c:auto val="1"/>
        <c:lblAlgn val="ctr"/>
        <c:lblOffset val="100"/>
        <c:noMultiLvlLbl val="0"/>
      </c:catAx>
      <c:valAx>
        <c:axId val="138839168"/>
        <c:scaling>
          <c:orientation val="minMax"/>
        </c:scaling>
        <c:delete val="0"/>
        <c:axPos val="l"/>
        <c:majorGridlines>
          <c:spPr>
            <a:ln w="3175">
              <a:prstDash val="sysDot"/>
            </a:ln>
          </c:spPr>
        </c:majorGridlines>
        <c:numFmt formatCode="#,##0" sourceLinked="1"/>
        <c:majorTickMark val="out"/>
        <c:minorTickMark val="none"/>
        <c:tickLblPos val="nextTo"/>
        <c:crossAx val="138833280"/>
        <c:crosses val="autoZero"/>
        <c:crossBetween val="between"/>
      </c:valAx>
    </c:plotArea>
    <c:plotVisOnly val="1"/>
    <c:dispBlanksAs val="gap"/>
    <c:showDLblsOverMax val="0"/>
  </c:chart>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trawl-seine'!$K$59</c:f>
          <c:strCache>
            <c:ptCount val="1"/>
            <c:pt idx="0">
              <c:v>Average annual operating profit per vessel (£'000)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'U10m demersal trawl-seine'!$D$2:$M$2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trawl-seine'!$D$34:$M$34</c:f>
              <c:numCache>
                <c:formatCode>#,##0.0</c:formatCode>
                <c:ptCount val="10"/>
                <c:pt idx="0">
                  <c:v>8.5413299234818538</c:v>
                </c:pt>
                <c:pt idx="1">
                  <c:v>11.109888154455296</c:v>
                </c:pt>
                <c:pt idx="2">
                  <c:v>15.89741958840694</c:v>
                </c:pt>
                <c:pt idx="3">
                  <c:v>6.8973060919203677</c:v>
                </c:pt>
                <c:pt idx="4">
                  <c:v>13.707056219684404</c:v>
                </c:pt>
                <c:pt idx="5">
                  <c:v>11.443796850968432</c:v>
                </c:pt>
                <c:pt idx="6">
                  <c:v>14.157383888258018</c:v>
                </c:pt>
                <c:pt idx="7">
                  <c:v>13.619753866890781</c:v>
                </c:pt>
                <c:pt idx="8">
                  <c:v>15.338387730198653</c:v>
                </c:pt>
                <c:pt idx="9">
                  <c:v>17.499999932009818</c:v>
                </c:pt>
              </c:numCache>
            </c:numRef>
          </c:val>
          <c:smooth val="0"/>
        </c:ser>
        <c:dLbls>
          <c:showLegendKey val="0"/>
          <c:showVal val="0"/>
          <c:showCatName val="0"/>
          <c:showSerName val="0"/>
          <c:showPercent val="0"/>
          <c:showBubbleSize val="0"/>
        </c:dLbls>
        <c:marker val="1"/>
        <c:smooth val="0"/>
        <c:axId val="138863744"/>
        <c:axId val="138865280"/>
      </c:lineChart>
      <c:catAx>
        <c:axId val="138863744"/>
        <c:scaling>
          <c:orientation val="minMax"/>
        </c:scaling>
        <c:delete val="0"/>
        <c:axPos val="b"/>
        <c:numFmt formatCode="General" sourceLinked="1"/>
        <c:majorTickMark val="out"/>
        <c:minorTickMark val="none"/>
        <c:tickLblPos val="nextTo"/>
        <c:crossAx val="138865280"/>
        <c:crosses val="autoZero"/>
        <c:auto val="1"/>
        <c:lblAlgn val="ctr"/>
        <c:lblOffset val="100"/>
        <c:noMultiLvlLbl val="0"/>
      </c:catAx>
      <c:valAx>
        <c:axId val="138865280"/>
        <c:scaling>
          <c:orientation val="minMax"/>
        </c:scaling>
        <c:delete val="0"/>
        <c:axPos val="l"/>
        <c:majorGridlines>
          <c:spPr>
            <a:ln w="3175">
              <a:prstDash val="sysDot"/>
            </a:ln>
          </c:spPr>
        </c:majorGridlines>
        <c:numFmt formatCode="#,##0.0" sourceLinked="1"/>
        <c:majorTickMark val="out"/>
        <c:minorTickMark val="none"/>
        <c:tickLblPos val="nextTo"/>
        <c:crossAx val="138863744"/>
        <c:crosses val="autoZero"/>
        <c:crossBetween val="between"/>
      </c:valAx>
    </c:plotArea>
    <c:plotVisOnly val="1"/>
    <c:dispBlanksAs val="gap"/>
    <c:showDLblsOverMax val="0"/>
  </c:chart>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trawl-seine'!$A$73</c:f>
          <c:strCache>
            <c:ptCount val="1"/>
            <c:pt idx="0">
              <c:v>Top 5 landed species by volume in 2013
Under 10m demersal trawl/seine</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69535"/>
              </a:solidFill>
              <a:ln>
                <a:solidFill>
                  <a:srgbClr val="FFFFFF"/>
                </a:solidFill>
              </a:ln>
            </c:spPr>
          </c:dPt>
          <c:dPt>
            <c:idx val="2"/>
            <c:bubble3D val="0"/>
            <c:spPr>
              <a:solidFill>
                <a:srgbClr val="A85816"/>
              </a:solidFill>
              <a:ln>
                <a:solidFill>
                  <a:srgbClr val="FFFFFF"/>
                </a:solidFill>
              </a:ln>
            </c:spPr>
          </c:dPt>
          <c:dPt>
            <c:idx val="3"/>
            <c:bubble3D val="0"/>
            <c:spPr>
              <a:solidFill>
                <a:srgbClr val="4B3467"/>
              </a:solidFill>
              <a:ln>
                <a:solidFill>
                  <a:srgbClr val="FFFFFF"/>
                </a:solidFill>
              </a:ln>
            </c:spPr>
          </c:dPt>
          <c:dPt>
            <c:idx val="4"/>
            <c:bubble3D val="0"/>
            <c:spPr>
              <a:solidFill>
                <a:srgbClr val="5D417E"/>
              </a:solidFill>
              <a:ln>
                <a:solidFill>
                  <a:srgbClr val="FFFFFF"/>
                </a:solidFill>
              </a:ln>
            </c:spPr>
          </c:dPt>
          <c:dPt>
            <c:idx val="5"/>
            <c:bubble3D val="0"/>
            <c:spPr>
              <a:solidFill>
                <a:srgbClr val="008000"/>
              </a:solidFill>
              <a:ln>
                <a:solidFill>
                  <a:srgbClr val="FFFFFF"/>
                </a:solidFill>
              </a:ln>
            </c:spPr>
          </c:dPt>
          <c:cat>
            <c:strRef>
              <c:f>'U10m demersal trawl-seine'!$B$74:$B$79</c:f>
              <c:strCache>
                <c:ptCount val="6"/>
                <c:pt idx="0">
                  <c:v>Nephrops - 34.0%</c:v>
                </c:pt>
                <c:pt idx="1">
                  <c:v>Cockles - 9.5%</c:v>
                </c:pt>
                <c:pt idx="2">
                  <c:v>Whiting - 8.4%</c:v>
                </c:pt>
                <c:pt idx="3">
                  <c:v>Scallops - 7.4%</c:v>
                </c:pt>
                <c:pt idx="4">
                  <c:v>Plaice - 5.1%</c:v>
                </c:pt>
                <c:pt idx="5">
                  <c:v>Others - 35.6%</c:v>
                </c:pt>
              </c:strCache>
            </c:strRef>
          </c:cat>
          <c:val>
            <c:numRef>
              <c:f>'U10m demersal trawl-seine'!$C$74:$C$79</c:f>
              <c:numCache>
                <c:formatCode>0.0%</c:formatCode>
                <c:ptCount val="6"/>
                <c:pt idx="0">
                  <c:v>0.33961306727841406</c:v>
                </c:pt>
                <c:pt idx="1">
                  <c:v>9.5267601847450312E-2</c:v>
                </c:pt>
                <c:pt idx="2">
                  <c:v>8.3652956911361431E-2</c:v>
                </c:pt>
                <c:pt idx="3">
                  <c:v>7.4398448765530423E-2</c:v>
                </c:pt>
                <c:pt idx="4">
                  <c:v>5.1498210371358918E-2</c:v>
                </c:pt>
                <c:pt idx="5">
                  <c:v>0.35556971482588484</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trawl-seine'!$F$73</c:f>
          <c:strCache>
            <c:ptCount val="1"/>
            <c:pt idx="0">
              <c:v>Top 5 landed species by value in 2013
Under 10m demersal trawl/seine</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'U10m demersal trawl-seine'!$G$74:$G$79</c:f>
              <c:strCache>
                <c:ptCount val="6"/>
                <c:pt idx="0">
                  <c:v>Nephrops - 47.4%</c:v>
                </c:pt>
                <c:pt idx="1">
                  <c:v>Sole - 11.7%</c:v>
                </c:pt>
                <c:pt idx="2">
                  <c:v>Lemon Sole - 5.4%</c:v>
                </c:pt>
                <c:pt idx="3">
                  <c:v>Scallops - 4.9%</c:v>
                </c:pt>
                <c:pt idx="4">
                  <c:v>Squid - 4.3%</c:v>
                </c:pt>
                <c:pt idx="5">
                  <c:v>Others - 26.3%</c:v>
                </c:pt>
              </c:strCache>
            </c:strRef>
          </c:cat>
          <c:val>
            <c:numRef>
              <c:f>'U10m demersal trawl-seine'!$H$74:$H$79</c:f>
              <c:numCache>
                <c:formatCode>0.0%</c:formatCode>
                <c:ptCount val="6"/>
                <c:pt idx="0">
                  <c:v>0.47418312957348191</c:v>
                </c:pt>
                <c:pt idx="1">
                  <c:v>0.11664007365245915</c:v>
                </c:pt>
                <c:pt idx="2">
                  <c:v>5.3843718617891646E-2</c:v>
                </c:pt>
                <c:pt idx="3">
                  <c:v>4.9169922507019986E-2</c:v>
                </c:pt>
                <c:pt idx="4">
                  <c:v>4.3121147369476358E-2</c:v>
                </c:pt>
                <c:pt idx="5">
                  <c:v>0.26304200827967095</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demersal trawl-seine'!$C$88</c:f>
              <c:strCache>
                <c:ptCount val="1"/>
                <c:pt idx="0">
                  <c:v>Nephrops</c:v>
                </c:pt>
              </c:strCache>
            </c:strRef>
          </c:tx>
          <c:spPr>
            <a:solidFill>
              <a:srgbClr val="224B7D"/>
            </a:solidFill>
            <a:ln>
              <a:solidFill>
                <a:srgbClr val="FFFFFF"/>
              </a:solidFill>
            </a:ln>
          </c:spPr>
          <c:invertIfNegative val="0"/>
          <c:cat>
            <c:numRef>
              <c:f>'U10m demersal trawl-seine'!$D$87:$M$87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trawl-seine'!$D$88:$M$88</c:f>
              <c:numCache>
                <c:formatCode>0%</c:formatCode>
                <c:ptCount val="10"/>
                <c:pt idx="0">
                  <c:v>0.67920841047561553</c:v>
                </c:pt>
                <c:pt idx="1">
                  <c:v>0.72414254832439517</c:v>
                </c:pt>
                <c:pt idx="2">
                  <c:v>0.51289742460840648</c:v>
                </c:pt>
                <c:pt idx="3">
                  <c:v>0.49185564014213518</c:v>
                </c:pt>
                <c:pt idx="4">
                  <c:v>0.45741285255011133</c:v>
                </c:pt>
                <c:pt idx="5">
                  <c:v>0.43455469614574138</c:v>
                </c:pt>
                <c:pt idx="6">
                  <c:v>0.45769721554046949</c:v>
                </c:pt>
                <c:pt idx="7">
                  <c:v>0.48157103698558984</c:v>
                </c:pt>
                <c:pt idx="8">
                  <c:v>0.48227080109486442</c:v>
                </c:pt>
                <c:pt idx="9">
                  <c:v>0.54334627344387598</c:v>
                </c:pt>
              </c:numCache>
            </c:numRef>
          </c:val>
        </c:ser>
        <c:ser>
          <c:idx val="1"/>
          <c:order val="1"/>
          <c:tx>
            <c:strRef>
              <c:f>'U10m demersal trawl-seine'!$C$89</c:f>
              <c:strCache>
                <c:ptCount val="1"/>
                <c:pt idx="0">
                  <c:v>Sole</c:v>
                </c:pt>
              </c:strCache>
            </c:strRef>
          </c:tx>
          <c:spPr>
            <a:solidFill>
              <a:srgbClr val="7F2321"/>
            </a:solidFill>
            <a:ln>
              <a:solidFill>
                <a:srgbClr val="FFFFFF"/>
              </a:solidFill>
            </a:ln>
          </c:spPr>
          <c:invertIfNegative val="0"/>
          <c:cat>
            <c:numRef>
              <c:f>'U10m demersal trawl-seine'!$D$87:$M$87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trawl-seine'!$D$89:$M$89</c:f>
              <c:numCache>
                <c:formatCode>0%</c:formatCode>
                <c:ptCount val="10"/>
                <c:pt idx="0">
                  <c:v>4.1229296859711148E-2</c:v>
                </c:pt>
                <c:pt idx="1">
                  <c:v>5.0565832704827111E-2</c:v>
                </c:pt>
                <c:pt idx="2">
                  <c:v>0.10189102333741609</c:v>
                </c:pt>
                <c:pt idx="3">
                  <c:v>0.12510705455502266</c:v>
                </c:pt>
                <c:pt idx="4">
                  <c:v>0.15886155793311535</c:v>
                </c:pt>
                <c:pt idx="5">
                  <c:v>0.14287130766691439</c:v>
                </c:pt>
                <c:pt idx="6">
                  <c:v>0.16958679529200646</c:v>
                </c:pt>
                <c:pt idx="7">
                  <c:v>0.11775128100563183</c:v>
                </c:pt>
                <c:pt idx="8">
                  <c:v>0.11862948774818936</c:v>
                </c:pt>
                <c:pt idx="9">
                  <c:v>8.5636138418390378E-2</c:v>
                </c:pt>
              </c:numCache>
            </c:numRef>
          </c:val>
        </c:ser>
        <c:ser>
          <c:idx val="2"/>
          <c:order val="2"/>
          <c:tx>
            <c:strRef>
              <c:f>'U10m demersal trawl-seine'!$C$90</c:f>
              <c:strCache>
                <c:ptCount val="1"/>
                <c:pt idx="0">
                  <c:v>Lemon Sole</c:v>
                </c:pt>
              </c:strCache>
            </c:strRef>
          </c:tx>
          <c:spPr>
            <a:solidFill>
              <a:srgbClr val="607A2A"/>
            </a:solidFill>
            <a:ln>
              <a:solidFill>
                <a:srgbClr val="FFFFFF"/>
              </a:solidFill>
            </a:ln>
          </c:spPr>
          <c:invertIfNegative val="0"/>
          <c:cat>
            <c:numRef>
              <c:f>'U10m demersal trawl-seine'!$D$87:$M$87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trawl-seine'!$D$90:$M$90</c:f>
              <c:numCache>
                <c:formatCode>0%</c:formatCode>
                <c:ptCount val="10"/>
                <c:pt idx="0">
                  <c:v>1.337610757982966E-2</c:v>
                </c:pt>
                <c:pt idx="1">
                  <c:v>2.5378895246437754E-2</c:v>
                </c:pt>
                <c:pt idx="2">
                  <c:v>3.3325136703095892E-2</c:v>
                </c:pt>
                <c:pt idx="4">
                  <c:v>4.4723568473290495E-2</c:v>
                </c:pt>
                <c:pt idx="5">
                  <c:v>5.7645482037593225E-2</c:v>
                </c:pt>
                <c:pt idx="6">
                  <c:v>2.9377806851758684E-2</c:v>
                </c:pt>
                <c:pt idx="7">
                  <c:v>5.3377336330826801E-2</c:v>
                </c:pt>
                <c:pt idx="8">
                  <c:v>5.4762077544036815E-2</c:v>
                </c:pt>
                <c:pt idx="9">
                  <c:v>4.9918431954683692E-2</c:v>
                </c:pt>
              </c:numCache>
            </c:numRef>
          </c:val>
        </c:ser>
        <c:ser>
          <c:idx val="3"/>
          <c:order val="3"/>
          <c:tx>
            <c:strRef>
              <c:f>'U10m demersal trawl-seine'!$C$91</c:f>
              <c:strCache>
                <c:ptCount val="1"/>
                <c:pt idx="0">
                  <c:v>Scallops</c:v>
                </c:pt>
              </c:strCache>
            </c:strRef>
          </c:tx>
          <c:spPr>
            <a:solidFill>
              <a:srgbClr val="4B3467"/>
            </a:solidFill>
            <a:ln>
              <a:solidFill>
                <a:srgbClr val="FFFFFF"/>
              </a:solidFill>
            </a:ln>
          </c:spPr>
          <c:invertIfNegative val="0"/>
          <c:cat>
            <c:numRef>
              <c:f>'U10m demersal trawl-seine'!$D$87:$M$87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trawl-seine'!$D$91:$M$91</c:f>
              <c:numCache>
                <c:formatCode>0%</c:formatCode>
                <c:ptCount val="10"/>
                <c:pt idx="2">
                  <c:v>3.8249869734620086E-2</c:v>
                </c:pt>
                <c:pt idx="3">
                  <c:v>6.313767142567063E-2</c:v>
                </c:pt>
                <c:pt idx="4">
                  <c:v>5.7625482757985041E-2</c:v>
                </c:pt>
                <c:pt idx="5">
                  <c:v>3.9199399080442149E-2</c:v>
                </c:pt>
                <c:pt idx="6">
                  <c:v>5.7389997156610181E-2</c:v>
                </c:pt>
                <c:pt idx="7">
                  <c:v>6.8576402638031719E-2</c:v>
                </c:pt>
                <c:pt idx="8">
                  <c:v>5.0008565126647357E-2</c:v>
                </c:pt>
                <c:pt idx="9">
                  <c:v>4.5470056362853929E-2</c:v>
                </c:pt>
              </c:numCache>
            </c:numRef>
          </c:val>
        </c:ser>
        <c:ser>
          <c:idx val="4"/>
          <c:order val="4"/>
          <c:tx>
            <c:strRef>
              <c:f>'U10m demersal trawl-seine'!$C$92</c:f>
              <c:strCache>
                <c:ptCount val="1"/>
                <c:pt idx="0">
                  <c:v>Squid</c:v>
                </c:pt>
              </c:strCache>
            </c:strRef>
          </c:tx>
          <c:spPr>
            <a:solidFill>
              <a:srgbClr val="9B2D2A"/>
            </a:solidFill>
            <a:ln>
              <a:solidFill>
                <a:srgbClr val="FFFFFF"/>
              </a:solidFill>
            </a:ln>
          </c:spPr>
          <c:invertIfNegative val="0"/>
          <c:cat>
            <c:numRef>
              <c:f>'U10m demersal trawl-seine'!$D$87:$M$87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trawl-seine'!$D$92:$M$92</c:f>
              <c:numCache>
                <c:formatCode>0%</c:formatCode>
                <c:ptCount val="10"/>
                <c:pt idx="0">
                  <c:v>0.10386270828416193</c:v>
                </c:pt>
                <c:pt idx="1">
                  <c:v>2.6732987826182272E-2</c:v>
                </c:pt>
                <c:pt idx="2">
                  <c:v>6.5379838108872837E-2</c:v>
                </c:pt>
                <c:pt idx="3">
                  <c:v>4.7023215562787879E-2</c:v>
                </c:pt>
                <c:pt idx="4">
                  <c:v>6.4819503324543976E-2</c:v>
                </c:pt>
                <c:pt idx="5">
                  <c:v>6.4337704094226594E-2</c:v>
                </c:pt>
                <c:pt idx="6">
                  <c:v>4.6265083372200581E-2</c:v>
                </c:pt>
                <c:pt idx="8">
                  <c:v>4.3856622028524528E-2</c:v>
                </c:pt>
                <c:pt idx="9">
                  <c:v>5.2355373570205616E-2</c:v>
                </c:pt>
              </c:numCache>
            </c:numRef>
          </c:val>
        </c:ser>
        <c:ser>
          <c:idx val="5"/>
          <c:order val="5"/>
          <c:tx>
            <c:strRef>
              <c:f>'U10m demersal trawl-seine'!$C$93</c:f>
              <c:strCache>
                <c:ptCount val="1"/>
                <c:pt idx="0">
                  <c:v>Bass</c:v>
                </c:pt>
              </c:strCache>
            </c:strRef>
          </c:tx>
          <c:spPr>
            <a:solidFill>
              <a:srgbClr val="769535"/>
            </a:solidFill>
            <a:ln>
              <a:solidFill>
                <a:srgbClr val="FFFFFF"/>
              </a:solidFill>
            </a:ln>
          </c:spPr>
          <c:invertIfNegative val="0"/>
          <c:cat>
            <c:numRef>
              <c:f>'U10m demersal trawl-seine'!$D$87:$M$87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trawl-seine'!$D$93:$M$93</c:f>
              <c:numCache>
                <c:formatCode>0%</c:formatCode>
                <c:ptCount val="10"/>
                <c:pt idx="7">
                  <c:v>2.8945916519022823E-2</c:v>
                </c:pt>
              </c:numCache>
            </c:numRef>
          </c:val>
        </c:ser>
        <c:ser>
          <c:idx val="6"/>
          <c:order val="6"/>
          <c:tx>
            <c:strRef>
              <c:f>'U10m demersal trawl-seine'!$C$94</c:f>
              <c:strCache>
                <c:ptCount val="1"/>
                <c:pt idx="0">
                  <c:v>Brown Shrimps</c:v>
                </c:pt>
              </c:strCache>
            </c:strRef>
          </c:tx>
          <c:spPr>
            <a:solidFill>
              <a:srgbClr val="A85816"/>
            </a:solidFill>
            <a:ln>
              <a:solidFill>
                <a:srgbClr val="FFFFFF"/>
              </a:solidFill>
            </a:ln>
          </c:spPr>
          <c:invertIfNegative val="0"/>
          <c:cat>
            <c:numRef>
              <c:f>'U10m demersal trawl-seine'!$D$87:$M$87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trawl-seine'!$D$94:$M$94</c:f>
              <c:numCache>
                <c:formatCode>0%</c:formatCode>
                <c:ptCount val="10"/>
                <c:pt idx="3">
                  <c:v>3.3448223021162932E-2</c:v>
                </c:pt>
              </c:numCache>
            </c:numRef>
          </c:val>
        </c:ser>
        <c:ser>
          <c:idx val="7"/>
          <c:order val="7"/>
          <c:tx>
            <c:strRef>
              <c:f>'U10m demersal trawl-seine'!$C$95</c:f>
              <c:strCache>
                <c:ptCount val="1"/>
                <c:pt idx="0">
                  <c:v>Whiting</c:v>
                </c:pt>
              </c:strCache>
            </c:strRef>
          </c:tx>
          <c:spPr>
            <a:solidFill>
              <a:srgbClr val="5D417E"/>
            </a:solidFill>
            <a:ln>
              <a:solidFill>
                <a:srgbClr val="FFFFFF"/>
              </a:solidFill>
            </a:ln>
          </c:spPr>
          <c:invertIfNegative val="0"/>
          <c:cat>
            <c:numRef>
              <c:f>'U10m demersal trawl-seine'!$D$87:$M$87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trawl-seine'!$D$95:$M$95</c:f>
              <c:numCache>
                <c:formatCode>0%</c:formatCode>
                <c:ptCount val="10"/>
                <c:pt idx="1">
                  <c:v>2.370843869635458E-2</c:v>
                </c:pt>
              </c:numCache>
            </c:numRef>
          </c:val>
        </c:ser>
        <c:ser>
          <c:idx val="8"/>
          <c:order val="8"/>
          <c:tx>
            <c:strRef>
              <c:f>'U10m demersal trawl-seine'!$C$96</c:f>
              <c:strCache>
                <c:ptCount val="1"/>
                <c:pt idx="0">
                  <c:v>Plaice</c:v>
                </c:pt>
              </c:strCache>
            </c:strRef>
          </c:tx>
          <c:spPr>
            <a:solidFill>
              <a:srgbClr val="2787A0"/>
            </a:solidFill>
            <a:ln>
              <a:solidFill>
                <a:srgbClr val="FFFFFF"/>
              </a:solidFill>
            </a:ln>
          </c:spPr>
          <c:invertIfNegative val="0"/>
          <c:cat>
            <c:numRef>
              <c:f>'U10m demersal trawl-seine'!$D$87:$M$87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trawl-seine'!$D$96:$M$96</c:f>
              <c:numCache>
                <c:formatCode>0%</c:formatCode>
                <c:ptCount val="10"/>
                <c:pt idx="0">
                  <c:v>1.3981799894501381E-2</c:v>
                </c:pt>
              </c:numCache>
            </c:numRef>
          </c:val>
        </c:ser>
        <c:ser>
          <c:idx val="9"/>
          <c:order val="9"/>
          <c:tx>
            <c:strRef>
              <c:f>'U10m demersal trawl-seine'!$C$97</c:f>
              <c:strCache>
                <c:ptCount val="1"/>
                <c:pt idx="0">
                  <c:v>Others</c:v>
                </c:pt>
              </c:strCache>
            </c:strRef>
          </c:tx>
          <c:spPr>
            <a:solidFill>
              <a:srgbClr val="008000"/>
            </a:solidFill>
            <a:ln>
              <a:solidFill>
                <a:srgbClr val="FFFFFF"/>
              </a:solidFill>
            </a:ln>
          </c:spPr>
          <c:invertIfNegative val="0"/>
          <c:cat>
            <c:numRef>
              <c:f>'U10m demersal trawl-seine'!$D$87:$M$87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demersal trawl-seine'!$D$97:$M$97</c:f>
              <c:numCache>
                <c:formatCode>0%</c:formatCode>
                <c:ptCount val="10"/>
                <c:pt idx="0">
                  <c:v>0.14834167690618036</c:v>
                </c:pt>
                <c:pt idx="1">
                  <c:v>0.14947129720180313</c:v>
                </c:pt>
                <c:pt idx="2">
                  <c:v>0.24825670750758866</c:v>
                </c:pt>
                <c:pt idx="3">
                  <c:v>0.23942819529322074</c:v>
                </c:pt>
                <c:pt idx="4">
                  <c:v>0.21655703496095383</c:v>
                </c:pt>
                <c:pt idx="5">
                  <c:v>0.26139141097508223</c:v>
                </c:pt>
                <c:pt idx="6">
                  <c:v>0.23968310178695457</c:v>
                </c:pt>
                <c:pt idx="7">
                  <c:v>0.24977802652089701</c:v>
                </c:pt>
                <c:pt idx="8">
                  <c:v>0.25047244645773753</c:v>
                </c:pt>
                <c:pt idx="9">
                  <c:v>0.2232737262499904</c:v>
                </c:pt>
              </c:numCache>
            </c:numRef>
          </c:val>
        </c:ser>
        <c:dLbls>
          <c:showLegendKey val="0"/>
          <c:showVal val="0"/>
          <c:showCatName val="0"/>
          <c:showSerName val="0"/>
          <c:showPercent val="0"/>
          <c:showBubbleSize val="0"/>
        </c:dLbls>
        <c:gapWidth val="150"/>
        <c:overlap val="100"/>
        <c:axId val="138669056"/>
        <c:axId val="138543872"/>
      </c:barChart>
      <c:catAx>
        <c:axId val="138669056"/>
        <c:scaling>
          <c:orientation val="minMax"/>
        </c:scaling>
        <c:delete val="0"/>
        <c:axPos val="b"/>
        <c:numFmt formatCode="General" sourceLinked="1"/>
        <c:majorTickMark val="out"/>
        <c:minorTickMark val="none"/>
        <c:tickLblPos val="nextTo"/>
        <c:crossAx val="138543872"/>
        <c:crosses val="autoZero"/>
        <c:auto val="1"/>
        <c:lblAlgn val="ctr"/>
        <c:lblOffset val="100"/>
        <c:noMultiLvlLbl val="0"/>
      </c:catAx>
      <c:valAx>
        <c:axId val="138543872"/>
        <c:scaling>
          <c:orientation val="minMax"/>
          <c:max val="1"/>
          <c:min val="0"/>
        </c:scaling>
        <c:delete val="0"/>
        <c:axPos val="l"/>
        <c:majorGridlines/>
        <c:numFmt formatCode="0%" sourceLinked="1"/>
        <c:majorTickMark val="out"/>
        <c:minorTickMark val="none"/>
        <c:tickLblPos val="nextTo"/>
        <c:crossAx val="13866905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u250kW'!$K$59</c:f>
          <c:strCache>
            <c:ptCount val="1"/>
            <c:pt idx="0">
              <c:v>Average annual operating profit per vessel (£'000)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'Area VIIa nephrops u250kW'!$D$2:$M$2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u250kW'!$D$34:$M$34</c:f>
              <c:numCache>
                <c:formatCode>#,##0.0</c:formatCode>
                <c:ptCount val="10"/>
                <c:pt idx="0">
                  <c:v>20.905921812712727</c:v>
                </c:pt>
                <c:pt idx="1">
                  <c:v>18.961989556852274</c:v>
                </c:pt>
                <c:pt idx="2">
                  <c:v>23.889095381497999</c:v>
                </c:pt>
                <c:pt idx="3">
                  <c:v>26.881808358253743</c:v>
                </c:pt>
                <c:pt idx="4">
                  <c:v>15.510616248590246</c:v>
                </c:pt>
                <c:pt idx="5">
                  <c:v>17.863487767365356</c:v>
                </c:pt>
                <c:pt idx="6">
                  <c:v>34.395791728519484</c:v>
                </c:pt>
                <c:pt idx="7">
                  <c:v>34.870433659202639</c:v>
                </c:pt>
                <c:pt idx="8">
                  <c:v>30.283483467315289</c:v>
                </c:pt>
                <c:pt idx="9">
                  <c:v>33.09999987140143</c:v>
                </c:pt>
              </c:numCache>
            </c:numRef>
          </c:val>
          <c:smooth val="0"/>
        </c:ser>
        <c:dLbls>
          <c:showLegendKey val="0"/>
          <c:showVal val="0"/>
          <c:showCatName val="0"/>
          <c:showSerName val="0"/>
          <c:showPercent val="0"/>
          <c:showBubbleSize val="0"/>
        </c:dLbls>
        <c:marker val="1"/>
        <c:smooth val="0"/>
        <c:axId val="107981440"/>
        <c:axId val="107987328"/>
      </c:lineChart>
      <c:catAx>
        <c:axId val="107981440"/>
        <c:scaling>
          <c:orientation val="minMax"/>
        </c:scaling>
        <c:delete val="0"/>
        <c:axPos val="b"/>
        <c:numFmt formatCode="General" sourceLinked="1"/>
        <c:majorTickMark val="out"/>
        <c:minorTickMark val="none"/>
        <c:tickLblPos val="nextTo"/>
        <c:crossAx val="107987328"/>
        <c:crosses val="autoZero"/>
        <c:auto val="1"/>
        <c:lblAlgn val="ctr"/>
        <c:lblOffset val="100"/>
        <c:noMultiLvlLbl val="0"/>
      </c:catAx>
      <c:valAx>
        <c:axId val="107987328"/>
        <c:scaling>
          <c:orientation val="minMax"/>
        </c:scaling>
        <c:delete val="0"/>
        <c:axPos val="l"/>
        <c:majorGridlines>
          <c:spPr>
            <a:ln w="3175">
              <a:prstDash val="sysDot"/>
            </a:ln>
          </c:spPr>
        </c:majorGridlines>
        <c:numFmt formatCode="#,##0.0" sourceLinked="1"/>
        <c:majorTickMark val="out"/>
        <c:minorTickMark val="none"/>
        <c:tickLblPos val="nextTo"/>
        <c:crossAx val="107981440"/>
        <c:crosses val="autoZero"/>
        <c:crossBetween val="between"/>
      </c:valAx>
    </c:plotArea>
    <c:plotVisOnly val="1"/>
    <c:dispBlanksAs val="gap"/>
    <c:showDLblsOverMax val="0"/>
  </c:chart>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nets'!$A$45</c:f>
          <c:strCache>
            <c:ptCount val="1"/>
            <c:pt idx="0">
              <c:v>Landings per kW day at sea (kg)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'U10m drift-fixed nets'!$D$2:$M$2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nets'!$D$20:$M$20</c:f>
              <c:numCache>
                <c:formatCode>#,##0.00</c:formatCode>
                <c:ptCount val="10"/>
                <c:pt idx="0">
                  <c:v>2.6381935004599097</c:v>
                </c:pt>
                <c:pt idx="1">
                  <c:v>1.404381153802271</c:v>
                </c:pt>
                <c:pt idx="2">
                  <c:v>2.5197819815821965</c:v>
                </c:pt>
                <c:pt idx="3">
                  <c:v>2.704319933580507</c:v>
                </c:pt>
                <c:pt idx="4">
                  <c:v>2.5530593810013609</c:v>
                </c:pt>
                <c:pt idx="5">
                  <c:v>2.7596168602854161</c:v>
                </c:pt>
                <c:pt idx="6">
                  <c:v>2.4832536483430658</c:v>
                </c:pt>
                <c:pt idx="7">
                  <c:v>2.4589314739209964</c:v>
                </c:pt>
                <c:pt idx="8">
                  <c:v>2.6631326183255086</c:v>
                </c:pt>
                <c:pt idx="9">
                  <c:v>2.5378529427727856</c:v>
                </c:pt>
              </c:numCache>
            </c:numRef>
          </c:val>
          <c:smooth val="0"/>
        </c:ser>
        <c:dLbls>
          <c:showLegendKey val="0"/>
          <c:showVal val="0"/>
          <c:showCatName val="0"/>
          <c:showSerName val="0"/>
          <c:showPercent val="0"/>
          <c:showBubbleSize val="0"/>
        </c:dLbls>
        <c:marker val="1"/>
        <c:smooth val="0"/>
        <c:axId val="138173056"/>
        <c:axId val="138195328"/>
      </c:lineChart>
      <c:catAx>
        <c:axId val="138173056"/>
        <c:scaling>
          <c:orientation val="minMax"/>
        </c:scaling>
        <c:delete val="0"/>
        <c:axPos val="b"/>
        <c:numFmt formatCode="General" sourceLinked="1"/>
        <c:majorTickMark val="out"/>
        <c:minorTickMark val="none"/>
        <c:tickLblPos val="nextTo"/>
        <c:crossAx val="138195328"/>
        <c:crosses val="autoZero"/>
        <c:auto val="1"/>
        <c:lblAlgn val="ctr"/>
        <c:lblOffset val="100"/>
        <c:noMultiLvlLbl val="0"/>
      </c:catAx>
      <c:valAx>
        <c:axId val="138195328"/>
        <c:scaling>
          <c:orientation val="minMax"/>
        </c:scaling>
        <c:delete val="0"/>
        <c:axPos val="l"/>
        <c:majorGridlines>
          <c:spPr>
            <a:ln w="3175">
              <a:prstDash val="sysDot"/>
            </a:ln>
          </c:spPr>
        </c:majorGridlines>
        <c:numFmt formatCode="#,##0.00" sourceLinked="1"/>
        <c:majorTickMark val="out"/>
        <c:minorTickMark val="none"/>
        <c:tickLblPos val="nextTo"/>
        <c:crossAx val="138173056"/>
        <c:crosses val="autoZero"/>
        <c:crossBetween val="between"/>
      </c:valAx>
    </c:plotArea>
    <c:plotVisOnly val="1"/>
    <c:dispBlanksAs val="gap"/>
    <c:showDLblsOverMax val="0"/>
  </c:chart>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nets'!$F$45</c:f>
          <c:strCache>
            <c:ptCount val="1"/>
            <c:pt idx="0">
              <c:v>Income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'U10m drift-fixed nets'!$D$2:$M$2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nets'!$D$21:$M$21</c:f>
              <c:numCache>
                <c:formatCode>#,##0.00</c:formatCode>
                <c:ptCount val="10"/>
                <c:pt idx="0">
                  <c:v>4.0031180040655485</c:v>
                </c:pt>
                <c:pt idx="1">
                  <c:v>2.9566166988749938</c:v>
                </c:pt>
                <c:pt idx="2">
                  <c:v>4.5396827894187695</c:v>
                </c:pt>
                <c:pt idx="3">
                  <c:v>4.8943391904388482</c:v>
                </c:pt>
                <c:pt idx="4">
                  <c:v>5.1454471480773432</c:v>
                </c:pt>
                <c:pt idx="5">
                  <c:v>5.1983807064877094</c:v>
                </c:pt>
                <c:pt idx="6">
                  <c:v>5.6382894262472121</c:v>
                </c:pt>
                <c:pt idx="7">
                  <c:v>5.4078670092290899</c:v>
                </c:pt>
                <c:pt idx="8">
                  <c:v>5.9078391476321892</c:v>
                </c:pt>
                <c:pt idx="9">
                  <c:v>6.2963164329972958</c:v>
                </c:pt>
              </c:numCache>
            </c:numRef>
          </c:val>
          <c:smooth val="0"/>
        </c:ser>
        <c:dLbls>
          <c:showLegendKey val="0"/>
          <c:showVal val="0"/>
          <c:showCatName val="0"/>
          <c:showSerName val="0"/>
          <c:showPercent val="0"/>
          <c:showBubbleSize val="0"/>
        </c:dLbls>
        <c:marker val="1"/>
        <c:smooth val="0"/>
        <c:axId val="135995776"/>
        <c:axId val="135997312"/>
      </c:lineChart>
      <c:catAx>
        <c:axId val="135995776"/>
        <c:scaling>
          <c:orientation val="minMax"/>
        </c:scaling>
        <c:delete val="0"/>
        <c:axPos val="b"/>
        <c:numFmt formatCode="General" sourceLinked="1"/>
        <c:majorTickMark val="out"/>
        <c:minorTickMark val="none"/>
        <c:tickLblPos val="nextTo"/>
        <c:crossAx val="135997312"/>
        <c:crosses val="autoZero"/>
        <c:auto val="1"/>
        <c:lblAlgn val="ctr"/>
        <c:lblOffset val="100"/>
        <c:noMultiLvlLbl val="0"/>
      </c:catAx>
      <c:valAx>
        <c:axId val="135997312"/>
        <c:scaling>
          <c:orientation val="minMax"/>
        </c:scaling>
        <c:delete val="0"/>
        <c:axPos val="l"/>
        <c:majorGridlines>
          <c:spPr>
            <a:ln w="3175">
              <a:prstDash val="sysDot"/>
            </a:ln>
          </c:spPr>
        </c:majorGridlines>
        <c:numFmt formatCode="#,##0.00" sourceLinked="1"/>
        <c:majorTickMark val="out"/>
        <c:minorTickMark val="none"/>
        <c:tickLblPos val="nextTo"/>
        <c:crossAx val="135995776"/>
        <c:crosses val="autoZero"/>
        <c:crossBetween val="between"/>
      </c:valAx>
    </c:plotArea>
    <c:plotVisOnly val="1"/>
    <c:dispBlanksAs val="gap"/>
    <c:showDLblsOverMax val="0"/>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nets'!$K$45</c:f>
          <c:strCache>
            <c:ptCount val="1"/>
            <c:pt idx="0">
              <c:v>Operating profit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'U10m drift-fixed nets'!$D$2:$M$2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nets'!$D$23:$M$23</c:f>
              <c:numCache>
                <c:formatCode>#,##0.00</c:formatCode>
                <c:ptCount val="10"/>
                <c:pt idx="0">
                  <c:v>1.2560376902449468</c:v>
                </c:pt>
                <c:pt idx="1">
                  <c:v>0.9103728905351417</c:v>
                </c:pt>
                <c:pt idx="2">
                  <c:v>1.7764577688217722</c:v>
                </c:pt>
                <c:pt idx="3">
                  <c:v>1.441541818198687</c:v>
                </c:pt>
                <c:pt idx="4">
                  <c:v>1.4080543772216085</c:v>
                </c:pt>
                <c:pt idx="5">
                  <c:v>1.5684542701011857</c:v>
                </c:pt>
                <c:pt idx="6">
                  <c:v>1.9543115613055295</c:v>
                </c:pt>
                <c:pt idx="7">
                  <c:v>1.9326031643306474</c:v>
                </c:pt>
                <c:pt idx="8">
                  <c:v>1.71651175298808</c:v>
                </c:pt>
                <c:pt idx="9">
                  <c:v>1.911445569063531</c:v>
                </c:pt>
              </c:numCache>
            </c:numRef>
          </c:val>
          <c:smooth val="0"/>
        </c:ser>
        <c:dLbls>
          <c:showLegendKey val="0"/>
          <c:showVal val="0"/>
          <c:showCatName val="0"/>
          <c:showSerName val="0"/>
          <c:showPercent val="0"/>
          <c:showBubbleSize val="0"/>
        </c:dLbls>
        <c:marker val="1"/>
        <c:smooth val="0"/>
        <c:axId val="138569600"/>
        <c:axId val="138571136"/>
      </c:lineChart>
      <c:catAx>
        <c:axId val="138569600"/>
        <c:scaling>
          <c:orientation val="minMax"/>
        </c:scaling>
        <c:delete val="0"/>
        <c:axPos val="b"/>
        <c:numFmt formatCode="General" sourceLinked="1"/>
        <c:majorTickMark val="out"/>
        <c:minorTickMark val="none"/>
        <c:tickLblPos val="nextTo"/>
        <c:crossAx val="138571136"/>
        <c:crosses val="autoZero"/>
        <c:auto val="1"/>
        <c:lblAlgn val="ctr"/>
        <c:lblOffset val="100"/>
        <c:noMultiLvlLbl val="0"/>
      </c:catAx>
      <c:valAx>
        <c:axId val="138571136"/>
        <c:scaling>
          <c:orientation val="minMax"/>
        </c:scaling>
        <c:delete val="0"/>
        <c:axPos val="l"/>
        <c:majorGridlines>
          <c:spPr>
            <a:ln w="3175">
              <a:prstDash val="sysDot"/>
            </a:ln>
          </c:spPr>
        </c:majorGridlines>
        <c:numFmt formatCode="#,##0.00" sourceLinked="1"/>
        <c:majorTickMark val="out"/>
        <c:minorTickMark val="none"/>
        <c:tickLblPos val="nextTo"/>
        <c:crossAx val="13856960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nets'!$B$59</c:f>
          <c:strCache>
            <c:ptCount val="1"/>
            <c:pt idx="0">
              <c:v>Total cost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'U10m drift-fixed nets'!$D$2:$M$2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nets'!$D$22:$M$22</c:f>
              <c:numCache>
                <c:formatCode>#,##0.00</c:formatCode>
                <c:ptCount val="10"/>
                <c:pt idx="0">
                  <c:v>2.747080313820593</c:v>
                </c:pt>
                <c:pt idx="1">
                  <c:v>2.0462438083398524</c:v>
                </c:pt>
                <c:pt idx="2">
                  <c:v>2.7632250205969884</c:v>
                </c:pt>
                <c:pt idx="3">
                  <c:v>3.4527973722401608</c:v>
                </c:pt>
                <c:pt idx="4">
                  <c:v>3.7373927708557257</c:v>
                </c:pt>
                <c:pt idx="5">
                  <c:v>3.629926436386524</c:v>
                </c:pt>
                <c:pt idx="6">
                  <c:v>3.6839778649416823</c:v>
                </c:pt>
                <c:pt idx="7">
                  <c:v>3.4752638448984428</c:v>
                </c:pt>
                <c:pt idx="8">
                  <c:v>4.1913273946441088</c:v>
                </c:pt>
                <c:pt idx="9">
                  <c:v>4.384870863933755</c:v>
                </c:pt>
              </c:numCache>
            </c:numRef>
          </c:val>
          <c:smooth val="0"/>
        </c:ser>
        <c:dLbls>
          <c:showLegendKey val="0"/>
          <c:showVal val="0"/>
          <c:showCatName val="0"/>
          <c:showSerName val="0"/>
          <c:showPercent val="0"/>
          <c:showBubbleSize val="0"/>
        </c:dLbls>
        <c:marker val="1"/>
        <c:smooth val="0"/>
        <c:axId val="138587520"/>
        <c:axId val="138691712"/>
      </c:lineChart>
      <c:catAx>
        <c:axId val="138587520"/>
        <c:scaling>
          <c:orientation val="minMax"/>
        </c:scaling>
        <c:delete val="0"/>
        <c:axPos val="b"/>
        <c:numFmt formatCode="General" sourceLinked="1"/>
        <c:majorTickMark val="out"/>
        <c:minorTickMark val="none"/>
        <c:tickLblPos val="nextTo"/>
        <c:crossAx val="138691712"/>
        <c:crosses val="autoZero"/>
        <c:auto val="1"/>
        <c:lblAlgn val="ctr"/>
        <c:lblOffset val="100"/>
        <c:noMultiLvlLbl val="0"/>
      </c:catAx>
      <c:valAx>
        <c:axId val="138691712"/>
        <c:scaling>
          <c:orientation val="minMax"/>
        </c:scaling>
        <c:delete val="0"/>
        <c:axPos val="l"/>
        <c:majorGridlines>
          <c:spPr>
            <a:ln w="3175">
              <a:prstDash val="sysDot"/>
            </a:ln>
          </c:spPr>
        </c:majorGridlines>
        <c:numFmt formatCode="#,##0.00" sourceLinked="1"/>
        <c:majorTickMark val="out"/>
        <c:minorTickMark val="none"/>
        <c:tickLblPos val="nextTo"/>
        <c:crossAx val="138587520"/>
        <c:crosses val="autoZero"/>
        <c:crossBetween val="between"/>
      </c:valAx>
    </c:plotArea>
    <c:plotVisOnly val="1"/>
    <c:dispBlanksAs val="gap"/>
    <c:showDLblsOverMax val="0"/>
  </c:chart>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nets'!$F$59</c:f>
          <c:strCache>
            <c:ptCount val="1"/>
            <c:pt idx="0">
              <c:v>Average price per tonne landed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'U10m drift-fixed nets'!$D$2:$M$2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nets'!$D$19:$M$19</c:f>
              <c:numCache>
                <c:formatCode>#,##0</c:formatCode>
                <c:ptCount val="10"/>
                <c:pt idx="0">
                  <c:v>1517.3708221499867</c:v>
                </c:pt>
                <c:pt idx="1">
                  <c:v>2105.2806047974082</c:v>
                </c:pt>
                <c:pt idx="2">
                  <c:v>1801.6173652125374</c:v>
                </c:pt>
                <c:pt idx="3">
                  <c:v>1809.8225706962303</c:v>
                </c:pt>
                <c:pt idx="4">
                  <c:v>2015.4043051623432</c:v>
                </c:pt>
                <c:pt idx="5">
                  <c:v>1883.732922263669</c:v>
                </c:pt>
                <c:pt idx="6">
                  <c:v>2270.524981968701</c:v>
                </c:pt>
                <c:pt idx="7">
                  <c:v>2199.2750321366852</c:v>
                </c:pt>
                <c:pt idx="8">
                  <c:v>2218.379630964012</c:v>
                </c:pt>
                <c:pt idx="9">
                  <c:v>2480.9617279418339</c:v>
                </c:pt>
              </c:numCache>
            </c:numRef>
          </c:val>
          <c:smooth val="0"/>
        </c:ser>
        <c:dLbls>
          <c:showLegendKey val="0"/>
          <c:showVal val="0"/>
          <c:showCatName val="0"/>
          <c:showSerName val="0"/>
          <c:showPercent val="0"/>
          <c:showBubbleSize val="0"/>
        </c:dLbls>
        <c:marker val="1"/>
        <c:smooth val="0"/>
        <c:axId val="138712192"/>
        <c:axId val="138713728"/>
      </c:lineChart>
      <c:catAx>
        <c:axId val="138712192"/>
        <c:scaling>
          <c:orientation val="minMax"/>
        </c:scaling>
        <c:delete val="0"/>
        <c:axPos val="b"/>
        <c:numFmt formatCode="General" sourceLinked="1"/>
        <c:majorTickMark val="out"/>
        <c:minorTickMark val="none"/>
        <c:tickLblPos val="nextTo"/>
        <c:crossAx val="138713728"/>
        <c:crosses val="autoZero"/>
        <c:auto val="1"/>
        <c:lblAlgn val="ctr"/>
        <c:lblOffset val="100"/>
        <c:noMultiLvlLbl val="0"/>
      </c:catAx>
      <c:valAx>
        <c:axId val="138713728"/>
        <c:scaling>
          <c:orientation val="minMax"/>
        </c:scaling>
        <c:delete val="0"/>
        <c:axPos val="l"/>
        <c:majorGridlines>
          <c:spPr>
            <a:ln w="3175">
              <a:prstDash val="sysDot"/>
            </a:ln>
          </c:spPr>
        </c:majorGridlines>
        <c:numFmt formatCode="#,##0" sourceLinked="1"/>
        <c:majorTickMark val="out"/>
        <c:minorTickMark val="none"/>
        <c:tickLblPos val="nextTo"/>
        <c:crossAx val="138712192"/>
        <c:crosses val="autoZero"/>
        <c:crossBetween val="between"/>
      </c:valAx>
    </c:plotArea>
    <c:plotVisOnly val="1"/>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nets'!$K$59</c:f>
          <c:strCache>
            <c:ptCount val="1"/>
            <c:pt idx="0">
              <c:v>Average annual operating profit per vessel (£'000)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'U10m drift-fixed nets'!$D$2:$M$2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nets'!$D$34:$M$34</c:f>
              <c:numCache>
                <c:formatCode>#,##0.0</c:formatCode>
                <c:ptCount val="10"/>
                <c:pt idx="0">
                  <c:v>8.0532539278543194</c:v>
                </c:pt>
                <c:pt idx="1">
                  <c:v>8.8544973261072286</c:v>
                </c:pt>
                <c:pt idx="2">
                  <c:v>15.983351586182115</c:v>
                </c:pt>
                <c:pt idx="3">
                  <c:v>12.202926162628344</c:v>
                </c:pt>
                <c:pt idx="4">
                  <c:v>11.272250180661517</c:v>
                </c:pt>
                <c:pt idx="5">
                  <c:v>12.467225837640406</c:v>
                </c:pt>
                <c:pt idx="6">
                  <c:v>14.157383888258018</c:v>
                </c:pt>
                <c:pt idx="7">
                  <c:v>14.102723862170595</c:v>
                </c:pt>
                <c:pt idx="8">
                  <c:v>11.503790797648989</c:v>
                </c:pt>
                <c:pt idx="9">
                  <c:v>13.999999945607856</c:v>
                </c:pt>
              </c:numCache>
            </c:numRef>
          </c:val>
          <c:smooth val="0"/>
        </c:ser>
        <c:dLbls>
          <c:showLegendKey val="0"/>
          <c:showVal val="0"/>
          <c:showCatName val="0"/>
          <c:showSerName val="0"/>
          <c:showPercent val="0"/>
          <c:showBubbleSize val="0"/>
        </c:dLbls>
        <c:marker val="1"/>
        <c:smooth val="0"/>
        <c:axId val="138726016"/>
        <c:axId val="108003712"/>
      </c:lineChart>
      <c:catAx>
        <c:axId val="138726016"/>
        <c:scaling>
          <c:orientation val="minMax"/>
        </c:scaling>
        <c:delete val="0"/>
        <c:axPos val="b"/>
        <c:numFmt formatCode="General" sourceLinked="1"/>
        <c:majorTickMark val="out"/>
        <c:minorTickMark val="none"/>
        <c:tickLblPos val="nextTo"/>
        <c:crossAx val="108003712"/>
        <c:crosses val="autoZero"/>
        <c:auto val="1"/>
        <c:lblAlgn val="ctr"/>
        <c:lblOffset val="100"/>
        <c:noMultiLvlLbl val="0"/>
      </c:catAx>
      <c:valAx>
        <c:axId val="108003712"/>
        <c:scaling>
          <c:orientation val="minMax"/>
        </c:scaling>
        <c:delete val="0"/>
        <c:axPos val="l"/>
        <c:majorGridlines>
          <c:spPr>
            <a:ln w="3175">
              <a:prstDash val="sysDot"/>
            </a:ln>
          </c:spPr>
        </c:majorGridlines>
        <c:numFmt formatCode="#,##0.0" sourceLinked="1"/>
        <c:majorTickMark val="out"/>
        <c:minorTickMark val="none"/>
        <c:tickLblPos val="nextTo"/>
        <c:crossAx val="138726016"/>
        <c:crosses val="autoZero"/>
        <c:crossBetween val="between"/>
      </c:valAx>
    </c:plotArea>
    <c:plotVisOnly val="1"/>
    <c:dispBlanksAs val="gap"/>
    <c:showDLblsOverMax val="0"/>
  </c:chart>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nets'!$A$73</c:f>
          <c:strCache>
            <c:ptCount val="1"/>
            <c:pt idx="0">
              <c:v>Top 5 landed species by volume in 2013
Under 10m drift and/or fixed nets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769535"/>
              </a:solidFill>
              <a:ln>
                <a:solidFill>
                  <a:srgbClr val="FFFFFF"/>
                </a:solidFill>
              </a:ln>
            </c:spPr>
          </c:dPt>
          <c:dPt>
            <c:idx val="1"/>
            <c:bubble3D val="0"/>
            <c:spPr>
              <a:solidFill>
                <a:srgbClr val="A85816"/>
              </a:solidFill>
              <a:ln>
                <a:solidFill>
                  <a:srgbClr val="FFFFFF"/>
                </a:solidFill>
              </a:ln>
            </c:spPr>
          </c:dPt>
          <c:dPt>
            <c:idx val="2"/>
            <c:bubble3D val="0"/>
            <c:spPr>
              <a:solidFill>
                <a:srgbClr val="224B7D"/>
              </a:solidFill>
              <a:ln>
                <a:solidFill>
                  <a:srgbClr val="FFFFFF"/>
                </a:solidFill>
              </a:ln>
            </c:spPr>
          </c:dPt>
          <c:dPt>
            <c:idx val="3"/>
            <c:bubble3D val="0"/>
            <c:spPr>
              <a:solidFill>
                <a:srgbClr val="9B2D2A"/>
              </a:solidFill>
              <a:ln>
                <a:solidFill>
                  <a:srgbClr val="FFFFFF"/>
                </a:solidFill>
              </a:ln>
            </c:spPr>
          </c:dPt>
          <c:dPt>
            <c:idx val="4"/>
            <c:bubble3D val="0"/>
            <c:spPr>
              <a:solidFill>
                <a:srgbClr val="607A2A"/>
              </a:solidFill>
              <a:ln>
                <a:solidFill>
                  <a:srgbClr val="FFFFFF"/>
                </a:solidFill>
              </a:ln>
            </c:spPr>
          </c:dPt>
          <c:dPt>
            <c:idx val="5"/>
            <c:bubble3D val="0"/>
            <c:spPr>
              <a:solidFill>
                <a:srgbClr val="008000"/>
              </a:solidFill>
              <a:ln>
                <a:solidFill>
                  <a:srgbClr val="FFFFFF"/>
                </a:solidFill>
              </a:ln>
            </c:spPr>
          </c:dPt>
          <c:cat>
            <c:strRef>
              <c:f>'U10m drift-fixed nets'!$B$74:$B$79</c:f>
              <c:strCache>
                <c:ptCount val="6"/>
                <c:pt idx="0">
                  <c:v>Pilchards - 20.0%</c:v>
                </c:pt>
                <c:pt idx="1">
                  <c:v>Whelks - 9.1%</c:v>
                </c:pt>
                <c:pt idx="2">
                  <c:v>Sole - 9.0%</c:v>
                </c:pt>
                <c:pt idx="3">
                  <c:v>Brown Crab - 8.6%</c:v>
                </c:pt>
                <c:pt idx="4">
                  <c:v>Pollack - 6.4%</c:v>
                </c:pt>
                <c:pt idx="5">
                  <c:v>Others - 46.9%</c:v>
                </c:pt>
              </c:strCache>
            </c:strRef>
          </c:cat>
          <c:val>
            <c:numRef>
              <c:f>'U10m drift-fixed nets'!$C$74:$C$79</c:f>
              <c:numCache>
                <c:formatCode>0.0%</c:formatCode>
                <c:ptCount val="6"/>
                <c:pt idx="0">
                  <c:v>0.19984339311093019</c:v>
                </c:pt>
                <c:pt idx="1">
                  <c:v>9.1049986705678154E-2</c:v>
                </c:pt>
                <c:pt idx="2">
                  <c:v>8.9797574644589387E-2</c:v>
                </c:pt>
                <c:pt idx="3">
                  <c:v>8.5959186431947346E-2</c:v>
                </c:pt>
                <c:pt idx="4">
                  <c:v>6.3940250606577737E-2</c:v>
                </c:pt>
                <c:pt idx="5">
                  <c:v>0.46940960850027724</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nets'!$F$73</c:f>
          <c:strCache>
            <c:ptCount val="1"/>
            <c:pt idx="0">
              <c:v>Top 5 landed species by value in 2013
Under 10m drift and/or fixed nets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'U10m drift-fixed nets'!$G$74:$G$79</c:f>
              <c:strCache>
                <c:ptCount val="6"/>
                <c:pt idx="0">
                  <c:v>Sole - 25.2%</c:v>
                </c:pt>
                <c:pt idx="1">
                  <c:v>Bass - 18.7%</c:v>
                </c:pt>
                <c:pt idx="2">
                  <c:v>Pollack - 5.9%</c:v>
                </c:pt>
                <c:pt idx="3">
                  <c:v>Anglerfish - 5.8%</c:v>
                </c:pt>
                <c:pt idx="4">
                  <c:v>Brown Crab - 4.7%</c:v>
                </c:pt>
                <c:pt idx="5">
                  <c:v>Others - 39.7%</c:v>
                </c:pt>
              </c:strCache>
            </c:strRef>
          </c:cat>
          <c:val>
            <c:numRef>
              <c:f>'U10m drift-fixed nets'!$H$74:$H$79</c:f>
              <c:numCache>
                <c:formatCode>0.0%</c:formatCode>
                <c:ptCount val="6"/>
                <c:pt idx="0">
                  <c:v>0.25180777208108235</c:v>
                </c:pt>
                <c:pt idx="1">
                  <c:v>0.1871535021565581</c:v>
                </c:pt>
                <c:pt idx="2">
                  <c:v>5.8783870670053417E-2</c:v>
                </c:pt>
                <c:pt idx="3">
                  <c:v>5.8058512743939673E-2</c:v>
                </c:pt>
                <c:pt idx="4">
                  <c:v>4.73461608576006E-2</c:v>
                </c:pt>
                <c:pt idx="5">
                  <c:v>0.3968501814907659</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drift-fixed nets'!$C$88</c:f>
              <c:strCache>
                <c:ptCount val="1"/>
                <c:pt idx="0">
                  <c:v>Sole</c:v>
                </c:pt>
              </c:strCache>
            </c:strRef>
          </c:tx>
          <c:spPr>
            <a:solidFill>
              <a:srgbClr val="224B7D"/>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nets'!$D$88:$M$88</c:f>
              <c:numCache>
                <c:formatCode>0%</c:formatCode>
                <c:ptCount val="10"/>
                <c:pt idx="0">
                  <c:v>0.23308298879297168</c:v>
                </c:pt>
                <c:pt idx="1">
                  <c:v>0.27026420598737438</c:v>
                </c:pt>
                <c:pt idx="2">
                  <c:v>0.35211184841596554</c:v>
                </c:pt>
                <c:pt idx="3">
                  <c:v>0.27777924428413436</c:v>
                </c:pt>
                <c:pt idx="4">
                  <c:v>0.32625607239829263</c:v>
                </c:pt>
                <c:pt idx="5">
                  <c:v>0.30522150793869107</c:v>
                </c:pt>
                <c:pt idx="6">
                  <c:v>0.32980172513493899</c:v>
                </c:pt>
                <c:pt idx="7">
                  <c:v>0.28278400994472552</c:v>
                </c:pt>
                <c:pt idx="8">
                  <c:v>0.25610260473334795</c:v>
                </c:pt>
                <c:pt idx="9">
                  <c:v>0.25384896007485386</c:v>
                </c:pt>
              </c:numCache>
            </c:numRef>
          </c:val>
        </c:ser>
        <c:ser>
          <c:idx val="1"/>
          <c:order val="1"/>
          <c:tx>
            <c:strRef>
              <c:f>'U10m drift-fixed nets'!$C$89</c:f>
              <c:strCache>
                <c:ptCount val="1"/>
                <c:pt idx="0">
                  <c:v>Bass</c:v>
                </c:pt>
              </c:strCache>
            </c:strRef>
          </c:tx>
          <c:spPr>
            <a:solidFill>
              <a:srgbClr val="7F2321"/>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nets'!$D$89:$M$89</c:f>
              <c:numCache>
                <c:formatCode>0%</c:formatCode>
                <c:ptCount val="10"/>
                <c:pt idx="0">
                  <c:v>8.7493392920798427E-2</c:v>
                </c:pt>
                <c:pt idx="1">
                  <c:v>9.9232672978760983E-2</c:v>
                </c:pt>
                <c:pt idx="2">
                  <c:v>9.308015274481389E-2</c:v>
                </c:pt>
                <c:pt idx="3">
                  <c:v>0.12009359348318095</c:v>
                </c:pt>
                <c:pt idx="4">
                  <c:v>0.12548584753634126</c:v>
                </c:pt>
                <c:pt idx="5">
                  <c:v>0.14049045768157017</c:v>
                </c:pt>
                <c:pt idx="6">
                  <c:v>0.14445476000747295</c:v>
                </c:pt>
                <c:pt idx="7">
                  <c:v>0.17404357276691498</c:v>
                </c:pt>
                <c:pt idx="8">
                  <c:v>0.19034559176286711</c:v>
                </c:pt>
                <c:pt idx="9">
                  <c:v>0.28618644537065235</c:v>
                </c:pt>
              </c:numCache>
            </c:numRef>
          </c:val>
        </c:ser>
        <c:ser>
          <c:idx val="2"/>
          <c:order val="2"/>
          <c:tx>
            <c:strRef>
              <c:f>'U10m drift-fixed nets'!$C$90</c:f>
              <c:strCache>
                <c:ptCount val="1"/>
                <c:pt idx="0">
                  <c:v>Pollack</c:v>
                </c:pt>
              </c:strCache>
            </c:strRef>
          </c:tx>
          <c:spPr>
            <a:solidFill>
              <a:srgbClr val="607A2A"/>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nets'!$D$90:$M$90</c:f>
              <c:numCache>
                <c:formatCode>0%</c:formatCode>
                <c:ptCount val="10"/>
                <c:pt idx="0">
                  <c:v>6.8798903697508157E-2</c:v>
                </c:pt>
                <c:pt idx="2">
                  <c:v>5.0609953974433457E-2</c:v>
                </c:pt>
                <c:pt idx="3">
                  <c:v>6.7912508335517374E-2</c:v>
                </c:pt>
                <c:pt idx="4">
                  <c:v>6.0408450270104809E-2</c:v>
                </c:pt>
                <c:pt idx="6">
                  <c:v>4.5989258258063617E-2</c:v>
                </c:pt>
                <c:pt idx="7">
                  <c:v>7.4854596289486361E-2</c:v>
                </c:pt>
                <c:pt idx="8">
                  <c:v>5.9786488202839543E-2</c:v>
                </c:pt>
                <c:pt idx="9">
                  <c:v>5.2848859177586999E-2</c:v>
                </c:pt>
              </c:numCache>
            </c:numRef>
          </c:val>
        </c:ser>
        <c:ser>
          <c:idx val="3"/>
          <c:order val="3"/>
          <c:tx>
            <c:strRef>
              <c:f>'U10m drift-fixed nets'!$C$91</c:f>
              <c:strCache>
                <c:ptCount val="1"/>
                <c:pt idx="0">
                  <c:v>Anglerfish</c:v>
                </c:pt>
              </c:strCache>
            </c:strRef>
          </c:tx>
          <c:spPr>
            <a:solidFill>
              <a:srgbClr val="4B3467"/>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nets'!$D$91:$M$91</c:f>
              <c:numCache>
                <c:formatCode>0%</c:formatCode>
                <c:ptCount val="10"/>
                <c:pt idx="2">
                  <c:v>4.4142664587031741E-2</c:v>
                </c:pt>
                <c:pt idx="4">
                  <c:v>4.6543069135251615E-2</c:v>
                </c:pt>
                <c:pt idx="6">
                  <c:v>3.8261042841994802E-2</c:v>
                </c:pt>
                <c:pt idx="7">
                  <c:v>5.4590425016285825E-2</c:v>
                </c:pt>
                <c:pt idx="8">
                  <c:v>5.9048758573978476E-2</c:v>
                </c:pt>
                <c:pt idx="9">
                  <c:v>3.6213328014263697E-2</c:v>
                </c:pt>
              </c:numCache>
            </c:numRef>
          </c:val>
        </c:ser>
        <c:ser>
          <c:idx val="4"/>
          <c:order val="4"/>
          <c:tx>
            <c:strRef>
              <c:f>'U10m drift-fixed nets'!$C$92</c:f>
              <c:strCache>
                <c:ptCount val="1"/>
                <c:pt idx="0">
                  <c:v>Brown Crab</c:v>
                </c:pt>
              </c:strCache>
            </c:strRef>
          </c:tx>
          <c:spPr>
            <a:solidFill>
              <a:srgbClr val="9B2D2A"/>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nets'!$D$92:$M$92</c:f>
              <c:numCache>
                <c:formatCode>0%</c:formatCode>
                <c:ptCount val="10"/>
                <c:pt idx="1">
                  <c:v>7.0266084773161999E-2</c:v>
                </c:pt>
                <c:pt idx="8">
                  <c:v>4.8153696844000442E-2</c:v>
                </c:pt>
              </c:numCache>
            </c:numRef>
          </c:val>
        </c:ser>
        <c:ser>
          <c:idx val="5"/>
          <c:order val="5"/>
          <c:tx>
            <c:strRef>
              <c:f>'U10m drift-fixed nets'!$C$93</c:f>
              <c:strCache>
                <c:ptCount val="1"/>
                <c:pt idx="0">
                  <c:v>Whelks</c:v>
                </c:pt>
              </c:strCache>
            </c:strRef>
          </c:tx>
          <c:spPr>
            <a:solidFill>
              <a:srgbClr val="769535"/>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nets'!$D$93:$M$93</c:f>
              <c:numCache>
                <c:formatCode>0%</c:formatCode>
                <c:ptCount val="10"/>
                <c:pt idx="3">
                  <c:v>5.9938569881856155E-2</c:v>
                </c:pt>
                <c:pt idx="4">
                  <c:v>4.5569887342283649E-2</c:v>
                </c:pt>
                <c:pt idx="5">
                  <c:v>5.0074755550947411E-2</c:v>
                </c:pt>
                <c:pt idx="9">
                  <c:v>4.2834553085450845E-2</c:v>
                </c:pt>
              </c:numCache>
            </c:numRef>
          </c:val>
        </c:ser>
        <c:ser>
          <c:idx val="6"/>
          <c:order val="6"/>
          <c:tx>
            <c:strRef>
              <c:f>'U10m drift-fixed nets'!$C$94</c:f>
              <c:strCache>
                <c:ptCount val="1"/>
                <c:pt idx="0">
                  <c:v>Cod</c:v>
                </c:pt>
              </c:strCache>
            </c:strRef>
          </c:tx>
          <c:spPr>
            <a:solidFill>
              <a:srgbClr val="A85816"/>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nets'!$D$94:$M$94</c:f>
              <c:numCache>
                <c:formatCode>0%</c:formatCode>
                <c:ptCount val="10"/>
                <c:pt idx="1">
                  <c:v>7.468024845900445E-2</c:v>
                </c:pt>
                <c:pt idx="7">
                  <c:v>3.9936137985426223E-2</c:v>
                </c:pt>
              </c:numCache>
            </c:numRef>
          </c:val>
        </c:ser>
        <c:ser>
          <c:idx val="7"/>
          <c:order val="7"/>
          <c:tx>
            <c:strRef>
              <c:f>'U10m drift-fixed nets'!$C$95</c:f>
              <c:strCache>
                <c:ptCount val="1"/>
                <c:pt idx="0">
                  <c:v>Cuttlefish</c:v>
                </c:pt>
              </c:strCache>
            </c:strRef>
          </c:tx>
          <c:spPr>
            <a:solidFill>
              <a:srgbClr val="5D417E"/>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nets'!$D$95:$M$95</c:f>
              <c:numCache>
                <c:formatCode>0%</c:formatCode>
                <c:ptCount val="10"/>
                <c:pt idx="5">
                  <c:v>5.1969324676009183E-2</c:v>
                </c:pt>
                <c:pt idx="6">
                  <c:v>4.239176654970047E-2</c:v>
                </c:pt>
              </c:numCache>
            </c:numRef>
          </c:val>
        </c:ser>
        <c:ser>
          <c:idx val="8"/>
          <c:order val="8"/>
          <c:tx>
            <c:strRef>
              <c:f>'U10m drift-fixed nets'!$C$96</c:f>
              <c:strCache>
                <c:ptCount val="1"/>
                <c:pt idx="0">
                  <c:v>Turbot</c:v>
                </c:pt>
              </c:strCache>
            </c:strRef>
          </c:tx>
          <c:spPr>
            <a:solidFill>
              <a:srgbClr val="2787A0"/>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nets'!$D$96:$M$96</c:f>
              <c:numCache>
                <c:formatCode>0%</c:formatCode>
                <c:ptCount val="10"/>
                <c:pt idx="5">
                  <c:v>4.2651829547100555E-2</c:v>
                </c:pt>
              </c:numCache>
            </c:numRef>
          </c:val>
        </c:ser>
        <c:ser>
          <c:idx val="9"/>
          <c:order val="9"/>
          <c:tx>
            <c:strRef>
              <c:f>'U10m drift-fixed nets'!$C$97</c:f>
              <c:strCache>
                <c:ptCount val="1"/>
                <c:pt idx="0">
                  <c:v>Pilchards</c:v>
                </c:pt>
              </c:strCache>
            </c:strRef>
          </c:tx>
          <c:spPr>
            <a:solidFill>
              <a:srgbClr val="CB6C1D"/>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nets'!$D$97:$M$97</c:f>
              <c:numCache>
                <c:formatCode>0%</c:formatCode>
                <c:ptCount val="10"/>
                <c:pt idx="0">
                  <c:v>8.5922631041952746E-2</c:v>
                </c:pt>
                <c:pt idx="2">
                  <c:v>4.7358033242180776E-2</c:v>
                </c:pt>
                <c:pt idx="3">
                  <c:v>4.7526996287015406E-2</c:v>
                </c:pt>
              </c:numCache>
            </c:numRef>
          </c:val>
        </c:ser>
        <c:ser>
          <c:idx val="10"/>
          <c:order val="10"/>
          <c:tx>
            <c:strRef>
              <c:f>'U10m drift-fixed nets'!$C$98</c:f>
              <c:strCache>
                <c:ptCount val="1"/>
                <c:pt idx="0">
                  <c:v>Lobsters</c:v>
                </c:pt>
              </c:strCache>
            </c:strRef>
          </c:tx>
          <c:spPr>
            <a:solidFill>
              <a:srgbClr val="7888A4"/>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nets'!$D$98:$M$98</c:f>
              <c:numCache>
                <c:formatCode>0%</c:formatCode>
                <c:ptCount val="10"/>
                <c:pt idx="1">
                  <c:v>6.2165701316992651E-2</c:v>
                </c:pt>
              </c:numCache>
            </c:numRef>
          </c:val>
        </c:ser>
        <c:ser>
          <c:idx val="11"/>
          <c:order val="11"/>
          <c:tx>
            <c:strRef>
              <c:f>'U10m drift-fixed nets'!$C$99</c:f>
              <c:strCache>
                <c:ptCount val="1"/>
                <c:pt idx="0">
                  <c:v>Skates and Rays</c:v>
                </c:pt>
              </c:strCache>
            </c:strRef>
          </c:tx>
          <c:spPr>
            <a:solidFill>
              <a:srgbClr val="A67877"/>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nets'!$D$99:$M$99</c:f>
              <c:numCache>
                <c:formatCode>0%</c:formatCode>
                <c:ptCount val="10"/>
                <c:pt idx="0">
                  <c:v>7.2586354787750967E-2</c:v>
                </c:pt>
              </c:numCache>
            </c:numRef>
          </c:val>
        </c:ser>
        <c:ser>
          <c:idx val="12"/>
          <c:order val="12"/>
          <c:tx>
            <c:strRef>
              <c:f>'U10m drift-fixed nets'!$C$100</c:f>
              <c:strCache>
                <c:ptCount val="1"/>
                <c:pt idx="0">
                  <c:v>Others</c:v>
                </c:pt>
              </c:strCache>
            </c:strRef>
          </c:tx>
          <c:spPr>
            <a:solidFill>
              <a:srgbClr val="008000"/>
            </a:solidFill>
            <a:ln>
              <a:solidFill>
                <a:srgbClr val="FFFFFF"/>
              </a:solidFill>
            </a:ln>
          </c:spPr>
          <c:invertIfNegative val="0"/>
          <c:cat>
            <c:numRef>
              <c:f>'U10m drift-fixed nets'!$D$87:$M$87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drift-fixed nets'!$D$100:$M$100</c:f>
              <c:numCache>
                <c:formatCode>0%</c:formatCode>
                <c:ptCount val="10"/>
                <c:pt idx="0">
                  <c:v>0.45211572875901801</c:v>
                </c:pt>
                <c:pt idx="1">
                  <c:v>0.42339108648470553</c:v>
                </c:pt>
                <c:pt idx="2">
                  <c:v>0.41269734703557459</c:v>
                </c:pt>
                <c:pt idx="3">
                  <c:v>0.42674908772829578</c:v>
                </c:pt>
                <c:pt idx="4">
                  <c:v>0.395736673317726</c:v>
                </c:pt>
                <c:pt idx="5">
                  <c:v>0.40959212460568156</c:v>
                </c:pt>
                <c:pt idx="6">
                  <c:v>0.39910144720782914</c:v>
                </c:pt>
                <c:pt idx="7">
                  <c:v>0.37379125799716106</c:v>
                </c:pt>
                <c:pt idx="8">
                  <c:v>0.38656285988296646</c:v>
                </c:pt>
                <c:pt idx="9">
                  <c:v>0.32806785427719221</c:v>
                </c:pt>
              </c:numCache>
            </c:numRef>
          </c:val>
        </c:ser>
        <c:dLbls>
          <c:showLegendKey val="0"/>
          <c:showVal val="0"/>
          <c:showCatName val="0"/>
          <c:showSerName val="0"/>
          <c:showPercent val="0"/>
          <c:showBubbleSize val="0"/>
        </c:dLbls>
        <c:gapWidth val="150"/>
        <c:overlap val="100"/>
        <c:axId val="139734016"/>
        <c:axId val="139739904"/>
      </c:barChart>
      <c:catAx>
        <c:axId val="139734016"/>
        <c:scaling>
          <c:orientation val="minMax"/>
        </c:scaling>
        <c:delete val="0"/>
        <c:axPos val="b"/>
        <c:numFmt formatCode="General" sourceLinked="1"/>
        <c:majorTickMark val="out"/>
        <c:minorTickMark val="none"/>
        <c:tickLblPos val="nextTo"/>
        <c:crossAx val="139739904"/>
        <c:crosses val="autoZero"/>
        <c:auto val="1"/>
        <c:lblAlgn val="ctr"/>
        <c:lblOffset val="100"/>
        <c:noMultiLvlLbl val="0"/>
      </c:catAx>
      <c:valAx>
        <c:axId val="139739904"/>
        <c:scaling>
          <c:orientation val="minMax"/>
          <c:max val="1"/>
          <c:min val="0"/>
        </c:scaling>
        <c:delete val="0"/>
        <c:axPos val="l"/>
        <c:majorGridlines/>
        <c:numFmt formatCode="0%" sourceLinked="1"/>
        <c:majorTickMark val="out"/>
        <c:minorTickMark val="none"/>
        <c:tickLblPos val="nextTo"/>
        <c:crossAx val="13973401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traps'!$A$45</c:f>
          <c:strCache>
            <c:ptCount val="1"/>
            <c:pt idx="0">
              <c:v>Landings per kW day at sea (kg)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'U10m pots and traps'!$D$2:$M$2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traps'!$D$20:$M$20</c:f>
              <c:numCache>
                <c:formatCode>#,##0.00</c:formatCode>
                <c:ptCount val="10"/>
                <c:pt idx="0">
                  <c:v>1.6358407063426161</c:v>
                </c:pt>
                <c:pt idx="1">
                  <c:v>1.9064712150989225</c:v>
                </c:pt>
                <c:pt idx="2">
                  <c:v>2.2095975661162908</c:v>
                </c:pt>
                <c:pt idx="3">
                  <c:v>1.9992187955129386</c:v>
                </c:pt>
                <c:pt idx="4">
                  <c:v>2.0766960354308641</c:v>
                </c:pt>
                <c:pt idx="5">
                  <c:v>2.2694803587925239</c:v>
                </c:pt>
                <c:pt idx="6">
                  <c:v>2.3198045658193696</c:v>
                </c:pt>
                <c:pt idx="7">
                  <c:v>2.6513734046535706</c:v>
                </c:pt>
                <c:pt idx="8">
                  <c:v>2.797614737333959</c:v>
                </c:pt>
                <c:pt idx="9">
                  <c:v>2.5293183383768389</c:v>
                </c:pt>
              </c:numCache>
            </c:numRef>
          </c:val>
          <c:smooth val="0"/>
        </c:ser>
        <c:dLbls>
          <c:showLegendKey val="0"/>
          <c:showVal val="0"/>
          <c:showCatName val="0"/>
          <c:showSerName val="0"/>
          <c:showPercent val="0"/>
          <c:showBubbleSize val="0"/>
        </c:dLbls>
        <c:marker val="1"/>
        <c:smooth val="0"/>
        <c:axId val="139049600"/>
        <c:axId val="138936704"/>
      </c:lineChart>
      <c:catAx>
        <c:axId val="139049600"/>
        <c:scaling>
          <c:orientation val="minMax"/>
        </c:scaling>
        <c:delete val="0"/>
        <c:axPos val="b"/>
        <c:numFmt formatCode="General" sourceLinked="1"/>
        <c:majorTickMark val="out"/>
        <c:minorTickMark val="none"/>
        <c:tickLblPos val="nextTo"/>
        <c:crossAx val="138936704"/>
        <c:crosses val="autoZero"/>
        <c:auto val="1"/>
        <c:lblAlgn val="ctr"/>
        <c:lblOffset val="100"/>
        <c:noMultiLvlLbl val="0"/>
      </c:catAx>
      <c:valAx>
        <c:axId val="138936704"/>
        <c:scaling>
          <c:orientation val="minMax"/>
        </c:scaling>
        <c:delete val="0"/>
        <c:axPos val="l"/>
        <c:majorGridlines>
          <c:spPr>
            <a:ln w="3175">
              <a:prstDash val="sysDot"/>
            </a:ln>
          </c:spPr>
        </c:majorGridlines>
        <c:numFmt formatCode="#,##0.00" sourceLinked="1"/>
        <c:majorTickMark val="out"/>
        <c:minorTickMark val="none"/>
        <c:tickLblPos val="nextTo"/>
        <c:crossAx val="139049600"/>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u250kW'!$A$73</c:f>
          <c:strCache>
            <c:ptCount val="1"/>
            <c:pt idx="0">
              <c:v>Top 5 landed species by volume in 2013
Area VIIA nephrops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769535"/>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'Area VIIa nephrops u250kW'!$B$74:$B$79</c:f>
              <c:strCache>
                <c:ptCount val="6"/>
                <c:pt idx="0">
                  <c:v>Nephrops - 79.9%</c:v>
                </c:pt>
                <c:pt idx="1">
                  <c:v>Scallops - 6.3%</c:v>
                </c:pt>
                <c:pt idx="2">
                  <c:v>Queen Scallops - 5.3%</c:v>
                </c:pt>
                <c:pt idx="3">
                  <c:v>Les. Spot. Dog - 1.7%</c:v>
                </c:pt>
                <c:pt idx="4">
                  <c:v>Thornback Ray - 1.1%</c:v>
                </c:pt>
                <c:pt idx="5">
                  <c:v>Others - 5.6%</c:v>
                </c:pt>
              </c:strCache>
            </c:strRef>
          </c:cat>
          <c:val>
            <c:numRef>
              <c:f>'Area VIIa nephrops u250kW'!$C$74:$C$79</c:f>
              <c:numCache>
                <c:formatCode>0.0%</c:formatCode>
                <c:ptCount val="6"/>
                <c:pt idx="0">
                  <c:v>0.79862242682688567</c:v>
                </c:pt>
                <c:pt idx="1">
                  <c:v>6.3377321798196468E-2</c:v>
                </c:pt>
                <c:pt idx="2">
                  <c:v>5.3314089419304628E-2</c:v>
                </c:pt>
                <c:pt idx="3">
                  <c:v>1.6832697962575714E-2</c:v>
                </c:pt>
                <c:pt idx="4">
                  <c:v>1.1480117080845198E-2</c:v>
                </c:pt>
                <c:pt idx="5">
                  <c:v>5.6373346912192424E-2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traps'!$F$45</c:f>
          <c:strCache>
            <c:ptCount val="1"/>
            <c:pt idx="0">
              <c:v>Income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'U10m pots and traps'!$D$2:$M$2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traps'!$D$21:$M$21</c:f>
              <c:numCache>
                <c:formatCode>#,##0.00</c:formatCode>
                <c:ptCount val="10"/>
                <c:pt idx="0">
                  <c:v>3.5599674743811001</c:v>
                </c:pt>
                <c:pt idx="1">
                  <c:v>4.5527995555076153</c:v>
                </c:pt>
                <c:pt idx="2">
                  <c:v>5.0155749645924272</c:v>
                </c:pt>
                <c:pt idx="3">
                  <c:v>4.9593833961506917</c:v>
                </c:pt>
                <c:pt idx="4">
                  <c:v>4.8301766012713623</c:v>
                </c:pt>
                <c:pt idx="5">
                  <c:v>5.0739677648218082</c:v>
                </c:pt>
                <c:pt idx="6">
                  <c:v>5.623740442797974</c:v>
                </c:pt>
                <c:pt idx="7">
                  <c:v>5.6298823742784299</c:v>
                </c:pt>
                <c:pt idx="8">
                  <c:v>5.5378607241035898</c:v>
                </c:pt>
                <c:pt idx="9">
                  <c:v>5.4669297705992603</c:v>
                </c:pt>
              </c:numCache>
            </c:numRef>
          </c:val>
          <c:smooth val="0"/>
        </c:ser>
        <c:dLbls>
          <c:showLegendKey val="0"/>
          <c:showVal val="0"/>
          <c:showCatName val="0"/>
          <c:showSerName val="0"/>
          <c:showPercent val="0"/>
          <c:showBubbleSize val="0"/>
        </c:dLbls>
        <c:marker val="1"/>
        <c:smooth val="0"/>
        <c:axId val="108061056"/>
        <c:axId val="108062592"/>
      </c:lineChart>
      <c:catAx>
        <c:axId val="108061056"/>
        <c:scaling>
          <c:orientation val="minMax"/>
        </c:scaling>
        <c:delete val="0"/>
        <c:axPos val="b"/>
        <c:numFmt formatCode="General" sourceLinked="1"/>
        <c:majorTickMark val="out"/>
        <c:minorTickMark val="none"/>
        <c:tickLblPos val="nextTo"/>
        <c:crossAx val="108062592"/>
        <c:crosses val="autoZero"/>
        <c:auto val="1"/>
        <c:lblAlgn val="ctr"/>
        <c:lblOffset val="100"/>
        <c:noMultiLvlLbl val="0"/>
      </c:catAx>
      <c:valAx>
        <c:axId val="108062592"/>
        <c:scaling>
          <c:orientation val="minMax"/>
        </c:scaling>
        <c:delete val="0"/>
        <c:axPos val="l"/>
        <c:majorGridlines>
          <c:spPr>
            <a:ln w="3175">
              <a:prstDash val="sysDot"/>
            </a:ln>
          </c:spPr>
        </c:majorGridlines>
        <c:numFmt formatCode="#,##0.00" sourceLinked="1"/>
        <c:majorTickMark val="out"/>
        <c:minorTickMark val="none"/>
        <c:tickLblPos val="nextTo"/>
        <c:crossAx val="108061056"/>
        <c:crosses val="autoZero"/>
        <c:crossBetween val="between"/>
      </c:valAx>
    </c:plotArea>
    <c:plotVisOnly val="1"/>
    <c:dispBlanksAs val="gap"/>
    <c:showDLblsOverMax val="0"/>
  </c:chart>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traps'!$K$45</c:f>
          <c:strCache>
            <c:ptCount val="1"/>
            <c:pt idx="0">
              <c:v>Operating profit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'U10m pots and traps'!$D$2:$M$2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traps'!$D$23:$M$23</c:f>
              <c:numCache>
                <c:formatCode>#,##0.00</c:formatCode>
                <c:ptCount val="10"/>
                <c:pt idx="0">
                  <c:v>0.60494997375851178</c:v>
                </c:pt>
                <c:pt idx="1">
                  <c:v>1.0344755262589289</c:v>
                </c:pt>
                <c:pt idx="2">
                  <c:v>1.5910047384131489</c:v>
                </c:pt>
                <c:pt idx="3">
                  <c:v>1.3402801172629411</c:v>
                </c:pt>
                <c:pt idx="4">
                  <c:v>1.5003313207988762</c:v>
                </c:pt>
                <c:pt idx="5">
                  <c:v>1.3728393844145499</c:v>
                </c:pt>
                <c:pt idx="6">
                  <c:v>1.4610152866585939</c:v>
                </c:pt>
                <c:pt idx="7">
                  <c:v>1.1115294926923025</c:v>
                </c:pt>
                <c:pt idx="8">
                  <c:v>1.1762895833890743</c:v>
                </c:pt>
                <c:pt idx="9">
                  <c:v>1.1958199468694664</c:v>
                </c:pt>
              </c:numCache>
            </c:numRef>
          </c:val>
          <c:smooth val="0"/>
        </c:ser>
        <c:dLbls>
          <c:showLegendKey val="0"/>
          <c:showVal val="0"/>
          <c:showCatName val="0"/>
          <c:showSerName val="0"/>
          <c:showPercent val="0"/>
          <c:showBubbleSize val="0"/>
        </c:dLbls>
        <c:marker val="1"/>
        <c:smooth val="0"/>
        <c:axId val="138979200"/>
        <c:axId val="138980736"/>
      </c:lineChart>
      <c:catAx>
        <c:axId val="138979200"/>
        <c:scaling>
          <c:orientation val="minMax"/>
        </c:scaling>
        <c:delete val="0"/>
        <c:axPos val="b"/>
        <c:numFmt formatCode="General" sourceLinked="1"/>
        <c:majorTickMark val="out"/>
        <c:minorTickMark val="none"/>
        <c:tickLblPos val="nextTo"/>
        <c:crossAx val="138980736"/>
        <c:crosses val="autoZero"/>
        <c:auto val="1"/>
        <c:lblAlgn val="ctr"/>
        <c:lblOffset val="100"/>
        <c:noMultiLvlLbl val="0"/>
      </c:catAx>
      <c:valAx>
        <c:axId val="138980736"/>
        <c:scaling>
          <c:orientation val="minMax"/>
        </c:scaling>
        <c:delete val="0"/>
        <c:axPos val="l"/>
        <c:majorGridlines>
          <c:spPr>
            <a:ln w="3175">
              <a:prstDash val="sysDot"/>
            </a:ln>
          </c:spPr>
        </c:majorGridlines>
        <c:numFmt formatCode="#,##0.00" sourceLinked="1"/>
        <c:majorTickMark val="out"/>
        <c:minorTickMark val="none"/>
        <c:tickLblPos val="nextTo"/>
        <c:crossAx val="13897920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traps'!$B$59</c:f>
          <c:strCache>
            <c:ptCount val="1"/>
            <c:pt idx="0">
              <c:v>Total cost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'U10m pots and traps'!$D$2:$M$2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traps'!$D$22:$M$22</c:f>
              <c:numCache>
                <c:formatCode>#,##0.00</c:formatCode>
                <c:ptCount val="10"/>
                <c:pt idx="0">
                  <c:v>2.9550175006225889</c:v>
                </c:pt>
                <c:pt idx="1">
                  <c:v>3.5183240292486864</c:v>
                </c:pt>
                <c:pt idx="2">
                  <c:v>3.4245702261792781</c:v>
                </c:pt>
                <c:pt idx="3">
                  <c:v>3.6191032788877409</c:v>
                </c:pt>
                <c:pt idx="4">
                  <c:v>3.3298452804724774</c:v>
                </c:pt>
                <c:pt idx="5">
                  <c:v>3.7011283804072588</c:v>
                </c:pt>
                <c:pt idx="6">
                  <c:v>4.1627251561393805</c:v>
                </c:pt>
                <c:pt idx="7">
                  <c:v>4.5183528815861278</c:v>
                </c:pt>
                <c:pt idx="8">
                  <c:v>4.3615711407145152</c:v>
                </c:pt>
                <c:pt idx="9">
                  <c:v>4.2711098237297831</c:v>
                </c:pt>
              </c:numCache>
            </c:numRef>
          </c:val>
          <c:smooth val="0"/>
        </c:ser>
        <c:dLbls>
          <c:showLegendKey val="0"/>
          <c:showVal val="0"/>
          <c:showCatName val="0"/>
          <c:showSerName val="0"/>
          <c:showPercent val="0"/>
          <c:showBubbleSize val="0"/>
        </c:dLbls>
        <c:marker val="1"/>
        <c:smooth val="0"/>
        <c:axId val="138988928"/>
        <c:axId val="138994816"/>
      </c:lineChart>
      <c:catAx>
        <c:axId val="138988928"/>
        <c:scaling>
          <c:orientation val="minMax"/>
        </c:scaling>
        <c:delete val="0"/>
        <c:axPos val="b"/>
        <c:numFmt formatCode="General" sourceLinked="1"/>
        <c:majorTickMark val="out"/>
        <c:minorTickMark val="none"/>
        <c:tickLblPos val="nextTo"/>
        <c:crossAx val="138994816"/>
        <c:crosses val="autoZero"/>
        <c:auto val="1"/>
        <c:lblAlgn val="ctr"/>
        <c:lblOffset val="100"/>
        <c:noMultiLvlLbl val="0"/>
      </c:catAx>
      <c:valAx>
        <c:axId val="138994816"/>
        <c:scaling>
          <c:orientation val="minMax"/>
        </c:scaling>
        <c:delete val="0"/>
        <c:axPos val="l"/>
        <c:majorGridlines>
          <c:spPr>
            <a:ln w="3175">
              <a:prstDash val="sysDot"/>
            </a:ln>
          </c:spPr>
        </c:majorGridlines>
        <c:numFmt formatCode="#,##0.00" sourceLinked="1"/>
        <c:majorTickMark val="out"/>
        <c:minorTickMark val="none"/>
        <c:tickLblPos val="nextTo"/>
        <c:crossAx val="138988928"/>
        <c:crosses val="autoZero"/>
        <c:crossBetween val="between"/>
      </c:valAx>
    </c:plotArea>
    <c:plotVisOnly val="1"/>
    <c:dispBlanksAs val="gap"/>
    <c:showDLblsOverMax val="0"/>
  </c:chart>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traps'!$F$59</c:f>
          <c:strCache>
            <c:ptCount val="1"/>
            <c:pt idx="0">
              <c:v>Average price per tonne landed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'U10m pots and traps'!$D$2:$M$2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traps'!$D$19:$M$19</c:f>
              <c:numCache>
                <c:formatCode>#,##0</c:formatCode>
                <c:ptCount val="10"/>
                <c:pt idx="0">
                  <c:v>2176.2311853868982</c:v>
                </c:pt>
                <c:pt idx="1">
                  <c:v>2388.0769507578402</c:v>
                </c:pt>
                <c:pt idx="2">
                  <c:v>2269.9042807725832</c:v>
                </c:pt>
                <c:pt idx="3">
                  <c:v>2480.6605067998935</c:v>
                </c:pt>
                <c:pt idx="4">
                  <c:v>2325.8947847988402</c:v>
                </c:pt>
                <c:pt idx="5">
                  <c:v>2235.7399425244275</c:v>
                </c:pt>
                <c:pt idx="6">
                  <c:v>2424.2303274239357</c:v>
                </c:pt>
                <c:pt idx="7">
                  <c:v>2123.3832190419594</c:v>
                </c:pt>
                <c:pt idx="8">
                  <c:v>1979.493708039153</c:v>
                </c:pt>
                <c:pt idx="9">
                  <c:v>2161.4240691082164</c:v>
                </c:pt>
              </c:numCache>
            </c:numRef>
          </c:val>
          <c:smooth val="0"/>
        </c:ser>
        <c:dLbls>
          <c:showLegendKey val="0"/>
          <c:showVal val="0"/>
          <c:showCatName val="0"/>
          <c:showSerName val="0"/>
          <c:showPercent val="0"/>
          <c:showBubbleSize val="0"/>
        </c:dLbls>
        <c:marker val="1"/>
        <c:smooth val="0"/>
        <c:axId val="139797632"/>
        <c:axId val="139799168"/>
      </c:lineChart>
      <c:catAx>
        <c:axId val="139797632"/>
        <c:scaling>
          <c:orientation val="minMax"/>
        </c:scaling>
        <c:delete val="0"/>
        <c:axPos val="b"/>
        <c:numFmt formatCode="General" sourceLinked="1"/>
        <c:majorTickMark val="out"/>
        <c:minorTickMark val="none"/>
        <c:tickLblPos val="nextTo"/>
        <c:crossAx val="139799168"/>
        <c:crosses val="autoZero"/>
        <c:auto val="1"/>
        <c:lblAlgn val="ctr"/>
        <c:lblOffset val="100"/>
        <c:noMultiLvlLbl val="0"/>
      </c:catAx>
      <c:valAx>
        <c:axId val="139799168"/>
        <c:scaling>
          <c:orientation val="minMax"/>
        </c:scaling>
        <c:delete val="0"/>
        <c:axPos val="l"/>
        <c:majorGridlines>
          <c:spPr>
            <a:ln w="3175">
              <a:prstDash val="sysDot"/>
            </a:ln>
          </c:spPr>
        </c:majorGridlines>
        <c:numFmt formatCode="#,##0" sourceLinked="1"/>
        <c:majorTickMark val="out"/>
        <c:minorTickMark val="none"/>
        <c:tickLblPos val="nextTo"/>
        <c:crossAx val="139797632"/>
        <c:crosses val="autoZero"/>
        <c:crossBetween val="between"/>
      </c:valAx>
    </c:plotArea>
    <c:plotVisOnly val="1"/>
    <c:dispBlanksAs val="gap"/>
    <c:showDLblsOverMax val="0"/>
  </c:chart>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traps'!$K$59</c:f>
          <c:strCache>
            <c:ptCount val="1"/>
            <c:pt idx="0">
              <c:v>Average annual operating profit per vessel (£'000)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'U10m pots and traps'!$D$2:$M$2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traps'!$D$34:$M$34</c:f>
              <c:numCache>
                <c:formatCode>#,##0.0</c:formatCode>
                <c:ptCount val="10"/>
                <c:pt idx="0">
                  <c:v>6.589025940971716</c:v>
                </c:pt>
                <c:pt idx="1">
                  <c:v>10.107492230745043</c:v>
                </c:pt>
                <c:pt idx="2">
                  <c:v>15.038099610655214</c:v>
                </c:pt>
                <c:pt idx="3">
                  <c:v>12.645061168520675</c:v>
                </c:pt>
                <c:pt idx="4">
                  <c:v>13.797234221129697</c:v>
                </c:pt>
                <c:pt idx="5">
                  <c:v>12.653303835217129</c:v>
                </c:pt>
                <c:pt idx="6">
                  <c:v>12.542111901007102</c:v>
                </c:pt>
                <c:pt idx="7">
                  <c:v>9.8525879037082245</c:v>
                </c:pt>
                <c:pt idx="8">
                  <c:v>11.110498804566973</c:v>
                </c:pt>
                <c:pt idx="9">
                  <c:v>11.899999953766677</c:v>
                </c:pt>
              </c:numCache>
            </c:numRef>
          </c:val>
          <c:smooth val="0"/>
        </c:ser>
        <c:dLbls>
          <c:showLegendKey val="0"/>
          <c:showVal val="0"/>
          <c:showCatName val="0"/>
          <c:showSerName val="0"/>
          <c:showPercent val="0"/>
          <c:showBubbleSize val="0"/>
        </c:dLbls>
        <c:marker val="1"/>
        <c:smooth val="0"/>
        <c:axId val="139819648"/>
        <c:axId val="139137408"/>
      </c:lineChart>
      <c:catAx>
        <c:axId val="139819648"/>
        <c:scaling>
          <c:orientation val="minMax"/>
        </c:scaling>
        <c:delete val="0"/>
        <c:axPos val="b"/>
        <c:numFmt formatCode="General" sourceLinked="1"/>
        <c:majorTickMark val="out"/>
        <c:minorTickMark val="none"/>
        <c:tickLblPos val="nextTo"/>
        <c:crossAx val="139137408"/>
        <c:crosses val="autoZero"/>
        <c:auto val="1"/>
        <c:lblAlgn val="ctr"/>
        <c:lblOffset val="100"/>
        <c:noMultiLvlLbl val="0"/>
      </c:catAx>
      <c:valAx>
        <c:axId val="139137408"/>
        <c:scaling>
          <c:orientation val="minMax"/>
        </c:scaling>
        <c:delete val="0"/>
        <c:axPos val="l"/>
        <c:majorGridlines>
          <c:spPr>
            <a:ln w="3175">
              <a:prstDash val="sysDot"/>
            </a:ln>
          </c:spPr>
        </c:majorGridlines>
        <c:numFmt formatCode="#,##0.0" sourceLinked="1"/>
        <c:majorTickMark val="out"/>
        <c:minorTickMark val="none"/>
        <c:tickLblPos val="nextTo"/>
        <c:crossAx val="139819648"/>
        <c:crosses val="autoZero"/>
        <c:crossBetween val="between"/>
      </c:valAx>
    </c:plotArea>
    <c:plotVisOnly val="1"/>
    <c:dispBlanksAs val="gap"/>
    <c:showDLblsOverMax val="0"/>
  </c:chart>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traps'!$A$73</c:f>
          <c:strCache>
            <c:ptCount val="1"/>
            <c:pt idx="0">
              <c:v>Top 5 landed species by volume in 2013
Under 10m pots and traps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4B3467"/>
              </a:solidFill>
              <a:ln>
                <a:solidFill>
                  <a:srgbClr val="FFFFFF"/>
                </a:solidFill>
              </a:ln>
            </c:spPr>
          </c:dPt>
          <c:dPt>
            <c:idx val="1"/>
            <c:bubble3D val="0"/>
            <c:spPr>
              <a:solidFill>
                <a:srgbClr val="7F2321"/>
              </a:solidFill>
              <a:ln>
                <a:solidFill>
                  <a:srgbClr val="FFFFFF"/>
                </a:solidFill>
              </a:ln>
            </c:spPr>
          </c:dPt>
          <c:dPt>
            <c:idx val="2"/>
            <c:bubble3D val="0"/>
            <c:spPr>
              <a:solidFill>
                <a:srgbClr val="224B7D"/>
              </a:solidFill>
              <a:ln>
                <a:solidFill>
                  <a:srgbClr val="FFFFFF"/>
                </a:solidFill>
              </a:ln>
            </c:spPr>
          </c:dPt>
          <c:dPt>
            <c:idx val="3"/>
            <c:bubble3D val="0"/>
            <c:spPr>
              <a:solidFill>
                <a:srgbClr val="9B2D2A"/>
              </a:solidFill>
              <a:ln>
                <a:solidFill>
                  <a:srgbClr val="FFFFFF"/>
                </a:solidFill>
              </a:ln>
            </c:spPr>
          </c:dPt>
          <c:dPt>
            <c:idx val="4"/>
            <c:bubble3D val="0"/>
            <c:spPr>
              <a:solidFill>
                <a:srgbClr val="607A2A"/>
              </a:solidFill>
              <a:ln>
                <a:solidFill>
                  <a:srgbClr val="FFFFFF"/>
                </a:solidFill>
              </a:ln>
            </c:spPr>
          </c:dPt>
          <c:dPt>
            <c:idx val="5"/>
            <c:bubble3D val="0"/>
            <c:spPr>
              <a:solidFill>
                <a:srgbClr val="008000"/>
              </a:solidFill>
              <a:ln>
                <a:solidFill>
                  <a:srgbClr val="FFFFFF"/>
                </a:solidFill>
              </a:ln>
            </c:spPr>
          </c:dPt>
          <c:cat>
            <c:strRef>
              <c:f>'U10m pots and traps'!$B$74:$B$79</c:f>
              <c:strCache>
                <c:ptCount val="6"/>
                <c:pt idx="0">
                  <c:v>Whelks - 40.3%</c:v>
                </c:pt>
                <c:pt idx="1">
                  <c:v>Brown Crab - 36.2%</c:v>
                </c:pt>
                <c:pt idx="2">
                  <c:v>Lobsters - 6.7%</c:v>
                </c:pt>
                <c:pt idx="3">
                  <c:v>Velvet Crab - 4.9%</c:v>
                </c:pt>
                <c:pt idx="4">
                  <c:v>Nephrops - 4.0%</c:v>
                </c:pt>
                <c:pt idx="5">
                  <c:v>Others - 8.0%</c:v>
                </c:pt>
              </c:strCache>
            </c:strRef>
          </c:cat>
          <c:val>
            <c:numRef>
              <c:f>'U10m pots and traps'!$C$74:$C$79</c:f>
              <c:numCache>
                <c:formatCode>0.0%</c:formatCode>
                <c:ptCount val="6"/>
                <c:pt idx="0">
                  <c:v>0.402685517685681</c:v>
                </c:pt>
                <c:pt idx="1">
                  <c:v>0.36176121840131192</c:v>
                </c:pt>
                <c:pt idx="2">
                  <c:v>6.6856643759869938E-2</c:v>
                </c:pt>
                <c:pt idx="3">
                  <c:v>4.8828961584471579E-2</c:v>
                </c:pt>
                <c:pt idx="4">
                  <c:v>3.9844277555983222E-2</c:v>
                </c:pt>
                <c:pt idx="5">
                  <c:v>8.0023381012682471E-2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traps'!$F$73</c:f>
          <c:strCache>
            <c:ptCount val="1"/>
            <c:pt idx="0">
              <c:v>Top 5 landed species by value in 2013
Under 10m pots and traps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'U10m pots and traps'!$G$74:$G$79</c:f>
              <c:strCache>
                <c:ptCount val="6"/>
                <c:pt idx="0">
                  <c:v>Lobsters - 33.6%</c:v>
                </c:pt>
                <c:pt idx="1">
                  <c:v>Brown Crab - 21.6%</c:v>
                </c:pt>
                <c:pt idx="2">
                  <c:v>Nephrops - 15.7%</c:v>
                </c:pt>
                <c:pt idx="3">
                  <c:v>Whelks - 14.8%</c:v>
                </c:pt>
                <c:pt idx="4">
                  <c:v>Velvet Crab - 5.9%</c:v>
                </c:pt>
                <c:pt idx="5">
                  <c:v>Others - 8.4%</c:v>
                </c:pt>
              </c:strCache>
            </c:strRef>
          </c:cat>
          <c:val>
            <c:numRef>
              <c:f>'U10m pots and traps'!$H$74:$H$79</c:f>
              <c:numCache>
                <c:formatCode>0.0%</c:formatCode>
                <c:ptCount val="6"/>
                <c:pt idx="0">
                  <c:v>0.33632151204620608</c:v>
                </c:pt>
                <c:pt idx="1">
                  <c:v>0.2155014655836299</c:v>
                </c:pt>
                <c:pt idx="2">
                  <c:v>0.157236171777869</c:v>
                </c:pt>
                <c:pt idx="3">
                  <c:v>0.14815024456783196</c:v>
                </c:pt>
                <c:pt idx="4">
                  <c:v>5.899368261613553E-2</c:v>
                </c:pt>
                <c:pt idx="5">
                  <c:v>8.3796923408327451E-2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pots and traps'!$C$88</c:f>
              <c:strCache>
                <c:ptCount val="1"/>
                <c:pt idx="0">
                  <c:v>Lobsters</c:v>
                </c:pt>
              </c:strCache>
            </c:strRef>
          </c:tx>
          <c:spPr>
            <a:solidFill>
              <a:srgbClr val="224B7D"/>
            </a:solidFill>
            <a:ln>
              <a:solidFill>
                <a:srgbClr val="FFFFFF"/>
              </a:solidFill>
            </a:ln>
          </c:spPr>
          <c:invertIfNegative val="0"/>
          <c:cat>
            <c:numRef>
              <c:f>'U10m pots and traps'!$D$87:$M$87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traps'!$D$88:$M$88</c:f>
              <c:numCache>
                <c:formatCode>0%</c:formatCode>
                <c:ptCount val="10"/>
                <c:pt idx="0">
                  <c:v>0.22834463461909091</c:v>
                </c:pt>
                <c:pt idx="1">
                  <c:v>0.37678389999765866</c:v>
                </c:pt>
                <c:pt idx="2">
                  <c:v>0.38132693126765588</c:v>
                </c:pt>
                <c:pt idx="3">
                  <c:v>0.39771155168526434</c:v>
                </c:pt>
                <c:pt idx="4">
                  <c:v>0.37218850379704238</c:v>
                </c:pt>
                <c:pt idx="5">
                  <c:v>0.33689344514920055</c:v>
                </c:pt>
                <c:pt idx="6">
                  <c:v>0.39736448361162269</c:v>
                </c:pt>
                <c:pt idx="7">
                  <c:v>0.36767035477752968</c:v>
                </c:pt>
                <c:pt idx="8">
                  <c:v>0.34205783283058533</c:v>
                </c:pt>
                <c:pt idx="9">
                  <c:v>0.36596963315476722</c:v>
                </c:pt>
              </c:numCache>
            </c:numRef>
          </c:val>
        </c:ser>
        <c:ser>
          <c:idx val="1"/>
          <c:order val="1"/>
          <c:tx>
            <c:strRef>
              <c:f>'U10m pots and traps'!$C$89</c:f>
              <c:strCache>
                <c:ptCount val="1"/>
                <c:pt idx="0">
                  <c:v>Brown Crab</c:v>
                </c:pt>
              </c:strCache>
            </c:strRef>
          </c:tx>
          <c:spPr>
            <a:solidFill>
              <a:srgbClr val="7F2321"/>
            </a:solidFill>
            <a:ln>
              <a:solidFill>
                <a:srgbClr val="FFFFFF"/>
              </a:solidFill>
            </a:ln>
          </c:spPr>
          <c:invertIfNegative val="0"/>
          <c:cat>
            <c:numRef>
              <c:f>'U10m pots and traps'!$D$87:$M$87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traps'!$D$89:$M$89</c:f>
              <c:numCache>
                <c:formatCode>0%</c:formatCode>
                <c:ptCount val="10"/>
                <c:pt idx="0">
                  <c:v>0.18530937993213442</c:v>
                </c:pt>
                <c:pt idx="1">
                  <c:v>0.20046862794415116</c:v>
                </c:pt>
                <c:pt idx="2">
                  <c:v>0.21010419923590473</c:v>
                </c:pt>
                <c:pt idx="3">
                  <c:v>0.19181948530975212</c:v>
                </c:pt>
                <c:pt idx="4">
                  <c:v>0.16759046668591585</c:v>
                </c:pt>
                <c:pt idx="5">
                  <c:v>0.18098202129552171</c:v>
                </c:pt>
                <c:pt idx="6">
                  <c:v>0.18054321926562969</c:v>
                </c:pt>
                <c:pt idx="7">
                  <c:v>0.19611046165882087</c:v>
                </c:pt>
                <c:pt idx="8">
                  <c:v>0.2191770720845953</c:v>
                </c:pt>
                <c:pt idx="9">
                  <c:v>0.22140488664270619</c:v>
                </c:pt>
              </c:numCache>
            </c:numRef>
          </c:val>
        </c:ser>
        <c:ser>
          <c:idx val="2"/>
          <c:order val="2"/>
          <c:tx>
            <c:strRef>
              <c:f>'U10m pots and traps'!$C$90</c:f>
              <c:strCache>
                <c:ptCount val="1"/>
                <c:pt idx="0">
                  <c:v>Nephrops</c:v>
                </c:pt>
              </c:strCache>
            </c:strRef>
          </c:tx>
          <c:spPr>
            <a:solidFill>
              <a:srgbClr val="607A2A"/>
            </a:solidFill>
            <a:ln>
              <a:solidFill>
                <a:srgbClr val="FFFFFF"/>
              </a:solidFill>
            </a:ln>
          </c:spPr>
          <c:invertIfNegative val="0"/>
          <c:cat>
            <c:numRef>
              <c:f>'U10m pots and traps'!$D$87:$M$87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traps'!$D$90:$M$90</c:f>
              <c:numCache>
                <c:formatCode>0%</c:formatCode>
                <c:ptCount val="10"/>
                <c:pt idx="0">
                  <c:v>0.36546309323792253</c:v>
                </c:pt>
                <c:pt idx="1">
                  <c:v>0.18523816432969811</c:v>
                </c:pt>
                <c:pt idx="2">
                  <c:v>0.1733850123102206</c:v>
                </c:pt>
                <c:pt idx="3">
                  <c:v>0.18493897551398014</c:v>
                </c:pt>
                <c:pt idx="4">
                  <c:v>0.22089779693919792</c:v>
                </c:pt>
                <c:pt idx="5">
                  <c:v>0.21773399478346669</c:v>
                </c:pt>
                <c:pt idx="6">
                  <c:v>0.17923222104358658</c:v>
                </c:pt>
                <c:pt idx="7">
                  <c:v>0.16194268688288938</c:v>
                </c:pt>
                <c:pt idx="8">
                  <c:v>0.15991800177660453</c:v>
                </c:pt>
                <c:pt idx="9">
                  <c:v>0.13925018349202237</c:v>
                </c:pt>
              </c:numCache>
            </c:numRef>
          </c:val>
        </c:ser>
        <c:ser>
          <c:idx val="3"/>
          <c:order val="3"/>
          <c:tx>
            <c:strRef>
              <c:f>'U10m pots and traps'!$C$91</c:f>
              <c:strCache>
                <c:ptCount val="1"/>
                <c:pt idx="0">
                  <c:v>Whelks</c:v>
                </c:pt>
              </c:strCache>
            </c:strRef>
          </c:tx>
          <c:spPr>
            <a:solidFill>
              <a:srgbClr val="4B3467"/>
            </a:solidFill>
            <a:ln>
              <a:solidFill>
                <a:srgbClr val="FFFFFF"/>
              </a:solidFill>
            </a:ln>
          </c:spPr>
          <c:invertIfNegative val="0"/>
          <c:cat>
            <c:numRef>
              <c:f>'U10m pots and traps'!$D$87:$M$87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traps'!$D$91:$M$91</c:f>
              <c:numCache>
                <c:formatCode>0%</c:formatCode>
                <c:ptCount val="10"/>
                <c:pt idx="0">
                  <c:v>4.3903997622447156E-2</c:v>
                </c:pt>
                <c:pt idx="1">
                  <c:v>4.7215930476633743E-2</c:v>
                </c:pt>
                <c:pt idx="2">
                  <c:v>6.0032133374778404E-2</c:v>
                </c:pt>
                <c:pt idx="3">
                  <c:v>6.6098949252308623E-2</c:v>
                </c:pt>
                <c:pt idx="4">
                  <c:v>6.8211835226387046E-2</c:v>
                </c:pt>
                <c:pt idx="5">
                  <c:v>8.9650916206144279E-2</c:v>
                </c:pt>
                <c:pt idx="6">
                  <c:v>8.072334036942061E-2</c:v>
                </c:pt>
                <c:pt idx="7">
                  <c:v>0.11409584194905122</c:v>
                </c:pt>
                <c:pt idx="8">
                  <c:v>0.15067710442272153</c:v>
                </c:pt>
                <c:pt idx="9">
                  <c:v>0.14762395001787204</c:v>
                </c:pt>
              </c:numCache>
            </c:numRef>
          </c:val>
        </c:ser>
        <c:ser>
          <c:idx val="4"/>
          <c:order val="4"/>
          <c:tx>
            <c:strRef>
              <c:f>'U10m pots and traps'!$C$92</c:f>
              <c:strCache>
                <c:ptCount val="1"/>
                <c:pt idx="0">
                  <c:v>Velvet Crab</c:v>
                </c:pt>
              </c:strCache>
            </c:strRef>
          </c:tx>
          <c:spPr>
            <a:solidFill>
              <a:srgbClr val="9B2D2A"/>
            </a:solidFill>
            <a:ln>
              <a:solidFill>
                <a:srgbClr val="FFFFFF"/>
              </a:solidFill>
            </a:ln>
          </c:spPr>
          <c:invertIfNegative val="0"/>
          <c:cat>
            <c:numRef>
              <c:f>'U10m pots and traps'!$D$87:$M$87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traps'!$D$92:$M$92</c:f>
              <c:numCache>
                <c:formatCode>0%</c:formatCode>
                <c:ptCount val="10"/>
                <c:pt idx="0">
                  <c:v>0.12949229002672141</c:v>
                </c:pt>
                <c:pt idx="1">
                  <c:v>9.9030495204856947E-2</c:v>
                </c:pt>
                <c:pt idx="2">
                  <c:v>9.3317935916830588E-2</c:v>
                </c:pt>
                <c:pt idx="3">
                  <c:v>9.1676793283816213E-2</c:v>
                </c:pt>
                <c:pt idx="4">
                  <c:v>0.10506267237930002</c:v>
                </c:pt>
                <c:pt idx="5">
                  <c:v>0.10426518706203676</c:v>
                </c:pt>
                <c:pt idx="6">
                  <c:v>8.8298203041696555E-2</c:v>
                </c:pt>
                <c:pt idx="7">
                  <c:v>7.7900736006024041E-2</c:v>
                </c:pt>
                <c:pt idx="8">
                  <c:v>5.9999882563558211E-2</c:v>
                </c:pt>
                <c:pt idx="9">
                  <c:v>5.8704379314014565E-2</c:v>
                </c:pt>
              </c:numCache>
            </c:numRef>
          </c:val>
        </c:ser>
        <c:ser>
          <c:idx val="5"/>
          <c:order val="5"/>
          <c:tx>
            <c:strRef>
              <c:f>'U10m pots and traps'!$C$93</c:f>
              <c:strCache>
                <c:ptCount val="1"/>
                <c:pt idx="0">
                  <c:v>Others</c:v>
                </c:pt>
              </c:strCache>
            </c:strRef>
          </c:tx>
          <c:spPr>
            <a:solidFill>
              <a:srgbClr val="008000"/>
            </a:solidFill>
            <a:ln>
              <a:solidFill>
                <a:srgbClr val="FFFFFF"/>
              </a:solidFill>
            </a:ln>
          </c:spPr>
          <c:invertIfNegative val="0"/>
          <c:cat>
            <c:numRef>
              <c:f>'U10m pots and traps'!$D$87:$M$87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pots and traps'!$D$93:$M$93</c:f>
              <c:numCache>
                <c:formatCode>0%</c:formatCode>
                <c:ptCount val="10"/>
                <c:pt idx="0">
                  <c:v>4.7486604561683549E-2</c:v>
                </c:pt>
                <c:pt idx="1">
                  <c:v>9.1262882047001406E-2</c:v>
                </c:pt>
                <c:pt idx="2">
                  <c:v>8.183378789460978E-2</c:v>
                </c:pt>
                <c:pt idx="3">
                  <c:v>6.7754244954878542E-2</c:v>
                </c:pt>
                <c:pt idx="4">
                  <c:v>6.6048724972156775E-2</c:v>
                </c:pt>
                <c:pt idx="5">
                  <c:v>7.0474435503630001E-2</c:v>
                </c:pt>
                <c:pt idx="6">
                  <c:v>7.3838532668043869E-2</c:v>
                </c:pt>
                <c:pt idx="7">
                  <c:v>8.2279918725684825E-2</c:v>
                </c:pt>
                <c:pt idx="8">
                  <c:v>6.8170106321935084E-2</c:v>
                </c:pt>
                <c:pt idx="9">
                  <c:v>6.7046967378617636E-2</c:v>
                </c:pt>
              </c:numCache>
            </c:numRef>
          </c:val>
        </c:ser>
        <c:dLbls>
          <c:showLegendKey val="0"/>
          <c:showVal val="0"/>
          <c:showCatName val="0"/>
          <c:showSerName val="0"/>
          <c:showPercent val="0"/>
          <c:showBubbleSize val="0"/>
        </c:dLbls>
        <c:gapWidth val="150"/>
        <c:overlap val="100"/>
        <c:axId val="140273152"/>
        <c:axId val="140274688"/>
      </c:barChart>
      <c:catAx>
        <c:axId val="140273152"/>
        <c:scaling>
          <c:orientation val="minMax"/>
        </c:scaling>
        <c:delete val="0"/>
        <c:axPos val="b"/>
        <c:numFmt formatCode="General" sourceLinked="1"/>
        <c:majorTickMark val="out"/>
        <c:minorTickMark val="none"/>
        <c:tickLblPos val="nextTo"/>
        <c:crossAx val="140274688"/>
        <c:crosses val="autoZero"/>
        <c:auto val="1"/>
        <c:lblAlgn val="ctr"/>
        <c:lblOffset val="100"/>
        <c:noMultiLvlLbl val="0"/>
      </c:catAx>
      <c:valAx>
        <c:axId val="140274688"/>
        <c:scaling>
          <c:orientation val="minMax"/>
          <c:max val="1"/>
          <c:min val="0"/>
        </c:scaling>
        <c:delete val="0"/>
        <c:axPos val="l"/>
        <c:majorGridlines/>
        <c:numFmt formatCode="0%" sourceLinked="1"/>
        <c:majorTickMark val="out"/>
        <c:minorTickMark val="none"/>
        <c:tickLblPos val="nextTo"/>
        <c:crossAx val="14027315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hooks'!$A$45</c:f>
          <c:strCache>
            <c:ptCount val="1"/>
            <c:pt idx="0">
              <c:v>Landings per kW day at sea (kg)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'U10m using hooks'!$D$2:$M$2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hooks'!$D$20:$M$20</c:f>
              <c:numCache>
                <c:formatCode>#,##0.00</c:formatCode>
                <c:ptCount val="10"/>
                <c:pt idx="0">
                  <c:v>2.8052224927369975</c:v>
                </c:pt>
                <c:pt idx="1">
                  <c:v>2.0780498611787381</c:v>
                </c:pt>
                <c:pt idx="2">
                  <c:v>1.9537656966542787</c:v>
                </c:pt>
                <c:pt idx="3">
                  <c:v>2.2947425251893598</c:v>
                </c:pt>
                <c:pt idx="4">
                  <c:v>2.5313500196284595</c:v>
                </c:pt>
                <c:pt idx="5">
                  <c:v>2.5127592811846973</c:v>
                </c:pt>
                <c:pt idx="6">
                  <c:v>2.3674163712109091</c:v>
                </c:pt>
                <c:pt idx="7">
                  <c:v>2.7476287387590577</c:v>
                </c:pt>
                <c:pt idx="8">
                  <c:v>2.589987933265435</c:v>
                </c:pt>
                <c:pt idx="9">
                  <c:v>2.1815271328616697</c:v>
                </c:pt>
              </c:numCache>
            </c:numRef>
          </c:val>
          <c:smooth val="0"/>
        </c:ser>
        <c:dLbls>
          <c:showLegendKey val="0"/>
          <c:showVal val="0"/>
          <c:showCatName val="0"/>
          <c:showSerName val="0"/>
          <c:showPercent val="0"/>
          <c:showBubbleSize val="0"/>
        </c:dLbls>
        <c:marker val="1"/>
        <c:smooth val="0"/>
        <c:axId val="140330112"/>
        <c:axId val="140331648"/>
      </c:lineChart>
      <c:catAx>
        <c:axId val="140330112"/>
        <c:scaling>
          <c:orientation val="minMax"/>
        </c:scaling>
        <c:delete val="0"/>
        <c:axPos val="b"/>
        <c:numFmt formatCode="General" sourceLinked="1"/>
        <c:majorTickMark val="out"/>
        <c:minorTickMark val="none"/>
        <c:tickLblPos val="nextTo"/>
        <c:crossAx val="140331648"/>
        <c:crosses val="autoZero"/>
        <c:auto val="1"/>
        <c:lblAlgn val="ctr"/>
        <c:lblOffset val="100"/>
        <c:noMultiLvlLbl val="0"/>
      </c:catAx>
      <c:valAx>
        <c:axId val="140331648"/>
        <c:scaling>
          <c:orientation val="minMax"/>
        </c:scaling>
        <c:delete val="0"/>
        <c:axPos val="l"/>
        <c:majorGridlines>
          <c:spPr>
            <a:ln w="3175">
              <a:prstDash val="sysDot"/>
            </a:ln>
          </c:spPr>
        </c:majorGridlines>
        <c:numFmt formatCode="#,##0.00" sourceLinked="1"/>
        <c:majorTickMark val="out"/>
        <c:minorTickMark val="none"/>
        <c:tickLblPos val="nextTo"/>
        <c:crossAx val="140330112"/>
        <c:crosses val="autoZero"/>
        <c:crossBetween val="between"/>
      </c:valAx>
    </c:plotArea>
    <c:plotVisOnly val="1"/>
    <c:dispBlanksAs val="gap"/>
    <c:showDLblsOverMax val="0"/>
  </c:chart>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hooks'!$F$45</c:f>
          <c:strCache>
            <c:ptCount val="1"/>
            <c:pt idx="0">
              <c:v>Income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'U10m using hooks'!$D$2:$M$2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hooks'!$D$21:$M$21</c:f>
              <c:numCache>
                <c:formatCode>#,##0.00</c:formatCode>
                <c:ptCount val="10"/>
                <c:pt idx="0">
                  <c:v>4.8291732568836769</c:v>
                </c:pt>
                <c:pt idx="1">
                  <c:v>4.7293727856308081</c:v>
                </c:pt>
                <c:pt idx="2">
                  <c:v>5.2234742026615777</c:v>
                </c:pt>
                <c:pt idx="3">
                  <c:v>5.6536816784846051</c:v>
                </c:pt>
                <c:pt idx="4">
                  <c:v>5.9768088934522918</c:v>
                </c:pt>
                <c:pt idx="5">
                  <c:v>6.3199737107575338</c:v>
                </c:pt>
                <c:pt idx="6">
                  <c:v>6.2316301314911682</c:v>
                </c:pt>
                <c:pt idx="7">
                  <c:v>7.5516184890214699</c:v>
                </c:pt>
                <c:pt idx="8">
                  <c:v>7.488937265834628</c:v>
                </c:pt>
                <c:pt idx="9">
                  <c:v>6.7156512215257669</c:v>
                </c:pt>
              </c:numCache>
            </c:numRef>
          </c:val>
          <c:smooth val="0"/>
        </c:ser>
        <c:dLbls>
          <c:showLegendKey val="0"/>
          <c:showVal val="0"/>
          <c:showCatName val="0"/>
          <c:showSerName val="0"/>
          <c:showPercent val="0"/>
          <c:showBubbleSize val="0"/>
        </c:dLbls>
        <c:marker val="1"/>
        <c:smooth val="0"/>
        <c:axId val="140356224"/>
        <c:axId val="140362112"/>
      </c:lineChart>
      <c:catAx>
        <c:axId val="140356224"/>
        <c:scaling>
          <c:orientation val="minMax"/>
        </c:scaling>
        <c:delete val="0"/>
        <c:axPos val="b"/>
        <c:numFmt formatCode="General" sourceLinked="1"/>
        <c:majorTickMark val="out"/>
        <c:minorTickMark val="none"/>
        <c:tickLblPos val="nextTo"/>
        <c:crossAx val="140362112"/>
        <c:crosses val="autoZero"/>
        <c:auto val="1"/>
        <c:lblAlgn val="ctr"/>
        <c:lblOffset val="100"/>
        <c:noMultiLvlLbl val="0"/>
      </c:catAx>
      <c:valAx>
        <c:axId val="140362112"/>
        <c:scaling>
          <c:orientation val="minMax"/>
        </c:scaling>
        <c:delete val="0"/>
        <c:axPos val="l"/>
        <c:majorGridlines>
          <c:spPr>
            <a:ln w="3175">
              <a:prstDash val="sysDot"/>
            </a:ln>
          </c:spPr>
        </c:majorGridlines>
        <c:numFmt formatCode="#,##0.00" sourceLinked="1"/>
        <c:majorTickMark val="out"/>
        <c:minorTickMark val="none"/>
        <c:tickLblPos val="nextTo"/>
        <c:crossAx val="140356224"/>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u250kW'!$F$73</c:f>
          <c:strCache>
            <c:ptCount val="1"/>
            <c:pt idx="0">
              <c:v>Top 5 landed species by value in 2013
Area VIIA nephrops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'Area VIIa nephrops u250kW'!$G$74:$G$79</c:f>
              <c:strCache>
                <c:ptCount val="6"/>
                <c:pt idx="0">
                  <c:v>Nephrops - 85.8%</c:v>
                </c:pt>
                <c:pt idx="1">
                  <c:v>Scallops - 6.2%</c:v>
                </c:pt>
                <c:pt idx="2">
                  <c:v>Queen Scallops - 1.5%</c:v>
                </c:pt>
                <c:pt idx="3">
                  <c:v>Anglerfish - 1.0%</c:v>
                </c:pt>
                <c:pt idx="4">
                  <c:v>Thornback Ray - 0.6%</c:v>
                </c:pt>
                <c:pt idx="5">
                  <c:v>Others - 4.9%</c:v>
                </c:pt>
              </c:strCache>
            </c:strRef>
          </c:cat>
          <c:val>
            <c:numRef>
              <c:f>'Area VIIa nephrops u250kW'!$H$74:$H$79</c:f>
              <c:numCache>
                <c:formatCode>0.0%</c:formatCode>
                <c:ptCount val="6"/>
                <c:pt idx="0">
                  <c:v>0.85759624813509749</c:v>
                </c:pt>
                <c:pt idx="1">
                  <c:v>6.1731168903097947E-2</c:v>
                </c:pt>
                <c:pt idx="2">
                  <c:v>1.5380737962073546E-2</c:v>
                </c:pt>
                <c:pt idx="3">
                  <c:v>9.8829355128620833E-3</c:v>
                </c:pt>
                <c:pt idx="4">
                  <c:v>6.2379416034434483E-3</c:v>
                </c:pt>
                <c:pt idx="5">
                  <c:v>4.9170967883425454E-2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hooks'!$K$45</c:f>
          <c:strCache>
            <c:ptCount val="1"/>
            <c:pt idx="0">
              <c:v>Operating profit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'U10m using hooks'!$D$2:$M$2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hooks'!$D$23:$M$23</c:f>
              <c:numCache>
                <c:formatCode>#,##0.00</c:formatCode>
                <c:ptCount val="10"/>
                <c:pt idx="0">
                  <c:v>1.6842831699586873</c:v>
                </c:pt>
                <c:pt idx="1">
                  <c:v>1.9339585148868628</c:v>
                </c:pt>
                <c:pt idx="2">
                  <c:v>2.9882363193957175</c:v>
                </c:pt>
                <c:pt idx="3">
                  <c:v>0.89221178578391291</c:v>
                </c:pt>
                <c:pt idx="4">
                  <c:v>2.0651356742276219</c:v>
                </c:pt>
                <c:pt idx="5">
                  <c:v>1.4221485186696152</c:v>
                </c:pt>
                <c:pt idx="6">
                  <c:v>0.46751285782921304</c:v>
                </c:pt>
                <c:pt idx="7">
                  <c:v>1.4290861276390574</c:v>
                </c:pt>
                <c:pt idx="8">
                  <c:v>2.4818490818447057</c:v>
                </c:pt>
                <c:pt idx="9">
                  <c:v>2.2015834402665311</c:v>
                </c:pt>
              </c:numCache>
            </c:numRef>
          </c:val>
          <c:smooth val="0"/>
        </c:ser>
        <c:dLbls>
          <c:showLegendKey val="0"/>
          <c:showVal val="0"/>
          <c:showCatName val="0"/>
          <c:showSerName val="0"/>
          <c:showPercent val="0"/>
          <c:showBubbleSize val="0"/>
        </c:dLbls>
        <c:marker val="1"/>
        <c:smooth val="0"/>
        <c:axId val="139329920"/>
        <c:axId val="139331456"/>
      </c:lineChart>
      <c:catAx>
        <c:axId val="139329920"/>
        <c:scaling>
          <c:orientation val="minMax"/>
        </c:scaling>
        <c:delete val="0"/>
        <c:axPos val="b"/>
        <c:numFmt formatCode="General" sourceLinked="1"/>
        <c:majorTickMark val="out"/>
        <c:minorTickMark val="none"/>
        <c:tickLblPos val="nextTo"/>
        <c:crossAx val="139331456"/>
        <c:crosses val="autoZero"/>
        <c:auto val="1"/>
        <c:lblAlgn val="ctr"/>
        <c:lblOffset val="100"/>
        <c:noMultiLvlLbl val="0"/>
      </c:catAx>
      <c:valAx>
        <c:axId val="139331456"/>
        <c:scaling>
          <c:orientation val="minMax"/>
        </c:scaling>
        <c:delete val="0"/>
        <c:axPos val="l"/>
        <c:majorGridlines>
          <c:spPr>
            <a:ln w="3175">
              <a:prstDash val="sysDot"/>
            </a:ln>
          </c:spPr>
        </c:majorGridlines>
        <c:numFmt formatCode="#,##0.00" sourceLinked="1"/>
        <c:majorTickMark val="out"/>
        <c:minorTickMark val="none"/>
        <c:tickLblPos val="nextTo"/>
        <c:crossAx val="13932992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hooks'!$B$59</c:f>
          <c:strCache>
            <c:ptCount val="1"/>
            <c:pt idx="0">
              <c:v>Total cost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'U10m using hooks'!$D$2:$M$2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hooks'!$D$22:$M$22</c:f>
              <c:numCache>
                <c:formatCode>#,##0.00</c:formatCode>
                <c:ptCount val="10"/>
                <c:pt idx="0">
                  <c:v>3.1448900869249892</c:v>
                </c:pt>
                <c:pt idx="1">
                  <c:v>2.7954142707439456</c:v>
                </c:pt>
                <c:pt idx="2">
                  <c:v>2.235237883265861</c:v>
                </c:pt>
                <c:pt idx="3">
                  <c:v>4.761469892700692</c:v>
                </c:pt>
                <c:pt idx="4">
                  <c:v>3.9116732192246699</c:v>
                </c:pt>
                <c:pt idx="5">
                  <c:v>4.897825192087919</c:v>
                </c:pt>
                <c:pt idx="6">
                  <c:v>5.7641172736619559</c:v>
                </c:pt>
                <c:pt idx="7">
                  <c:v>6.1225323613824028</c:v>
                </c:pt>
                <c:pt idx="8">
                  <c:v>5.0070881839899215</c:v>
                </c:pt>
                <c:pt idx="9">
                  <c:v>4.5140677812592251</c:v>
                </c:pt>
              </c:numCache>
            </c:numRef>
          </c:val>
          <c:smooth val="0"/>
        </c:ser>
        <c:dLbls>
          <c:showLegendKey val="0"/>
          <c:showVal val="0"/>
          <c:showCatName val="0"/>
          <c:showSerName val="0"/>
          <c:showPercent val="0"/>
          <c:showBubbleSize val="0"/>
        </c:dLbls>
        <c:marker val="1"/>
        <c:smooth val="0"/>
        <c:axId val="139360128"/>
        <c:axId val="139361664"/>
      </c:lineChart>
      <c:catAx>
        <c:axId val="139360128"/>
        <c:scaling>
          <c:orientation val="minMax"/>
        </c:scaling>
        <c:delete val="0"/>
        <c:axPos val="b"/>
        <c:numFmt formatCode="General" sourceLinked="1"/>
        <c:majorTickMark val="out"/>
        <c:minorTickMark val="none"/>
        <c:tickLblPos val="nextTo"/>
        <c:crossAx val="139361664"/>
        <c:crosses val="autoZero"/>
        <c:auto val="1"/>
        <c:lblAlgn val="ctr"/>
        <c:lblOffset val="100"/>
        <c:noMultiLvlLbl val="0"/>
      </c:catAx>
      <c:valAx>
        <c:axId val="139361664"/>
        <c:scaling>
          <c:orientation val="minMax"/>
        </c:scaling>
        <c:delete val="0"/>
        <c:axPos val="l"/>
        <c:majorGridlines>
          <c:spPr>
            <a:ln w="3175">
              <a:prstDash val="sysDot"/>
            </a:ln>
          </c:spPr>
        </c:majorGridlines>
        <c:numFmt formatCode="#,##0.00" sourceLinked="1"/>
        <c:majorTickMark val="out"/>
        <c:minorTickMark val="none"/>
        <c:tickLblPos val="nextTo"/>
        <c:crossAx val="139360128"/>
        <c:crosses val="autoZero"/>
        <c:crossBetween val="between"/>
      </c:valAx>
    </c:plotArea>
    <c:plotVisOnly val="1"/>
    <c:dispBlanksAs val="gap"/>
    <c:showDLblsOverMax val="0"/>
  </c:chart>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hooks'!$F$59</c:f>
          <c:strCache>
            <c:ptCount val="1"/>
            <c:pt idx="0">
              <c:v>Average price per tonne landed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'U10m using hooks'!$D$2:$M$2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hooks'!$D$19:$M$19</c:f>
              <c:numCache>
                <c:formatCode>#,##0</c:formatCode>
                <c:ptCount val="10"/>
                <c:pt idx="0">
                  <c:v>1721.4938465438115</c:v>
                </c:pt>
                <c:pt idx="1">
                  <c:v>2275.8705660235819</c:v>
                </c:pt>
                <c:pt idx="2">
                  <c:v>2673.5418965188223</c:v>
                </c:pt>
                <c:pt idx="3">
                  <c:v>2463.7544070546619</c:v>
                </c:pt>
                <c:pt idx="4">
                  <c:v>2361.1150933528993</c:v>
                </c:pt>
                <c:pt idx="5">
                  <c:v>2515.1525018149532</c:v>
                </c:pt>
                <c:pt idx="6">
                  <c:v>2632.2491262730691</c:v>
                </c:pt>
                <c:pt idx="7">
                  <c:v>2748.4131236333023</c:v>
                </c:pt>
                <c:pt idx="8">
                  <c:v>2891.4948228200128</c:v>
                </c:pt>
                <c:pt idx="9">
                  <c:v>3078.4173838669367</c:v>
                </c:pt>
              </c:numCache>
            </c:numRef>
          </c:val>
          <c:smooth val="0"/>
        </c:ser>
        <c:dLbls>
          <c:showLegendKey val="0"/>
          <c:showVal val="0"/>
          <c:showCatName val="0"/>
          <c:showSerName val="0"/>
          <c:showPercent val="0"/>
          <c:showBubbleSize val="0"/>
        </c:dLbls>
        <c:marker val="1"/>
        <c:smooth val="0"/>
        <c:axId val="139378048"/>
        <c:axId val="139404416"/>
      </c:lineChart>
      <c:catAx>
        <c:axId val="139378048"/>
        <c:scaling>
          <c:orientation val="minMax"/>
        </c:scaling>
        <c:delete val="0"/>
        <c:axPos val="b"/>
        <c:numFmt formatCode="General" sourceLinked="1"/>
        <c:majorTickMark val="out"/>
        <c:minorTickMark val="none"/>
        <c:tickLblPos val="nextTo"/>
        <c:crossAx val="139404416"/>
        <c:crosses val="autoZero"/>
        <c:auto val="1"/>
        <c:lblAlgn val="ctr"/>
        <c:lblOffset val="100"/>
        <c:noMultiLvlLbl val="0"/>
      </c:catAx>
      <c:valAx>
        <c:axId val="139404416"/>
        <c:scaling>
          <c:orientation val="minMax"/>
        </c:scaling>
        <c:delete val="0"/>
        <c:axPos val="l"/>
        <c:majorGridlines>
          <c:spPr>
            <a:ln w="3175">
              <a:prstDash val="sysDot"/>
            </a:ln>
          </c:spPr>
        </c:majorGridlines>
        <c:numFmt formatCode="#,##0" sourceLinked="1"/>
        <c:majorTickMark val="out"/>
        <c:minorTickMark val="none"/>
        <c:tickLblPos val="nextTo"/>
        <c:crossAx val="139378048"/>
        <c:crosses val="autoZero"/>
        <c:crossBetween val="between"/>
      </c:valAx>
    </c:plotArea>
    <c:plotVisOnly val="1"/>
    <c:dispBlanksAs val="gap"/>
    <c:showDLblsOverMax val="0"/>
  </c:chart>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hooks'!$K$59</c:f>
          <c:strCache>
            <c:ptCount val="1"/>
            <c:pt idx="0">
              <c:v>Average annual operating profit per vessel (£'000)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'U10m using hooks'!$D$2:$M$2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hooks'!$D$34:$M$34</c:f>
              <c:numCache>
                <c:formatCode>#,##0.0</c:formatCode>
                <c:ptCount val="10"/>
                <c:pt idx="0">
                  <c:v>11.957861892874595</c:v>
                </c:pt>
                <c:pt idx="1">
                  <c:v>14.033542931943533</c:v>
                </c:pt>
                <c:pt idx="2">
                  <c:v>18.47537952166212</c:v>
                </c:pt>
                <c:pt idx="3">
                  <c:v>5.5709010742433742</c:v>
                </c:pt>
                <c:pt idx="4">
                  <c:v>10.280292164763303</c:v>
                </c:pt>
                <c:pt idx="5">
                  <c:v>7.443119903068899</c:v>
                </c:pt>
                <c:pt idx="6">
                  <c:v>2.4704159805013992</c:v>
                </c:pt>
                <c:pt idx="7">
                  <c:v>7.2445499291972242</c:v>
                </c:pt>
                <c:pt idx="8">
                  <c:v>11.110498804566973</c:v>
                </c:pt>
                <c:pt idx="9">
                  <c:v>9.7999999619254989</c:v>
                </c:pt>
              </c:numCache>
            </c:numRef>
          </c:val>
          <c:smooth val="0"/>
        </c:ser>
        <c:dLbls>
          <c:showLegendKey val="0"/>
          <c:showVal val="0"/>
          <c:showCatName val="0"/>
          <c:showSerName val="0"/>
          <c:showPercent val="0"/>
          <c:showBubbleSize val="0"/>
        </c:dLbls>
        <c:marker val="1"/>
        <c:smooth val="0"/>
        <c:axId val="139441280"/>
        <c:axId val="139442816"/>
      </c:lineChart>
      <c:catAx>
        <c:axId val="139441280"/>
        <c:scaling>
          <c:orientation val="minMax"/>
        </c:scaling>
        <c:delete val="0"/>
        <c:axPos val="b"/>
        <c:numFmt formatCode="General" sourceLinked="1"/>
        <c:majorTickMark val="out"/>
        <c:minorTickMark val="none"/>
        <c:tickLblPos val="nextTo"/>
        <c:crossAx val="139442816"/>
        <c:crosses val="autoZero"/>
        <c:auto val="1"/>
        <c:lblAlgn val="ctr"/>
        <c:lblOffset val="100"/>
        <c:noMultiLvlLbl val="0"/>
      </c:catAx>
      <c:valAx>
        <c:axId val="139442816"/>
        <c:scaling>
          <c:orientation val="minMax"/>
        </c:scaling>
        <c:delete val="0"/>
        <c:axPos val="l"/>
        <c:majorGridlines>
          <c:spPr>
            <a:ln w="3175">
              <a:prstDash val="sysDot"/>
            </a:ln>
          </c:spPr>
        </c:majorGridlines>
        <c:numFmt formatCode="#,##0.0" sourceLinked="1"/>
        <c:majorTickMark val="out"/>
        <c:minorTickMark val="none"/>
        <c:tickLblPos val="nextTo"/>
        <c:crossAx val="139441280"/>
        <c:crosses val="autoZero"/>
        <c:crossBetween val="between"/>
      </c:valAx>
    </c:plotArea>
    <c:plotVisOnly val="1"/>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hooks'!$A$73</c:f>
          <c:strCache>
            <c:ptCount val="1"/>
            <c:pt idx="0">
              <c:v>Top 5 landed species by volume in 2013
Under 10m using hooks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607A2A"/>
              </a:solidFill>
              <a:ln>
                <a:solidFill>
                  <a:srgbClr val="FFFFFF"/>
                </a:solidFill>
              </a:ln>
            </c:spPr>
          </c:dPt>
          <c:dPt>
            <c:idx val="2"/>
            <c:bubble3D val="0"/>
            <c:spPr>
              <a:solidFill>
                <a:srgbClr val="4B3467"/>
              </a:solidFill>
              <a:ln>
                <a:solidFill>
                  <a:srgbClr val="FFFFFF"/>
                </a:solidFill>
              </a:ln>
            </c:spPr>
          </c:dPt>
          <c:dPt>
            <c:idx val="3"/>
            <c:bubble3D val="0"/>
            <c:spPr>
              <a:solidFill>
                <a:srgbClr val="9B2D2A"/>
              </a:solidFill>
              <a:ln>
                <a:solidFill>
                  <a:srgbClr val="FFFFFF"/>
                </a:solidFill>
              </a:ln>
            </c:spPr>
          </c:dPt>
          <c:dPt>
            <c:idx val="4"/>
            <c:bubble3D val="0"/>
            <c:spPr>
              <a:solidFill>
                <a:srgbClr val="7F2321"/>
              </a:solidFill>
              <a:ln>
                <a:solidFill>
                  <a:srgbClr val="FFFFFF"/>
                </a:solidFill>
              </a:ln>
            </c:spPr>
          </c:dPt>
          <c:dPt>
            <c:idx val="5"/>
            <c:bubble3D val="0"/>
            <c:spPr>
              <a:solidFill>
                <a:srgbClr val="008000"/>
              </a:solidFill>
              <a:ln>
                <a:solidFill>
                  <a:srgbClr val="FFFFFF"/>
                </a:solidFill>
              </a:ln>
            </c:spPr>
          </c:dPt>
          <c:cat>
            <c:strRef>
              <c:f>'U10m using hooks'!$B$74:$B$79</c:f>
              <c:strCache>
                <c:ptCount val="6"/>
                <c:pt idx="0">
                  <c:v>Razor Clam - 28.5%</c:v>
                </c:pt>
                <c:pt idx="1">
                  <c:v>Scallops - 21.0%</c:v>
                </c:pt>
                <c:pt idx="2">
                  <c:v>Mackerel - 19.3%</c:v>
                </c:pt>
                <c:pt idx="3">
                  <c:v>Pollack - 8.7%</c:v>
                </c:pt>
                <c:pt idx="4">
                  <c:v>Bass - 7.2%</c:v>
                </c:pt>
                <c:pt idx="5">
                  <c:v>Others - 15.3%</c:v>
                </c:pt>
              </c:strCache>
            </c:strRef>
          </c:cat>
          <c:val>
            <c:numRef>
              <c:f>'U10m using hooks'!$C$74:$C$79</c:f>
              <c:numCache>
                <c:formatCode>0.0%</c:formatCode>
                <c:ptCount val="6"/>
                <c:pt idx="0">
                  <c:v>0.28503960428932446</c:v>
                </c:pt>
                <c:pt idx="1">
                  <c:v>0.2097913489952386</c:v>
                </c:pt>
                <c:pt idx="2">
                  <c:v>0.19305683343618943</c:v>
                </c:pt>
                <c:pt idx="3">
                  <c:v>8.7064770201087424E-2</c:v>
                </c:pt>
                <c:pt idx="4">
                  <c:v>7.1565671552706614E-2</c:v>
                </c:pt>
                <c:pt idx="5">
                  <c:v>0.1534817715254535</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hooks'!$F$73</c:f>
          <c:strCache>
            <c:ptCount val="1"/>
            <c:pt idx="0">
              <c:v>Top 5 landed species by value in 2013
Under 10m using hooks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'U10m using hooks'!$G$74:$G$79</c:f>
              <c:strCache>
                <c:ptCount val="6"/>
                <c:pt idx="0">
                  <c:v>Razor Clam - 30.6%</c:v>
                </c:pt>
                <c:pt idx="1">
                  <c:v>Bass - 22.3%</c:v>
                </c:pt>
                <c:pt idx="2">
                  <c:v>Scallops - 16.7%</c:v>
                </c:pt>
                <c:pt idx="3">
                  <c:v>Mackerel - 10.5%</c:v>
                </c:pt>
                <c:pt idx="4">
                  <c:v>Pollack - 7.2%</c:v>
                </c:pt>
                <c:pt idx="5">
                  <c:v>Others - 12.7%</c:v>
                </c:pt>
              </c:strCache>
            </c:strRef>
          </c:cat>
          <c:val>
            <c:numRef>
              <c:f>'U10m using hooks'!$H$74:$H$79</c:f>
              <c:numCache>
                <c:formatCode>0.0%</c:formatCode>
                <c:ptCount val="6"/>
                <c:pt idx="0">
                  <c:v>0.30613244036809134</c:v>
                </c:pt>
                <c:pt idx="1">
                  <c:v>0.22302607851031814</c:v>
                </c:pt>
                <c:pt idx="2">
                  <c:v>0.1670835162878809</c:v>
                </c:pt>
                <c:pt idx="3">
                  <c:v>0.10452582984898665</c:v>
                </c:pt>
                <c:pt idx="4">
                  <c:v>7.2435491917599917E-2</c:v>
                </c:pt>
                <c:pt idx="5">
                  <c:v>0.12679664306712313</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using hooks'!$C$88</c:f>
              <c:strCache>
                <c:ptCount val="1"/>
                <c:pt idx="0">
                  <c:v>Razor Clam</c:v>
                </c:pt>
              </c:strCache>
            </c:strRef>
          </c:tx>
          <c:spPr>
            <a:solidFill>
              <a:srgbClr val="224B7D"/>
            </a:solidFill>
            <a:ln>
              <a:solidFill>
                <a:srgbClr val="FFFFFF"/>
              </a:solidFill>
            </a:ln>
          </c:spPr>
          <c:invertIfNegative val="0"/>
          <c:cat>
            <c:numRef>
              <c:f>'U10m using hooks'!$D$87:$M$87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hooks'!$D$88:$M$88</c:f>
              <c:numCache>
                <c:formatCode>0%</c:formatCode>
                <c:ptCount val="10"/>
                <c:pt idx="0">
                  <c:v>0.21215858997442666</c:v>
                </c:pt>
                <c:pt idx="1">
                  <c:v>0.11092750272945726</c:v>
                </c:pt>
                <c:pt idx="2">
                  <c:v>0.13777556285827183</c:v>
                </c:pt>
                <c:pt idx="3">
                  <c:v>0.16392373268396834</c:v>
                </c:pt>
                <c:pt idx="4">
                  <c:v>0.16492060979068163</c:v>
                </c:pt>
                <c:pt idx="5">
                  <c:v>0.18970286427876953</c:v>
                </c:pt>
                <c:pt idx="6">
                  <c:v>0.21794983323668699</c:v>
                </c:pt>
                <c:pt idx="7">
                  <c:v>0.27976274501403681</c:v>
                </c:pt>
                <c:pt idx="8">
                  <c:v>0.31135383148029372</c:v>
                </c:pt>
                <c:pt idx="9">
                  <c:v>0.13951979474096529</c:v>
                </c:pt>
              </c:numCache>
            </c:numRef>
          </c:val>
        </c:ser>
        <c:ser>
          <c:idx val="1"/>
          <c:order val="1"/>
          <c:tx>
            <c:strRef>
              <c:f>'U10m using hooks'!$C$89</c:f>
              <c:strCache>
                <c:ptCount val="1"/>
                <c:pt idx="0">
                  <c:v>Bass</c:v>
                </c:pt>
              </c:strCache>
            </c:strRef>
          </c:tx>
          <c:spPr>
            <a:solidFill>
              <a:srgbClr val="7F2321"/>
            </a:solidFill>
            <a:ln>
              <a:solidFill>
                <a:srgbClr val="FFFFFF"/>
              </a:solidFill>
            </a:ln>
          </c:spPr>
          <c:invertIfNegative val="0"/>
          <c:cat>
            <c:numRef>
              <c:f>'U10m using hooks'!$D$87:$M$87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hooks'!$D$89:$M$89</c:f>
              <c:numCache>
                <c:formatCode>0%</c:formatCode>
                <c:ptCount val="10"/>
                <c:pt idx="1">
                  <c:v>0.23528031680208947</c:v>
                </c:pt>
                <c:pt idx="2">
                  <c:v>0.27878361072709745</c:v>
                </c:pt>
                <c:pt idx="3">
                  <c:v>0.24196017567161904</c:v>
                </c:pt>
                <c:pt idx="4">
                  <c:v>0.22259201929687769</c:v>
                </c:pt>
                <c:pt idx="5">
                  <c:v>0.20351793427549894</c:v>
                </c:pt>
                <c:pt idx="6">
                  <c:v>0.16756795298731791</c:v>
                </c:pt>
                <c:pt idx="7">
                  <c:v>0.21156290242075323</c:v>
                </c:pt>
                <c:pt idx="8">
                  <c:v>0.22683000854374724</c:v>
                </c:pt>
                <c:pt idx="9">
                  <c:v>0.33133038008001214</c:v>
                </c:pt>
              </c:numCache>
            </c:numRef>
          </c:val>
        </c:ser>
        <c:ser>
          <c:idx val="2"/>
          <c:order val="2"/>
          <c:tx>
            <c:strRef>
              <c:f>'U10m using hooks'!$C$90</c:f>
              <c:strCache>
                <c:ptCount val="1"/>
                <c:pt idx="0">
                  <c:v>Scallops</c:v>
                </c:pt>
              </c:strCache>
            </c:strRef>
          </c:tx>
          <c:spPr>
            <a:solidFill>
              <a:srgbClr val="607A2A"/>
            </a:solidFill>
            <a:ln>
              <a:solidFill>
                <a:srgbClr val="FFFFFF"/>
              </a:solidFill>
            </a:ln>
          </c:spPr>
          <c:invertIfNegative val="0"/>
          <c:cat>
            <c:numRef>
              <c:f>'U10m using hooks'!$D$87:$M$87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hooks'!$D$90:$M$90</c:f>
              <c:numCache>
                <c:formatCode>0%</c:formatCode>
                <c:ptCount val="10"/>
                <c:pt idx="0">
                  <c:v>0.38186884193515797</c:v>
                </c:pt>
                <c:pt idx="1">
                  <c:v>0.5035390420332011</c:v>
                </c:pt>
                <c:pt idx="2">
                  <c:v>0.27052577343550249</c:v>
                </c:pt>
                <c:pt idx="3">
                  <c:v>0.25765453231077584</c:v>
                </c:pt>
                <c:pt idx="4">
                  <c:v>0.29394034253494294</c:v>
                </c:pt>
                <c:pt idx="5">
                  <c:v>0.2206270244883356</c:v>
                </c:pt>
                <c:pt idx="6">
                  <c:v>0.20901873255583531</c:v>
                </c:pt>
                <c:pt idx="7">
                  <c:v>0.16744543712425047</c:v>
                </c:pt>
                <c:pt idx="8">
                  <c:v>0.16993329067275853</c:v>
                </c:pt>
                <c:pt idx="9">
                  <c:v>0.24963514123952163</c:v>
                </c:pt>
              </c:numCache>
            </c:numRef>
          </c:val>
        </c:ser>
        <c:ser>
          <c:idx val="3"/>
          <c:order val="3"/>
          <c:tx>
            <c:strRef>
              <c:f>'U10m using hooks'!$C$91</c:f>
              <c:strCache>
                <c:ptCount val="1"/>
                <c:pt idx="0">
                  <c:v>Mackerel</c:v>
                </c:pt>
              </c:strCache>
            </c:strRef>
          </c:tx>
          <c:spPr>
            <a:solidFill>
              <a:srgbClr val="4B3467"/>
            </a:solidFill>
            <a:ln>
              <a:solidFill>
                <a:srgbClr val="FFFFFF"/>
              </a:solidFill>
            </a:ln>
          </c:spPr>
          <c:invertIfNegative val="0"/>
          <c:cat>
            <c:numRef>
              <c:f>'U10m using hooks'!$D$87:$M$87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hooks'!$D$91:$M$91</c:f>
              <c:numCache>
                <c:formatCode>0%</c:formatCode>
                <c:ptCount val="10"/>
                <c:pt idx="0">
                  <c:v>0.12530862040552015</c:v>
                </c:pt>
                <c:pt idx="1">
                  <c:v>3.1649374504886585E-2</c:v>
                </c:pt>
                <c:pt idx="3">
                  <c:v>0.10247818457179796</c:v>
                </c:pt>
                <c:pt idx="4">
                  <c:v>0.12830426782739845</c:v>
                </c:pt>
                <c:pt idx="5">
                  <c:v>0.12674463054875948</c:v>
                </c:pt>
                <c:pt idx="6">
                  <c:v>0.17992116462649016</c:v>
                </c:pt>
                <c:pt idx="7">
                  <c:v>0.131297221201787</c:v>
                </c:pt>
                <c:pt idx="8">
                  <c:v>0.10630862110858934</c:v>
                </c:pt>
                <c:pt idx="9">
                  <c:v>0.10685325074983616</c:v>
                </c:pt>
              </c:numCache>
            </c:numRef>
          </c:val>
        </c:ser>
        <c:ser>
          <c:idx val="4"/>
          <c:order val="4"/>
          <c:tx>
            <c:strRef>
              <c:f>'U10m using hooks'!$C$92</c:f>
              <c:strCache>
                <c:ptCount val="1"/>
                <c:pt idx="0">
                  <c:v>Pollack</c:v>
                </c:pt>
              </c:strCache>
            </c:strRef>
          </c:tx>
          <c:spPr>
            <a:solidFill>
              <a:srgbClr val="9B2D2A"/>
            </a:solidFill>
            <a:ln>
              <a:solidFill>
                <a:srgbClr val="FFFFFF"/>
              </a:solidFill>
            </a:ln>
          </c:spPr>
          <c:invertIfNegative val="0"/>
          <c:cat>
            <c:numRef>
              <c:f>'U10m using hooks'!$D$87:$M$87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hooks'!$D$92:$M$92</c:f>
              <c:numCache>
                <c:formatCode>0%</c:formatCode>
                <c:ptCount val="10"/>
                <c:pt idx="2">
                  <c:v>5.7709101668125859E-2</c:v>
                </c:pt>
                <c:pt idx="4">
                  <c:v>7.7821820878768447E-2</c:v>
                </c:pt>
                <c:pt idx="6">
                  <c:v>0.1000261649037484</c:v>
                </c:pt>
                <c:pt idx="7">
                  <c:v>7.7667716493943356E-2</c:v>
                </c:pt>
                <c:pt idx="8">
                  <c:v>7.3670950770806723E-2</c:v>
                </c:pt>
                <c:pt idx="9">
                  <c:v>5.5435974540250177E-2</c:v>
                </c:pt>
              </c:numCache>
            </c:numRef>
          </c:val>
        </c:ser>
        <c:ser>
          <c:idx val="5"/>
          <c:order val="5"/>
          <c:tx>
            <c:strRef>
              <c:f>'U10m using hooks'!$C$93</c:f>
              <c:strCache>
                <c:ptCount val="1"/>
                <c:pt idx="0">
                  <c:v>Cod</c:v>
                </c:pt>
              </c:strCache>
            </c:strRef>
          </c:tx>
          <c:spPr>
            <a:solidFill>
              <a:srgbClr val="769535"/>
            </a:solidFill>
            <a:ln>
              <a:solidFill>
                <a:srgbClr val="FFFFFF"/>
              </a:solidFill>
            </a:ln>
          </c:spPr>
          <c:invertIfNegative val="0"/>
          <c:cat>
            <c:numRef>
              <c:f>'U10m using hooks'!$D$87:$M$87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hooks'!$D$93:$M$93</c:f>
              <c:numCache>
                <c:formatCode>0%</c:formatCode>
                <c:ptCount val="10"/>
                <c:pt idx="2">
                  <c:v>5.7349743737748614E-2</c:v>
                </c:pt>
                <c:pt idx="3">
                  <c:v>6.7946767301901551E-2</c:v>
                </c:pt>
                <c:pt idx="5">
                  <c:v>8.4070673442030369E-2</c:v>
                </c:pt>
              </c:numCache>
            </c:numRef>
          </c:val>
        </c:ser>
        <c:ser>
          <c:idx val="6"/>
          <c:order val="6"/>
          <c:tx>
            <c:strRef>
              <c:f>'U10m using hooks'!$C$94</c:f>
              <c:strCache>
                <c:ptCount val="1"/>
                <c:pt idx="0">
                  <c:v>Nephrops</c:v>
                </c:pt>
              </c:strCache>
            </c:strRef>
          </c:tx>
          <c:spPr>
            <a:solidFill>
              <a:srgbClr val="A85816"/>
            </a:solidFill>
            <a:ln>
              <a:solidFill>
                <a:srgbClr val="FFFFFF"/>
              </a:solidFill>
            </a:ln>
          </c:spPr>
          <c:invertIfNegative val="0"/>
          <c:cat>
            <c:numRef>
              <c:f>'U10m using hooks'!$D$87:$M$87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hooks'!$D$94:$M$94</c:f>
              <c:numCache>
                <c:formatCode>0%</c:formatCode>
                <c:ptCount val="10"/>
                <c:pt idx="1">
                  <c:v>2.4450816513062183E-2</c:v>
                </c:pt>
              </c:numCache>
            </c:numRef>
          </c:val>
        </c:ser>
        <c:ser>
          <c:idx val="7"/>
          <c:order val="7"/>
          <c:tx>
            <c:strRef>
              <c:f>'U10m using hooks'!$C$95</c:f>
              <c:strCache>
                <c:ptCount val="1"/>
                <c:pt idx="0">
                  <c:v>Skates and Rays</c:v>
                </c:pt>
              </c:strCache>
            </c:strRef>
          </c:tx>
          <c:spPr>
            <a:solidFill>
              <a:srgbClr val="5D417E"/>
            </a:solidFill>
            <a:ln>
              <a:solidFill>
                <a:srgbClr val="FFFFFF"/>
              </a:solidFill>
            </a:ln>
          </c:spPr>
          <c:invertIfNegative val="0"/>
          <c:cat>
            <c:numRef>
              <c:f>'U10m using hooks'!$D$87:$M$87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hooks'!$D$95:$M$95</c:f>
              <c:numCache>
                <c:formatCode>0%</c:formatCode>
                <c:ptCount val="10"/>
                <c:pt idx="0">
                  <c:v>6.8183705050273866E-2</c:v>
                </c:pt>
              </c:numCache>
            </c:numRef>
          </c:val>
        </c:ser>
        <c:ser>
          <c:idx val="8"/>
          <c:order val="8"/>
          <c:tx>
            <c:strRef>
              <c:f>'U10m using hooks'!$C$96</c:f>
              <c:strCache>
                <c:ptCount val="1"/>
                <c:pt idx="0">
                  <c:v>Mixed Clams</c:v>
                </c:pt>
              </c:strCache>
            </c:strRef>
          </c:tx>
          <c:spPr>
            <a:solidFill>
              <a:srgbClr val="2787A0"/>
            </a:solidFill>
            <a:ln>
              <a:solidFill>
                <a:srgbClr val="FFFFFF"/>
              </a:solidFill>
            </a:ln>
          </c:spPr>
          <c:invertIfNegative val="0"/>
          <c:cat>
            <c:numRef>
              <c:f>'U10m using hooks'!$D$87:$M$87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hooks'!$D$96:$M$96</c:f>
              <c:numCache>
                <c:formatCode>0%</c:formatCode>
                <c:ptCount val="10"/>
                <c:pt idx="0">
                  <c:v>6.0475704035107956E-2</c:v>
                </c:pt>
              </c:numCache>
            </c:numRef>
          </c:val>
        </c:ser>
        <c:ser>
          <c:idx val="9"/>
          <c:order val="9"/>
          <c:tx>
            <c:strRef>
              <c:f>'U10m using hooks'!$C$97</c:f>
              <c:strCache>
                <c:ptCount val="1"/>
                <c:pt idx="0">
                  <c:v>Others</c:v>
                </c:pt>
              </c:strCache>
            </c:strRef>
          </c:tx>
          <c:spPr>
            <a:solidFill>
              <a:srgbClr val="008000"/>
            </a:solidFill>
            <a:ln>
              <a:solidFill>
                <a:srgbClr val="FFFFFF"/>
              </a:solidFill>
            </a:ln>
          </c:spPr>
          <c:invertIfNegative val="0"/>
          <c:cat>
            <c:numRef>
              <c:f>'U10m using hooks'!$D$87:$M$87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'U10m using hooks'!$D$97:$M$97</c:f>
              <c:numCache>
                <c:formatCode>0%</c:formatCode>
                <c:ptCount val="10"/>
                <c:pt idx="0">
                  <c:v>0.15200453859951341</c:v>
                </c:pt>
                <c:pt idx="1">
                  <c:v>9.4152947417303387E-2</c:v>
                </c:pt>
                <c:pt idx="2">
                  <c:v>0.19785620757325376</c:v>
                </c:pt>
                <c:pt idx="3">
                  <c:v>0.16603660745993723</c:v>
                </c:pt>
                <c:pt idx="4">
                  <c:v>0.11242093967133085</c:v>
                </c:pt>
                <c:pt idx="5">
                  <c:v>0.17533687296660608</c:v>
                </c:pt>
                <c:pt idx="6">
                  <c:v>0.12551615168992125</c:v>
                </c:pt>
                <c:pt idx="7">
                  <c:v>0.13226397774522916</c:v>
                </c:pt>
                <c:pt idx="8">
                  <c:v>0.11190329742380446</c:v>
                </c:pt>
                <c:pt idx="9">
                  <c:v>0.11722545864941458</c:v>
                </c:pt>
              </c:numCache>
            </c:numRef>
          </c:val>
        </c:ser>
        <c:dLbls>
          <c:showLegendKey val="0"/>
          <c:showVal val="0"/>
          <c:showCatName val="0"/>
          <c:showSerName val="0"/>
          <c:showPercent val="0"/>
          <c:showBubbleSize val="0"/>
        </c:dLbls>
        <c:gapWidth val="150"/>
        <c:overlap val="100"/>
        <c:axId val="141200384"/>
        <c:axId val="141210368"/>
      </c:barChart>
      <c:catAx>
        <c:axId val="141200384"/>
        <c:scaling>
          <c:orientation val="minMax"/>
        </c:scaling>
        <c:delete val="0"/>
        <c:axPos val="b"/>
        <c:numFmt formatCode="General" sourceLinked="1"/>
        <c:majorTickMark val="out"/>
        <c:minorTickMark val="none"/>
        <c:tickLblPos val="nextTo"/>
        <c:crossAx val="141210368"/>
        <c:crosses val="autoZero"/>
        <c:auto val="1"/>
        <c:lblAlgn val="ctr"/>
        <c:lblOffset val="100"/>
        <c:noMultiLvlLbl val="0"/>
      </c:catAx>
      <c:valAx>
        <c:axId val="141210368"/>
        <c:scaling>
          <c:orientation val="minMax"/>
          <c:max val="1"/>
          <c:min val="0"/>
        </c:scaling>
        <c:delete val="0"/>
        <c:axPos val="l"/>
        <c:majorGridlines/>
        <c:numFmt formatCode="0%" sourceLinked="1"/>
        <c:majorTickMark val="out"/>
        <c:minorTickMark val="none"/>
        <c:tickLblPos val="nextTo"/>
        <c:crossAx val="14120038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250kW'!$A$45</c:f>
          <c:strCache>
            <c:ptCount val="1"/>
            <c:pt idx="0">
              <c:v>Landings per kW day at sea (kg)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'WOS nephrops over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250kW'!$D$20:$M$20</c:f>
              <c:numCache>
                <c:formatCode>#,##0.00</c:formatCode>
                <c:ptCount val="10"/>
                <c:pt idx="0">
                  <c:v>2.0843506209262772</c:v>
                </c:pt>
                <c:pt idx="1">
                  <c:v>2.1939254944330404</c:v>
                </c:pt>
                <c:pt idx="2">
                  <c:v>2.3233717626338333</c:v>
                </c:pt>
                <c:pt idx="3">
                  <c:v>2.0940398635428825</c:v>
                </c:pt>
                <c:pt idx="4">
                  <c:v>2.07575563609808</c:v>
                </c:pt>
                <c:pt idx="5">
                  <c:v>2.1820604767265754</c:v>
                </c:pt>
                <c:pt idx="6">
                  <c:v>2.6079526952989367</c:v>
                </c:pt>
                <c:pt idx="7">
                  <c:v>2.9126802068013644</c:v>
                </c:pt>
                <c:pt idx="8">
                  <c:v>2.5300580194520914</c:v>
                </c:pt>
                <c:pt idx="9">
                  <c:v>2.6357776444237331</c:v>
                </c:pt>
              </c:numCache>
            </c:numRef>
          </c:val>
          <c:smooth val="0"/>
        </c:ser>
        <c:dLbls>
          <c:showLegendKey val="0"/>
          <c:showVal val="0"/>
          <c:showCatName val="0"/>
          <c:showSerName val="0"/>
          <c:showPercent val="0"/>
          <c:showBubbleSize val="0"/>
        </c:dLbls>
        <c:marker val="1"/>
        <c:smooth val="0"/>
        <c:axId val="136051328"/>
        <c:axId val="139284864"/>
      </c:lineChart>
      <c:catAx>
        <c:axId val="136051328"/>
        <c:scaling>
          <c:orientation val="minMax"/>
        </c:scaling>
        <c:delete val="0"/>
        <c:axPos val="b"/>
        <c:numFmt formatCode="General" sourceLinked="1"/>
        <c:majorTickMark val="out"/>
        <c:minorTickMark val="none"/>
        <c:tickLblPos val="nextTo"/>
        <c:crossAx val="139284864"/>
        <c:crosses val="autoZero"/>
        <c:auto val="1"/>
        <c:lblAlgn val="ctr"/>
        <c:lblOffset val="100"/>
        <c:noMultiLvlLbl val="0"/>
      </c:catAx>
      <c:valAx>
        <c:axId val="139284864"/>
        <c:scaling>
          <c:orientation val="minMax"/>
        </c:scaling>
        <c:delete val="0"/>
        <c:axPos val="l"/>
        <c:majorGridlines>
          <c:spPr>
            <a:ln w="3175">
              <a:prstDash val="sysDot"/>
            </a:ln>
          </c:spPr>
        </c:majorGridlines>
        <c:numFmt formatCode="#,##0.00" sourceLinked="1"/>
        <c:majorTickMark val="out"/>
        <c:minorTickMark val="none"/>
        <c:tickLblPos val="nextTo"/>
        <c:crossAx val="136051328"/>
        <c:crosses val="autoZero"/>
        <c:crossBetween val="between"/>
      </c:valAx>
    </c:plotArea>
    <c:plotVisOnly val="1"/>
    <c:dispBlanksAs val="gap"/>
    <c:showDLblsOverMax val="0"/>
  </c:chart>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250kW'!$F$45</c:f>
          <c:strCache>
            <c:ptCount val="1"/>
            <c:pt idx="0">
              <c:v>Income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'WOS nephrops over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250kW'!$D$21:$M$21</c:f>
              <c:numCache>
                <c:formatCode>#,##0.00</c:formatCode>
                <c:ptCount val="10"/>
                <c:pt idx="0">
                  <c:v>3.4685829099176249</c:v>
                </c:pt>
                <c:pt idx="1">
                  <c:v>5.1672732810663664</c:v>
                </c:pt>
                <c:pt idx="2">
                  <c:v>5.024821208216161</c:v>
                </c:pt>
                <c:pt idx="3">
                  <c:v>4.6085998531165311</c:v>
                </c:pt>
                <c:pt idx="4">
                  <c:v>3.8596370005373886</c:v>
                </c:pt>
                <c:pt idx="5">
                  <c:v>4.099416722063796</c:v>
                </c:pt>
                <c:pt idx="6">
                  <c:v>5.6796888431675621</c:v>
                </c:pt>
                <c:pt idx="7">
                  <c:v>5.9913250161109364</c:v>
                </c:pt>
                <c:pt idx="8">
                  <c:v>5.4801514771903443</c:v>
                </c:pt>
                <c:pt idx="9">
                  <c:v>5.6126870569903815</c:v>
                </c:pt>
              </c:numCache>
            </c:numRef>
          </c:val>
          <c:smooth val="0"/>
        </c:ser>
        <c:dLbls>
          <c:showLegendKey val="0"/>
          <c:showVal val="0"/>
          <c:showCatName val="0"/>
          <c:showSerName val="0"/>
          <c:showPercent val="0"/>
          <c:showBubbleSize val="0"/>
        </c:dLbls>
        <c:marker val="1"/>
        <c:smooth val="0"/>
        <c:axId val="140005760"/>
        <c:axId val="140007296"/>
      </c:lineChart>
      <c:catAx>
        <c:axId val="140005760"/>
        <c:scaling>
          <c:orientation val="minMax"/>
        </c:scaling>
        <c:delete val="0"/>
        <c:axPos val="b"/>
        <c:numFmt formatCode="General" sourceLinked="1"/>
        <c:majorTickMark val="out"/>
        <c:minorTickMark val="none"/>
        <c:tickLblPos val="nextTo"/>
        <c:crossAx val="140007296"/>
        <c:crosses val="autoZero"/>
        <c:auto val="1"/>
        <c:lblAlgn val="ctr"/>
        <c:lblOffset val="100"/>
        <c:noMultiLvlLbl val="0"/>
      </c:catAx>
      <c:valAx>
        <c:axId val="140007296"/>
        <c:scaling>
          <c:orientation val="minMax"/>
        </c:scaling>
        <c:delete val="0"/>
        <c:axPos val="l"/>
        <c:majorGridlines>
          <c:spPr>
            <a:ln w="3175">
              <a:prstDash val="sysDot"/>
            </a:ln>
          </c:spPr>
        </c:majorGridlines>
        <c:numFmt formatCode="#,##0.00" sourceLinked="1"/>
        <c:majorTickMark val="out"/>
        <c:minorTickMark val="none"/>
        <c:tickLblPos val="nextTo"/>
        <c:crossAx val="140005760"/>
        <c:crosses val="autoZero"/>
        <c:crossBetween val="between"/>
      </c:valAx>
    </c:plotArea>
    <c:plotVisOnly val="1"/>
    <c:dispBlanksAs val="gap"/>
    <c:showDLblsOverMax val="0"/>
  </c:chart>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250kW'!$K$45</c:f>
          <c:strCache>
            <c:ptCount val="1"/>
            <c:pt idx="0">
              <c:v>Operating profit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'WOS nephrops over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250kW'!$D$23:$M$23</c:f>
              <c:numCache>
                <c:formatCode>#,##0.00</c:formatCode>
                <c:ptCount val="10"/>
                <c:pt idx="0">
                  <c:v>0.81172572035192347</c:v>
                </c:pt>
                <c:pt idx="1">
                  <c:v>0.9882608685819384</c:v>
                </c:pt>
                <c:pt idx="2">
                  <c:v>0.76029958544536025</c:v>
                </c:pt>
                <c:pt idx="3">
                  <c:v>0.40914735195835472</c:v>
                </c:pt>
                <c:pt idx="4">
                  <c:v>-9.8309754405143349E-2</c:v>
                </c:pt>
                <c:pt idx="5">
                  <c:v>0.43395024504401458</c:v>
                </c:pt>
                <c:pt idx="6">
                  <c:v>1.1781222203403403</c:v>
                </c:pt>
                <c:pt idx="7">
                  <c:v>1.3270601037616268</c:v>
                </c:pt>
                <c:pt idx="8">
                  <c:v>0.77808707823737011</c:v>
                </c:pt>
                <c:pt idx="9">
                  <c:v>0.89671562262575633</c:v>
                </c:pt>
              </c:numCache>
            </c:numRef>
          </c:val>
          <c:smooth val="0"/>
        </c:ser>
        <c:dLbls>
          <c:showLegendKey val="0"/>
          <c:showVal val="0"/>
          <c:showCatName val="0"/>
          <c:showSerName val="0"/>
          <c:showPercent val="0"/>
          <c:showBubbleSize val="0"/>
        </c:dLbls>
        <c:marker val="1"/>
        <c:smooth val="0"/>
        <c:axId val="140048256"/>
        <c:axId val="140049792"/>
      </c:lineChart>
      <c:catAx>
        <c:axId val="140048256"/>
        <c:scaling>
          <c:orientation val="minMax"/>
        </c:scaling>
        <c:delete val="0"/>
        <c:axPos val="b"/>
        <c:numFmt formatCode="General" sourceLinked="1"/>
        <c:majorTickMark val="out"/>
        <c:minorTickMark val="none"/>
        <c:tickLblPos val="nextTo"/>
        <c:crossAx val="140049792"/>
        <c:crosses val="autoZero"/>
        <c:auto val="1"/>
        <c:lblAlgn val="ctr"/>
        <c:lblOffset val="100"/>
        <c:noMultiLvlLbl val="0"/>
      </c:catAx>
      <c:valAx>
        <c:axId val="140049792"/>
        <c:scaling>
          <c:orientation val="minMax"/>
        </c:scaling>
        <c:delete val="0"/>
        <c:axPos val="l"/>
        <c:majorGridlines>
          <c:spPr>
            <a:ln w="3175">
              <a:prstDash val="sysDot"/>
            </a:ln>
          </c:spPr>
        </c:majorGridlines>
        <c:numFmt formatCode="#,##0.00" sourceLinked="1"/>
        <c:majorTickMark val="out"/>
        <c:minorTickMark val="none"/>
        <c:tickLblPos val="nextTo"/>
        <c:crossAx val="14004825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nephrops u250kW'!$C$88</c:f>
              <c:strCache>
                <c:ptCount val="1"/>
                <c:pt idx="0">
                  <c:v>Nephrops</c:v>
                </c:pt>
              </c:strCache>
            </c:strRef>
          </c:tx>
          <c:spPr>
            <a:solidFill>
              <a:srgbClr val="224B7D"/>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u250kW'!$D$88:$M$88</c:f>
              <c:numCache>
                <c:formatCode>0%</c:formatCode>
                <c:ptCount val="10"/>
                <c:pt idx="0">
                  <c:v>0.88103199156931022</c:v>
                </c:pt>
                <c:pt idx="1">
                  <c:v>0.88341309461426376</c:v>
                </c:pt>
                <c:pt idx="2">
                  <c:v>0.86741295409888552</c:v>
                </c:pt>
                <c:pt idx="3">
                  <c:v>0.90388368998605584</c:v>
                </c:pt>
                <c:pt idx="4">
                  <c:v>0.90193428465643133</c:v>
                </c:pt>
                <c:pt idx="5">
                  <c:v>0.89277081928297464</c:v>
                </c:pt>
                <c:pt idx="6">
                  <c:v>0.90629760212489141</c:v>
                </c:pt>
                <c:pt idx="7">
                  <c:v>0.90843016159671119</c:v>
                </c:pt>
                <c:pt idx="8">
                  <c:v>0.87222345513475585</c:v>
                </c:pt>
                <c:pt idx="9">
                  <c:v>0.9029712574815173</c:v>
                </c:pt>
              </c:numCache>
            </c:numRef>
          </c:val>
        </c:ser>
        <c:ser>
          <c:idx val="1"/>
          <c:order val="1"/>
          <c:tx>
            <c:strRef>
              <c:f>'Area VIIa nephrops u250kW'!$C$89</c:f>
              <c:strCache>
                <c:ptCount val="1"/>
                <c:pt idx="0">
                  <c:v>Scallops</c:v>
                </c:pt>
              </c:strCache>
            </c:strRef>
          </c:tx>
          <c:spPr>
            <a:solidFill>
              <a:srgbClr val="7F2321"/>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u250kW'!$D$89:$M$89</c:f>
              <c:numCache>
                <c:formatCode>0%</c:formatCode>
                <c:ptCount val="10"/>
                <c:pt idx="1">
                  <c:v>1.1655196047663546E-2</c:v>
                </c:pt>
                <c:pt idx="2">
                  <c:v>1.9546029502310082E-2</c:v>
                </c:pt>
                <c:pt idx="3">
                  <c:v>1.4872085452803057E-2</c:v>
                </c:pt>
                <c:pt idx="4">
                  <c:v>2.1121037827447037E-2</c:v>
                </c:pt>
                <c:pt idx="5">
                  <c:v>3.1583961448446503E-2</c:v>
                </c:pt>
                <c:pt idx="6">
                  <c:v>4.4444991834629376E-2</c:v>
                </c:pt>
                <c:pt idx="7">
                  <c:v>5.2332839360725476E-2</c:v>
                </c:pt>
                <c:pt idx="8">
                  <c:v>6.2784058987260541E-2</c:v>
                </c:pt>
                <c:pt idx="9">
                  <c:v>6.9512093395608682E-2</c:v>
                </c:pt>
              </c:numCache>
            </c:numRef>
          </c:val>
        </c:ser>
        <c:ser>
          <c:idx val="2"/>
          <c:order val="2"/>
          <c:tx>
            <c:strRef>
              <c:f>'Area VIIa nephrops u250kW'!$C$90</c:f>
              <c:strCache>
                <c:ptCount val="1"/>
                <c:pt idx="0">
                  <c:v>Queen Scallops</c:v>
                </c:pt>
              </c:strCache>
            </c:strRef>
          </c:tx>
          <c:spPr>
            <a:solidFill>
              <a:srgbClr val="607A2A"/>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u250kW'!$D$90:$M$90</c:f>
              <c:numCache>
                <c:formatCode>0%</c:formatCode>
                <c:ptCount val="10"/>
                <c:pt idx="5">
                  <c:v>1.2173529006930793E-2</c:v>
                </c:pt>
                <c:pt idx="8">
                  <c:v>1.5643072642837347E-2</c:v>
                </c:pt>
              </c:numCache>
            </c:numRef>
          </c:val>
        </c:ser>
        <c:ser>
          <c:idx val="3"/>
          <c:order val="3"/>
          <c:tx>
            <c:strRef>
              <c:f>'Area VIIa nephrops u250kW'!$C$91</c:f>
              <c:strCache>
                <c:ptCount val="1"/>
                <c:pt idx="0">
                  <c:v>Anglerfish</c:v>
                </c:pt>
              </c:strCache>
            </c:strRef>
          </c:tx>
          <c:spPr>
            <a:solidFill>
              <a:srgbClr val="4B3467"/>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u250kW'!$D$91:$M$91</c:f>
              <c:numCache>
                <c:formatCode>0%</c:formatCode>
                <c:ptCount val="10"/>
                <c:pt idx="0">
                  <c:v>1.4894995789183922E-2</c:v>
                </c:pt>
                <c:pt idx="1">
                  <c:v>1.5334271544665662E-2</c:v>
                </c:pt>
                <c:pt idx="2">
                  <c:v>1.637190323581527E-2</c:v>
                </c:pt>
                <c:pt idx="3">
                  <c:v>1.2555705562516331E-2</c:v>
                </c:pt>
                <c:pt idx="4">
                  <c:v>1.5000379969453536E-2</c:v>
                </c:pt>
                <c:pt idx="5">
                  <c:v>9.111250789127676E-3</c:v>
                </c:pt>
                <c:pt idx="6">
                  <c:v>8.4884174206319753E-3</c:v>
                </c:pt>
                <c:pt idx="7">
                  <c:v>8.7443434392984343E-3</c:v>
                </c:pt>
                <c:pt idx="8">
                  <c:v>1.0051499384060523E-2</c:v>
                </c:pt>
                <c:pt idx="9">
                  <c:v>6.9957912174171419E-3</c:v>
                </c:pt>
              </c:numCache>
            </c:numRef>
          </c:val>
        </c:ser>
        <c:ser>
          <c:idx val="4"/>
          <c:order val="4"/>
          <c:tx>
            <c:strRef>
              <c:f>'Area VIIa nephrops u250kW'!$C$92</c:f>
              <c:strCache>
                <c:ptCount val="1"/>
                <c:pt idx="0">
                  <c:v>Thornback Ray</c:v>
                </c:pt>
              </c:strCache>
            </c:strRef>
          </c:tx>
          <c:spPr>
            <a:solidFill>
              <a:srgbClr val="9B2D2A"/>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u250kW'!$D$92:$M$92</c:f>
              <c:numCache>
                <c:formatCode>0%</c:formatCode>
                <c:ptCount val="10"/>
                <c:pt idx="4">
                  <c:v>5.6871905696292474E-3</c:v>
                </c:pt>
                <c:pt idx="5">
                  <c:v>9.3610700474328987E-3</c:v>
                </c:pt>
                <c:pt idx="7">
                  <c:v>5.783588718472725E-3</c:v>
                </c:pt>
                <c:pt idx="8">
                  <c:v>6.3443362655980044E-3</c:v>
                </c:pt>
                <c:pt idx="9">
                  <c:v>2.7245766111076695E-3</c:v>
                </c:pt>
              </c:numCache>
            </c:numRef>
          </c:val>
        </c:ser>
        <c:ser>
          <c:idx val="5"/>
          <c:order val="5"/>
          <c:tx>
            <c:strRef>
              <c:f>'Area VIIa nephrops u250kW'!$C$93</c:f>
              <c:strCache>
                <c:ptCount val="1"/>
                <c:pt idx="0">
                  <c:v>Cod</c:v>
                </c:pt>
              </c:strCache>
            </c:strRef>
          </c:tx>
          <c:spPr>
            <a:solidFill>
              <a:srgbClr val="769535"/>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u250kW'!$D$93:$M$93</c:f>
              <c:numCache>
                <c:formatCode>0%</c:formatCode>
                <c:ptCount val="10"/>
                <c:pt idx="0">
                  <c:v>2.2529899673885734E-2</c:v>
                </c:pt>
                <c:pt idx="1">
                  <c:v>1.5357150805884427E-2</c:v>
                </c:pt>
                <c:pt idx="2">
                  <c:v>1.6296045563746572E-2</c:v>
                </c:pt>
                <c:pt idx="3">
                  <c:v>1.4504827572463727E-2</c:v>
                </c:pt>
                <c:pt idx="4">
                  <c:v>9.9153184013036303E-3</c:v>
                </c:pt>
                <c:pt idx="9">
                  <c:v>3.8025551060702472E-3</c:v>
                </c:pt>
              </c:numCache>
            </c:numRef>
          </c:val>
        </c:ser>
        <c:ser>
          <c:idx val="6"/>
          <c:order val="6"/>
          <c:tx>
            <c:strRef>
              <c:f>'Area VIIa nephrops u250kW'!$C$94</c:f>
              <c:strCache>
                <c:ptCount val="1"/>
                <c:pt idx="0">
                  <c:v>Brown Crab</c:v>
                </c:pt>
              </c:strCache>
            </c:strRef>
          </c:tx>
          <c:spPr>
            <a:solidFill>
              <a:srgbClr val="A85816"/>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u250kW'!$D$94:$M$94</c:f>
              <c:numCache>
                <c:formatCode>0%</c:formatCode>
                <c:ptCount val="10"/>
                <c:pt idx="3">
                  <c:v>8.1962614226458747E-3</c:v>
                </c:pt>
                <c:pt idx="7">
                  <c:v>3.5079946437815961E-3</c:v>
                </c:pt>
              </c:numCache>
            </c:numRef>
          </c:val>
        </c:ser>
        <c:ser>
          <c:idx val="7"/>
          <c:order val="7"/>
          <c:tx>
            <c:strRef>
              <c:f>'Area VIIa nephrops u250kW'!$C$95</c:f>
              <c:strCache>
                <c:ptCount val="1"/>
                <c:pt idx="0">
                  <c:v>Mussels</c:v>
                </c:pt>
              </c:strCache>
            </c:strRef>
          </c:tx>
          <c:spPr>
            <a:solidFill>
              <a:srgbClr val="5D417E"/>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u250kW'!$D$95:$M$95</c:f>
              <c:numCache>
                <c:formatCode>0%</c:formatCode>
                <c:ptCount val="10"/>
                <c:pt idx="6">
                  <c:v>9.1662807444180591E-3</c:v>
                </c:pt>
              </c:numCache>
            </c:numRef>
          </c:val>
        </c:ser>
        <c:ser>
          <c:idx val="8"/>
          <c:order val="8"/>
          <c:tx>
            <c:strRef>
              <c:f>'Area VIIa nephrops u250kW'!$C$96</c:f>
              <c:strCache>
                <c:ptCount val="1"/>
                <c:pt idx="0">
                  <c:v>Squid</c:v>
                </c:pt>
              </c:strCache>
            </c:strRef>
          </c:tx>
          <c:spPr>
            <a:solidFill>
              <a:srgbClr val="2787A0"/>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u250kW'!$D$96:$M$96</c:f>
              <c:numCache>
                <c:formatCode>0%</c:formatCode>
                <c:ptCount val="10"/>
                <c:pt idx="6">
                  <c:v>3.8505220309578E-3</c:v>
                </c:pt>
              </c:numCache>
            </c:numRef>
          </c:val>
        </c:ser>
        <c:ser>
          <c:idx val="9"/>
          <c:order val="9"/>
          <c:tx>
            <c:strRef>
              <c:f>'Area VIIa nephrops u250kW'!$C$97</c:f>
              <c:strCache>
                <c:ptCount val="1"/>
                <c:pt idx="0">
                  <c:v>Plaice</c:v>
                </c:pt>
              </c:strCache>
            </c:strRef>
          </c:tx>
          <c:spPr>
            <a:solidFill>
              <a:srgbClr val="CB6C1D"/>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u250kW'!$D$97:$M$97</c:f>
              <c:numCache>
                <c:formatCode>0%</c:formatCode>
                <c:ptCount val="10"/>
                <c:pt idx="0">
                  <c:v>1.1006499555092872E-2</c:v>
                </c:pt>
                <c:pt idx="1">
                  <c:v>1.196784157243609E-2</c:v>
                </c:pt>
                <c:pt idx="2">
                  <c:v>1.160953719977296E-2</c:v>
                </c:pt>
              </c:numCache>
            </c:numRef>
          </c:val>
        </c:ser>
        <c:ser>
          <c:idx val="10"/>
          <c:order val="10"/>
          <c:tx>
            <c:strRef>
              <c:f>'Area VIIa nephrops u250kW'!$C$98</c:f>
              <c:strCache>
                <c:ptCount val="1"/>
                <c:pt idx="0">
                  <c:v>Turbot</c:v>
                </c:pt>
              </c:strCache>
            </c:strRef>
          </c:tx>
          <c:spPr>
            <a:solidFill>
              <a:srgbClr val="7888A4"/>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u250kW'!$D$98:$M$98</c:f>
              <c:numCache>
                <c:formatCode>0%</c:formatCode>
                <c:ptCount val="10"/>
                <c:pt idx="0">
                  <c:v>8.8161961799224503E-3</c:v>
                </c:pt>
              </c:numCache>
            </c:numRef>
          </c:val>
        </c:ser>
        <c:ser>
          <c:idx val="11"/>
          <c:order val="11"/>
          <c:tx>
            <c:strRef>
              <c:f>'Area VIIa nephrops u250kW'!$C$99</c:f>
              <c:strCache>
                <c:ptCount val="1"/>
                <c:pt idx="0">
                  <c:v>Others</c:v>
                </c:pt>
              </c:strCache>
            </c:strRef>
          </c:tx>
          <c:spPr>
            <a:solidFill>
              <a:srgbClr val="008000"/>
            </a:solidFill>
            <a:ln>
              <a:solidFill>
                <a:srgbClr val="FFFFFF"/>
              </a:solidFill>
            </a:ln>
          </c:spPr>
          <c:invertIfNegative val="0"/>
          <c:cat>
            <c:numRef>
              <c:f>'Area VIIa nephrops u250kW'!$D$87:$M$87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nephrops u250kW'!$D$99:$M$99</c:f>
              <c:numCache>
                <c:formatCode>0%</c:formatCode>
                <c:ptCount val="10"/>
                <c:pt idx="0">
                  <c:v>6.172041723260481E-2</c:v>
                </c:pt>
                <c:pt idx="1">
                  <c:v>6.2272445415086558E-2</c:v>
                </c:pt>
                <c:pt idx="2">
                  <c:v>6.8763530399469613E-2</c:v>
                </c:pt>
                <c:pt idx="3">
                  <c:v>4.5987430003515205E-2</c:v>
                </c:pt>
                <c:pt idx="4">
                  <c:v>4.6341788575735232E-2</c:v>
                </c:pt>
                <c:pt idx="5">
                  <c:v>4.4999369425087511E-2</c:v>
                </c:pt>
                <c:pt idx="6">
                  <c:v>2.7752185844471429E-2</c:v>
                </c:pt>
                <c:pt idx="7">
                  <c:v>2.1201072241010588E-2</c:v>
                </c:pt>
                <c:pt idx="8">
                  <c:v>3.2953577585487719E-2</c:v>
                </c:pt>
                <c:pt idx="9">
                  <c:v>1.399372618827901E-2</c:v>
                </c:pt>
              </c:numCache>
            </c:numRef>
          </c:val>
        </c:ser>
        <c:dLbls>
          <c:showLegendKey val="0"/>
          <c:showVal val="0"/>
          <c:showCatName val="0"/>
          <c:showSerName val="0"/>
          <c:showPercent val="0"/>
          <c:showBubbleSize val="0"/>
        </c:dLbls>
        <c:gapWidth val="150"/>
        <c:overlap val="100"/>
        <c:axId val="121166080"/>
        <c:axId val="121171968"/>
      </c:barChart>
      <c:catAx>
        <c:axId val="121166080"/>
        <c:scaling>
          <c:orientation val="minMax"/>
        </c:scaling>
        <c:delete val="0"/>
        <c:axPos val="b"/>
        <c:numFmt formatCode="General" sourceLinked="1"/>
        <c:majorTickMark val="out"/>
        <c:minorTickMark val="none"/>
        <c:tickLblPos val="nextTo"/>
        <c:crossAx val="121171968"/>
        <c:crosses val="autoZero"/>
        <c:auto val="1"/>
        <c:lblAlgn val="ctr"/>
        <c:lblOffset val="100"/>
        <c:noMultiLvlLbl val="0"/>
      </c:catAx>
      <c:valAx>
        <c:axId val="121171968"/>
        <c:scaling>
          <c:orientation val="minMax"/>
          <c:max val="1"/>
          <c:min val="0"/>
        </c:scaling>
        <c:delete val="0"/>
        <c:axPos val="l"/>
        <c:majorGridlines/>
        <c:numFmt formatCode="0%" sourceLinked="1"/>
        <c:majorTickMark val="out"/>
        <c:minorTickMark val="none"/>
        <c:tickLblPos val="nextTo"/>
        <c:crossAx val="12116608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250kW'!$B$59</c:f>
          <c:strCache>
            <c:ptCount val="1"/>
            <c:pt idx="0">
              <c:v>Total cost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'WOS nephrops over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250kW'!$D$22:$M$22</c:f>
              <c:numCache>
                <c:formatCode>#,##0.00</c:formatCode>
                <c:ptCount val="10"/>
                <c:pt idx="0">
                  <c:v>2.6568571895656987</c:v>
                </c:pt>
                <c:pt idx="1">
                  <c:v>4.1790124124844281</c:v>
                </c:pt>
                <c:pt idx="2">
                  <c:v>4.2645216227707987</c:v>
                </c:pt>
                <c:pt idx="3">
                  <c:v>4.1994525011581798</c:v>
                </c:pt>
                <c:pt idx="4">
                  <c:v>3.957946754942534</c:v>
                </c:pt>
                <c:pt idx="5">
                  <c:v>3.66546647701978</c:v>
                </c:pt>
                <c:pt idx="6">
                  <c:v>4.5015666228272311</c:v>
                </c:pt>
                <c:pt idx="7">
                  <c:v>4.6642649123493092</c:v>
                </c:pt>
                <c:pt idx="8">
                  <c:v>4.7020643989529738</c:v>
                </c:pt>
                <c:pt idx="9">
                  <c:v>4.7159714343646186</c:v>
                </c:pt>
              </c:numCache>
            </c:numRef>
          </c:val>
          <c:smooth val="0"/>
        </c:ser>
        <c:dLbls>
          <c:showLegendKey val="0"/>
          <c:showVal val="0"/>
          <c:showCatName val="0"/>
          <c:showSerName val="0"/>
          <c:showPercent val="0"/>
          <c:showBubbleSize val="0"/>
        </c:dLbls>
        <c:marker val="1"/>
        <c:smooth val="0"/>
        <c:axId val="140119424"/>
        <c:axId val="140125312"/>
      </c:lineChart>
      <c:catAx>
        <c:axId val="140119424"/>
        <c:scaling>
          <c:orientation val="minMax"/>
        </c:scaling>
        <c:delete val="0"/>
        <c:axPos val="b"/>
        <c:numFmt formatCode="General" sourceLinked="1"/>
        <c:majorTickMark val="out"/>
        <c:minorTickMark val="none"/>
        <c:tickLblPos val="nextTo"/>
        <c:crossAx val="140125312"/>
        <c:crosses val="autoZero"/>
        <c:auto val="1"/>
        <c:lblAlgn val="ctr"/>
        <c:lblOffset val="100"/>
        <c:noMultiLvlLbl val="0"/>
      </c:catAx>
      <c:valAx>
        <c:axId val="140125312"/>
        <c:scaling>
          <c:orientation val="minMax"/>
        </c:scaling>
        <c:delete val="0"/>
        <c:axPos val="l"/>
        <c:majorGridlines>
          <c:spPr>
            <a:ln w="3175">
              <a:prstDash val="sysDot"/>
            </a:ln>
          </c:spPr>
        </c:majorGridlines>
        <c:numFmt formatCode="#,##0.00" sourceLinked="1"/>
        <c:majorTickMark val="out"/>
        <c:minorTickMark val="none"/>
        <c:tickLblPos val="nextTo"/>
        <c:crossAx val="140119424"/>
        <c:crosses val="autoZero"/>
        <c:crossBetween val="between"/>
      </c:valAx>
    </c:plotArea>
    <c:plotVisOnly val="1"/>
    <c:dispBlanksAs val="gap"/>
    <c:showDLblsOverMax val="0"/>
  </c:chart>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250kW'!$F$59</c:f>
          <c:strCache>
            <c:ptCount val="1"/>
            <c:pt idx="0">
              <c:v>Average price per tonne landed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'WOS nephrops over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250kW'!$D$19:$M$19</c:f>
              <c:numCache>
                <c:formatCode>#,##0</c:formatCode>
                <c:ptCount val="10"/>
                <c:pt idx="0">
                  <c:v>1664.1072164099892</c:v>
                </c:pt>
                <c:pt idx="1">
                  <c:v>2355.2636185521192</c:v>
                </c:pt>
                <c:pt idx="2">
                  <c:v>2162.7278501936707</c:v>
                </c:pt>
                <c:pt idx="3">
                  <c:v>2200.8178600982346</c:v>
                </c:pt>
                <c:pt idx="4">
                  <c:v>1859.3889056192445</c:v>
                </c:pt>
                <c:pt idx="5">
                  <c:v>1878.6906990689295</c:v>
                </c:pt>
                <c:pt idx="6">
                  <c:v>2177.8340350132771</c:v>
                </c:pt>
                <c:pt idx="7">
                  <c:v>2056.9800702201828</c:v>
                </c:pt>
                <c:pt idx="8">
                  <c:v>2166.0181754706923</c:v>
                </c:pt>
                <c:pt idx="9">
                  <c:v>2129.4234984864133</c:v>
                </c:pt>
              </c:numCache>
            </c:numRef>
          </c:val>
          <c:smooth val="0"/>
        </c:ser>
        <c:dLbls>
          <c:showLegendKey val="0"/>
          <c:showVal val="0"/>
          <c:showCatName val="0"/>
          <c:showSerName val="0"/>
          <c:showPercent val="0"/>
          <c:showBubbleSize val="0"/>
        </c:dLbls>
        <c:marker val="1"/>
        <c:smooth val="0"/>
        <c:axId val="140149888"/>
        <c:axId val="140151424"/>
      </c:lineChart>
      <c:catAx>
        <c:axId val="140149888"/>
        <c:scaling>
          <c:orientation val="minMax"/>
        </c:scaling>
        <c:delete val="0"/>
        <c:axPos val="b"/>
        <c:numFmt formatCode="General" sourceLinked="1"/>
        <c:majorTickMark val="out"/>
        <c:minorTickMark val="none"/>
        <c:tickLblPos val="nextTo"/>
        <c:crossAx val="140151424"/>
        <c:crosses val="autoZero"/>
        <c:auto val="1"/>
        <c:lblAlgn val="ctr"/>
        <c:lblOffset val="100"/>
        <c:noMultiLvlLbl val="0"/>
      </c:catAx>
      <c:valAx>
        <c:axId val="140151424"/>
        <c:scaling>
          <c:orientation val="minMax"/>
        </c:scaling>
        <c:delete val="0"/>
        <c:axPos val="l"/>
        <c:majorGridlines>
          <c:spPr>
            <a:ln w="3175">
              <a:prstDash val="sysDot"/>
            </a:ln>
          </c:spPr>
        </c:majorGridlines>
        <c:numFmt formatCode="#,##0" sourceLinked="1"/>
        <c:majorTickMark val="out"/>
        <c:minorTickMark val="none"/>
        <c:tickLblPos val="nextTo"/>
        <c:crossAx val="140149888"/>
        <c:crosses val="autoZero"/>
        <c:crossBetween val="between"/>
      </c:valAx>
    </c:plotArea>
    <c:plotVisOnly val="1"/>
    <c:dispBlanksAs val="gap"/>
    <c:showDLblsOverMax val="0"/>
  </c:chart>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250kW'!$K$59</c:f>
          <c:strCache>
            <c:ptCount val="1"/>
            <c:pt idx="0">
              <c:v>Average annual operating profit per vessel (£'000)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'WOS nephrops over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250kW'!$D$34:$M$34</c:f>
              <c:numCache>
                <c:formatCode>#,##0.0</c:formatCode>
                <c:ptCount val="10"/>
                <c:pt idx="0">
                  <c:v>46.773949580972058</c:v>
                </c:pt>
                <c:pt idx="1">
                  <c:v>50.453928160082697</c:v>
                </c:pt>
                <c:pt idx="2">
                  <c:v>41.848882916509083</c:v>
                </c:pt>
                <c:pt idx="3">
                  <c:v>22.018323293438097</c:v>
                </c:pt>
                <c:pt idx="4">
                  <c:v>-5.5910360896081128</c:v>
                </c:pt>
                <c:pt idx="5">
                  <c:v>24.84141267649245</c:v>
                </c:pt>
                <c:pt idx="6">
                  <c:v>63.375671499785895</c:v>
                </c:pt>
                <c:pt idx="7">
                  <c:v>78.820703229665796</c:v>
                </c:pt>
                <c:pt idx="8">
                  <c:v>46.703424178489485</c:v>
                </c:pt>
                <c:pt idx="9">
                  <c:v>53.599999791755792</c:v>
                </c:pt>
              </c:numCache>
            </c:numRef>
          </c:val>
          <c:smooth val="0"/>
        </c:ser>
        <c:dLbls>
          <c:showLegendKey val="0"/>
          <c:showVal val="0"/>
          <c:showCatName val="0"/>
          <c:showSerName val="0"/>
          <c:showPercent val="0"/>
          <c:showBubbleSize val="0"/>
        </c:dLbls>
        <c:marker val="1"/>
        <c:smooth val="0"/>
        <c:axId val="140176000"/>
        <c:axId val="141230464"/>
      </c:lineChart>
      <c:catAx>
        <c:axId val="140176000"/>
        <c:scaling>
          <c:orientation val="minMax"/>
        </c:scaling>
        <c:delete val="0"/>
        <c:axPos val="b"/>
        <c:numFmt formatCode="General" sourceLinked="1"/>
        <c:majorTickMark val="out"/>
        <c:minorTickMark val="none"/>
        <c:tickLblPos val="nextTo"/>
        <c:crossAx val="141230464"/>
        <c:crosses val="autoZero"/>
        <c:auto val="1"/>
        <c:lblAlgn val="ctr"/>
        <c:lblOffset val="100"/>
        <c:noMultiLvlLbl val="0"/>
      </c:catAx>
      <c:valAx>
        <c:axId val="141230464"/>
        <c:scaling>
          <c:orientation val="minMax"/>
        </c:scaling>
        <c:delete val="0"/>
        <c:axPos val="l"/>
        <c:majorGridlines>
          <c:spPr>
            <a:ln w="3175">
              <a:prstDash val="sysDot"/>
            </a:ln>
          </c:spPr>
        </c:majorGridlines>
        <c:numFmt formatCode="#,##0.0" sourceLinked="1"/>
        <c:majorTickMark val="out"/>
        <c:minorTickMark val="none"/>
        <c:tickLblPos val="nextTo"/>
        <c:crossAx val="140176000"/>
        <c:crosses val="autoZero"/>
        <c:crossBetween val="between"/>
      </c:valAx>
    </c:plotArea>
    <c:plotVisOnly val="1"/>
    <c:dispBlanksAs val="gap"/>
    <c:showDLblsOverMax val="0"/>
  </c:chart>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250kW'!$A$73</c:f>
          <c:strCache>
            <c:ptCount val="1"/>
            <c:pt idx="0">
              <c:v>Top 5 landed species by volume in 2013
WOS nephrops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4B3467"/>
              </a:solidFill>
              <a:ln>
                <a:solidFill>
                  <a:srgbClr val="FFFFFF"/>
                </a:solidFill>
              </a:ln>
            </c:spPr>
          </c:dPt>
          <c:dPt>
            <c:idx val="3"/>
            <c:bubble3D val="0"/>
            <c:spPr>
              <a:solidFill>
                <a:srgbClr val="607A2A"/>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'WOS nephrops over 250kW'!$B$74:$B$79</c:f>
              <c:strCache>
                <c:ptCount val="6"/>
                <c:pt idx="0">
                  <c:v>Nephrops - 74.3%</c:v>
                </c:pt>
                <c:pt idx="1">
                  <c:v>Sprats - 17.2%</c:v>
                </c:pt>
                <c:pt idx="2">
                  <c:v>Haddock - 2.7%</c:v>
                </c:pt>
                <c:pt idx="3">
                  <c:v>Anglerfish - 1.1%</c:v>
                </c:pt>
                <c:pt idx="4">
                  <c:v>Whiting - 1.1%</c:v>
                </c:pt>
                <c:pt idx="5">
                  <c:v>Others - 3.6%</c:v>
                </c:pt>
              </c:strCache>
            </c:strRef>
          </c:cat>
          <c:val>
            <c:numRef>
              <c:f>'WOS nephrops over 250kW'!$C$74:$C$79</c:f>
              <c:numCache>
                <c:formatCode>0.0%</c:formatCode>
                <c:ptCount val="6"/>
                <c:pt idx="0">
                  <c:v>0.74299453480423061</c:v>
                </c:pt>
                <c:pt idx="1">
                  <c:v>0.17246470421581803</c:v>
                </c:pt>
                <c:pt idx="2">
                  <c:v>2.6730453415793023E-2</c:v>
                </c:pt>
                <c:pt idx="3">
                  <c:v>1.0855099016170818E-2</c:v>
                </c:pt>
                <c:pt idx="4">
                  <c:v>1.0755711581467377E-2</c:v>
                </c:pt>
                <c:pt idx="5">
                  <c:v>3.6199496966520139E-2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250kW'!$F$73</c:f>
          <c:strCache>
            <c:ptCount val="1"/>
            <c:pt idx="0">
              <c:v>Top 5 landed species by value in 2013
WOS nephrops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'WOS nephrops over 250kW'!$G$74:$G$79</c:f>
              <c:strCache>
                <c:ptCount val="6"/>
                <c:pt idx="0">
                  <c:v>Nephrops - 91.9%</c:v>
                </c:pt>
                <c:pt idx="1">
                  <c:v>Sprats - 1.8%</c:v>
                </c:pt>
                <c:pt idx="2">
                  <c:v>Anglerfish - 1.4%</c:v>
                </c:pt>
                <c:pt idx="3">
                  <c:v>Haddock - 1.0%</c:v>
                </c:pt>
                <c:pt idx="4">
                  <c:v>Whiting - 0.3%</c:v>
                </c:pt>
                <c:pt idx="5">
                  <c:v>Others - 3.6%</c:v>
                </c:pt>
              </c:strCache>
            </c:strRef>
          </c:cat>
          <c:val>
            <c:numRef>
              <c:f>'WOS nephrops over 250kW'!$H$74:$H$79</c:f>
              <c:numCache>
                <c:formatCode>0.0%</c:formatCode>
                <c:ptCount val="6"/>
                <c:pt idx="0">
                  <c:v>0.91919392615095041</c:v>
                </c:pt>
                <c:pt idx="1">
                  <c:v>1.8223032817720562E-2</c:v>
                </c:pt>
                <c:pt idx="2">
                  <c:v>1.3501553606835094E-2</c:v>
                </c:pt>
                <c:pt idx="3">
                  <c:v>1.0481584129686222E-2</c:v>
                </c:pt>
                <c:pt idx="4">
                  <c:v>2.9997357990979019E-3</c:v>
                </c:pt>
                <c:pt idx="5">
                  <c:v>3.5600167495709822E-2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'WOS nephrops over 250kW'!$C$88</c:f>
              <c:strCache>
                <c:ptCount val="1"/>
                <c:pt idx="0">
                  <c:v>Nephrops</c:v>
                </c:pt>
              </c:strCache>
            </c:strRef>
          </c:tx>
          <c:spPr>
            <a:solidFill>
              <a:srgbClr val="224B7D"/>
            </a:solidFill>
            <a:ln>
              <a:solidFill>
                <a:srgbClr val="FFFFFF"/>
              </a:solidFill>
            </a:ln>
          </c:spPr>
          <c:invertIfNegative val="0"/>
          <c:cat>
            <c:numRef>
              <c:f>'WOS nephrops over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250kW'!$D$88:$M$88</c:f>
              <c:numCache>
                <c:formatCode>0%</c:formatCode>
                <c:ptCount val="10"/>
                <c:pt idx="0">
                  <c:v>0.76447305562636425</c:v>
                </c:pt>
                <c:pt idx="1">
                  <c:v>0.88656945101170037</c:v>
                </c:pt>
                <c:pt idx="2">
                  <c:v>0.89049011951642698</c:v>
                </c:pt>
                <c:pt idx="3">
                  <c:v>0.91851747768826031</c:v>
                </c:pt>
                <c:pt idx="4">
                  <c:v>0.89853288118676522</c:v>
                </c:pt>
                <c:pt idx="5">
                  <c:v>0.90205918104598015</c:v>
                </c:pt>
                <c:pt idx="6">
                  <c:v>0.93346407886352822</c:v>
                </c:pt>
                <c:pt idx="7">
                  <c:v>0.91705908299271943</c:v>
                </c:pt>
                <c:pt idx="8">
                  <c:v>0.93487173447389538</c:v>
                </c:pt>
                <c:pt idx="9">
                  <c:v>0.92644329511957502</c:v>
                </c:pt>
              </c:numCache>
            </c:numRef>
          </c:val>
        </c:ser>
        <c:ser>
          <c:idx val="1"/>
          <c:order val="1"/>
          <c:tx>
            <c:strRef>
              <c:f>'WOS nephrops over 250kW'!$C$89</c:f>
              <c:strCache>
                <c:ptCount val="1"/>
                <c:pt idx="0">
                  <c:v>Sprats</c:v>
                </c:pt>
              </c:strCache>
            </c:strRef>
          </c:tx>
          <c:spPr>
            <a:solidFill>
              <a:srgbClr val="7F2321"/>
            </a:solidFill>
            <a:ln>
              <a:solidFill>
                <a:srgbClr val="FFFFFF"/>
              </a:solidFill>
            </a:ln>
          </c:spPr>
          <c:invertIfNegative val="0"/>
          <c:cat>
            <c:numRef>
              <c:f>'WOS nephrops over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250kW'!$D$89:$M$89</c:f>
              <c:numCache>
                <c:formatCode>0%</c:formatCode>
                <c:ptCount val="10"/>
                <c:pt idx="0">
                  <c:v>1.7988275935971933E-2</c:v>
                </c:pt>
                <c:pt idx="5">
                  <c:v>1.2767352222582197E-2</c:v>
                </c:pt>
                <c:pt idx="6">
                  <c:v>1.1629458525468766E-2</c:v>
                </c:pt>
                <c:pt idx="7">
                  <c:v>2.8589341480120344E-2</c:v>
                </c:pt>
                <c:pt idx="8">
                  <c:v>1.853384559340468E-2</c:v>
                </c:pt>
                <c:pt idx="9">
                  <c:v>2.625739135657091E-2</c:v>
                </c:pt>
              </c:numCache>
            </c:numRef>
          </c:val>
        </c:ser>
        <c:ser>
          <c:idx val="2"/>
          <c:order val="2"/>
          <c:tx>
            <c:strRef>
              <c:f>'WOS nephrops over 250kW'!$C$90</c:f>
              <c:strCache>
                <c:ptCount val="1"/>
                <c:pt idx="0">
                  <c:v>Anglerfish</c:v>
                </c:pt>
              </c:strCache>
            </c:strRef>
          </c:tx>
          <c:spPr>
            <a:solidFill>
              <a:srgbClr val="607A2A"/>
            </a:solidFill>
            <a:ln>
              <a:solidFill>
                <a:srgbClr val="FFFFFF"/>
              </a:solidFill>
            </a:ln>
          </c:spPr>
          <c:invertIfNegative val="0"/>
          <c:cat>
            <c:numRef>
              <c:f>'WOS nephrops over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250kW'!$D$90:$M$90</c:f>
              <c:numCache>
                <c:formatCode>0%</c:formatCode>
                <c:ptCount val="10"/>
                <c:pt idx="0">
                  <c:v>7.3061377738742841E-2</c:v>
                </c:pt>
                <c:pt idx="1">
                  <c:v>3.6378899985407831E-2</c:v>
                </c:pt>
                <c:pt idx="2">
                  <c:v>2.3511310187923653E-2</c:v>
                </c:pt>
                <c:pt idx="3">
                  <c:v>1.3404335505824443E-2</c:v>
                </c:pt>
                <c:pt idx="4">
                  <c:v>1.3502268677727317E-2</c:v>
                </c:pt>
                <c:pt idx="5">
                  <c:v>1.5665581988412405E-2</c:v>
                </c:pt>
                <c:pt idx="6">
                  <c:v>1.3430222901187399E-2</c:v>
                </c:pt>
                <c:pt idx="7">
                  <c:v>1.2849679039954086E-2</c:v>
                </c:pt>
                <c:pt idx="8">
                  <c:v>1.3731836644492118E-2</c:v>
                </c:pt>
                <c:pt idx="9">
                  <c:v>1.6037893196459305E-2</c:v>
                </c:pt>
              </c:numCache>
            </c:numRef>
          </c:val>
        </c:ser>
        <c:ser>
          <c:idx val="3"/>
          <c:order val="3"/>
          <c:tx>
            <c:strRef>
              <c:f>'WOS nephrops over 250kW'!$C$91</c:f>
              <c:strCache>
                <c:ptCount val="1"/>
                <c:pt idx="0">
                  <c:v>Haddock</c:v>
                </c:pt>
              </c:strCache>
            </c:strRef>
          </c:tx>
          <c:spPr>
            <a:solidFill>
              <a:srgbClr val="4B3467"/>
            </a:solidFill>
            <a:ln>
              <a:solidFill>
                <a:srgbClr val="FFFFFF"/>
              </a:solidFill>
            </a:ln>
          </c:spPr>
          <c:invertIfNegative val="0"/>
          <c:cat>
            <c:numRef>
              <c:f>'WOS nephrops over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250kW'!$D$91:$M$91</c:f>
              <c:numCache>
                <c:formatCode>0%</c:formatCode>
                <c:ptCount val="10"/>
                <c:pt idx="2">
                  <c:v>7.2746069494875705E-3</c:v>
                </c:pt>
                <c:pt idx="3">
                  <c:v>6.6501233088853201E-3</c:v>
                </c:pt>
                <c:pt idx="5">
                  <c:v>7.0360217717770051E-3</c:v>
                </c:pt>
                <c:pt idx="7">
                  <c:v>1.113603868744013E-2</c:v>
                </c:pt>
                <c:pt idx="8">
                  <c:v>1.0660358447304001E-2</c:v>
                </c:pt>
                <c:pt idx="9">
                  <c:v>1.0055444092253103E-2</c:v>
                </c:pt>
              </c:numCache>
            </c:numRef>
          </c:val>
        </c:ser>
        <c:ser>
          <c:idx val="4"/>
          <c:order val="4"/>
          <c:tx>
            <c:strRef>
              <c:f>'WOS nephrops over 250kW'!$C$92</c:f>
              <c:strCache>
                <c:ptCount val="1"/>
                <c:pt idx="0">
                  <c:v>Whiting</c:v>
                </c:pt>
              </c:strCache>
            </c:strRef>
          </c:tx>
          <c:spPr>
            <a:solidFill>
              <a:srgbClr val="9B2D2A"/>
            </a:solidFill>
            <a:ln>
              <a:solidFill>
                <a:srgbClr val="FFFFFF"/>
              </a:solidFill>
            </a:ln>
          </c:spPr>
          <c:invertIfNegative val="0"/>
          <c:cat>
            <c:numRef>
              <c:f>'WOS nephrops over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250kW'!$D$92:$M$92</c:f>
              <c:numCache>
                <c:formatCode>0%</c:formatCode>
                <c:ptCount val="10"/>
                <c:pt idx="8">
                  <c:v>3.0508994127160472E-3</c:v>
                </c:pt>
              </c:numCache>
            </c:numRef>
          </c:val>
        </c:ser>
        <c:ser>
          <c:idx val="5"/>
          <c:order val="5"/>
          <c:tx>
            <c:strRef>
              <c:f>'WOS nephrops over 250kW'!$C$93</c:f>
              <c:strCache>
                <c:ptCount val="1"/>
                <c:pt idx="0">
                  <c:v>Squid</c:v>
                </c:pt>
              </c:strCache>
            </c:strRef>
          </c:tx>
          <c:spPr>
            <a:solidFill>
              <a:srgbClr val="769535"/>
            </a:solidFill>
            <a:ln>
              <a:solidFill>
                <a:srgbClr val="FFFFFF"/>
              </a:solidFill>
            </a:ln>
          </c:spPr>
          <c:invertIfNegative val="0"/>
          <c:cat>
            <c:numRef>
              <c:f>'WOS nephrops over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250kW'!$D$93:$M$93</c:f>
              <c:numCache>
                <c:formatCode>0%</c:formatCode>
                <c:ptCount val="10"/>
                <c:pt idx="3">
                  <c:v>5.8246594862540512E-3</c:v>
                </c:pt>
                <c:pt idx="4">
                  <c:v>2.8269593328360352E-2</c:v>
                </c:pt>
                <c:pt idx="5">
                  <c:v>2.6707284734072745E-2</c:v>
                </c:pt>
                <c:pt idx="9">
                  <c:v>9.1402833219064988E-3</c:v>
                </c:pt>
              </c:numCache>
            </c:numRef>
          </c:val>
        </c:ser>
        <c:ser>
          <c:idx val="6"/>
          <c:order val="6"/>
          <c:tx>
            <c:strRef>
              <c:f>'WOS nephrops over 250kW'!$C$94</c:f>
              <c:strCache>
                <c:ptCount val="1"/>
                <c:pt idx="0">
                  <c:v>Herring</c:v>
                </c:pt>
              </c:strCache>
            </c:strRef>
          </c:tx>
          <c:spPr>
            <a:solidFill>
              <a:srgbClr val="A85816"/>
            </a:solidFill>
            <a:ln>
              <a:solidFill>
                <a:srgbClr val="FFFFFF"/>
              </a:solidFill>
            </a:ln>
          </c:spPr>
          <c:invertIfNegative val="0"/>
          <c:cat>
            <c:numRef>
              <c:f>'WOS nephrops over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250kW'!$D$94:$M$94</c:f>
              <c:numCache>
                <c:formatCode>0%</c:formatCode>
                <c:ptCount val="10"/>
                <c:pt idx="4">
                  <c:v>1.1006024537464373E-2</c:v>
                </c:pt>
                <c:pt idx="6">
                  <c:v>8.1637326748175212E-3</c:v>
                </c:pt>
                <c:pt idx="7">
                  <c:v>9.5032171833833081E-3</c:v>
                </c:pt>
              </c:numCache>
            </c:numRef>
          </c:val>
        </c:ser>
        <c:ser>
          <c:idx val="7"/>
          <c:order val="7"/>
          <c:tx>
            <c:strRef>
              <c:f>'WOS nephrops over 250kW'!$C$95</c:f>
              <c:strCache>
                <c:ptCount val="1"/>
                <c:pt idx="0">
                  <c:v>Megrim</c:v>
                </c:pt>
              </c:strCache>
            </c:strRef>
          </c:tx>
          <c:spPr>
            <a:solidFill>
              <a:srgbClr val="5D417E"/>
            </a:solidFill>
            <a:ln>
              <a:solidFill>
                <a:srgbClr val="FFFFFF"/>
              </a:solidFill>
            </a:ln>
          </c:spPr>
          <c:invertIfNegative val="0"/>
          <c:cat>
            <c:numRef>
              <c:f>'WOS nephrops over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250kW'!$D$95:$M$95</c:f>
              <c:numCache>
                <c:formatCode>0%</c:formatCode>
                <c:ptCount val="10"/>
                <c:pt idx="0">
                  <c:v>1.9697835960964149E-2</c:v>
                </c:pt>
                <c:pt idx="1">
                  <c:v>8.561848811264313E-3</c:v>
                </c:pt>
                <c:pt idx="2">
                  <c:v>7.7076194106437453E-3</c:v>
                </c:pt>
                <c:pt idx="6">
                  <c:v>5.7674023697690969E-3</c:v>
                </c:pt>
              </c:numCache>
            </c:numRef>
          </c:val>
        </c:ser>
        <c:ser>
          <c:idx val="8"/>
          <c:order val="8"/>
          <c:tx>
            <c:strRef>
              <c:f>'WOS nephrops over 250kW'!$C$96</c:f>
              <c:strCache>
                <c:ptCount val="1"/>
                <c:pt idx="0">
                  <c:v>Scallops</c:v>
                </c:pt>
              </c:strCache>
            </c:strRef>
          </c:tx>
          <c:spPr>
            <a:solidFill>
              <a:srgbClr val="2787A0"/>
            </a:solidFill>
            <a:ln>
              <a:solidFill>
                <a:srgbClr val="FFFFFF"/>
              </a:solidFill>
            </a:ln>
          </c:spPr>
          <c:invertIfNegative val="0"/>
          <c:cat>
            <c:numRef>
              <c:f>'WOS nephrops over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250kW'!$D$96:$M$96</c:f>
              <c:numCache>
                <c:formatCode>0%</c:formatCode>
                <c:ptCount val="10"/>
                <c:pt idx="0">
                  <c:v>1.8102786517472779E-2</c:v>
                </c:pt>
                <c:pt idx="1">
                  <c:v>1.1172033615308309E-2</c:v>
                </c:pt>
                <c:pt idx="2">
                  <c:v>2.7994642366593631E-2</c:v>
                </c:pt>
                <c:pt idx="3">
                  <c:v>2.1048203133637342E-2</c:v>
                </c:pt>
                <c:pt idx="4">
                  <c:v>1.0641954744840769E-2</c:v>
                </c:pt>
              </c:numCache>
            </c:numRef>
          </c:val>
        </c:ser>
        <c:ser>
          <c:idx val="9"/>
          <c:order val="9"/>
          <c:tx>
            <c:strRef>
              <c:f>'WOS nephrops over 250kW'!$C$97</c:f>
              <c:strCache>
                <c:ptCount val="1"/>
                <c:pt idx="0">
                  <c:v>Spurdog</c:v>
                </c:pt>
              </c:strCache>
            </c:strRef>
          </c:tx>
          <c:spPr>
            <a:solidFill>
              <a:srgbClr val="CB6C1D"/>
            </a:solidFill>
            <a:ln>
              <a:solidFill>
                <a:srgbClr val="FFFFFF"/>
              </a:solidFill>
            </a:ln>
          </c:spPr>
          <c:invertIfNegative val="0"/>
          <c:cat>
            <c:numRef>
              <c:f>'WOS nephrops over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250kW'!$D$97:$M$97</c:f>
              <c:numCache>
                <c:formatCode>0%</c:formatCode>
                <c:ptCount val="10"/>
                <c:pt idx="1">
                  <c:v>1.9609120579730074E-2</c:v>
                </c:pt>
              </c:numCache>
            </c:numRef>
          </c:val>
        </c:ser>
        <c:ser>
          <c:idx val="10"/>
          <c:order val="10"/>
          <c:tx>
            <c:strRef>
              <c:f>'WOS nephrops over 250kW'!$C$98</c:f>
              <c:strCache>
                <c:ptCount val="1"/>
                <c:pt idx="0">
                  <c:v>Others</c:v>
                </c:pt>
              </c:strCache>
            </c:strRef>
          </c:tx>
          <c:spPr>
            <a:solidFill>
              <a:srgbClr val="008000"/>
            </a:solidFill>
            <a:ln>
              <a:solidFill>
                <a:srgbClr val="FFFFFF"/>
              </a:solidFill>
            </a:ln>
          </c:spPr>
          <c:invertIfNegative val="0"/>
          <c:cat>
            <c:numRef>
              <c:f>'WOS nephrops over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over 250kW'!$D$98:$M$98</c:f>
              <c:numCache>
                <c:formatCode>0%</c:formatCode>
                <c:ptCount val="10"/>
                <c:pt idx="0">
                  <c:v>0.10667666822048405</c:v>
                </c:pt>
                <c:pt idx="1">
                  <c:v>3.7708645996589081E-2</c:v>
                </c:pt>
                <c:pt idx="2">
                  <c:v>4.3021701568924417E-2</c:v>
                </c:pt>
                <c:pt idx="3">
                  <c:v>3.4555200877138523E-2</c:v>
                </c:pt>
                <c:pt idx="4">
                  <c:v>3.8047277524841973E-2</c:v>
                </c:pt>
                <c:pt idx="5">
                  <c:v>3.5764578237175479E-2</c:v>
                </c:pt>
                <c:pt idx="6">
                  <c:v>2.7545104665228984E-2</c:v>
                </c:pt>
                <c:pt idx="7">
                  <c:v>2.0862640616382679E-2</c:v>
                </c:pt>
                <c:pt idx="8">
                  <c:v>1.9151325428187788E-2</c:v>
                </c:pt>
                <c:pt idx="9">
                  <c:v>1.2065692913235185E-2</c:v>
                </c:pt>
              </c:numCache>
            </c:numRef>
          </c:val>
        </c:ser>
        <c:dLbls>
          <c:showLegendKey val="0"/>
          <c:showVal val="0"/>
          <c:showCatName val="0"/>
          <c:showSerName val="0"/>
          <c:showPercent val="0"/>
          <c:showBubbleSize val="0"/>
        </c:dLbls>
        <c:gapWidth val="150"/>
        <c:overlap val="100"/>
        <c:axId val="141645312"/>
        <c:axId val="141646848"/>
      </c:barChart>
      <c:catAx>
        <c:axId val="141645312"/>
        <c:scaling>
          <c:orientation val="minMax"/>
        </c:scaling>
        <c:delete val="0"/>
        <c:axPos val="b"/>
        <c:numFmt formatCode="General" sourceLinked="1"/>
        <c:majorTickMark val="out"/>
        <c:minorTickMark val="none"/>
        <c:tickLblPos val="nextTo"/>
        <c:crossAx val="141646848"/>
        <c:crosses val="autoZero"/>
        <c:auto val="1"/>
        <c:lblAlgn val="ctr"/>
        <c:lblOffset val="100"/>
        <c:noMultiLvlLbl val="0"/>
      </c:catAx>
      <c:valAx>
        <c:axId val="141646848"/>
        <c:scaling>
          <c:orientation val="minMax"/>
          <c:max val="1"/>
          <c:min val="0"/>
        </c:scaling>
        <c:delete val="0"/>
        <c:axPos val="l"/>
        <c:majorGridlines/>
        <c:numFmt formatCode="0%" sourceLinked="1"/>
        <c:majorTickMark val="out"/>
        <c:minorTickMark val="none"/>
        <c:tickLblPos val="nextTo"/>
        <c:crossAx val="14164531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250kW'!$A$45</c:f>
          <c:strCache>
            <c:ptCount val="1"/>
            <c:pt idx="0">
              <c:v>Landings per kW day at sea (kg)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'WOS nephrops under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250kW'!$D$20:$M$20</c:f>
              <c:numCache>
                <c:formatCode>#,##0.00</c:formatCode>
                <c:ptCount val="10"/>
                <c:pt idx="0">
                  <c:v>1.8628485497609097</c:v>
                </c:pt>
                <c:pt idx="1">
                  <c:v>2.3670108292717629</c:v>
                </c:pt>
                <c:pt idx="2">
                  <c:v>2.5452958473768375</c:v>
                </c:pt>
                <c:pt idx="3">
                  <c:v>2.3641869516423895</c:v>
                </c:pt>
                <c:pt idx="4">
                  <c:v>2.2305187753388029</c:v>
                </c:pt>
                <c:pt idx="5">
                  <c:v>2.2439957359529878</c:v>
                </c:pt>
                <c:pt idx="6">
                  <c:v>2.394245083442669</c:v>
                </c:pt>
                <c:pt idx="7">
                  <c:v>2.4871515461478548</c:v>
                </c:pt>
                <c:pt idx="8">
                  <c:v>2.5137796204516185</c:v>
                </c:pt>
                <c:pt idx="9">
                  <c:v>2.3451858105153818</c:v>
                </c:pt>
              </c:numCache>
            </c:numRef>
          </c:val>
          <c:smooth val="0"/>
        </c:ser>
        <c:dLbls>
          <c:showLegendKey val="0"/>
          <c:showVal val="0"/>
          <c:showCatName val="0"/>
          <c:showSerName val="0"/>
          <c:showPercent val="0"/>
          <c:showBubbleSize val="0"/>
        </c:dLbls>
        <c:marker val="1"/>
        <c:smooth val="0"/>
        <c:axId val="140842112"/>
        <c:axId val="140843648"/>
      </c:lineChart>
      <c:catAx>
        <c:axId val="140842112"/>
        <c:scaling>
          <c:orientation val="minMax"/>
        </c:scaling>
        <c:delete val="0"/>
        <c:axPos val="b"/>
        <c:numFmt formatCode="General" sourceLinked="1"/>
        <c:majorTickMark val="out"/>
        <c:minorTickMark val="none"/>
        <c:tickLblPos val="nextTo"/>
        <c:crossAx val="140843648"/>
        <c:crosses val="autoZero"/>
        <c:auto val="1"/>
        <c:lblAlgn val="ctr"/>
        <c:lblOffset val="100"/>
        <c:noMultiLvlLbl val="0"/>
      </c:catAx>
      <c:valAx>
        <c:axId val="140843648"/>
        <c:scaling>
          <c:orientation val="minMax"/>
        </c:scaling>
        <c:delete val="0"/>
        <c:axPos val="l"/>
        <c:majorGridlines>
          <c:spPr>
            <a:ln w="3175">
              <a:prstDash val="sysDot"/>
            </a:ln>
          </c:spPr>
        </c:majorGridlines>
        <c:numFmt formatCode="#,##0.00" sourceLinked="1"/>
        <c:majorTickMark val="out"/>
        <c:minorTickMark val="none"/>
        <c:tickLblPos val="nextTo"/>
        <c:crossAx val="140842112"/>
        <c:crosses val="autoZero"/>
        <c:crossBetween val="between"/>
      </c:valAx>
    </c:plotArea>
    <c:plotVisOnly val="1"/>
    <c:dispBlanksAs val="gap"/>
    <c:showDLblsOverMax val="0"/>
  </c:chart>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250kW'!$F$45</c:f>
          <c:strCache>
            <c:ptCount val="1"/>
            <c:pt idx="0">
              <c:v>Income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'WOS nephrops under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250kW'!$D$21:$M$21</c:f>
              <c:numCache>
                <c:formatCode>#,##0.00</c:formatCode>
                <c:ptCount val="10"/>
                <c:pt idx="0">
                  <c:v>3.8142847165644933</c:v>
                </c:pt>
                <c:pt idx="1">
                  <c:v>5.3398539429047087</c:v>
                </c:pt>
                <c:pt idx="2">
                  <c:v>5.8834742855962068</c:v>
                </c:pt>
                <c:pt idx="3">
                  <c:v>5.6014606262531252</c:v>
                </c:pt>
                <c:pt idx="4">
                  <c:v>4.544736658353318</c:v>
                </c:pt>
                <c:pt idx="5">
                  <c:v>4.7908906733797556</c:v>
                </c:pt>
                <c:pt idx="6">
                  <c:v>6.262673083068675</c:v>
                </c:pt>
                <c:pt idx="7">
                  <c:v>6.9694372101227211</c:v>
                </c:pt>
                <c:pt idx="8">
                  <c:v>6.3494674125724968</c:v>
                </c:pt>
                <c:pt idx="9">
                  <c:v>6.3740324397160668</c:v>
                </c:pt>
              </c:numCache>
            </c:numRef>
          </c:val>
          <c:smooth val="0"/>
        </c:ser>
        <c:dLbls>
          <c:showLegendKey val="0"/>
          <c:showVal val="0"/>
          <c:showCatName val="0"/>
          <c:showSerName val="0"/>
          <c:showPercent val="0"/>
          <c:showBubbleSize val="0"/>
        </c:dLbls>
        <c:marker val="1"/>
        <c:smooth val="0"/>
        <c:axId val="140864128"/>
        <c:axId val="140906880"/>
      </c:lineChart>
      <c:catAx>
        <c:axId val="140864128"/>
        <c:scaling>
          <c:orientation val="minMax"/>
        </c:scaling>
        <c:delete val="0"/>
        <c:axPos val="b"/>
        <c:numFmt formatCode="General" sourceLinked="1"/>
        <c:majorTickMark val="out"/>
        <c:minorTickMark val="none"/>
        <c:tickLblPos val="nextTo"/>
        <c:crossAx val="140906880"/>
        <c:crosses val="autoZero"/>
        <c:auto val="1"/>
        <c:lblAlgn val="ctr"/>
        <c:lblOffset val="100"/>
        <c:noMultiLvlLbl val="0"/>
      </c:catAx>
      <c:valAx>
        <c:axId val="140906880"/>
        <c:scaling>
          <c:orientation val="minMax"/>
        </c:scaling>
        <c:delete val="0"/>
        <c:axPos val="l"/>
        <c:majorGridlines>
          <c:spPr>
            <a:ln w="3175">
              <a:prstDash val="sysDot"/>
            </a:ln>
          </c:spPr>
        </c:majorGridlines>
        <c:numFmt formatCode="#,##0.00" sourceLinked="1"/>
        <c:majorTickMark val="out"/>
        <c:minorTickMark val="none"/>
        <c:tickLblPos val="nextTo"/>
        <c:crossAx val="140864128"/>
        <c:crosses val="autoZero"/>
        <c:crossBetween val="between"/>
      </c:valAx>
    </c:plotArea>
    <c:plotVisOnly val="1"/>
    <c:dispBlanksAs val="gap"/>
    <c:showDLblsOverMax val="0"/>
  </c:chart>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250kW'!$K$45</c:f>
          <c:strCache>
            <c:ptCount val="1"/>
            <c:pt idx="0">
              <c:v>Operating profit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'WOS nephrops under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250kW'!$D$23:$M$23</c:f>
              <c:numCache>
                <c:formatCode>#,##0.00</c:formatCode>
                <c:ptCount val="10"/>
                <c:pt idx="0">
                  <c:v>0.47599145595371617</c:v>
                </c:pt>
                <c:pt idx="1">
                  <c:v>1.2428854886943932</c:v>
                </c:pt>
                <c:pt idx="2">
                  <c:v>1.1151614669175052</c:v>
                </c:pt>
                <c:pt idx="3">
                  <c:v>1.0516855092067561</c:v>
                </c:pt>
                <c:pt idx="4">
                  <c:v>0.74184684054033667</c:v>
                </c:pt>
                <c:pt idx="5">
                  <c:v>0.79819481410156057</c:v>
                </c:pt>
                <c:pt idx="6">
                  <c:v>1.1721446980503281</c:v>
                </c:pt>
                <c:pt idx="7">
                  <c:v>1.6227681820821596</c:v>
                </c:pt>
                <c:pt idx="8">
                  <c:v>1.0940290530090562</c:v>
                </c:pt>
                <c:pt idx="9">
                  <c:v>1.1692393393565359</c:v>
                </c:pt>
              </c:numCache>
            </c:numRef>
          </c:val>
          <c:smooth val="0"/>
        </c:ser>
        <c:dLbls>
          <c:showLegendKey val="0"/>
          <c:showVal val="0"/>
          <c:showCatName val="0"/>
          <c:showSerName val="0"/>
          <c:showPercent val="0"/>
          <c:showBubbleSize val="0"/>
        </c:dLbls>
        <c:marker val="1"/>
        <c:smooth val="0"/>
        <c:axId val="141676928"/>
        <c:axId val="141678464"/>
      </c:lineChart>
      <c:catAx>
        <c:axId val="141676928"/>
        <c:scaling>
          <c:orientation val="minMax"/>
        </c:scaling>
        <c:delete val="0"/>
        <c:axPos val="b"/>
        <c:numFmt formatCode="General" sourceLinked="1"/>
        <c:majorTickMark val="out"/>
        <c:minorTickMark val="none"/>
        <c:tickLblPos val="nextTo"/>
        <c:crossAx val="141678464"/>
        <c:crosses val="autoZero"/>
        <c:auto val="1"/>
        <c:lblAlgn val="ctr"/>
        <c:lblOffset val="100"/>
        <c:noMultiLvlLbl val="0"/>
      </c:catAx>
      <c:valAx>
        <c:axId val="141678464"/>
        <c:scaling>
          <c:orientation val="minMax"/>
        </c:scaling>
        <c:delete val="0"/>
        <c:axPos val="l"/>
        <c:majorGridlines>
          <c:spPr>
            <a:ln w="3175">
              <a:prstDash val="sysDot"/>
            </a:ln>
          </c:spPr>
        </c:majorGridlines>
        <c:numFmt formatCode="#,##0.00" sourceLinked="1"/>
        <c:majorTickMark val="out"/>
        <c:minorTickMark val="none"/>
        <c:tickLblPos val="nextTo"/>
        <c:crossAx val="141676928"/>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250kW'!$B$59</c:f>
          <c:strCache>
            <c:ptCount val="1"/>
            <c:pt idx="0">
              <c:v>Total cost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'WOS nephrops under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250kW'!$D$22:$M$22</c:f>
              <c:numCache>
                <c:formatCode>#,##0.00</c:formatCode>
                <c:ptCount val="10"/>
                <c:pt idx="0">
                  <c:v>3.3382932606107816</c:v>
                </c:pt>
                <c:pt idx="1">
                  <c:v>4.0969684542103071</c:v>
                </c:pt>
                <c:pt idx="2">
                  <c:v>4.7683128186787025</c:v>
                </c:pt>
                <c:pt idx="3">
                  <c:v>4.5497751170463596</c:v>
                </c:pt>
                <c:pt idx="4">
                  <c:v>3.8028898178129853</c:v>
                </c:pt>
                <c:pt idx="5">
                  <c:v>3.992695859278192</c:v>
                </c:pt>
                <c:pt idx="6">
                  <c:v>5.0905283850183478</c:v>
                </c:pt>
                <c:pt idx="7">
                  <c:v>5.3466690280405613</c:v>
                </c:pt>
                <c:pt idx="8">
                  <c:v>5.2554383595634411</c:v>
                </c:pt>
                <c:pt idx="9">
                  <c:v>5.2047931003595318</c:v>
                </c:pt>
              </c:numCache>
            </c:numRef>
          </c:val>
          <c:smooth val="0"/>
        </c:ser>
        <c:dLbls>
          <c:showLegendKey val="0"/>
          <c:showVal val="0"/>
          <c:showCatName val="0"/>
          <c:showSerName val="0"/>
          <c:showPercent val="0"/>
          <c:showBubbleSize val="0"/>
        </c:dLbls>
        <c:marker val="1"/>
        <c:smooth val="0"/>
        <c:axId val="141043584"/>
        <c:axId val="141045120"/>
      </c:lineChart>
      <c:catAx>
        <c:axId val="141043584"/>
        <c:scaling>
          <c:orientation val="minMax"/>
        </c:scaling>
        <c:delete val="0"/>
        <c:axPos val="b"/>
        <c:numFmt formatCode="General" sourceLinked="1"/>
        <c:majorTickMark val="out"/>
        <c:minorTickMark val="none"/>
        <c:tickLblPos val="nextTo"/>
        <c:crossAx val="141045120"/>
        <c:crosses val="autoZero"/>
        <c:auto val="1"/>
        <c:lblAlgn val="ctr"/>
        <c:lblOffset val="100"/>
        <c:noMultiLvlLbl val="0"/>
      </c:catAx>
      <c:valAx>
        <c:axId val="141045120"/>
        <c:scaling>
          <c:orientation val="minMax"/>
        </c:scaling>
        <c:delete val="0"/>
        <c:axPos val="l"/>
        <c:majorGridlines>
          <c:spPr>
            <a:ln w="3175">
              <a:prstDash val="sysDot"/>
            </a:ln>
          </c:spPr>
        </c:majorGridlines>
        <c:numFmt formatCode="#,##0.00" sourceLinked="1"/>
        <c:majorTickMark val="out"/>
        <c:minorTickMark val="none"/>
        <c:tickLblPos val="nextTo"/>
        <c:crossAx val="141043584"/>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24-40m'!$A$45</c:f>
          <c:strCache>
            <c:ptCount val="1"/>
            <c:pt idx="0">
              <c:v>Landings per kW day at sea (kg)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'Area VIIb-k trawlers 24-40m'!$D$2:$M$2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24-40m'!$D$20:$M$20</c:f>
              <c:numCache>
                <c:formatCode>#,##0.00</c:formatCode>
                <c:ptCount val="10"/>
                <c:pt idx="0">
                  <c:v>1.3594998669845015</c:v>
                </c:pt>
                <c:pt idx="1">
                  <c:v>1.4158581132629902</c:v>
                </c:pt>
                <c:pt idx="2">
                  <c:v>1.40793612620816</c:v>
                </c:pt>
                <c:pt idx="3">
                  <c:v>1.7646942131162728</c:v>
                </c:pt>
                <c:pt idx="4">
                  <c:v>2.1512457286372317</c:v>
                </c:pt>
                <c:pt idx="5">
                  <c:v>2.5906129328002758</c:v>
                </c:pt>
                <c:pt idx="6">
                  <c:v>2.9098992268315098</c:v>
                </c:pt>
                <c:pt idx="7">
                  <c:v>3.4354772856396929</c:v>
                </c:pt>
                <c:pt idx="8">
                  <c:v>3.5957669473224025</c:v>
                </c:pt>
                <c:pt idx="9">
                  <c:v>4.2497637503611498</c:v>
                </c:pt>
              </c:numCache>
            </c:numRef>
          </c:val>
          <c:smooth val="0"/>
        </c:ser>
        <c:dLbls>
          <c:showLegendKey val="0"/>
          <c:showVal val="0"/>
          <c:showCatName val="0"/>
          <c:showSerName val="0"/>
          <c:showPercent val="0"/>
          <c:showBubbleSize val="0"/>
        </c:dLbls>
        <c:marker val="1"/>
        <c:smooth val="0"/>
        <c:axId val="129283968"/>
        <c:axId val="129285504"/>
      </c:lineChart>
      <c:catAx>
        <c:axId val="129283968"/>
        <c:scaling>
          <c:orientation val="minMax"/>
        </c:scaling>
        <c:delete val="0"/>
        <c:axPos val="b"/>
        <c:numFmt formatCode="General" sourceLinked="1"/>
        <c:majorTickMark val="out"/>
        <c:minorTickMark val="none"/>
        <c:tickLblPos val="nextTo"/>
        <c:crossAx val="129285504"/>
        <c:crosses val="autoZero"/>
        <c:auto val="1"/>
        <c:lblAlgn val="ctr"/>
        <c:lblOffset val="100"/>
        <c:noMultiLvlLbl val="0"/>
      </c:catAx>
      <c:valAx>
        <c:axId val="129285504"/>
        <c:scaling>
          <c:orientation val="minMax"/>
        </c:scaling>
        <c:delete val="0"/>
        <c:axPos val="l"/>
        <c:majorGridlines>
          <c:spPr>
            <a:ln w="3175">
              <a:prstDash val="sysDot"/>
            </a:ln>
          </c:spPr>
        </c:majorGridlines>
        <c:numFmt formatCode="#,##0.00" sourceLinked="1"/>
        <c:majorTickMark val="out"/>
        <c:minorTickMark val="none"/>
        <c:tickLblPos val="nextTo"/>
        <c:crossAx val="129283968"/>
        <c:crosses val="autoZero"/>
        <c:crossBetween val="between"/>
      </c:valAx>
    </c:plotArea>
    <c:plotVisOnly val="1"/>
    <c:dispBlanksAs val="gap"/>
    <c:showDLblsOverMax val="0"/>
  </c:chart>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250kW'!$F$59</c:f>
          <c:strCache>
            <c:ptCount val="1"/>
            <c:pt idx="0">
              <c:v>Average price per tonne landed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'WOS nephrops under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250kW'!$D$19:$M$19</c:f>
              <c:numCache>
                <c:formatCode>#,##0</c:formatCode>
                <c:ptCount val="10"/>
                <c:pt idx="0">
                  <c:v>2047.554760519685</c:v>
                </c:pt>
                <c:pt idx="1">
                  <c:v>2255.9483043184068</c:v>
                </c:pt>
                <c:pt idx="2">
                  <c:v>2311.5090345808349</c:v>
                </c:pt>
                <c:pt idx="3">
                  <c:v>2369.2967986526355</c:v>
                </c:pt>
                <c:pt idx="4">
                  <c:v>2037.5246398681675</c:v>
                </c:pt>
                <c:pt idx="5">
                  <c:v>2134.9820911208908</c:v>
                </c:pt>
                <c:pt idx="6">
                  <c:v>2615.7193225406977</c:v>
                </c:pt>
                <c:pt idx="7">
                  <c:v>2802.1762389385876</c:v>
                </c:pt>
                <c:pt idx="8">
                  <c:v>2525.8648444769988</c:v>
                </c:pt>
                <c:pt idx="9">
                  <c:v>2717.9221769814258</c:v>
                </c:pt>
              </c:numCache>
            </c:numRef>
          </c:val>
          <c:smooth val="0"/>
        </c:ser>
        <c:dLbls>
          <c:showLegendKey val="0"/>
          <c:showVal val="0"/>
          <c:showCatName val="0"/>
          <c:showSerName val="0"/>
          <c:showPercent val="0"/>
          <c:showBubbleSize val="0"/>
        </c:dLbls>
        <c:marker val="1"/>
        <c:smooth val="0"/>
        <c:axId val="141069696"/>
        <c:axId val="141091968"/>
      </c:lineChart>
      <c:catAx>
        <c:axId val="141069696"/>
        <c:scaling>
          <c:orientation val="minMax"/>
        </c:scaling>
        <c:delete val="0"/>
        <c:axPos val="b"/>
        <c:numFmt formatCode="General" sourceLinked="1"/>
        <c:majorTickMark val="out"/>
        <c:minorTickMark val="none"/>
        <c:tickLblPos val="nextTo"/>
        <c:crossAx val="141091968"/>
        <c:crosses val="autoZero"/>
        <c:auto val="1"/>
        <c:lblAlgn val="ctr"/>
        <c:lblOffset val="100"/>
        <c:noMultiLvlLbl val="0"/>
      </c:catAx>
      <c:valAx>
        <c:axId val="141091968"/>
        <c:scaling>
          <c:orientation val="minMax"/>
        </c:scaling>
        <c:delete val="0"/>
        <c:axPos val="l"/>
        <c:majorGridlines>
          <c:spPr>
            <a:ln w="3175">
              <a:prstDash val="sysDot"/>
            </a:ln>
          </c:spPr>
        </c:majorGridlines>
        <c:numFmt formatCode="#,##0" sourceLinked="1"/>
        <c:majorTickMark val="out"/>
        <c:minorTickMark val="none"/>
        <c:tickLblPos val="nextTo"/>
        <c:crossAx val="141069696"/>
        <c:crosses val="autoZero"/>
        <c:crossBetween val="between"/>
      </c:valAx>
    </c:plotArea>
    <c:plotVisOnly val="1"/>
    <c:dispBlanksAs val="gap"/>
    <c:showDLblsOverMax val="0"/>
  </c:chart>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250kW'!$K$59</c:f>
          <c:strCache>
            <c:ptCount val="1"/>
            <c:pt idx="0">
              <c:v>Average annual operating profit per vessel (£'000)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'WOS nephrops under 250kW'!$D$2:$M$2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250kW'!$D$34:$M$34</c:f>
              <c:numCache>
                <c:formatCode>#,##0.0</c:formatCode>
                <c:ptCount val="10"/>
                <c:pt idx="0">
                  <c:v>12.283245889959618</c:v>
                </c:pt>
                <c:pt idx="1">
                  <c:v>30.656608666805219</c:v>
                </c:pt>
                <c:pt idx="2">
                  <c:v>29.130947245783528</c:v>
                </c:pt>
                <c:pt idx="3">
                  <c:v>27.323943364146071</c:v>
                </c:pt>
                <c:pt idx="4">
                  <c:v>19.748982316518976</c:v>
                </c:pt>
                <c:pt idx="5">
                  <c:v>22.143281711629974</c:v>
                </c:pt>
                <c:pt idx="6">
                  <c:v>30.310103760767163</c:v>
                </c:pt>
                <c:pt idx="7">
                  <c:v>43.080923578959492</c:v>
                </c:pt>
                <c:pt idx="8">
                  <c:v>28.513669498446212</c:v>
                </c:pt>
                <c:pt idx="9">
                  <c:v>30.699999880725795</c:v>
                </c:pt>
              </c:numCache>
            </c:numRef>
          </c:val>
          <c:smooth val="0"/>
        </c:ser>
        <c:dLbls>
          <c:showLegendKey val="0"/>
          <c:showVal val="0"/>
          <c:showCatName val="0"/>
          <c:showSerName val="0"/>
          <c:showPercent val="0"/>
          <c:showBubbleSize val="0"/>
        </c:dLbls>
        <c:marker val="1"/>
        <c:smooth val="0"/>
        <c:axId val="142169216"/>
        <c:axId val="142170752"/>
      </c:lineChart>
      <c:catAx>
        <c:axId val="142169216"/>
        <c:scaling>
          <c:orientation val="minMax"/>
        </c:scaling>
        <c:delete val="0"/>
        <c:axPos val="b"/>
        <c:numFmt formatCode="General" sourceLinked="1"/>
        <c:majorTickMark val="out"/>
        <c:minorTickMark val="none"/>
        <c:tickLblPos val="nextTo"/>
        <c:crossAx val="142170752"/>
        <c:crosses val="autoZero"/>
        <c:auto val="1"/>
        <c:lblAlgn val="ctr"/>
        <c:lblOffset val="100"/>
        <c:noMultiLvlLbl val="0"/>
      </c:catAx>
      <c:valAx>
        <c:axId val="142170752"/>
        <c:scaling>
          <c:orientation val="minMax"/>
        </c:scaling>
        <c:delete val="0"/>
        <c:axPos val="l"/>
        <c:majorGridlines>
          <c:spPr>
            <a:ln w="3175">
              <a:prstDash val="sysDot"/>
            </a:ln>
          </c:spPr>
        </c:majorGridlines>
        <c:numFmt formatCode="#,##0.0" sourceLinked="1"/>
        <c:majorTickMark val="out"/>
        <c:minorTickMark val="none"/>
        <c:tickLblPos val="nextTo"/>
        <c:crossAx val="142169216"/>
        <c:crosses val="autoZero"/>
        <c:crossBetween val="between"/>
      </c:valAx>
    </c:plotArea>
    <c:plotVisOnly val="1"/>
    <c:dispBlanksAs val="gap"/>
    <c:showDLblsOverMax val="0"/>
  </c:chart>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250kW'!$A$73</c:f>
          <c:strCache>
            <c:ptCount val="1"/>
            <c:pt idx="0">
              <c:v>Top 5 landed species by volume in 2013
WOS nephrops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607A2A"/>
              </a:solidFill>
              <a:ln>
                <a:solidFill>
                  <a:srgbClr val="FFFFFF"/>
                </a:solidFill>
              </a:ln>
            </c:spPr>
          </c:dPt>
          <c:dPt>
            <c:idx val="2"/>
            <c:bubble3D val="0"/>
            <c:spPr>
              <a:solidFill>
                <a:srgbClr val="7F2321"/>
              </a:solidFill>
              <a:ln>
                <a:solidFill>
                  <a:srgbClr val="FFFFFF"/>
                </a:solidFill>
              </a:ln>
            </c:spPr>
          </c:dPt>
          <c:dPt>
            <c:idx val="3"/>
            <c:bubble3D val="0"/>
            <c:spPr>
              <a:solidFill>
                <a:srgbClr val="9B2D2A"/>
              </a:solidFill>
              <a:ln>
                <a:solidFill>
                  <a:srgbClr val="FFFFFF"/>
                </a:solidFill>
              </a:ln>
            </c:spPr>
          </c:dPt>
          <c:dPt>
            <c:idx val="4"/>
            <c:bubble3D val="0"/>
            <c:spPr>
              <a:solidFill>
                <a:srgbClr val="769535"/>
              </a:solidFill>
              <a:ln>
                <a:solidFill>
                  <a:srgbClr val="FFFFFF"/>
                </a:solidFill>
              </a:ln>
            </c:spPr>
          </c:dPt>
          <c:dPt>
            <c:idx val="5"/>
            <c:bubble3D val="0"/>
            <c:spPr>
              <a:solidFill>
                <a:srgbClr val="008000"/>
              </a:solidFill>
              <a:ln>
                <a:solidFill>
                  <a:srgbClr val="FFFFFF"/>
                </a:solidFill>
              </a:ln>
            </c:spPr>
          </c:dPt>
          <c:cat>
            <c:strRef>
              <c:f>'WOS nephrops under 250kW'!$B$74:$B$79</c:f>
              <c:strCache>
                <c:ptCount val="6"/>
                <c:pt idx="0">
                  <c:v>Nephrops - 90.3%</c:v>
                </c:pt>
                <c:pt idx="1">
                  <c:v>Queen Scallops - 3.8%</c:v>
                </c:pt>
                <c:pt idx="2">
                  <c:v>Scallops - 1.7%</c:v>
                </c:pt>
                <c:pt idx="3">
                  <c:v>Haddock - 0.9%</c:v>
                </c:pt>
                <c:pt idx="4">
                  <c:v>Brown Crab - 0.5%</c:v>
                </c:pt>
                <c:pt idx="5">
                  <c:v>Others - 2.7%</c:v>
                </c:pt>
              </c:strCache>
            </c:strRef>
          </c:cat>
          <c:val>
            <c:numRef>
              <c:f>'WOS nephrops under 250kW'!$C$74:$C$79</c:f>
              <c:numCache>
                <c:formatCode>0.0%</c:formatCode>
                <c:ptCount val="6"/>
                <c:pt idx="0">
                  <c:v>0.90257984088839704</c:v>
                </c:pt>
                <c:pt idx="1">
                  <c:v>3.8060221030431614E-2</c:v>
                </c:pt>
                <c:pt idx="2">
                  <c:v>1.7449526679610895E-2</c:v>
                </c:pt>
                <c:pt idx="3">
                  <c:v>9.3523539888930585E-3</c:v>
                </c:pt>
                <c:pt idx="4">
                  <c:v>5.2301839759764709E-3</c:v>
                </c:pt>
                <c:pt idx="5">
                  <c:v>2.7327873436690853E-2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250kW'!$F$73</c:f>
          <c:strCache>
            <c:ptCount val="1"/>
            <c:pt idx="0">
              <c:v>Top 5 landed species by value in 2013
WOS nephrops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'WOS nephrops under 250kW'!$G$74:$G$79</c:f>
              <c:strCache>
                <c:ptCount val="6"/>
                <c:pt idx="0">
                  <c:v>Nephrops - 93.8%</c:v>
                </c:pt>
                <c:pt idx="1">
                  <c:v>Scallops - 1.3%</c:v>
                </c:pt>
                <c:pt idx="2">
                  <c:v>Queen Scallops - 0.7%</c:v>
                </c:pt>
                <c:pt idx="3">
                  <c:v>Razor Clam - 0.5%</c:v>
                </c:pt>
                <c:pt idx="4">
                  <c:v>Haddock - 0.4%</c:v>
                </c:pt>
                <c:pt idx="5">
                  <c:v>Others - 3.3%</c:v>
                </c:pt>
              </c:strCache>
            </c:strRef>
          </c:cat>
          <c:val>
            <c:numRef>
              <c:f>'WOS nephrops under 250kW'!$H$74:$H$79</c:f>
              <c:numCache>
                <c:formatCode>0.0%</c:formatCode>
                <c:ptCount val="6"/>
                <c:pt idx="0">
                  <c:v>0.93810542566680977</c:v>
                </c:pt>
                <c:pt idx="1">
                  <c:v>1.2630720644094918E-2</c:v>
                </c:pt>
                <c:pt idx="2">
                  <c:v>7.3168187276014792E-3</c:v>
                </c:pt>
                <c:pt idx="3">
                  <c:v>5.1093493917269478E-3</c:v>
                </c:pt>
                <c:pt idx="4">
                  <c:v>3.7308308658016115E-3</c:v>
                </c:pt>
                <c:pt idx="5">
                  <c:v>3.3106854703965349E-2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'WOS nephrops under 250kW'!$C$88</c:f>
              <c:strCache>
                <c:ptCount val="1"/>
                <c:pt idx="0">
                  <c:v>Nephrops</c:v>
                </c:pt>
              </c:strCache>
            </c:strRef>
          </c:tx>
          <c:spPr>
            <a:solidFill>
              <a:srgbClr val="224B7D"/>
            </a:solidFill>
            <a:ln>
              <a:solidFill>
                <a:srgbClr val="FFFFFF"/>
              </a:solidFill>
            </a:ln>
          </c:spPr>
          <c:invertIfNegative val="0"/>
          <c:cat>
            <c:numRef>
              <c:f>'WOS nephrops under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250kW'!$D$88:$M$88</c:f>
              <c:numCache>
                <c:formatCode>0%</c:formatCode>
                <c:ptCount val="10"/>
                <c:pt idx="0">
                  <c:v>0.93432402352770527</c:v>
                </c:pt>
                <c:pt idx="1">
                  <c:v>0.95015581316704079</c:v>
                </c:pt>
                <c:pt idx="2">
                  <c:v>0.95352969092739492</c:v>
                </c:pt>
                <c:pt idx="3">
                  <c:v>0.97143047446634678</c:v>
                </c:pt>
                <c:pt idx="4">
                  <c:v>0.96088826217780021</c:v>
                </c:pt>
                <c:pt idx="5">
                  <c:v>0.96585178222832768</c:v>
                </c:pt>
                <c:pt idx="6">
                  <c:v>0.98170986397217208</c:v>
                </c:pt>
                <c:pt idx="7">
                  <c:v>0.9601952566495312</c:v>
                </c:pt>
                <c:pt idx="8">
                  <c:v>0.95410581624044077</c:v>
                </c:pt>
                <c:pt idx="9">
                  <c:v>0.97851872402583462</c:v>
                </c:pt>
              </c:numCache>
            </c:numRef>
          </c:val>
        </c:ser>
        <c:ser>
          <c:idx val="1"/>
          <c:order val="1"/>
          <c:tx>
            <c:strRef>
              <c:f>'WOS nephrops under 250kW'!$C$89</c:f>
              <c:strCache>
                <c:ptCount val="1"/>
                <c:pt idx="0">
                  <c:v>Scallops</c:v>
                </c:pt>
              </c:strCache>
            </c:strRef>
          </c:tx>
          <c:spPr>
            <a:solidFill>
              <a:srgbClr val="7F2321"/>
            </a:solidFill>
            <a:ln>
              <a:solidFill>
                <a:srgbClr val="FFFFFF"/>
              </a:solidFill>
            </a:ln>
          </c:spPr>
          <c:invertIfNegative val="0"/>
          <c:cat>
            <c:numRef>
              <c:f>'WOS nephrops under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250kW'!$D$89:$M$89</c:f>
              <c:numCache>
                <c:formatCode>0%</c:formatCode>
                <c:ptCount val="10"/>
                <c:pt idx="0">
                  <c:v>1.3774551370858888E-2</c:v>
                </c:pt>
                <c:pt idx="1">
                  <c:v>1.5954772582260662E-2</c:v>
                </c:pt>
                <c:pt idx="2">
                  <c:v>1.6323119815546183E-2</c:v>
                </c:pt>
                <c:pt idx="3">
                  <c:v>9.1884957545449349E-3</c:v>
                </c:pt>
                <c:pt idx="4">
                  <c:v>1.2363947549473273E-2</c:v>
                </c:pt>
                <c:pt idx="5">
                  <c:v>7.9183051207432579E-3</c:v>
                </c:pt>
                <c:pt idx="6">
                  <c:v>1.0102688190063247E-2</c:v>
                </c:pt>
                <c:pt idx="7">
                  <c:v>2.0018842498608427E-2</c:v>
                </c:pt>
                <c:pt idx="8">
                  <c:v>1.284615108293743E-2</c:v>
                </c:pt>
                <c:pt idx="9">
                  <c:v>3.7173337165686475E-3</c:v>
                </c:pt>
              </c:numCache>
            </c:numRef>
          </c:val>
        </c:ser>
        <c:ser>
          <c:idx val="2"/>
          <c:order val="2"/>
          <c:tx>
            <c:strRef>
              <c:f>'WOS nephrops under 250kW'!$C$90</c:f>
              <c:strCache>
                <c:ptCount val="1"/>
                <c:pt idx="0">
                  <c:v>Queen Scallops</c:v>
                </c:pt>
              </c:strCache>
            </c:strRef>
          </c:tx>
          <c:spPr>
            <a:solidFill>
              <a:srgbClr val="607A2A"/>
            </a:solidFill>
            <a:ln>
              <a:solidFill>
                <a:srgbClr val="FFFFFF"/>
              </a:solidFill>
            </a:ln>
          </c:spPr>
          <c:invertIfNegative val="0"/>
          <c:cat>
            <c:numRef>
              <c:f>'WOS nephrops under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250kW'!$D$90:$M$90</c:f>
              <c:numCache>
                <c:formatCode>0%</c:formatCode>
                <c:ptCount val="10"/>
                <c:pt idx="0">
                  <c:v>7.4959781042925992E-3</c:v>
                </c:pt>
                <c:pt idx="1">
                  <c:v>3.0866211943365368E-3</c:v>
                </c:pt>
                <c:pt idx="4">
                  <c:v>6.267799375106054E-3</c:v>
                </c:pt>
                <c:pt idx="5">
                  <c:v>5.7840166564239754E-3</c:v>
                </c:pt>
                <c:pt idx="7">
                  <c:v>3.9916138176276702E-3</c:v>
                </c:pt>
                <c:pt idx="8">
                  <c:v>7.441614890372701E-3</c:v>
                </c:pt>
              </c:numCache>
            </c:numRef>
          </c:val>
        </c:ser>
        <c:ser>
          <c:idx val="3"/>
          <c:order val="3"/>
          <c:tx>
            <c:strRef>
              <c:f>'WOS nephrops under 250kW'!$C$91</c:f>
              <c:strCache>
                <c:ptCount val="1"/>
                <c:pt idx="0">
                  <c:v>Razor Clam</c:v>
                </c:pt>
              </c:strCache>
            </c:strRef>
          </c:tx>
          <c:spPr>
            <a:solidFill>
              <a:srgbClr val="4B3467"/>
            </a:solidFill>
            <a:ln>
              <a:solidFill>
                <a:srgbClr val="FFFFFF"/>
              </a:solidFill>
            </a:ln>
          </c:spPr>
          <c:invertIfNegative val="0"/>
          <c:cat>
            <c:numRef>
              <c:f>'WOS nephrops under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250kW'!$D$91:$M$91</c:f>
              <c:numCache>
                <c:formatCode>0%</c:formatCode>
                <c:ptCount val="10"/>
                <c:pt idx="8">
                  <c:v>5.1964948058862001E-3</c:v>
                </c:pt>
              </c:numCache>
            </c:numRef>
          </c:val>
        </c:ser>
        <c:ser>
          <c:idx val="4"/>
          <c:order val="4"/>
          <c:tx>
            <c:strRef>
              <c:f>'WOS nephrops under 250kW'!$C$92</c:f>
              <c:strCache>
                <c:ptCount val="1"/>
                <c:pt idx="0">
                  <c:v>Haddock</c:v>
                </c:pt>
              </c:strCache>
            </c:strRef>
          </c:tx>
          <c:spPr>
            <a:solidFill>
              <a:srgbClr val="9B2D2A"/>
            </a:solidFill>
            <a:ln>
              <a:solidFill>
                <a:srgbClr val="FFFFFF"/>
              </a:solidFill>
            </a:ln>
          </c:spPr>
          <c:invertIfNegative val="0"/>
          <c:cat>
            <c:numRef>
              <c:f>'WOS nephrops under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250kW'!$D$92:$M$92</c:f>
              <c:numCache>
                <c:formatCode>0%</c:formatCode>
                <c:ptCount val="10"/>
                <c:pt idx="2">
                  <c:v>2.4869546293288507E-3</c:v>
                </c:pt>
                <c:pt idx="3">
                  <c:v>2.2012996468244637E-3</c:v>
                </c:pt>
                <c:pt idx="6">
                  <c:v>1.3763372599094146E-3</c:v>
                </c:pt>
                <c:pt idx="7">
                  <c:v>3.2781321795564431E-3</c:v>
                </c:pt>
                <c:pt idx="8">
                  <c:v>3.794464173299596E-3</c:v>
                </c:pt>
                <c:pt idx="9">
                  <c:v>2.2724308745388833E-3</c:v>
                </c:pt>
              </c:numCache>
            </c:numRef>
          </c:val>
        </c:ser>
        <c:ser>
          <c:idx val="5"/>
          <c:order val="5"/>
          <c:tx>
            <c:strRef>
              <c:f>'WOS nephrops under 250kW'!$C$93</c:f>
              <c:strCache>
                <c:ptCount val="1"/>
                <c:pt idx="0">
                  <c:v>Anglerfish</c:v>
                </c:pt>
              </c:strCache>
            </c:strRef>
          </c:tx>
          <c:spPr>
            <a:solidFill>
              <a:srgbClr val="769535"/>
            </a:solidFill>
            <a:ln>
              <a:solidFill>
                <a:srgbClr val="FFFFFF"/>
              </a:solidFill>
            </a:ln>
          </c:spPr>
          <c:invertIfNegative val="0"/>
          <c:cat>
            <c:numRef>
              <c:f>'WOS nephrops under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250kW'!$D$93:$M$93</c:f>
              <c:numCache>
                <c:formatCode>0%</c:formatCode>
                <c:ptCount val="10"/>
                <c:pt idx="0">
                  <c:v>5.9997159774103932E-3</c:v>
                </c:pt>
                <c:pt idx="1">
                  <c:v>4.8722151999691949E-3</c:v>
                </c:pt>
                <c:pt idx="2">
                  <c:v>4.1216723535436777E-3</c:v>
                </c:pt>
                <c:pt idx="3">
                  <c:v>1.7570223756485891E-3</c:v>
                </c:pt>
                <c:pt idx="4">
                  <c:v>1.4362109241083739E-3</c:v>
                </c:pt>
                <c:pt idx="6">
                  <c:v>8.8018763043838449E-4</c:v>
                </c:pt>
                <c:pt idx="7">
                  <c:v>2.0267612850348713E-3</c:v>
                </c:pt>
                <c:pt idx="9">
                  <c:v>5.3685221511436407E-3</c:v>
                </c:pt>
              </c:numCache>
            </c:numRef>
          </c:val>
        </c:ser>
        <c:ser>
          <c:idx val="6"/>
          <c:order val="6"/>
          <c:tx>
            <c:strRef>
              <c:f>'WOS nephrops under 250kW'!$C$94</c:f>
              <c:strCache>
                <c:ptCount val="1"/>
                <c:pt idx="0">
                  <c:v>Brown Crab</c:v>
                </c:pt>
              </c:strCache>
            </c:strRef>
          </c:tx>
          <c:spPr>
            <a:solidFill>
              <a:srgbClr val="A85816"/>
            </a:solidFill>
            <a:ln>
              <a:solidFill>
                <a:srgbClr val="FFFFFF"/>
              </a:solidFill>
            </a:ln>
          </c:spPr>
          <c:invertIfNegative val="0"/>
          <c:cat>
            <c:numRef>
              <c:f>'WOS nephrops under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250kW'!$D$94:$M$94</c:f>
              <c:numCache>
                <c:formatCode>0%</c:formatCode>
                <c:ptCount val="10"/>
                <c:pt idx="9">
                  <c:v>3.3007176273159963E-3</c:v>
                </c:pt>
              </c:numCache>
            </c:numRef>
          </c:val>
        </c:ser>
        <c:ser>
          <c:idx val="7"/>
          <c:order val="7"/>
          <c:tx>
            <c:strRef>
              <c:f>'WOS nephrops under 250kW'!$C$95</c:f>
              <c:strCache>
                <c:ptCount val="1"/>
                <c:pt idx="0">
                  <c:v>Squid</c:v>
                </c:pt>
              </c:strCache>
            </c:strRef>
          </c:tx>
          <c:spPr>
            <a:solidFill>
              <a:srgbClr val="5D417E"/>
            </a:solidFill>
            <a:ln>
              <a:solidFill>
                <a:srgbClr val="FFFFFF"/>
              </a:solidFill>
            </a:ln>
          </c:spPr>
          <c:invertIfNegative val="0"/>
          <c:cat>
            <c:numRef>
              <c:f>'WOS nephrops under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250kW'!$D$95:$M$95</c:f>
              <c:numCache>
                <c:formatCode>0%</c:formatCode>
                <c:ptCount val="10"/>
                <c:pt idx="0">
                  <c:v>1.2050637485393484E-2</c:v>
                </c:pt>
                <c:pt idx="2">
                  <c:v>4.5832931241014041E-3</c:v>
                </c:pt>
                <c:pt idx="3">
                  <c:v>4.8864762605794866E-3</c:v>
                </c:pt>
                <c:pt idx="4">
                  <c:v>8.764936403981417E-3</c:v>
                </c:pt>
                <c:pt idx="5">
                  <c:v>9.0821032689248783E-3</c:v>
                </c:pt>
                <c:pt idx="6">
                  <c:v>6.5828181673752162E-4</c:v>
                </c:pt>
              </c:numCache>
            </c:numRef>
          </c:val>
        </c:ser>
        <c:ser>
          <c:idx val="8"/>
          <c:order val="8"/>
          <c:tx>
            <c:strRef>
              <c:f>'WOS nephrops under 250kW'!$C$96</c:f>
              <c:strCache>
                <c:ptCount val="1"/>
                <c:pt idx="0">
                  <c:v>Skates and Rays</c:v>
                </c:pt>
              </c:strCache>
            </c:strRef>
          </c:tx>
          <c:spPr>
            <a:solidFill>
              <a:srgbClr val="2787A0"/>
            </a:solidFill>
            <a:ln>
              <a:solidFill>
                <a:srgbClr val="FFFFFF"/>
              </a:solidFill>
            </a:ln>
          </c:spPr>
          <c:invertIfNegative val="0"/>
          <c:cat>
            <c:numRef>
              <c:f>'WOS nephrops under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250kW'!$D$96:$M$96</c:f>
              <c:numCache>
                <c:formatCode>0%</c:formatCode>
                <c:ptCount val="10"/>
                <c:pt idx="5">
                  <c:v>2.1207837861958643E-3</c:v>
                </c:pt>
              </c:numCache>
            </c:numRef>
          </c:val>
        </c:ser>
        <c:ser>
          <c:idx val="9"/>
          <c:order val="9"/>
          <c:tx>
            <c:strRef>
              <c:f>'WOS nephrops under 250kW'!$C$97</c:f>
              <c:strCache>
                <c:ptCount val="1"/>
                <c:pt idx="0">
                  <c:v>Spurdog</c:v>
                </c:pt>
              </c:strCache>
            </c:strRef>
          </c:tx>
          <c:spPr>
            <a:solidFill>
              <a:srgbClr val="CB6C1D"/>
            </a:solidFill>
            <a:ln>
              <a:solidFill>
                <a:srgbClr val="FFFFFF"/>
              </a:solidFill>
            </a:ln>
          </c:spPr>
          <c:invertIfNegative val="0"/>
          <c:cat>
            <c:numRef>
              <c:f>'WOS nephrops under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250kW'!$D$97:$M$97</c:f>
              <c:numCache>
                <c:formatCode>0%</c:formatCode>
                <c:ptCount val="10"/>
                <c:pt idx="1">
                  <c:v>4.5258193690201343E-3</c:v>
                </c:pt>
              </c:numCache>
            </c:numRef>
          </c:val>
        </c:ser>
        <c:ser>
          <c:idx val="10"/>
          <c:order val="10"/>
          <c:tx>
            <c:strRef>
              <c:f>'WOS nephrops under 250kW'!$C$98</c:f>
              <c:strCache>
                <c:ptCount val="1"/>
                <c:pt idx="0">
                  <c:v>Others</c:v>
                </c:pt>
              </c:strCache>
            </c:strRef>
          </c:tx>
          <c:spPr>
            <a:solidFill>
              <a:srgbClr val="008000"/>
            </a:solidFill>
            <a:ln>
              <a:solidFill>
                <a:srgbClr val="FFFFFF"/>
              </a:solidFill>
            </a:ln>
          </c:spPr>
          <c:invertIfNegative val="0"/>
          <c:cat>
            <c:numRef>
              <c:f>'WOS nephrops under 250kW'!$D$87:$M$87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'WOS nephrops under 250kW'!$D$98:$M$98</c:f>
              <c:numCache>
                <c:formatCode>0%</c:formatCode>
                <c:ptCount val="10"/>
                <c:pt idx="0">
                  <c:v>2.6355093534339333E-2</c:v>
                </c:pt>
                <c:pt idx="1">
                  <c:v>2.1404758487372638E-2</c:v>
                </c:pt>
                <c:pt idx="2">
                  <c:v>1.8955269150084934E-2</c:v>
                </c:pt>
                <c:pt idx="3">
                  <c:v>1.0536231496055769E-2</c:v>
                </c:pt>
                <c:pt idx="4">
                  <c:v>1.0278843569530714E-2</c:v>
                </c:pt>
                <c:pt idx="5">
                  <c:v>9.2430089393843538E-3</c:v>
                </c:pt>
                <c:pt idx="6">
                  <c:v>5.2726411306793378E-3</c:v>
                </c:pt>
                <c:pt idx="7">
                  <c:v>1.0489393569641356E-2</c:v>
                </c:pt>
                <c:pt idx="8">
                  <c:v>1.6615458807063332E-2</c:v>
                </c:pt>
                <c:pt idx="9">
                  <c:v>6.8222716045982191E-3</c:v>
                </c:pt>
              </c:numCache>
            </c:numRef>
          </c:val>
        </c:ser>
        <c:dLbls>
          <c:showLegendKey val="0"/>
          <c:showVal val="0"/>
          <c:showCatName val="0"/>
          <c:showSerName val="0"/>
          <c:showPercent val="0"/>
          <c:showBubbleSize val="0"/>
        </c:dLbls>
        <c:gapWidth val="150"/>
        <c:overlap val="100"/>
        <c:axId val="141910016"/>
        <c:axId val="141911552"/>
      </c:barChart>
      <c:catAx>
        <c:axId val="141910016"/>
        <c:scaling>
          <c:orientation val="minMax"/>
        </c:scaling>
        <c:delete val="0"/>
        <c:axPos val="b"/>
        <c:numFmt formatCode="General" sourceLinked="1"/>
        <c:majorTickMark val="out"/>
        <c:minorTickMark val="none"/>
        <c:tickLblPos val="nextTo"/>
        <c:crossAx val="141911552"/>
        <c:crosses val="autoZero"/>
        <c:auto val="1"/>
        <c:lblAlgn val="ctr"/>
        <c:lblOffset val="100"/>
        <c:noMultiLvlLbl val="0"/>
      </c:catAx>
      <c:valAx>
        <c:axId val="141911552"/>
        <c:scaling>
          <c:orientation val="minMax"/>
          <c:max val="1"/>
          <c:min val="0"/>
        </c:scaling>
        <c:delete val="0"/>
        <c:axPos val="l"/>
        <c:majorGridlines/>
        <c:numFmt formatCode="0%" sourceLinked="1"/>
        <c:majorTickMark val="out"/>
        <c:minorTickMark val="none"/>
        <c:tickLblPos val="nextTo"/>
        <c:crossAx val="14191001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24-40m'!$F$45</c:f>
          <c:strCache>
            <c:ptCount val="1"/>
            <c:pt idx="0">
              <c:v>Income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'Area VIIb-k trawlers 24-40m'!$D$2:$M$2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24-40m'!$D$21:$M$21</c:f>
              <c:numCache>
                <c:formatCode>#,##0.00</c:formatCode>
                <c:ptCount val="10"/>
                <c:pt idx="0">
                  <c:v>3.3144743393305665</c:v>
                </c:pt>
                <c:pt idx="1">
                  <c:v>2.9868928624396229</c:v>
                </c:pt>
                <c:pt idx="2">
                  <c:v>3.0554508060293482</c:v>
                </c:pt>
                <c:pt idx="3">
                  <c:v>3.8870306453616159</c:v>
                </c:pt>
                <c:pt idx="4">
                  <c:v>5.3938502083130038</c:v>
                </c:pt>
                <c:pt idx="5">
                  <c:v>7.0641513252111974</c:v>
                </c:pt>
                <c:pt idx="6">
                  <c:v>7.3011040887327718</c:v>
                </c:pt>
                <c:pt idx="7">
                  <c:v>8.9504620223609219</c:v>
                </c:pt>
                <c:pt idx="8">
                  <c:v>8.9336522671528655</c:v>
                </c:pt>
                <c:pt idx="9">
                  <c:v>10.930895213786798</c:v>
                </c:pt>
              </c:numCache>
            </c:numRef>
          </c:val>
          <c:smooth val="0"/>
        </c:ser>
        <c:dLbls>
          <c:showLegendKey val="0"/>
          <c:showVal val="0"/>
          <c:showCatName val="0"/>
          <c:showSerName val="0"/>
          <c:showPercent val="0"/>
          <c:showBubbleSize val="0"/>
        </c:dLbls>
        <c:marker val="1"/>
        <c:smooth val="0"/>
        <c:axId val="129301888"/>
        <c:axId val="129774720"/>
      </c:lineChart>
      <c:catAx>
        <c:axId val="129301888"/>
        <c:scaling>
          <c:orientation val="minMax"/>
        </c:scaling>
        <c:delete val="0"/>
        <c:axPos val="b"/>
        <c:numFmt formatCode="General" sourceLinked="1"/>
        <c:majorTickMark val="out"/>
        <c:minorTickMark val="none"/>
        <c:tickLblPos val="nextTo"/>
        <c:crossAx val="129774720"/>
        <c:crosses val="autoZero"/>
        <c:auto val="1"/>
        <c:lblAlgn val="ctr"/>
        <c:lblOffset val="100"/>
        <c:noMultiLvlLbl val="0"/>
      </c:catAx>
      <c:valAx>
        <c:axId val="129774720"/>
        <c:scaling>
          <c:orientation val="minMax"/>
        </c:scaling>
        <c:delete val="0"/>
        <c:axPos val="l"/>
        <c:majorGridlines>
          <c:spPr>
            <a:ln w="3175">
              <a:prstDash val="sysDot"/>
            </a:ln>
          </c:spPr>
        </c:majorGridlines>
        <c:numFmt formatCode="#,##0.00" sourceLinked="1"/>
        <c:majorTickMark val="out"/>
        <c:minorTickMark val="none"/>
        <c:tickLblPos val="nextTo"/>
        <c:crossAx val="12930188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trawl'!$K$45</c:f>
          <c:strCache>
            <c:ptCount val="1"/>
            <c:pt idx="0">
              <c:v>Operating profit per kW day at sea (£)
Area VIIA demersal trawl</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'Area VIIa demersal trawl'!$D$2:$M$2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trawl'!$D$23:$M$23</c:f>
              <c:numCache>
                <c:formatCode>#,##0.00</c:formatCode>
                <c:ptCount val="10"/>
                <c:pt idx="0">
                  <c:v>0.24901476290605001</c:v>
                </c:pt>
                <c:pt idx="1">
                  <c:v>0.31235848678046002</c:v>
                </c:pt>
                <c:pt idx="2">
                  <c:v>0.227128243986149</c:v>
                </c:pt>
                <c:pt idx="3">
                  <c:v>0.94442126745008903</c:v>
                </c:pt>
                <c:pt idx="4">
                  <c:v>0.61928552912081902</c:v>
                </c:pt>
                <c:pt idx="5">
                  <c:v>0.66197171177719105</c:v>
                </c:pt>
                <c:pt idx="6">
                  <c:v>0.31515157619852402</c:v>
                </c:pt>
                <c:pt idx="7">
                  <c:v>0.66498578823736898</c:v>
                </c:pt>
                <c:pt idx="8">
                  <c:v>0.87160462600019695</c:v>
                </c:pt>
                <c:pt idx="9">
                  <c:v>1.0559521679986601</c:v>
                </c:pt>
              </c:numCache>
            </c:numRef>
          </c:val>
          <c:smooth val="0"/>
        </c:ser>
        <c:dLbls>
          <c:showLegendKey val="0"/>
          <c:showVal val="0"/>
          <c:showCatName val="0"/>
          <c:showSerName val="0"/>
          <c:showPercent val="0"/>
          <c:showBubbleSize val="0"/>
        </c:dLbls>
        <c:marker val="1"/>
        <c:smooth val="0"/>
        <c:axId val="43444096"/>
        <c:axId val="43445632"/>
      </c:lineChart>
      <c:catAx>
        <c:axId val="43444096"/>
        <c:scaling>
          <c:orientation val="minMax"/>
        </c:scaling>
        <c:delete val="0"/>
        <c:axPos val="b"/>
        <c:numFmt formatCode="General" sourceLinked="1"/>
        <c:majorTickMark val="out"/>
        <c:minorTickMark val="none"/>
        <c:tickLblPos val="nextTo"/>
        <c:crossAx val="43445632"/>
        <c:crosses val="autoZero"/>
        <c:auto val="1"/>
        <c:lblAlgn val="ctr"/>
        <c:lblOffset val="100"/>
        <c:noMultiLvlLbl val="0"/>
      </c:catAx>
      <c:valAx>
        <c:axId val="43445632"/>
        <c:scaling>
          <c:orientation val="minMax"/>
        </c:scaling>
        <c:delete val="0"/>
        <c:axPos val="l"/>
        <c:majorGridlines>
          <c:spPr>
            <a:ln w="3175">
              <a:prstDash val="sysDot"/>
            </a:ln>
          </c:spPr>
        </c:majorGridlines>
        <c:numFmt formatCode="#,##0.00" sourceLinked="1"/>
        <c:majorTickMark val="out"/>
        <c:minorTickMark val="none"/>
        <c:tickLblPos val="nextTo"/>
        <c:crossAx val="4344409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24-40m'!$K$45</c:f>
          <c:strCache>
            <c:ptCount val="1"/>
            <c:pt idx="0">
              <c:v>Operating profit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'Area VIIb-k trawlers 24-40m'!$D$2:$M$2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24-40m'!$D$23:$M$23</c:f>
              <c:numCache>
                <c:formatCode>#,##0.00</c:formatCode>
                <c:ptCount val="10"/>
                <c:pt idx="0">
                  <c:v>-0.19136457791301364</c:v>
                </c:pt>
                <c:pt idx="1">
                  <c:v>-0.811021335556812</c:v>
                </c:pt>
                <c:pt idx="2">
                  <c:v>-0.48438975159910808</c:v>
                </c:pt>
                <c:pt idx="3">
                  <c:v>-0.66901645738223925</c:v>
                </c:pt>
                <c:pt idx="4">
                  <c:v>-4.0346915974668836E-2</c:v>
                </c:pt>
                <c:pt idx="5">
                  <c:v>1.8566863100713373</c:v>
                </c:pt>
                <c:pt idx="6">
                  <c:v>1.5686126090407209</c:v>
                </c:pt>
                <c:pt idx="7">
                  <c:v>-8.0970979799494039E-2</c:v>
                </c:pt>
                <c:pt idx="8">
                  <c:v>-7.8502817409825856E-2</c:v>
                </c:pt>
                <c:pt idx="9">
                  <c:v>0.24863181037180632</c:v>
                </c:pt>
              </c:numCache>
            </c:numRef>
          </c:val>
          <c:smooth val="0"/>
        </c:ser>
        <c:dLbls>
          <c:showLegendKey val="0"/>
          <c:showVal val="0"/>
          <c:showCatName val="0"/>
          <c:showSerName val="0"/>
          <c:showPercent val="0"/>
          <c:showBubbleSize val="0"/>
        </c:dLbls>
        <c:marker val="1"/>
        <c:smooth val="0"/>
        <c:axId val="129812352"/>
        <c:axId val="129813888"/>
      </c:lineChart>
      <c:catAx>
        <c:axId val="129812352"/>
        <c:scaling>
          <c:orientation val="minMax"/>
        </c:scaling>
        <c:delete val="0"/>
        <c:axPos val="b"/>
        <c:numFmt formatCode="General" sourceLinked="1"/>
        <c:majorTickMark val="out"/>
        <c:minorTickMark val="none"/>
        <c:tickLblPos val="nextTo"/>
        <c:crossAx val="129813888"/>
        <c:crosses val="autoZero"/>
        <c:auto val="1"/>
        <c:lblAlgn val="ctr"/>
        <c:lblOffset val="100"/>
        <c:noMultiLvlLbl val="0"/>
      </c:catAx>
      <c:valAx>
        <c:axId val="129813888"/>
        <c:scaling>
          <c:orientation val="minMax"/>
        </c:scaling>
        <c:delete val="0"/>
        <c:axPos val="l"/>
        <c:majorGridlines>
          <c:spPr>
            <a:ln w="3175">
              <a:prstDash val="sysDot"/>
            </a:ln>
          </c:spPr>
        </c:majorGridlines>
        <c:numFmt formatCode="#,##0.00" sourceLinked="1"/>
        <c:majorTickMark val="out"/>
        <c:minorTickMark val="none"/>
        <c:tickLblPos val="nextTo"/>
        <c:crossAx val="12981235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24-40m'!$B$59</c:f>
          <c:strCache>
            <c:ptCount val="1"/>
            <c:pt idx="0">
              <c:v>Total cost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'Area VIIb-k trawlers 24-40m'!$D$2:$M$2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24-40m'!$D$22:$M$22</c:f>
              <c:numCache>
                <c:formatCode>#,##0.00</c:formatCode>
                <c:ptCount val="10"/>
                <c:pt idx="0">
                  <c:v>3.5058389172435791</c:v>
                </c:pt>
                <c:pt idx="1">
                  <c:v>3.7979141979964339</c:v>
                </c:pt>
                <c:pt idx="2">
                  <c:v>3.5398405576284535</c:v>
                </c:pt>
                <c:pt idx="3">
                  <c:v>4.5560471027438538</c:v>
                </c:pt>
                <c:pt idx="4">
                  <c:v>5.4341971242876745</c:v>
                </c:pt>
                <c:pt idx="5">
                  <c:v>5.20746501513986</c:v>
                </c:pt>
                <c:pt idx="6">
                  <c:v>5.7324914796920412</c:v>
                </c:pt>
                <c:pt idx="7">
                  <c:v>9.0314330021604103</c:v>
                </c:pt>
                <c:pt idx="8">
                  <c:v>9.0121550845626892</c:v>
                </c:pt>
                <c:pt idx="9">
                  <c:v>10.682263403414971</c:v>
                </c:pt>
              </c:numCache>
            </c:numRef>
          </c:val>
          <c:smooth val="0"/>
        </c:ser>
        <c:dLbls>
          <c:showLegendKey val="0"/>
          <c:showVal val="0"/>
          <c:showCatName val="0"/>
          <c:showSerName val="0"/>
          <c:showPercent val="0"/>
          <c:showBubbleSize val="0"/>
        </c:dLbls>
        <c:marker val="1"/>
        <c:smooth val="0"/>
        <c:axId val="129899904"/>
        <c:axId val="129913984"/>
      </c:lineChart>
      <c:catAx>
        <c:axId val="129899904"/>
        <c:scaling>
          <c:orientation val="minMax"/>
        </c:scaling>
        <c:delete val="0"/>
        <c:axPos val="b"/>
        <c:numFmt formatCode="General" sourceLinked="1"/>
        <c:majorTickMark val="out"/>
        <c:minorTickMark val="none"/>
        <c:tickLblPos val="nextTo"/>
        <c:crossAx val="129913984"/>
        <c:crosses val="autoZero"/>
        <c:auto val="1"/>
        <c:lblAlgn val="ctr"/>
        <c:lblOffset val="100"/>
        <c:noMultiLvlLbl val="0"/>
      </c:catAx>
      <c:valAx>
        <c:axId val="129913984"/>
        <c:scaling>
          <c:orientation val="minMax"/>
        </c:scaling>
        <c:delete val="0"/>
        <c:axPos val="l"/>
        <c:majorGridlines>
          <c:spPr>
            <a:ln w="3175">
              <a:prstDash val="sysDot"/>
            </a:ln>
          </c:spPr>
        </c:majorGridlines>
        <c:numFmt formatCode="#,##0.00" sourceLinked="1"/>
        <c:majorTickMark val="out"/>
        <c:minorTickMark val="none"/>
        <c:tickLblPos val="nextTo"/>
        <c:crossAx val="129899904"/>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24-40m'!$F$59</c:f>
          <c:strCache>
            <c:ptCount val="1"/>
            <c:pt idx="0">
              <c:v>Average price per tonne landed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'Area VIIb-k trawlers 24-40m'!$D$2:$M$2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24-40m'!$D$19:$M$19</c:f>
              <c:numCache>
                <c:formatCode>#,##0</c:formatCode>
                <c:ptCount val="10"/>
                <c:pt idx="0">
                  <c:v>2438.0100504771522</c:v>
                </c:pt>
                <c:pt idx="1">
                  <c:v>2109.5988392432505</c:v>
                </c:pt>
                <c:pt idx="2">
                  <c:v>2170.1629421629045</c:v>
                </c:pt>
                <c:pt idx="3">
                  <c:v>2202.6653271905757</c:v>
                </c:pt>
                <c:pt idx="4">
                  <c:v>2507.3146674780451</c:v>
                </c:pt>
                <c:pt idx="5">
                  <c:v>2726.8262001655849</c:v>
                </c:pt>
                <c:pt idx="6">
                  <c:v>2509.0573195481511</c:v>
                </c:pt>
                <c:pt idx="7">
                  <c:v>2605.3037771460708</c:v>
                </c:pt>
                <c:pt idx="8">
                  <c:v>2484.4915416760086</c:v>
                </c:pt>
                <c:pt idx="9">
                  <c:v>2572.1180980887971</c:v>
                </c:pt>
              </c:numCache>
            </c:numRef>
          </c:val>
          <c:smooth val="0"/>
        </c:ser>
        <c:dLbls>
          <c:showLegendKey val="0"/>
          <c:showVal val="0"/>
          <c:showCatName val="0"/>
          <c:showSerName val="0"/>
          <c:showPercent val="0"/>
          <c:showBubbleSize val="0"/>
        </c:dLbls>
        <c:marker val="1"/>
        <c:smooth val="0"/>
        <c:axId val="129934464"/>
        <c:axId val="129936000"/>
      </c:lineChart>
      <c:catAx>
        <c:axId val="129934464"/>
        <c:scaling>
          <c:orientation val="minMax"/>
        </c:scaling>
        <c:delete val="0"/>
        <c:axPos val="b"/>
        <c:numFmt formatCode="General" sourceLinked="1"/>
        <c:majorTickMark val="out"/>
        <c:minorTickMark val="none"/>
        <c:tickLblPos val="nextTo"/>
        <c:crossAx val="129936000"/>
        <c:crosses val="autoZero"/>
        <c:auto val="1"/>
        <c:lblAlgn val="ctr"/>
        <c:lblOffset val="100"/>
        <c:noMultiLvlLbl val="0"/>
      </c:catAx>
      <c:valAx>
        <c:axId val="129936000"/>
        <c:scaling>
          <c:orientation val="minMax"/>
        </c:scaling>
        <c:delete val="0"/>
        <c:axPos val="l"/>
        <c:majorGridlines>
          <c:spPr>
            <a:ln w="3175">
              <a:prstDash val="sysDot"/>
            </a:ln>
          </c:spPr>
        </c:majorGridlines>
        <c:numFmt formatCode="#,##0" sourceLinked="1"/>
        <c:majorTickMark val="out"/>
        <c:minorTickMark val="none"/>
        <c:tickLblPos val="nextTo"/>
        <c:crossAx val="129934464"/>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24-40m'!$K$59</c:f>
          <c:strCache>
            <c:ptCount val="1"/>
            <c:pt idx="0">
              <c:v>Average annual operating profit per vessel (£'000)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'Area VIIb-k trawlers 24-40m'!$D$2:$M$2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24-40m'!$D$34:$M$34</c:f>
              <c:numCache>
                <c:formatCode>#,##0.0</c:formatCode>
                <c:ptCount val="10"/>
                <c:pt idx="0">
                  <c:v>-37.663197662591415</c:v>
                </c:pt>
                <c:pt idx="1">
                  <c:v>-159.04681989536004</c:v>
                </c:pt>
                <c:pt idx="2">
                  <c:v>-92.3768976083106</c:v>
                </c:pt>
                <c:pt idx="3">
                  <c:v>-114.07083152022147</c:v>
                </c:pt>
                <c:pt idx="4">
                  <c:v>-7.3044181170686624</c:v>
                </c:pt>
                <c:pt idx="5">
                  <c:v>331.4979526829311</c:v>
                </c:pt>
                <c:pt idx="6">
                  <c:v>277.0666538131569</c:v>
                </c:pt>
                <c:pt idx="7">
                  <c:v>-14.006129863114634</c:v>
                </c:pt>
                <c:pt idx="8">
                  <c:v>-11.700436794189997</c:v>
                </c:pt>
                <c:pt idx="9">
                  <c:v>38.799999849256054</c:v>
                </c:pt>
              </c:numCache>
            </c:numRef>
          </c:val>
          <c:smooth val="0"/>
        </c:ser>
        <c:dLbls>
          <c:showLegendKey val="0"/>
          <c:showVal val="0"/>
          <c:showCatName val="0"/>
          <c:showSerName val="0"/>
          <c:showPercent val="0"/>
          <c:showBubbleSize val="0"/>
        </c:dLbls>
        <c:marker val="1"/>
        <c:smooth val="0"/>
        <c:axId val="131811968"/>
        <c:axId val="131817856"/>
      </c:lineChart>
      <c:catAx>
        <c:axId val="131811968"/>
        <c:scaling>
          <c:orientation val="minMax"/>
        </c:scaling>
        <c:delete val="0"/>
        <c:axPos val="b"/>
        <c:numFmt formatCode="General" sourceLinked="1"/>
        <c:majorTickMark val="out"/>
        <c:minorTickMark val="none"/>
        <c:tickLblPos val="nextTo"/>
        <c:crossAx val="131817856"/>
        <c:crosses val="autoZero"/>
        <c:auto val="1"/>
        <c:lblAlgn val="ctr"/>
        <c:lblOffset val="100"/>
        <c:noMultiLvlLbl val="0"/>
      </c:catAx>
      <c:valAx>
        <c:axId val="131817856"/>
        <c:scaling>
          <c:orientation val="minMax"/>
        </c:scaling>
        <c:delete val="0"/>
        <c:axPos val="l"/>
        <c:majorGridlines>
          <c:spPr>
            <a:ln w="3175">
              <a:prstDash val="sysDot"/>
            </a:ln>
          </c:spPr>
        </c:majorGridlines>
        <c:numFmt formatCode="#,##0.0" sourceLinked="1"/>
        <c:majorTickMark val="out"/>
        <c:minorTickMark val="none"/>
        <c:tickLblPos val="nextTo"/>
        <c:crossAx val="131811968"/>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24-40m'!$A$73</c:f>
          <c:strCache>
            <c:ptCount val="1"/>
            <c:pt idx="0">
              <c:v>Top 5 landed species by volume in 2013
Area VIIBCDEFGHK 24-40m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9B2D2A"/>
              </a:solidFill>
              <a:ln>
                <a:solidFill>
                  <a:srgbClr val="FFFFFF"/>
                </a:solidFill>
              </a:ln>
            </c:spPr>
          </c:dPt>
          <c:dPt>
            <c:idx val="4"/>
            <c:bubble3D val="0"/>
            <c:spPr>
              <a:solidFill>
                <a:srgbClr val="769535"/>
              </a:solidFill>
              <a:ln>
                <a:solidFill>
                  <a:srgbClr val="FFFFFF"/>
                </a:solidFill>
              </a:ln>
            </c:spPr>
          </c:dPt>
          <c:dPt>
            <c:idx val="5"/>
            <c:bubble3D val="0"/>
            <c:spPr>
              <a:solidFill>
                <a:srgbClr val="008000"/>
              </a:solidFill>
              <a:ln>
                <a:solidFill>
                  <a:srgbClr val="FFFFFF"/>
                </a:solidFill>
              </a:ln>
            </c:spPr>
          </c:dPt>
          <c:cat>
            <c:strRef>
              <c:f>'Area VIIb-k trawlers 24-40m'!$B$74:$B$79</c:f>
              <c:strCache>
                <c:ptCount val="6"/>
                <c:pt idx="0">
                  <c:v>Anglerfish - 28.6%</c:v>
                </c:pt>
                <c:pt idx="1">
                  <c:v>Megrim - 27.3%</c:v>
                </c:pt>
                <c:pt idx="2">
                  <c:v>Haddock - 14.3%</c:v>
                </c:pt>
                <c:pt idx="3">
                  <c:v>Hake - 5.0%</c:v>
                </c:pt>
                <c:pt idx="4">
                  <c:v>Whiting - 3.6%</c:v>
                </c:pt>
                <c:pt idx="5">
                  <c:v>Others - 21.3%</c:v>
                </c:pt>
              </c:strCache>
            </c:strRef>
          </c:cat>
          <c:val>
            <c:numRef>
              <c:f>'Area VIIb-k trawlers 24-40m'!$C$74:$C$79</c:f>
              <c:numCache>
                <c:formatCode>0.0%</c:formatCode>
                <c:ptCount val="6"/>
                <c:pt idx="0">
                  <c:v>0.28566001641157174</c:v>
                </c:pt>
                <c:pt idx="1">
                  <c:v>0.27319731208110293</c:v>
                </c:pt>
                <c:pt idx="2">
                  <c:v>0.14289287397907743</c:v>
                </c:pt>
                <c:pt idx="3">
                  <c:v>4.9715752625872578E-2</c:v>
                </c:pt>
                <c:pt idx="4">
                  <c:v>3.5591020126332244E-2</c:v>
                </c:pt>
                <c:pt idx="5">
                  <c:v>0.2129430247760431</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24-40m'!$F$73</c:f>
          <c:strCache>
            <c:ptCount val="1"/>
            <c:pt idx="0">
              <c:v>Top 5 landed species by value in 2013
Area VIIBCDEFGHK 24-40m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'Area VIIb-k trawlers 24-40m'!$G$74:$G$79</c:f>
              <c:strCache>
                <c:ptCount val="6"/>
                <c:pt idx="0">
                  <c:v>Anglerfish - 39.2%</c:v>
                </c:pt>
                <c:pt idx="1">
                  <c:v>Megrim - 31.4%</c:v>
                </c:pt>
                <c:pt idx="2">
                  <c:v>Haddock - 5.4%</c:v>
                </c:pt>
                <c:pt idx="3">
                  <c:v>Squid - 3.8%</c:v>
                </c:pt>
                <c:pt idx="4">
                  <c:v>Hake - 3.1%</c:v>
                </c:pt>
                <c:pt idx="5">
                  <c:v>Others - 17.1%</c:v>
                </c:pt>
              </c:strCache>
            </c:strRef>
          </c:cat>
          <c:val>
            <c:numRef>
              <c:f>'Area VIIb-k trawlers 24-40m'!$H$74:$H$79</c:f>
              <c:numCache>
                <c:formatCode>0.0%</c:formatCode>
                <c:ptCount val="6"/>
                <c:pt idx="0">
                  <c:v>0.39192275626766004</c:v>
                </c:pt>
                <c:pt idx="1">
                  <c:v>0.31402646691214114</c:v>
                </c:pt>
                <c:pt idx="2">
                  <c:v>5.4168157697544655E-2</c:v>
                </c:pt>
                <c:pt idx="3">
                  <c:v>3.7881472066922536E-2</c:v>
                </c:pt>
                <c:pt idx="4">
                  <c:v>3.1092347891761678E-2</c:v>
                </c:pt>
                <c:pt idx="5">
                  <c:v>0.17090879916396995</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VIIb-k trawlers 24-40m'!$C$88</c:f>
              <c:strCache>
                <c:ptCount val="1"/>
                <c:pt idx="0">
                  <c:v>Anglerfish</c:v>
                </c:pt>
              </c:strCache>
            </c:strRef>
          </c:tx>
          <c:spPr>
            <a:solidFill>
              <a:srgbClr val="224B7D"/>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24-40m'!$D$88:$M$88</c:f>
              <c:numCache>
                <c:formatCode>0%</c:formatCode>
                <c:ptCount val="10"/>
                <c:pt idx="0">
                  <c:v>0.24331149453408954</c:v>
                </c:pt>
                <c:pt idx="1">
                  <c:v>0.22636909575697597</c:v>
                </c:pt>
                <c:pt idx="2">
                  <c:v>0.32497824144534521</c:v>
                </c:pt>
                <c:pt idx="3">
                  <c:v>0.32453081756096852</c:v>
                </c:pt>
                <c:pt idx="4">
                  <c:v>0.30897088086613556</c:v>
                </c:pt>
                <c:pt idx="5">
                  <c:v>0.315220294846975</c:v>
                </c:pt>
                <c:pt idx="6">
                  <c:v>0.30252951271371786</c:v>
                </c:pt>
                <c:pt idx="7">
                  <c:v>0.29925758590059387</c:v>
                </c:pt>
                <c:pt idx="8">
                  <c:v>0.39860739078256335</c:v>
                </c:pt>
                <c:pt idx="9">
                  <c:v>0.38932736243944144</c:v>
                </c:pt>
              </c:numCache>
            </c:numRef>
          </c:val>
        </c:ser>
        <c:ser>
          <c:idx val="1"/>
          <c:order val="1"/>
          <c:tx>
            <c:strRef>
              <c:f>'Area VIIb-k trawlers 24-40m'!$C$89</c:f>
              <c:strCache>
                <c:ptCount val="1"/>
                <c:pt idx="0">
                  <c:v>Megrim</c:v>
                </c:pt>
              </c:strCache>
            </c:strRef>
          </c:tx>
          <c:spPr>
            <a:solidFill>
              <a:srgbClr val="7F2321"/>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24-40m'!$D$89:$M$89</c:f>
              <c:numCache>
                <c:formatCode>0%</c:formatCode>
                <c:ptCount val="10"/>
                <c:pt idx="0">
                  <c:v>0.24229729939440942</c:v>
                </c:pt>
                <c:pt idx="1">
                  <c:v>0.21068021811867921</c:v>
                </c:pt>
                <c:pt idx="2">
                  <c:v>0.24450575709954309</c:v>
                </c:pt>
                <c:pt idx="3">
                  <c:v>0.30276328934041197</c:v>
                </c:pt>
                <c:pt idx="4">
                  <c:v>0.30337523066402483</c:v>
                </c:pt>
                <c:pt idx="5">
                  <c:v>0.26389192214172619</c:v>
                </c:pt>
                <c:pt idx="6">
                  <c:v>0.2654701197798105</c:v>
                </c:pt>
                <c:pt idx="7">
                  <c:v>0.24726077026001295</c:v>
                </c:pt>
                <c:pt idx="8">
                  <c:v>0.31938250231897636</c:v>
                </c:pt>
                <c:pt idx="9">
                  <c:v>0.3066788768518019</c:v>
                </c:pt>
              </c:numCache>
            </c:numRef>
          </c:val>
        </c:ser>
        <c:ser>
          <c:idx val="2"/>
          <c:order val="2"/>
          <c:tx>
            <c:strRef>
              <c:f>'Area VIIb-k trawlers 24-40m'!$C$90</c:f>
              <c:strCache>
                <c:ptCount val="1"/>
                <c:pt idx="0">
                  <c:v>Haddock</c:v>
                </c:pt>
              </c:strCache>
            </c:strRef>
          </c:tx>
          <c:spPr>
            <a:solidFill>
              <a:srgbClr val="607A2A"/>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24-40m'!$D$90:$M$90</c:f>
              <c:numCache>
                <c:formatCode>0%</c:formatCode>
                <c:ptCount val="10"/>
                <c:pt idx="8">
                  <c:v>5.5092049793022881E-2</c:v>
                </c:pt>
              </c:numCache>
            </c:numRef>
          </c:val>
        </c:ser>
        <c:ser>
          <c:idx val="3"/>
          <c:order val="3"/>
          <c:tx>
            <c:strRef>
              <c:f>'Area VIIb-k trawlers 24-40m'!$C$91</c:f>
              <c:strCache>
                <c:ptCount val="1"/>
                <c:pt idx="0">
                  <c:v>Squid</c:v>
                </c:pt>
              </c:strCache>
            </c:strRef>
          </c:tx>
          <c:spPr>
            <a:solidFill>
              <a:srgbClr val="4B3467"/>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24-40m'!$D$91:$M$91</c:f>
              <c:numCache>
                <c:formatCode>0%</c:formatCode>
                <c:ptCount val="10"/>
                <c:pt idx="0">
                  <c:v>5.1688753811883169E-2</c:v>
                </c:pt>
                <c:pt idx="1">
                  <c:v>4.4574375799655022E-2</c:v>
                </c:pt>
                <c:pt idx="7">
                  <c:v>4.9516180483219652E-2</c:v>
                </c:pt>
                <c:pt idx="8">
                  <c:v>3.8527578452949685E-2</c:v>
                </c:pt>
                <c:pt idx="9">
                  <c:v>5.6596094565954935E-2</c:v>
                </c:pt>
              </c:numCache>
            </c:numRef>
          </c:val>
        </c:ser>
        <c:ser>
          <c:idx val="4"/>
          <c:order val="4"/>
          <c:tx>
            <c:strRef>
              <c:f>'Area VIIb-k trawlers 24-40m'!$C$92</c:f>
              <c:strCache>
                <c:ptCount val="1"/>
                <c:pt idx="0">
                  <c:v>Hake</c:v>
                </c:pt>
              </c:strCache>
            </c:strRef>
          </c:tx>
          <c:spPr>
            <a:solidFill>
              <a:srgbClr val="9B2D2A"/>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24-40m'!$D$92:$M$92</c:f>
              <c:numCache>
                <c:formatCode>0%</c:formatCode>
                <c:ptCount val="10"/>
                <c:pt idx="0">
                  <c:v>0.1818682820857728</c:v>
                </c:pt>
                <c:pt idx="1">
                  <c:v>0.15650433698946339</c:v>
                </c:pt>
                <c:pt idx="2">
                  <c:v>0.12344595162150446</c:v>
                </c:pt>
                <c:pt idx="3">
                  <c:v>7.8140338830763573E-2</c:v>
                </c:pt>
                <c:pt idx="4">
                  <c:v>8.2145615377753639E-2</c:v>
                </c:pt>
                <c:pt idx="5">
                  <c:v>4.6048608910314398E-2</c:v>
                </c:pt>
                <c:pt idx="6">
                  <c:v>5.0994201820201437E-2</c:v>
                </c:pt>
                <c:pt idx="8">
                  <c:v>3.16226589761344E-2</c:v>
                </c:pt>
                <c:pt idx="9">
                  <c:v>3.9709971305899552E-2</c:v>
                </c:pt>
              </c:numCache>
            </c:numRef>
          </c:val>
        </c:ser>
        <c:ser>
          <c:idx val="5"/>
          <c:order val="5"/>
          <c:tx>
            <c:strRef>
              <c:f>'Area VIIb-k trawlers 24-40m'!$C$93</c:f>
              <c:strCache>
                <c:ptCount val="1"/>
                <c:pt idx="0">
                  <c:v>Plaice</c:v>
                </c:pt>
              </c:strCache>
            </c:strRef>
          </c:tx>
          <c:spPr>
            <a:solidFill>
              <a:srgbClr val="769535"/>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24-40m'!$D$93:$M$93</c:f>
              <c:numCache>
                <c:formatCode>0%</c:formatCode>
                <c:ptCount val="10"/>
                <c:pt idx="6">
                  <c:v>7.7722054203998969E-2</c:v>
                </c:pt>
                <c:pt idx="7">
                  <c:v>6.7396410315394603E-2</c:v>
                </c:pt>
                <c:pt idx="9">
                  <c:v>4.4591780776134418E-2</c:v>
                </c:pt>
              </c:numCache>
            </c:numRef>
          </c:val>
        </c:ser>
        <c:ser>
          <c:idx val="6"/>
          <c:order val="6"/>
          <c:tx>
            <c:strRef>
              <c:f>'Area VIIb-k trawlers 24-40m'!$C$94</c:f>
              <c:strCache>
                <c:ptCount val="1"/>
                <c:pt idx="0">
                  <c:v>Witch</c:v>
                </c:pt>
              </c:strCache>
            </c:strRef>
          </c:tx>
          <c:spPr>
            <a:solidFill>
              <a:srgbClr val="A85816"/>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24-40m'!$D$94:$M$94</c:f>
              <c:numCache>
                <c:formatCode>0%</c:formatCode>
                <c:ptCount val="10"/>
                <c:pt idx="4">
                  <c:v>3.7477967738621491E-2</c:v>
                </c:pt>
                <c:pt idx="7">
                  <c:v>4.0243028721267747E-2</c:v>
                </c:pt>
              </c:numCache>
            </c:numRef>
          </c:val>
        </c:ser>
        <c:ser>
          <c:idx val="7"/>
          <c:order val="7"/>
          <c:tx>
            <c:strRef>
              <c:f>'Area VIIb-k trawlers 24-40m'!$C$95</c:f>
              <c:strCache>
                <c:ptCount val="1"/>
                <c:pt idx="0">
                  <c:v>Red Mullet</c:v>
                </c:pt>
              </c:strCache>
            </c:strRef>
          </c:tx>
          <c:spPr>
            <a:solidFill>
              <a:srgbClr val="5D417E"/>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24-40m'!$D$95:$M$95</c:f>
              <c:numCache>
                <c:formatCode>0%</c:formatCode>
                <c:ptCount val="10"/>
                <c:pt idx="4">
                  <c:v>4.3086418309544593E-2</c:v>
                </c:pt>
                <c:pt idx="5">
                  <c:v>5.6981621905720932E-2</c:v>
                </c:pt>
                <c:pt idx="6">
                  <c:v>4.2164113018890906E-2</c:v>
                </c:pt>
              </c:numCache>
            </c:numRef>
          </c:val>
        </c:ser>
        <c:ser>
          <c:idx val="8"/>
          <c:order val="8"/>
          <c:tx>
            <c:strRef>
              <c:f>'Area VIIb-k trawlers 24-40m'!$C$96</c:f>
              <c:strCache>
                <c:ptCount val="1"/>
                <c:pt idx="0">
                  <c:v>John Dory</c:v>
                </c:pt>
              </c:strCache>
            </c:strRef>
          </c:tx>
          <c:spPr>
            <a:solidFill>
              <a:srgbClr val="2787A0"/>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24-40m'!$D$96:$M$96</c:f>
              <c:numCache>
                <c:formatCode>0%</c:formatCode>
                <c:ptCount val="10"/>
                <c:pt idx="3">
                  <c:v>4.5432365598709758E-2</c:v>
                </c:pt>
                <c:pt idx="5">
                  <c:v>4.0722762722625198E-2</c:v>
                </c:pt>
              </c:numCache>
            </c:numRef>
          </c:val>
        </c:ser>
        <c:ser>
          <c:idx val="9"/>
          <c:order val="9"/>
          <c:tx>
            <c:strRef>
              <c:f>'Area VIIb-k trawlers 24-40m'!$C$97</c:f>
              <c:strCache>
                <c:ptCount val="1"/>
                <c:pt idx="0">
                  <c:v>Nephrops</c:v>
                </c:pt>
              </c:strCache>
            </c:strRef>
          </c:tx>
          <c:spPr>
            <a:solidFill>
              <a:srgbClr val="CB6C1D"/>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24-40m'!$D$97:$M$97</c:f>
              <c:numCache>
                <c:formatCode>0%</c:formatCode>
                <c:ptCount val="10"/>
                <c:pt idx="0">
                  <c:v>8.2321397335738664E-2</c:v>
                </c:pt>
                <c:pt idx="1">
                  <c:v>9.3493761460759744E-2</c:v>
                </c:pt>
                <c:pt idx="2">
                  <c:v>0.10015481078881024</c:v>
                </c:pt>
                <c:pt idx="3">
                  <c:v>5.3066696096767861E-2</c:v>
                </c:pt>
              </c:numCache>
            </c:numRef>
          </c:val>
        </c:ser>
        <c:ser>
          <c:idx val="10"/>
          <c:order val="10"/>
          <c:tx>
            <c:strRef>
              <c:f>'Area VIIb-k trawlers 24-40m'!$C$98</c:f>
              <c:strCache>
                <c:ptCount val="1"/>
                <c:pt idx="0">
                  <c:v>Skates and Rays</c:v>
                </c:pt>
              </c:strCache>
            </c:strRef>
          </c:tx>
          <c:spPr>
            <a:solidFill>
              <a:srgbClr val="7888A4"/>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24-40m'!$D$98:$M$98</c:f>
              <c:numCache>
                <c:formatCode>0%</c:formatCode>
                <c:ptCount val="10"/>
                <c:pt idx="2">
                  <c:v>4.1538798616678363E-2</c:v>
                </c:pt>
              </c:numCache>
            </c:numRef>
          </c:val>
        </c:ser>
        <c:ser>
          <c:idx val="11"/>
          <c:order val="11"/>
          <c:tx>
            <c:strRef>
              <c:f>'Area VIIb-k trawlers 24-40m'!$C$99</c:f>
              <c:strCache>
                <c:ptCount val="1"/>
                <c:pt idx="0">
                  <c:v>Others</c:v>
                </c:pt>
              </c:strCache>
            </c:strRef>
          </c:tx>
          <c:spPr>
            <a:solidFill>
              <a:srgbClr val="008000"/>
            </a:solidFill>
            <a:ln>
              <a:solidFill>
                <a:srgbClr val="FFFFFF"/>
              </a:solidFill>
            </a:ln>
          </c:spPr>
          <c:invertIfNegative val="0"/>
          <c:cat>
            <c:numRef>
              <c:f>'Area VIIb-k trawlers 24-40m'!$D$87:$M$87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24-40m'!$D$99:$M$99</c:f>
              <c:numCache>
                <c:formatCode>0%</c:formatCode>
                <c:ptCount val="10"/>
                <c:pt idx="0">
                  <c:v>0.19851277283810639</c:v>
                </c:pt>
                <c:pt idx="1">
                  <c:v>0.2683782118744667</c:v>
                </c:pt>
                <c:pt idx="2">
                  <c:v>0.16537644042811867</c:v>
                </c:pt>
                <c:pt idx="3">
                  <c:v>0.19606649257237829</c:v>
                </c:pt>
                <c:pt idx="4">
                  <c:v>0.22494388704391988</c:v>
                </c:pt>
                <c:pt idx="5">
                  <c:v>0.27713478947263825</c:v>
                </c:pt>
                <c:pt idx="6">
                  <c:v>0.26111999846338035</c:v>
                </c:pt>
                <c:pt idx="7">
                  <c:v>0.29632602431951116</c:v>
                </c:pt>
                <c:pt idx="8">
                  <c:v>0.15676781967635336</c:v>
                </c:pt>
                <c:pt idx="9">
                  <c:v>0.16309591406076773</c:v>
                </c:pt>
              </c:numCache>
            </c:numRef>
          </c:val>
        </c:ser>
        <c:dLbls>
          <c:showLegendKey val="0"/>
          <c:showVal val="0"/>
          <c:showCatName val="0"/>
          <c:showSerName val="0"/>
          <c:showPercent val="0"/>
          <c:showBubbleSize val="0"/>
        </c:dLbls>
        <c:gapWidth val="150"/>
        <c:overlap val="100"/>
        <c:axId val="140415744"/>
        <c:axId val="140417280"/>
      </c:barChart>
      <c:catAx>
        <c:axId val="140415744"/>
        <c:scaling>
          <c:orientation val="minMax"/>
        </c:scaling>
        <c:delete val="0"/>
        <c:axPos val="b"/>
        <c:numFmt formatCode="General" sourceLinked="1"/>
        <c:majorTickMark val="out"/>
        <c:minorTickMark val="none"/>
        <c:tickLblPos val="nextTo"/>
        <c:crossAx val="140417280"/>
        <c:crosses val="autoZero"/>
        <c:auto val="1"/>
        <c:lblAlgn val="ctr"/>
        <c:lblOffset val="100"/>
        <c:noMultiLvlLbl val="0"/>
      </c:catAx>
      <c:valAx>
        <c:axId val="140417280"/>
        <c:scaling>
          <c:orientation val="minMax"/>
          <c:max val="1"/>
          <c:min val="0"/>
        </c:scaling>
        <c:delete val="0"/>
        <c:axPos val="l"/>
        <c:majorGridlines/>
        <c:numFmt formatCode="0%" sourceLinked="1"/>
        <c:majorTickMark val="out"/>
        <c:minorTickMark val="none"/>
        <c:tickLblPos val="nextTo"/>
        <c:crossAx val="14041574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10-24m'!$A$45</c:f>
          <c:strCache>
            <c:ptCount val="1"/>
            <c:pt idx="0">
              <c:v>Landings per kW day at sea (kg)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'Area VIIb-k trawlers 10-24m'!$D$2:$M$2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10-24m'!$D$20:$M$20</c:f>
              <c:numCache>
                <c:formatCode>#,##0.00</c:formatCode>
                <c:ptCount val="10"/>
                <c:pt idx="0">
                  <c:v>2.5635544308348379</c:v>
                </c:pt>
                <c:pt idx="1">
                  <c:v>2.7977699206345781</c:v>
                </c:pt>
                <c:pt idx="2">
                  <c:v>3.7231176095801395</c:v>
                </c:pt>
                <c:pt idx="3">
                  <c:v>3.8241115214066874</c:v>
                </c:pt>
                <c:pt idx="4">
                  <c:v>3.5292552953776211</c:v>
                </c:pt>
                <c:pt idx="5">
                  <c:v>4.576100984874202</c:v>
                </c:pt>
                <c:pt idx="6">
                  <c:v>4.5011366495382514</c:v>
                </c:pt>
                <c:pt idx="7">
                  <c:v>5.3901890275322675</c:v>
                </c:pt>
                <c:pt idx="8">
                  <c:v>4.8511266333527949</c:v>
                </c:pt>
                <c:pt idx="9">
                  <c:v>4.6979166989548276</c:v>
                </c:pt>
              </c:numCache>
            </c:numRef>
          </c:val>
          <c:smooth val="0"/>
        </c:ser>
        <c:dLbls>
          <c:showLegendKey val="0"/>
          <c:showVal val="0"/>
          <c:showCatName val="0"/>
          <c:showSerName val="0"/>
          <c:showPercent val="0"/>
          <c:showBubbleSize val="0"/>
        </c:dLbls>
        <c:marker val="1"/>
        <c:smooth val="0"/>
        <c:axId val="141611392"/>
        <c:axId val="141612928"/>
      </c:lineChart>
      <c:catAx>
        <c:axId val="141611392"/>
        <c:scaling>
          <c:orientation val="minMax"/>
        </c:scaling>
        <c:delete val="0"/>
        <c:axPos val="b"/>
        <c:numFmt formatCode="General" sourceLinked="1"/>
        <c:majorTickMark val="out"/>
        <c:minorTickMark val="none"/>
        <c:tickLblPos val="nextTo"/>
        <c:crossAx val="141612928"/>
        <c:crosses val="autoZero"/>
        <c:auto val="1"/>
        <c:lblAlgn val="ctr"/>
        <c:lblOffset val="100"/>
        <c:noMultiLvlLbl val="0"/>
      </c:catAx>
      <c:valAx>
        <c:axId val="141612928"/>
        <c:scaling>
          <c:orientation val="minMax"/>
        </c:scaling>
        <c:delete val="0"/>
        <c:axPos val="l"/>
        <c:majorGridlines>
          <c:spPr>
            <a:ln w="3175">
              <a:prstDash val="sysDot"/>
            </a:ln>
          </c:spPr>
        </c:majorGridlines>
        <c:numFmt formatCode="#,##0.00" sourceLinked="1"/>
        <c:majorTickMark val="out"/>
        <c:minorTickMark val="none"/>
        <c:tickLblPos val="nextTo"/>
        <c:crossAx val="141611392"/>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10-24m'!$F$45</c:f>
          <c:strCache>
            <c:ptCount val="1"/>
            <c:pt idx="0">
              <c:v>Income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'Area VIIb-k trawlers 10-24m'!$D$2:$M$2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10-24m'!$D$21:$M$21</c:f>
              <c:numCache>
                <c:formatCode>#,##0.00</c:formatCode>
                <c:ptCount val="10"/>
                <c:pt idx="0">
                  <c:v>4.2944858959629704</c:v>
                </c:pt>
                <c:pt idx="1">
                  <c:v>4.6854060475114734</c:v>
                </c:pt>
                <c:pt idx="2">
                  <c:v>5.2744415815159371</c:v>
                </c:pt>
                <c:pt idx="3">
                  <c:v>4.698767185275365</c:v>
                </c:pt>
                <c:pt idx="4">
                  <c:v>4.8264121864759328</c:v>
                </c:pt>
                <c:pt idx="5">
                  <c:v>5.7848513378001591</c:v>
                </c:pt>
                <c:pt idx="6">
                  <c:v>6.8486921316284697</c:v>
                </c:pt>
                <c:pt idx="7">
                  <c:v>7.1459792125155417</c:v>
                </c:pt>
                <c:pt idx="8">
                  <c:v>7.0489693671768263</c:v>
                </c:pt>
                <c:pt idx="9">
                  <c:v>7.1947974050206192</c:v>
                </c:pt>
              </c:numCache>
            </c:numRef>
          </c:val>
          <c:smooth val="0"/>
        </c:ser>
        <c:dLbls>
          <c:showLegendKey val="0"/>
          <c:showVal val="0"/>
          <c:showCatName val="0"/>
          <c:showSerName val="0"/>
          <c:showPercent val="0"/>
          <c:showBubbleSize val="0"/>
        </c:dLbls>
        <c:marker val="1"/>
        <c:smooth val="0"/>
        <c:axId val="141768576"/>
        <c:axId val="141770112"/>
      </c:lineChart>
      <c:catAx>
        <c:axId val="141768576"/>
        <c:scaling>
          <c:orientation val="minMax"/>
        </c:scaling>
        <c:delete val="0"/>
        <c:axPos val="b"/>
        <c:numFmt formatCode="General" sourceLinked="1"/>
        <c:majorTickMark val="out"/>
        <c:minorTickMark val="none"/>
        <c:tickLblPos val="nextTo"/>
        <c:crossAx val="141770112"/>
        <c:crosses val="autoZero"/>
        <c:auto val="1"/>
        <c:lblAlgn val="ctr"/>
        <c:lblOffset val="100"/>
        <c:noMultiLvlLbl val="0"/>
      </c:catAx>
      <c:valAx>
        <c:axId val="141770112"/>
        <c:scaling>
          <c:orientation val="minMax"/>
        </c:scaling>
        <c:delete val="0"/>
        <c:axPos val="l"/>
        <c:majorGridlines>
          <c:spPr>
            <a:ln w="3175">
              <a:prstDash val="sysDot"/>
            </a:ln>
          </c:spPr>
        </c:majorGridlines>
        <c:numFmt formatCode="#,##0.00" sourceLinked="1"/>
        <c:majorTickMark val="out"/>
        <c:minorTickMark val="none"/>
        <c:tickLblPos val="nextTo"/>
        <c:crossAx val="141768576"/>
        <c:crosses val="autoZero"/>
        <c:crossBetween val="between"/>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10-24m'!$K$45</c:f>
          <c:strCache>
            <c:ptCount val="1"/>
            <c:pt idx="0">
              <c:v>Operating profit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'Area VIIb-k trawlers 10-24m'!$D$2:$M$2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10-24m'!$D$23:$M$23</c:f>
              <c:numCache>
                <c:formatCode>#,##0.00</c:formatCode>
                <c:ptCount val="10"/>
                <c:pt idx="0">
                  <c:v>1.0992763343173315</c:v>
                </c:pt>
                <c:pt idx="1">
                  <c:v>1.1273159272331352</c:v>
                </c:pt>
                <c:pt idx="2">
                  <c:v>2.0336128126407149</c:v>
                </c:pt>
                <c:pt idx="3">
                  <c:v>0.82867492844159485</c:v>
                </c:pt>
                <c:pt idx="4">
                  <c:v>0.82807406781071458</c:v>
                </c:pt>
                <c:pt idx="5">
                  <c:v>1.3813256686214104</c:v>
                </c:pt>
                <c:pt idx="6">
                  <c:v>0.28441580421502449</c:v>
                </c:pt>
                <c:pt idx="7">
                  <c:v>1.4241421145160276</c:v>
                </c:pt>
                <c:pt idx="8">
                  <c:v>1.031322123666075</c:v>
                </c:pt>
                <c:pt idx="9">
                  <c:v>1.1244281794708544</c:v>
                </c:pt>
              </c:numCache>
            </c:numRef>
          </c:val>
          <c:smooth val="0"/>
        </c:ser>
        <c:dLbls>
          <c:showLegendKey val="0"/>
          <c:showVal val="0"/>
          <c:showCatName val="0"/>
          <c:showSerName val="0"/>
          <c:showPercent val="0"/>
          <c:showBubbleSize val="0"/>
        </c:dLbls>
        <c:marker val="1"/>
        <c:smooth val="0"/>
        <c:axId val="141802880"/>
        <c:axId val="141804672"/>
      </c:lineChart>
      <c:catAx>
        <c:axId val="141802880"/>
        <c:scaling>
          <c:orientation val="minMax"/>
        </c:scaling>
        <c:delete val="0"/>
        <c:axPos val="b"/>
        <c:numFmt formatCode="General" sourceLinked="1"/>
        <c:majorTickMark val="out"/>
        <c:minorTickMark val="none"/>
        <c:tickLblPos val="nextTo"/>
        <c:crossAx val="141804672"/>
        <c:crosses val="autoZero"/>
        <c:auto val="1"/>
        <c:lblAlgn val="ctr"/>
        <c:lblOffset val="100"/>
        <c:noMultiLvlLbl val="0"/>
      </c:catAx>
      <c:valAx>
        <c:axId val="141804672"/>
        <c:scaling>
          <c:orientation val="minMax"/>
        </c:scaling>
        <c:delete val="0"/>
        <c:axPos val="l"/>
        <c:majorGridlines>
          <c:spPr>
            <a:ln w="3175">
              <a:prstDash val="sysDot"/>
            </a:ln>
          </c:spPr>
        </c:majorGridlines>
        <c:numFmt formatCode="#,##0.00" sourceLinked="1"/>
        <c:majorTickMark val="out"/>
        <c:minorTickMark val="none"/>
        <c:tickLblPos val="nextTo"/>
        <c:crossAx val="14180288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trawl'!$B$59</c:f>
          <c:strCache>
            <c:ptCount val="1"/>
            <c:pt idx="0">
              <c:v>Total cost per kW day at sea (£)
Area VIIA demersal trawl</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'Area VIIa demersal trawl'!$D$2:$M$2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trawl'!$D$22:$M$22</c:f>
              <c:numCache>
                <c:formatCode>#,##0.00</c:formatCode>
                <c:ptCount val="10"/>
                <c:pt idx="0">
                  <c:v>2.7052342932301898</c:v>
                </c:pt>
                <c:pt idx="1">
                  <c:v>2.7327207063371599</c:v>
                </c:pt>
                <c:pt idx="2">
                  <c:v>4.0535697321919102</c:v>
                </c:pt>
                <c:pt idx="3">
                  <c:v>3.57882522037721</c:v>
                </c:pt>
                <c:pt idx="4">
                  <c:v>3.6034073820302401</c:v>
                </c:pt>
                <c:pt idx="5">
                  <c:v>4.1613027582162099</c:v>
                </c:pt>
                <c:pt idx="6">
                  <c:v>4.5305389131955804</c:v>
                </c:pt>
                <c:pt idx="7">
                  <c:v>6.5645156501844601</c:v>
                </c:pt>
                <c:pt idx="8">
                  <c:v>5.2611707899536997</c:v>
                </c:pt>
                <c:pt idx="9">
                  <c:v>6.3188242118228901</c:v>
                </c:pt>
              </c:numCache>
            </c:numRef>
          </c:val>
          <c:smooth val="0"/>
        </c:ser>
        <c:dLbls>
          <c:showLegendKey val="0"/>
          <c:showVal val="0"/>
          <c:showCatName val="0"/>
          <c:showSerName val="0"/>
          <c:showPercent val="0"/>
          <c:showBubbleSize val="0"/>
        </c:dLbls>
        <c:marker val="1"/>
        <c:smooth val="0"/>
        <c:axId val="43720064"/>
        <c:axId val="43721856"/>
      </c:lineChart>
      <c:catAx>
        <c:axId val="43720064"/>
        <c:scaling>
          <c:orientation val="minMax"/>
        </c:scaling>
        <c:delete val="0"/>
        <c:axPos val="b"/>
        <c:numFmt formatCode="General" sourceLinked="1"/>
        <c:majorTickMark val="out"/>
        <c:minorTickMark val="none"/>
        <c:tickLblPos val="nextTo"/>
        <c:crossAx val="43721856"/>
        <c:crosses val="autoZero"/>
        <c:auto val="1"/>
        <c:lblAlgn val="ctr"/>
        <c:lblOffset val="100"/>
        <c:noMultiLvlLbl val="0"/>
      </c:catAx>
      <c:valAx>
        <c:axId val="43721856"/>
        <c:scaling>
          <c:orientation val="minMax"/>
        </c:scaling>
        <c:delete val="0"/>
        <c:axPos val="l"/>
        <c:majorGridlines>
          <c:spPr>
            <a:ln w="3175">
              <a:prstDash val="sysDot"/>
            </a:ln>
          </c:spPr>
        </c:majorGridlines>
        <c:numFmt formatCode="#,##0.00" sourceLinked="1"/>
        <c:majorTickMark val="out"/>
        <c:minorTickMark val="none"/>
        <c:tickLblPos val="nextTo"/>
        <c:crossAx val="43720064"/>
        <c:crosses val="autoZero"/>
        <c:crossBetween val="between"/>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10-24m'!$B$59</c:f>
          <c:strCache>
            <c:ptCount val="1"/>
            <c:pt idx="0">
              <c:v>Total cost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'Area VIIb-k trawlers 10-24m'!$D$2:$M$2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10-24m'!$D$22:$M$22</c:f>
              <c:numCache>
                <c:formatCode>#,##0.00</c:formatCode>
                <c:ptCount val="10"/>
                <c:pt idx="0">
                  <c:v>3.1952095616456391</c:v>
                </c:pt>
                <c:pt idx="1">
                  <c:v>3.5580901202783384</c:v>
                </c:pt>
                <c:pt idx="2">
                  <c:v>3.2408287688752222</c:v>
                </c:pt>
                <c:pt idx="3">
                  <c:v>3.8700922568337663</c:v>
                </c:pt>
                <c:pt idx="4">
                  <c:v>3.9983381186652158</c:v>
                </c:pt>
                <c:pt idx="5">
                  <c:v>4.403525669178749</c:v>
                </c:pt>
                <c:pt idx="6">
                  <c:v>6.5642763274134506</c:v>
                </c:pt>
                <c:pt idx="7">
                  <c:v>5.7218370979995141</c:v>
                </c:pt>
                <c:pt idx="8">
                  <c:v>6.0176472435107513</c:v>
                </c:pt>
                <c:pt idx="9">
                  <c:v>6.0703692255497552</c:v>
                </c:pt>
              </c:numCache>
            </c:numRef>
          </c:val>
          <c:smooth val="0"/>
        </c:ser>
        <c:dLbls>
          <c:showLegendKey val="0"/>
          <c:showVal val="0"/>
          <c:showCatName val="0"/>
          <c:showSerName val="0"/>
          <c:showPercent val="0"/>
          <c:showBubbleSize val="0"/>
        </c:dLbls>
        <c:marker val="1"/>
        <c:smooth val="0"/>
        <c:axId val="142087296"/>
        <c:axId val="142088832"/>
      </c:lineChart>
      <c:catAx>
        <c:axId val="142087296"/>
        <c:scaling>
          <c:orientation val="minMax"/>
        </c:scaling>
        <c:delete val="0"/>
        <c:axPos val="b"/>
        <c:numFmt formatCode="General" sourceLinked="1"/>
        <c:majorTickMark val="out"/>
        <c:minorTickMark val="none"/>
        <c:tickLblPos val="nextTo"/>
        <c:crossAx val="142088832"/>
        <c:crosses val="autoZero"/>
        <c:auto val="1"/>
        <c:lblAlgn val="ctr"/>
        <c:lblOffset val="100"/>
        <c:noMultiLvlLbl val="0"/>
      </c:catAx>
      <c:valAx>
        <c:axId val="142088832"/>
        <c:scaling>
          <c:orientation val="minMax"/>
        </c:scaling>
        <c:delete val="0"/>
        <c:axPos val="l"/>
        <c:majorGridlines>
          <c:spPr>
            <a:ln w="3175">
              <a:prstDash val="sysDot"/>
            </a:ln>
          </c:spPr>
        </c:majorGridlines>
        <c:numFmt formatCode="#,##0.00" sourceLinked="1"/>
        <c:majorTickMark val="out"/>
        <c:minorTickMark val="none"/>
        <c:tickLblPos val="nextTo"/>
        <c:crossAx val="142087296"/>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10-24m'!$F$59</c:f>
          <c:strCache>
            <c:ptCount val="1"/>
            <c:pt idx="0">
              <c:v>Average price per tonne landed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'Area VIIb-k trawlers 10-24m'!$D$2:$M$2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10-24m'!$D$19:$M$19</c:f>
              <c:numCache>
                <c:formatCode>#,##0</c:formatCode>
                <c:ptCount val="10"/>
                <c:pt idx="0">
                  <c:v>1675.2077212642084</c:v>
                </c:pt>
                <c:pt idx="1">
                  <c:v>1674.6931955050766</c:v>
                </c:pt>
                <c:pt idx="2">
                  <c:v>1416.6733728593485</c:v>
                </c:pt>
                <c:pt idx="3">
                  <c:v>1228.7212387026259</c:v>
                </c:pt>
                <c:pt idx="4">
                  <c:v>1367.5439573769668</c:v>
                </c:pt>
                <c:pt idx="5">
                  <c:v>1264.1441604810225</c:v>
                </c:pt>
                <c:pt idx="6">
                  <c:v>1521.5473405235109</c:v>
                </c:pt>
                <c:pt idx="7">
                  <c:v>1325.7381858004696</c:v>
                </c:pt>
                <c:pt idx="8">
                  <c:v>1453.0581364804964</c:v>
                </c:pt>
                <c:pt idx="9">
                  <c:v>1531.4867205570495</c:v>
                </c:pt>
              </c:numCache>
            </c:numRef>
          </c:val>
          <c:smooth val="0"/>
        </c:ser>
        <c:dLbls>
          <c:showLegendKey val="0"/>
          <c:showVal val="0"/>
          <c:showCatName val="0"/>
          <c:showSerName val="0"/>
          <c:showPercent val="0"/>
          <c:showBubbleSize val="0"/>
        </c:dLbls>
        <c:marker val="1"/>
        <c:smooth val="0"/>
        <c:axId val="142133888"/>
        <c:axId val="142135680"/>
      </c:lineChart>
      <c:catAx>
        <c:axId val="142133888"/>
        <c:scaling>
          <c:orientation val="minMax"/>
        </c:scaling>
        <c:delete val="0"/>
        <c:axPos val="b"/>
        <c:numFmt formatCode="General" sourceLinked="1"/>
        <c:majorTickMark val="out"/>
        <c:minorTickMark val="none"/>
        <c:tickLblPos val="nextTo"/>
        <c:crossAx val="142135680"/>
        <c:crosses val="autoZero"/>
        <c:auto val="1"/>
        <c:lblAlgn val="ctr"/>
        <c:lblOffset val="100"/>
        <c:noMultiLvlLbl val="0"/>
      </c:catAx>
      <c:valAx>
        <c:axId val="142135680"/>
        <c:scaling>
          <c:orientation val="minMax"/>
        </c:scaling>
        <c:delete val="0"/>
        <c:axPos val="l"/>
        <c:majorGridlines>
          <c:spPr>
            <a:ln w="3175">
              <a:prstDash val="sysDot"/>
            </a:ln>
          </c:spPr>
        </c:majorGridlines>
        <c:numFmt formatCode="#,##0" sourceLinked="1"/>
        <c:majorTickMark val="out"/>
        <c:minorTickMark val="none"/>
        <c:tickLblPos val="nextTo"/>
        <c:crossAx val="142133888"/>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10-24m'!$K$59</c:f>
          <c:strCache>
            <c:ptCount val="1"/>
            <c:pt idx="0">
              <c:v>Average annual operating profit per vessel (£'000)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'Area VIIb-k trawlers 10-24m'!$D$2:$M$2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10-24m'!$D$34:$M$34</c:f>
              <c:numCache>
                <c:formatCode>#,##0.0</c:formatCode>
                <c:ptCount val="10"/>
                <c:pt idx="0">
                  <c:v>34.653395689554955</c:v>
                </c:pt>
                <c:pt idx="1">
                  <c:v>33.663796437935972</c:v>
                </c:pt>
                <c:pt idx="2">
                  <c:v>64.620862326929839</c:v>
                </c:pt>
                <c:pt idx="3">
                  <c:v>24.847987331149021</c:v>
                </c:pt>
                <c:pt idx="4">
                  <c:v>28.586426458157607</c:v>
                </c:pt>
                <c:pt idx="5">
                  <c:v>48.938513362678016</c:v>
                </c:pt>
                <c:pt idx="6">
                  <c:v>9.5015999250053813</c:v>
                </c:pt>
                <c:pt idx="7">
                  <c:v>48.779969523261308</c:v>
                </c:pt>
                <c:pt idx="8">
                  <c:v>34.708018389487975</c:v>
                </c:pt>
                <c:pt idx="9">
                  <c:v>38.299999851198628</c:v>
                </c:pt>
              </c:numCache>
            </c:numRef>
          </c:val>
          <c:smooth val="0"/>
        </c:ser>
        <c:dLbls>
          <c:showLegendKey val="0"/>
          <c:showVal val="0"/>
          <c:showCatName val="0"/>
          <c:showSerName val="0"/>
          <c:showPercent val="0"/>
          <c:showBubbleSize val="0"/>
        </c:dLbls>
        <c:marker val="1"/>
        <c:smooth val="0"/>
        <c:axId val="145846656"/>
        <c:axId val="145848192"/>
      </c:lineChart>
      <c:catAx>
        <c:axId val="145846656"/>
        <c:scaling>
          <c:orientation val="minMax"/>
        </c:scaling>
        <c:delete val="0"/>
        <c:axPos val="b"/>
        <c:numFmt formatCode="General" sourceLinked="1"/>
        <c:majorTickMark val="out"/>
        <c:minorTickMark val="none"/>
        <c:tickLblPos val="nextTo"/>
        <c:crossAx val="145848192"/>
        <c:crosses val="autoZero"/>
        <c:auto val="1"/>
        <c:lblAlgn val="ctr"/>
        <c:lblOffset val="100"/>
        <c:noMultiLvlLbl val="0"/>
      </c:catAx>
      <c:valAx>
        <c:axId val="145848192"/>
        <c:scaling>
          <c:orientation val="minMax"/>
        </c:scaling>
        <c:delete val="0"/>
        <c:axPos val="l"/>
        <c:majorGridlines>
          <c:spPr>
            <a:ln w="3175">
              <a:prstDash val="sysDot"/>
            </a:ln>
          </c:spPr>
        </c:majorGridlines>
        <c:numFmt formatCode="#,##0.0" sourceLinked="1"/>
        <c:majorTickMark val="out"/>
        <c:minorTickMark val="none"/>
        <c:tickLblPos val="nextTo"/>
        <c:crossAx val="145846656"/>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10-24m'!$A$73</c:f>
          <c:strCache>
            <c:ptCount val="1"/>
            <c:pt idx="0">
              <c:v>Top 5 landed species by volume in 2013
Area VIIBCDEFGHK trawlers 10-24m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769535"/>
              </a:solidFill>
              <a:ln>
                <a:solidFill>
                  <a:srgbClr val="FFFFFF"/>
                </a:solidFill>
              </a:ln>
            </c:spPr>
          </c:dPt>
          <c:dPt>
            <c:idx val="1"/>
            <c:bubble3D val="0"/>
            <c:spPr>
              <a:solidFill>
                <a:srgbClr val="224B7D"/>
              </a:solidFill>
              <a:ln>
                <a:solidFill>
                  <a:srgbClr val="FFFFFF"/>
                </a:solidFill>
              </a:ln>
            </c:spPr>
          </c:dPt>
          <c:dPt>
            <c:idx val="2"/>
            <c:bubble3D val="0"/>
            <c:spPr>
              <a:solidFill>
                <a:srgbClr val="607A2A"/>
              </a:solidFill>
              <a:ln>
                <a:solidFill>
                  <a:srgbClr val="FFFFFF"/>
                </a:solidFill>
              </a:ln>
            </c:spPr>
          </c:dPt>
          <c:dPt>
            <c:idx val="3"/>
            <c:bubble3D val="0"/>
            <c:spPr>
              <a:solidFill>
                <a:srgbClr val="9B2D2A"/>
              </a:solidFill>
              <a:ln>
                <a:solidFill>
                  <a:srgbClr val="FFFFFF"/>
                </a:solidFill>
              </a:ln>
            </c:spPr>
          </c:dPt>
          <c:dPt>
            <c:idx val="4"/>
            <c:bubble3D val="0"/>
            <c:spPr>
              <a:solidFill>
                <a:srgbClr val="A85816"/>
              </a:solidFill>
              <a:ln>
                <a:solidFill>
                  <a:srgbClr val="FFFFFF"/>
                </a:solidFill>
              </a:ln>
            </c:spPr>
          </c:dPt>
          <c:dPt>
            <c:idx val="5"/>
            <c:bubble3D val="0"/>
            <c:spPr>
              <a:solidFill>
                <a:srgbClr val="008000"/>
              </a:solidFill>
              <a:ln>
                <a:solidFill>
                  <a:srgbClr val="FFFFFF"/>
                </a:solidFill>
              </a:ln>
            </c:spPr>
          </c:dPt>
          <c:cat>
            <c:strRef>
              <c:f>'Area VIIb-k trawlers 10-24m'!$B$74:$B$79</c:f>
              <c:strCache>
                <c:ptCount val="6"/>
                <c:pt idx="0">
                  <c:v>Sprats - 38.1%</c:v>
                </c:pt>
                <c:pt idx="1">
                  <c:v>Lemon Sole - 10.3%</c:v>
                </c:pt>
                <c:pt idx="2">
                  <c:v>Haddock - 7.4%</c:v>
                </c:pt>
                <c:pt idx="3">
                  <c:v>Scallops - 5.2%</c:v>
                </c:pt>
                <c:pt idx="4">
                  <c:v>Whiting - 4.7%</c:v>
                </c:pt>
                <c:pt idx="5">
                  <c:v>Others - 34.3%</c:v>
                </c:pt>
              </c:strCache>
            </c:strRef>
          </c:cat>
          <c:val>
            <c:numRef>
              <c:f>'Area VIIb-k trawlers 10-24m'!$C$74:$C$79</c:f>
              <c:numCache>
                <c:formatCode>0.0%</c:formatCode>
                <c:ptCount val="6"/>
                <c:pt idx="0">
                  <c:v>0.38083483424375703</c:v>
                </c:pt>
                <c:pt idx="1">
                  <c:v>0.10273471014145778</c:v>
                </c:pt>
                <c:pt idx="2">
                  <c:v>7.3695380466564986E-2</c:v>
                </c:pt>
                <c:pt idx="3">
                  <c:v>5.2386890340586634E-2</c:v>
                </c:pt>
                <c:pt idx="4">
                  <c:v>4.6868925752718518E-2</c:v>
                </c:pt>
                <c:pt idx="5">
                  <c:v>0.34347925905491505</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10-24m'!$F$73</c:f>
          <c:strCache>
            <c:ptCount val="1"/>
            <c:pt idx="0">
              <c:v>Top 5 landed species by value in 2013
Area VIIBCDEFGHK trawlers 10-24m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'Area VIIb-k trawlers 10-24m'!$G$74:$G$79</c:f>
              <c:strCache>
                <c:ptCount val="6"/>
                <c:pt idx="0">
                  <c:v>Lemon Sole - 22.5%</c:v>
                </c:pt>
                <c:pt idx="1">
                  <c:v>Squid - 11.1%</c:v>
                </c:pt>
                <c:pt idx="2">
                  <c:v>Haddock - 7.8%</c:v>
                </c:pt>
                <c:pt idx="3">
                  <c:v>Anglerfish - 6.8%</c:v>
                </c:pt>
                <c:pt idx="4">
                  <c:v>Scallops - 6.1%</c:v>
                </c:pt>
                <c:pt idx="5">
                  <c:v>Others - 45.7%</c:v>
                </c:pt>
              </c:strCache>
            </c:strRef>
          </c:cat>
          <c:val>
            <c:numRef>
              <c:f>'Area VIIb-k trawlers 10-24m'!$H$74:$H$79</c:f>
              <c:numCache>
                <c:formatCode>0.0%</c:formatCode>
                <c:ptCount val="6"/>
                <c:pt idx="0">
                  <c:v>0.22451897545598129</c:v>
                </c:pt>
                <c:pt idx="1">
                  <c:v>0.11113988405249653</c:v>
                </c:pt>
                <c:pt idx="2">
                  <c:v>7.8347909206296501E-2</c:v>
                </c:pt>
                <c:pt idx="3">
                  <c:v>6.8438751249018173E-2</c:v>
                </c:pt>
                <c:pt idx="4">
                  <c:v>6.0636747374129871E-2</c:v>
                </c:pt>
                <c:pt idx="5">
                  <c:v>0.45691773266207758</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VIIb-k trawlers 10-24m'!$C$88</c:f>
              <c:strCache>
                <c:ptCount val="1"/>
                <c:pt idx="0">
                  <c:v>Lemon Sole</c:v>
                </c:pt>
              </c:strCache>
            </c:strRef>
          </c:tx>
          <c:spPr>
            <a:solidFill>
              <a:srgbClr val="224B7D"/>
            </a:solidFill>
            <a:ln>
              <a:solidFill>
                <a:srgbClr val="FFFFFF"/>
              </a:solidFill>
            </a:ln>
          </c:spPr>
          <c:invertIfNegative val="0"/>
          <c:cat>
            <c:numRef>
              <c:f>'Area VIIb-k trawlers 10-24m'!$D$87:$M$87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10-24m'!$D$88:$M$88</c:f>
              <c:numCache>
                <c:formatCode>0%</c:formatCode>
                <c:ptCount val="10"/>
                <c:pt idx="0">
                  <c:v>0.18024553260757059</c:v>
                </c:pt>
                <c:pt idx="1">
                  <c:v>0.17086781170539941</c:v>
                </c:pt>
                <c:pt idx="2">
                  <c:v>0.12978477473298886</c:v>
                </c:pt>
                <c:pt idx="3">
                  <c:v>0.11418371507751611</c:v>
                </c:pt>
                <c:pt idx="4">
                  <c:v>0.19295211997201897</c:v>
                </c:pt>
                <c:pt idx="5">
                  <c:v>0.21385797307632864</c:v>
                </c:pt>
                <c:pt idx="6">
                  <c:v>0.13368310868681968</c:v>
                </c:pt>
                <c:pt idx="7">
                  <c:v>0.18833782704648583</c:v>
                </c:pt>
                <c:pt idx="8">
                  <c:v>0.22834838669081289</c:v>
                </c:pt>
                <c:pt idx="9">
                  <c:v>0.21173187219573333</c:v>
                </c:pt>
              </c:numCache>
            </c:numRef>
          </c:val>
        </c:ser>
        <c:ser>
          <c:idx val="1"/>
          <c:order val="1"/>
          <c:tx>
            <c:strRef>
              <c:f>'Area VIIb-k trawlers 10-24m'!$C$89</c:f>
              <c:strCache>
                <c:ptCount val="1"/>
                <c:pt idx="0">
                  <c:v>Squid</c:v>
                </c:pt>
              </c:strCache>
            </c:strRef>
          </c:tx>
          <c:spPr>
            <a:solidFill>
              <a:srgbClr val="7F2321"/>
            </a:solidFill>
            <a:ln>
              <a:solidFill>
                <a:srgbClr val="FFFFFF"/>
              </a:solidFill>
            </a:ln>
          </c:spPr>
          <c:invertIfNegative val="0"/>
          <c:cat>
            <c:numRef>
              <c:f>'Area VIIb-k trawlers 10-24m'!$D$87:$M$87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10-24m'!$D$89:$M$89</c:f>
              <c:numCache>
                <c:formatCode>0%</c:formatCode>
                <c:ptCount val="10"/>
                <c:pt idx="0">
                  <c:v>0.14539862755196586</c:v>
                </c:pt>
                <c:pt idx="1">
                  <c:v>9.9442541827465883E-2</c:v>
                </c:pt>
                <c:pt idx="2">
                  <c:v>0.1480996723200696</c:v>
                </c:pt>
                <c:pt idx="3">
                  <c:v>0.1093266588421085</c:v>
                </c:pt>
                <c:pt idx="4">
                  <c:v>0.11343185291989616</c:v>
                </c:pt>
                <c:pt idx="5">
                  <c:v>7.3782500787237401E-2</c:v>
                </c:pt>
                <c:pt idx="6">
                  <c:v>0.11740472123552446</c:v>
                </c:pt>
                <c:pt idx="7">
                  <c:v>7.6605604378759781E-2</c:v>
                </c:pt>
                <c:pt idx="8">
                  <c:v>0.11303549363188352</c:v>
                </c:pt>
                <c:pt idx="9">
                  <c:v>0.1192304654882662</c:v>
                </c:pt>
              </c:numCache>
            </c:numRef>
          </c:val>
        </c:ser>
        <c:ser>
          <c:idx val="2"/>
          <c:order val="2"/>
          <c:tx>
            <c:strRef>
              <c:f>'Area VIIb-k trawlers 10-24m'!$C$90</c:f>
              <c:strCache>
                <c:ptCount val="1"/>
                <c:pt idx="0">
                  <c:v>Haddock</c:v>
                </c:pt>
              </c:strCache>
            </c:strRef>
          </c:tx>
          <c:spPr>
            <a:solidFill>
              <a:srgbClr val="607A2A"/>
            </a:solidFill>
            <a:ln>
              <a:solidFill>
                <a:srgbClr val="FFFFFF"/>
              </a:solidFill>
            </a:ln>
          </c:spPr>
          <c:invertIfNegative val="0"/>
          <c:cat>
            <c:numRef>
              <c:f>'Area VIIb-k trawlers 10-24m'!$D$87:$M$87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10-24m'!$D$90:$M$90</c:f>
              <c:numCache>
                <c:formatCode>0%</c:formatCode>
                <c:ptCount val="10"/>
                <c:pt idx="6">
                  <c:v>7.7770500954407948E-2</c:v>
                </c:pt>
                <c:pt idx="7">
                  <c:v>0.10237979930907487</c:v>
                </c:pt>
                <c:pt idx="8">
                  <c:v>7.9684216585798953E-2</c:v>
                </c:pt>
              </c:numCache>
            </c:numRef>
          </c:val>
        </c:ser>
        <c:ser>
          <c:idx val="3"/>
          <c:order val="3"/>
          <c:tx>
            <c:strRef>
              <c:f>'Area VIIb-k trawlers 10-24m'!$C$91</c:f>
              <c:strCache>
                <c:ptCount val="1"/>
                <c:pt idx="0">
                  <c:v>Anglerfish</c:v>
                </c:pt>
              </c:strCache>
            </c:strRef>
          </c:tx>
          <c:spPr>
            <a:solidFill>
              <a:srgbClr val="4B3467"/>
            </a:solidFill>
            <a:ln>
              <a:solidFill>
                <a:srgbClr val="FFFFFF"/>
              </a:solidFill>
            </a:ln>
          </c:spPr>
          <c:invertIfNegative val="0"/>
          <c:cat>
            <c:numRef>
              <c:f>'Area VIIb-k trawlers 10-24m'!$D$87:$M$87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10-24m'!$D$91:$M$91</c:f>
              <c:numCache>
                <c:formatCode>0%</c:formatCode>
                <c:ptCount val="10"/>
                <c:pt idx="3">
                  <c:v>7.2154497712749607E-2</c:v>
                </c:pt>
                <c:pt idx="4">
                  <c:v>7.5092331638161203E-2</c:v>
                </c:pt>
                <c:pt idx="5">
                  <c:v>9.0184835795844423E-2</c:v>
                </c:pt>
                <c:pt idx="6">
                  <c:v>9.8238518009005377E-2</c:v>
                </c:pt>
                <c:pt idx="7">
                  <c:v>8.4661246208847879E-2</c:v>
                </c:pt>
                <c:pt idx="8">
                  <c:v>6.9606047342359811E-2</c:v>
                </c:pt>
                <c:pt idx="9">
                  <c:v>7.1089931923187813E-2</c:v>
                </c:pt>
              </c:numCache>
            </c:numRef>
          </c:val>
        </c:ser>
        <c:ser>
          <c:idx val="4"/>
          <c:order val="4"/>
          <c:tx>
            <c:strRef>
              <c:f>'Area VIIb-k trawlers 10-24m'!$C$92</c:f>
              <c:strCache>
                <c:ptCount val="1"/>
                <c:pt idx="0">
                  <c:v>Scallops</c:v>
                </c:pt>
              </c:strCache>
            </c:strRef>
          </c:tx>
          <c:spPr>
            <a:solidFill>
              <a:srgbClr val="9B2D2A"/>
            </a:solidFill>
            <a:ln>
              <a:solidFill>
                <a:srgbClr val="FFFFFF"/>
              </a:solidFill>
            </a:ln>
          </c:spPr>
          <c:invertIfNegative val="0"/>
          <c:cat>
            <c:numRef>
              <c:f>'Area VIIb-k trawlers 10-24m'!$D$87:$M$87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10-24m'!$D$92:$M$92</c:f>
              <c:numCache>
                <c:formatCode>0%</c:formatCode>
                <c:ptCount val="10"/>
                <c:pt idx="0">
                  <c:v>9.4006579163390239E-2</c:v>
                </c:pt>
                <c:pt idx="5">
                  <c:v>5.9065476812848447E-2</c:v>
                </c:pt>
                <c:pt idx="6">
                  <c:v>7.0952416544186062E-2</c:v>
                </c:pt>
                <c:pt idx="8">
                  <c:v>6.1670971947649998E-2</c:v>
                </c:pt>
              </c:numCache>
            </c:numRef>
          </c:val>
        </c:ser>
        <c:ser>
          <c:idx val="5"/>
          <c:order val="5"/>
          <c:tx>
            <c:strRef>
              <c:f>'Area VIIb-k trawlers 10-24m'!$C$93</c:f>
              <c:strCache>
                <c:ptCount val="1"/>
                <c:pt idx="0">
                  <c:v>Cuttlefish</c:v>
                </c:pt>
              </c:strCache>
            </c:strRef>
          </c:tx>
          <c:spPr>
            <a:solidFill>
              <a:srgbClr val="769535"/>
            </a:solidFill>
            <a:ln>
              <a:solidFill>
                <a:srgbClr val="FFFFFF"/>
              </a:solidFill>
            </a:ln>
          </c:spPr>
          <c:invertIfNegative val="0"/>
          <c:cat>
            <c:numRef>
              <c:f>'Area VIIb-k trawlers 10-24m'!$D$87:$M$87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10-24m'!$D$93:$M$93</c:f>
              <c:numCache>
                <c:formatCode>0%</c:formatCode>
                <c:ptCount val="10"/>
                <c:pt idx="1">
                  <c:v>0.13232905763802438</c:v>
                </c:pt>
                <c:pt idx="2">
                  <c:v>9.8117279065539992E-2</c:v>
                </c:pt>
                <c:pt idx="3">
                  <c:v>8.2427858740464682E-2</c:v>
                </c:pt>
                <c:pt idx="5">
                  <c:v>9.9833876143551867E-2</c:v>
                </c:pt>
                <c:pt idx="7">
                  <c:v>9.410316452010424E-2</c:v>
                </c:pt>
                <c:pt idx="9">
                  <c:v>0.10747393974424305</c:v>
                </c:pt>
              </c:numCache>
            </c:numRef>
          </c:val>
        </c:ser>
        <c:ser>
          <c:idx val="6"/>
          <c:order val="6"/>
          <c:tx>
            <c:strRef>
              <c:f>'Area VIIb-k trawlers 10-24m'!$C$94</c:f>
              <c:strCache>
                <c:ptCount val="1"/>
                <c:pt idx="0">
                  <c:v>Sprats</c:v>
                </c:pt>
              </c:strCache>
            </c:strRef>
          </c:tx>
          <c:spPr>
            <a:solidFill>
              <a:srgbClr val="A85816"/>
            </a:solidFill>
            <a:ln>
              <a:solidFill>
                <a:srgbClr val="FFFFFF"/>
              </a:solidFill>
            </a:ln>
          </c:spPr>
          <c:invertIfNegative val="0"/>
          <c:cat>
            <c:numRef>
              <c:f>'Area VIIb-k trawlers 10-24m'!$D$87:$M$87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10-24m'!$D$94:$M$94</c:f>
              <c:numCache>
                <c:formatCode>0%</c:formatCode>
                <c:ptCount val="10"/>
                <c:pt idx="4">
                  <c:v>6.0181494705345902E-2</c:v>
                </c:pt>
                <c:pt idx="9">
                  <c:v>4.7135984445032204E-2</c:v>
                </c:pt>
              </c:numCache>
            </c:numRef>
          </c:val>
        </c:ser>
        <c:ser>
          <c:idx val="7"/>
          <c:order val="7"/>
          <c:tx>
            <c:strRef>
              <c:f>'Area VIIb-k trawlers 10-24m'!$C$95</c:f>
              <c:strCache>
                <c:ptCount val="1"/>
                <c:pt idx="0">
                  <c:v>Bass</c:v>
                </c:pt>
              </c:strCache>
            </c:strRef>
          </c:tx>
          <c:spPr>
            <a:solidFill>
              <a:srgbClr val="5D417E"/>
            </a:solidFill>
            <a:ln>
              <a:solidFill>
                <a:srgbClr val="FFFFFF"/>
              </a:solidFill>
            </a:ln>
          </c:spPr>
          <c:invertIfNegative val="0"/>
          <c:cat>
            <c:numRef>
              <c:f>'Area VIIb-k trawlers 10-24m'!$D$87:$M$87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10-24m'!$D$95:$M$95</c:f>
              <c:numCache>
                <c:formatCode>0%</c:formatCode>
                <c:ptCount val="10"/>
                <c:pt idx="0">
                  <c:v>8.9633481751233507E-2</c:v>
                </c:pt>
                <c:pt idx="1">
                  <c:v>9.239839399119408E-2</c:v>
                </c:pt>
                <c:pt idx="2">
                  <c:v>8.6479537422226971E-2</c:v>
                </c:pt>
                <c:pt idx="3">
                  <c:v>7.8332529745781518E-2</c:v>
                </c:pt>
                <c:pt idx="4">
                  <c:v>6.4214358927478732E-2</c:v>
                </c:pt>
              </c:numCache>
            </c:numRef>
          </c:val>
        </c:ser>
        <c:ser>
          <c:idx val="8"/>
          <c:order val="8"/>
          <c:tx>
            <c:strRef>
              <c:f>'Area VIIb-k trawlers 10-24m'!$C$96</c:f>
              <c:strCache>
                <c:ptCount val="1"/>
                <c:pt idx="0">
                  <c:v>Anchovy</c:v>
                </c:pt>
              </c:strCache>
            </c:strRef>
          </c:tx>
          <c:spPr>
            <a:solidFill>
              <a:srgbClr val="2787A0"/>
            </a:solidFill>
            <a:ln>
              <a:solidFill>
                <a:srgbClr val="FFFFFF"/>
              </a:solidFill>
            </a:ln>
          </c:spPr>
          <c:invertIfNegative val="0"/>
          <c:cat>
            <c:numRef>
              <c:f>'Area VIIb-k trawlers 10-24m'!$D$87:$M$87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10-24m'!$D$96:$M$96</c:f>
              <c:numCache>
                <c:formatCode>0%</c:formatCode>
                <c:ptCount val="10"/>
                <c:pt idx="2">
                  <c:v>7.7636968634670692E-2</c:v>
                </c:pt>
              </c:numCache>
            </c:numRef>
          </c:val>
        </c:ser>
        <c:ser>
          <c:idx val="9"/>
          <c:order val="9"/>
          <c:tx>
            <c:strRef>
              <c:f>'Area VIIb-k trawlers 10-24m'!$C$97</c:f>
              <c:strCache>
                <c:ptCount val="1"/>
                <c:pt idx="0">
                  <c:v>Skates and Rays</c:v>
                </c:pt>
              </c:strCache>
            </c:strRef>
          </c:tx>
          <c:spPr>
            <a:solidFill>
              <a:srgbClr val="CB6C1D"/>
            </a:solidFill>
            <a:ln>
              <a:solidFill>
                <a:srgbClr val="FFFFFF"/>
              </a:solidFill>
            </a:ln>
          </c:spPr>
          <c:invertIfNegative val="0"/>
          <c:cat>
            <c:numRef>
              <c:f>'Area VIIb-k trawlers 10-24m'!$D$87:$M$87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10-24m'!$D$97:$M$97</c:f>
              <c:numCache>
                <c:formatCode>0%</c:formatCode>
                <c:ptCount val="10"/>
                <c:pt idx="0">
                  <c:v>7.8917807069000409E-2</c:v>
                </c:pt>
                <c:pt idx="1">
                  <c:v>9.3528457251185901E-2</c:v>
                </c:pt>
              </c:numCache>
            </c:numRef>
          </c:val>
        </c:ser>
        <c:ser>
          <c:idx val="10"/>
          <c:order val="10"/>
          <c:tx>
            <c:strRef>
              <c:f>'Area VIIb-k trawlers 10-24m'!$C$98</c:f>
              <c:strCache>
                <c:ptCount val="1"/>
                <c:pt idx="0">
                  <c:v>Others</c:v>
                </c:pt>
              </c:strCache>
            </c:strRef>
          </c:tx>
          <c:spPr>
            <a:solidFill>
              <a:srgbClr val="008000"/>
            </a:solidFill>
            <a:ln>
              <a:solidFill>
                <a:srgbClr val="FFFFFF"/>
              </a:solidFill>
            </a:ln>
          </c:spPr>
          <c:invertIfNegative val="0"/>
          <c:cat>
            <c:numRef>
              <c:f>'Area VIIb-k trawlers 10-24m'!$D$87:$M$87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VIIb-k trawlers 10-24m'!$D$98:$M$98</c:f>
              <c:numCache>
                <c:formatCode>0%</c:formatCode>
                <c:ptCount val="10"/>
                <c:pt idx="0">
                  <c:v>0.41179797185683936</c:v>
                </c:pt>
                <c:pt idx="1">
                  <c:v>0.41143373758673035</c:v>
                </c:pt>
                <c:pt idx="2">
                  <c:v>0.45988176782450391</c:v>
                </c:pt>
                <c:pt idx="3">
                  <c:v>0.54357473988137961</c:v>
                </c:pt>
                <c:pt idx="4">
                  <c:v>0.49412784183709907</c:v>
                </c:pt>
                <c:pt idx="5">
                  <c:v>0.46327533738418925</c:v>
                </c:pt>
                <c:pt idx="6">
                  <c:v>0.50195073457005646</c:v>
                </c:pt>
                <c:pt idx="7">
                  <c:v>0.4539123585367274</c:v>
                </c:pt>
                <c:pt idx="8">
                  <c:v>0.44765488380149482</c:v>
                </c:pt>
                <c:pt idx="9">
                  <c:v>0.44333780620353735</c:v>
                </c:pt>
              </c:numCache>
            </c:numRef>
          </c:val>
        </c:ser>
        <c:dLbls>
          <c:showLegendKey val="0"/>
          <c:showVal val="0"/>
          <c:showCatName val="0"/>
          <c:showSerName val="0"/>
          <c:showPercent val="0"/>
          <c:showBubbleSize val="0"/>
        </c:dLbls>
        <c:gapWidth val="150"/>
        <c:overlap val="100"/>
        <c:axId val="146353152"/>
        <c:axId val="146363136"/>
      </c:barChart>
      <c:catAx>
        <c:axId val="146353152"/>
        <c:scaling>
          <c:orientation val="minMax"/>
        </c:scaling>
        <c:delete val="0"/>
        <c:axPos val="b"/>
        <c:numFmt formatCode="General" sourceLinked="1"/>
        <c:majorTickMark val="out"/>
        <c:minorTickMark val="none"/>
        <c:tickLblPos val="nextTo"/>
        <c:crossAx val="146363136"/>
        <c:crosses val="autoZero"/>
        <c:auto val="1"/>
        <c:lblAlgn val="ctr"/>
        <c:lblOffset val="100"/>
        <c:noMultiLvlLbl val="0"/>
      </c:catAx>
      <c:valAx>
        <c:axId val="146363136"/>
        <c:scaling>
          <c:orientation val="minMax"/>
          <c:max val="1"/>
          <c:min val="0"/>
        </c:scaling>
        <c:delete val="0"/>
        <c:axPos val="l"/>
        <c:majorGridlines/>
        <c:numFmt formatCode="0%" sourceLinked="1"/>
        <c:majorTickMark val="out"/>
        <c:minorTickMark val="none"/>
        <c:tickLblPos val="nextTo"/>
        <c:crossAx val="14635315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netters'!$A$45</c:f>
          <c:strCache>
            <c:ptCount val="1"/>
            <c:pt idx="0">
              <c:v>Landings per kW day at sea (kg)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'Gill netters'!$D$2:$M$2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netters'!$D$20:$M$20</c:f>
              <c:numCache>
                <c:formatCode>#,##0.00</c:formatCode>
                <c:ptCount val="10"/>
                <c:pt idx="0">
                  <c:v>2.7665816196656063</c:v>
                </c:pt>
                <c:pt idx="1">
                  <c:v>2.2815663894303402</c:v>
                </c:pt>
                <c:pt idx="2">
                  <c:v>2.5400917747632876</c:v>
                </c:pt>
                <c:pt idx="3">
                  <c:v>2.5097934197538918</c:v>
                </c:pt>
                <c:pt idx="4">
                  <c:v>2.9721476732928593</c:v>
                </c:pt>
                <c:pt idx="5">
                  <c:v>2.527716807174377</c:v>
                </c:pt>
                <c:pt idx="6">
                  <c:v>3.1509695160888915</c:v>
                </c:pt>
                <c:pt idx="7">
                  <c:v>3.7854340049302433</c:v>
                </c:pt>
                <c:pt idx="8">
                  <c:v>3.9156148203496377</c:v>
                </c:pt>
                <c:pt idx="9">
                  <c:v>4.1011133758605665</c:v>
                </c:pt>
              </c:numCache>
            </c:numRef>
          </c:val>
          <c:smooth val="0"/>
        </c:ser>
        <c:dLbls>
          <c:showLegendKey val="0"/>
          <c:showVal val="0"/>
          <c:showCatName val="0"/>
          <c:showSerName val="0"/>
          <c:showPercent val="0"/>
          <c:showBubbleSize val="0"/>
        </c:dLbls>
        <c:marker val="1"/>
        <c:smooth val="0"/>
        <c:axId val="146455168"/>
        <c:axId val="146567552"/>
      </c:lineChart>
      <c:catAx>
        <c:axId val="146455168"/>
        <c:scaling>
          <c:orientation val="minMax"/>
        </c:scaling>
        <c:delete val="0"/>
        <c:axPos val="b"/>
        <c:numFmt formatCode="General" sourceLinked="1"/>
        <c:majorTickMark val="out"/>
        <c:minorTickMark val="none"/>
        <c:tickLblPos val="nextTo"/>
        <c:crossAx val="146567552"/>
        <c:crosses val="autoZero"/>
        <c:auto val="1"/>
        <c:lblAlgn val="ctr"/>
        <c:lblOffset val="100"/>
        <c:noMultiLvlLbl val="0"/>
      </c:catAx>
      <c:valAx>
        <c:axId val="146567552"/>
        <c:scaling>
          <c:orientation val="minMax"/>
        </c:scaling>
        <c:delete val="0"/>
        <c:axPos val="l"/>
        <c:majorGridlines>
          <c:spPr>
            <a:ln w="3175">
              <a:prstDash val="sysDot"/>
            </a:ln>
          </c:spPr>
        </c:majorGridlines>
        <c:numFmt formatCode="#,##0.00" sourceLinked="1"/>
        <c:majorTickMark val="out"/>
        <c:minorTickMark val="none"/>
        <c:tickLblPos val="nextTo"/>
        <c:crossAx val="146455168"/>
        <c:crosses val="autoZero"/>
        <c:crossBetween val="between"/>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netters'!$F$45</c:f>
          <c:strCache>
            <c:ptCount val="1"/>
            <c:pt idx="0">
              <c:v>Income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'Gill netters'!$D$2:$M$2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netters'!$D$21:$M$21</c:f>
              <c:numCache>
                <c:formatCode>#,##0.00</c:formatCode>
                <c:ptCount val="10"/>
                <c:pt idx="0">
                  <c:v>4.7160428171607407</c:v>
                </c:pt>
                <c:pt idx="1">
                  <c:v>4.4896929012838234</c:v>
                </c:pt>
                <c:pt idx="2">
                  <c:v>5.0920469664829122</c:v>
                </c:pt>
                <c:pt idx="3">
                  <c:v>5.8442094869162213</c:v>
                </c:pt>
                <c:pt idx="4">
                  <c:v>7.3618919229426609</c:v>
                </c:pt>
                <c:pt idx="5">
                  <c:v>7.2019683178893699</c:v>
                </c:pt>
                <c:pt idx="6">
                  <c:v>7.6907249935540518</c:v>
                </c:pt>
                <c:pt idx="7">
                  <c:v>7.9845048766300444</c:v>
                </c:pt>
                <c:pt idx="8">
                  <c:v>7.1107086870094349</c:v>
                </c:pt>
                <c:pt idx="9">
                  <c:v>8.599159576441556</c:v>
                </c:pt>
              </c:numCache>
            </c:numRef>
          </c:val>
          <c:smooth val="0"/>
        </c:ser>
        <c:dLbls>
          <c:showLegendKey val="0"/>
          <c:showVal val="0"/>
          <c:showCatName val="0"/>
          <c:showSerName val="0"/>
          <c:showPercent val="0"/>
          <c:showBubbleSize val="0"/>
        </c:dLbls>
        <c:marker val="1"/>
        <c:smooth val="0"/>
        <c:axId val="146588032"/>
        <c:axId val="146589568"/>
      </c:lineChart>
      <c:catAx>
        <c:axId val="146588032"/>
        <c:scaling>
          <c:orientation val="minMax"/>
        </c:scaling>
        <c:delete val="0"/>
        <c:axPos val="b"/>
        <c:numFmt formatCode="General" sourceLinked="1"/>
        <c:majorTickMark val="out"/>
        <c:minorTickMark val="none"/>
        <c:tickLblPos val="nextTo"/>
        <c:crossAx val="146589568"/>
        <c:crosses val="autoZero"/>
        <c:auto val="1"/>
        <c:lblAlgn val="ctr"/>
        <c:lblOffset val="100"/>
        <c:noMultiLvlLbl val="0"/>
      </c:catAx>
      <c:valAx>
        <c:axId val="146589568"/>
        <c:scaling>
          <c:orientation val="minMax"/>
        </c:scaling>
        <c:delete val="0"/>
        <c:axPos val="l"/>
        <c:majorGridlines>
          <c:spPr>
            <a:ln w="3175">
              <a:prstDash val="sysDot"/>
            </a:ln>
          </c:spPr>
        </c:majorGridlines>
        <c:numFmt formatCode="#,##0.00" sourceLinked="1"/>
        <c:majorTickMark val="out"/>
        <c:minorTickMark val="none"/>
        <c:tickLblPos val="nextTo"/>
        <c:crossAx val="146588032"/>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netters'!$K$45</c:f>
          <c:strCache>
            <c:ptCount val="1"/>
            <c:pt idx="0">
              <c:v>Operating profit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'Gill netters'!$D$2:$M$2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netters'!$D$23:$M$23</c:f>
              <c:numCache>
                <c:formatCode>#,##0.00</c:formatCode>
                <c:ptCount val="10"/>
                <c:pt idx="0">
                  <c:v>0.22510620056262484</c:v>
                </c:pt>
                <c:pt idx="1">
                  <c:v>1.1812104633256513</c:v>
                </c:pt>
                <c:pt idx="2">
                  <c:v>1.3388104724925194</c:v>
                </c:pt>
                <c:pt idx="3">
                  <c:v>0.78490997285512609</c:v>
                </c:pt>
                <c:pt idx="4">
                  <c:v>0.18124596419873662</c:v>
                </c:pt>
                <c:pt idx="5">
                  <c:v>2.0753004303027227</c:v>
                </c:pt>
                <c:pt idx="6">
                  <c:v>0.53716507835996719</c:v>
                </c:pt>
                <c:pt idx="7">
                  <c:v>1.8865586132474559</c:v>
                </c:pt>
                <c:pt idx="8">
                  <c:v>0.82784357130953201</c:v>
                </c:pt>
                <c:pt idx="9">
                  <c:v>1.1016855618090426</c:v>
                </c:pt>
              </c:numCache>
            </c:numRef>
          </c:val>
          <c:smooth val="0"/>
        </c:ser>
        <c:dLbls>
          <c:showLegendKey val="0"/>
          <c:showVal val="0"/>
          <c:showCatName val="0"/>
          <c:showSerName val="0"/>
          <c:showPercent val="0"/>
          <c:showBubbleSize val="0"/>
        </c:dLbls>
        <c:marker val="1"/>
        <c:smooth val="0"/>
        <c:axId val="146610048"/>
        <c:axId val="146611584"/>
      </c:lineChart>
      <c:catAx>
        <c:axId val="146610048"/>
        <c:scaling>
          <c:orientation val="minMax"/>
        </c:scaling>
        <c:delete val="0"/>
        <c:axPos val="b"/>
        <c:numFmt formatCode="General" sourceLinked="1"/>
        <c:majorTickMark val="out"/>
        <c:minorTickMark val="none"/>
        <c:tickLblPos val="nextTo"/>
        <c:crossAx val="146611584"/>
        <c:crosses val="autoZero"/>
        <c:auto val="1"/>
        <c:lblAlgn val="ctr"/>
        <c:lblOffset val="100"/>
        <c:noMultiLvlLbl val="0"/>
      </c:catAx>
      <c:valAx>
        <c:axId val="146611584"/>
        <c:scaling>
          <c:orientation val="minMax"/>
        </c:scaling>
        <c:delete val="0"/>
        <c:axPos val="l"/>
        <c:majorGridlines>
          <c:spPr>
            <a:ln w="3175">
              <a:prstDash val="sysDot"/>
            </a:ln>
          </c:spPr>
        </c:majorGridlines>
        <c:numFmt formatCode="#,##0.00" sourceLinked="1"/>
        <c:majorTickMark val="out"/>
        <c:minorTickMark val="none"/>
        <c:tickLblPos val="nextTo"/>
        <c:crossAx val="146610048"/>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netters'!$B$59</c:f>
          <c:strCache>
            <c:ptCount val="1"/>
            <c:pt idx="0">
              <c:v>Total cost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'Gill netters'!$D$2:$M$2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netters'!$D$22:$M$22</c:f>
              <c:numCache>
                <c:formatCode>#,##0.00</c:formatCode>
                <c:ptCount val="10"/>
                <c:pt idx="0">
                  <c:v>4.490936616598117</c:v>
                </c:pt>
                <c:pt idx="1">
                  <c:v>3.3084824379581641</c:v>
                </c:pt>
                <c:pt idx="2">
                  <c:v>3.7532364939903928</c:v>
                </c:pt>
                <c:pt idx="3">
                  <c:v>5.0592995140610935</c:v>
                </c:pt>
                <c:pt idx="4">
                  <c:v>7.1806459587439306</c:v>
                </c:pt>
                <c:pt idx="5">
                  <c:v>5.1266678875866472</c:v>
                </c:pt>
                <c:pt idx="6">
                  <c:v>7.1535599151940863</c:v>
                </c:pt>
                <c:pt idx="7">
                  <c:v>6.0979462633825889</c:v>
                </c:pt>
                <c:pt idx="8">
                  <c:v>6.2828651156998969</c:v>
                </c:pt>
                <c:pt idx="9">
                  <c:v>7.4974740146325143</c:v>
                </c:pt>
              </c:numCache>
            </c:numRef>
          </c:val>
          <c:smooth val="0"/>
        </c:ser>
        <c:dLbls>
          <c:showLegendKey val="0"/>
          <c:showVal val="0"/>
          <c:showCatName val="0"/>
          <c:showSerName val="0"/>
          <c:showPercent val="0"/>
          <c:showBubbleSize val="0"/>
        </c:dLbls>
        <c:marker val="1"/>
        <c:smooth val="0"/>
        <c:axId val="146623872"/>
        <c:axId val="146642048"/>
      </c:lineChart>
      <c:catAx>
        <c:axId val="146623872"/>
        <c:scaling>
          <c:orientation val="minMax"/>
        </c:scaling>
        <c:delete val="0"/>
        <c:axPos val="b"/>
        <c:numFmt formatCode="General" sourceLinked="1"/>
        <c:majorTickMark val="out"/>
        <c:minorTickMark val="none"/>
        <c:tickLblPos val="nextTo"/>
        <c:crossAx val="146642048"/>
        <c:crosses val="autoZero"/>
        <c:auto val="1"/>
        <c:lblAlgn val="ctr"/>
        <c:lblOffset val="100"/>
        <c:noMultiLvlLbl val="0"/>
      </c:catAx>
      <c:valAx>
        <c:axId val="146642048"/>
        <c:scaling>
          <c:orientation val="minMax"/>
        </c:scaling>
        <c:delete val="0"/>
        <c:axPos val="l"/>
        <c:majorGridlines>
          <c:spPr>
            <a:ln w="3175">
              <a:prstDash val="sysDot"/>
            </a:ln>
          </c:spPr>
        </c:majorGridlines>
        <c:numFmt formatCode="#,##0.00" sourceLinked="1"/>
        <c:majorTickMark val="out"/>
        <c:minorTickMark val="none"/>
        <c:tickLblPos val="nextTo"/>
        <c:crossAx val="14662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trawl'!$F$59</c:f>
          <c:strCache>
            <c:ptCount val="1"/>
            <c:pt idx="0">
              <c:v>Average price per tonne landed (£)
Area VIIA demersal trawl</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'Area VIIa demersal trawl'!$D$2:$M$2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trawl'!$D$19:$M$19</c:f>
              <c:numCache>
                <c:formatCode>#,##0</c:formatCode>
                <c:ptCount val="10"/>
                <c:pt idx="0">
                  <c:v>1627.18148925381</c:v>
                </c:pt>
                <c:pt idx="1">
                  <c:v>2039.5565171736</c:v>
                </c:pt>
                <c:pt idx="2">
                  <c:v>1405.4926127188601</c:v>
                </c:pt>
                <c:pt idx="3">
                  <c:v>2033.8629699262999</c:v>
                </c:pt>
                <c:pt idx="4">
                  <c:v>1589.7333509836999</c:v>
                </c:pt>
                <c:pt idx="5">
                  <c:v>1325.8223309396701</c:v>
                </c:pt>
                <c:pt idx="6">
                  <c:v>1563.3071147216899</c:v>
                </c:pt>
                <c:pt idx="7">
                  <c:v>801.66697636138201</c:v>
                </c:pt>
                <c:pt idx="8">
                  <c:v>1213.9637239149599</c:v>
                </c:pt>
                <c:pt idx="9">
                  <c:v>1721.99564868788</c:v>
                </c:pt>
              </c:numCache>
            </c:numRef>
          </c:val>
          <c:smooth val="0"/>
        </c:ser>
        <c:dLbls>
          <c:showLegendKey val="0"/>
          <c:showVal val="0"/>
          <c:showCatName val="0"/>
          <c:showSerName val="0"/>
          <c:showPercent val="0"/>
          <c:showBubbleSize val="0"/>
        </c:dLbls>
        <c:marker val="1"/>
        <c:smooth val="0"/>
        <c:axId val="43738240"/>
        <c:axId val="43739776"/>
      </c:lineChart>
      <c:catAx>
        <c:axId val="43738240"/>
        <c:scaling>
          <c:orientation val="minMax"/>
        </c:scaling>
        <c:delete val="0"/>
        <c:axPos val="b"/>
        <c:numFmt formatCode="General" sourceLinked="1"/>
        <c:majorTickMark val="out"/>
        <c:minorTickMark val="none"/>
        <c:tickLblPos val="nextTo"/>
        <c:crossAx val="43739776"/>
        <c:crosses val="autoZero"/>
        <c:auto val="1"/>
        <c:lblAlgn val="ctr"/>
        <c:lblOffset val="100"/>
        <c:noMultiLvlLbl val="0"/>
      </c:catAx>
      <c:valAx>
        <c:axId val="43739776"/>
        <c:scaling>
          <c:orientation val="minMax"/>
        </c:scaling>
        <c:delete val="0"/>
        <c:axPos val="l"/>
        <c:majorGridlines>
          <c:spPr>
            <a:ln w="3175">
              <a:prstDash val="sysDot"/>
            </a:ln>
          </c:spPr>
        </c:majorGridlines>
        <c:numFmt formatCode="#,##0" sourceLinked="1"/>
        <c:majorTickMark val="out"/>
        <c:minorTickMark val="none"/>
        <c:tickLblPos val="nextTo"/>
        <c:crossAx val="43738240"/>
        <c:crosses val="autoZero"/>
        <c:crossBetween val="between"/>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netters'!$F$59</c:f>
          <c:strCache>
            <c:ptCount val="1"/>
            <c:pt idx="0">
              <c:v>Average price per tonne landed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'Gill netters'!$D$2:$M$2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netters'!$D$19:$M$19</c:f>
              <c:numCache>
                <c:formatCode>#,##0</c:formatCode>
                <c:ptCount val="10"/>
                <c:pt idx="0">
                  <c:v>1704.6463593466624</c:v>
                </c:pt>
                <c:pt idx="1">
                  <c:v>1967.8118244674736</c:v>
                </c:pt>
                <c:pt idx="2">
                  <c:v>2004.6704279139897</c:v>
                </c:pt>
                <c:pt idx="3">
                  <c:v>2328.5618997756405</c:v>
                </c:pt>
                <c:pt idx="4">
                  <c:v>2476.9601672955268</c:v>
                </c:pt>
                <c:pt idx="5">
                  <c:v>2849.1991325104514</c:v>
                </c:pt>
                <c:pt idx="6">
                  <c:v>2440.7489260634648</c:v>
                </c:pt>
                <c:pt idx="7">
                  <c:v>2109.270681498876</c:v>
                </c:pt>
                <c:pt idx="8">
                  <c:v>1815.9876261307259</c:v>
                </c:pt>
                <c:pt idx="9">
                  <c:v>2096.7864774318632</c:v>
                </c:pt>
              </c:numCache>
            </c:numRef>
          </c:val>
          <c:smooth val="0"/>
        </c:ser>
        <c:dLbls>
          <c:showLegendKey val="0"/>
          <c:showVal val="0"/>
          <c:showCatName val="0"/>
          <c:showSerName val="0"/>
          <c:showPercent val="0"/>
          <c:showBubbleSize val="0"/>
        </c:dLbls>
        <c:marker val="1"/>
        <c:smooth val="0"/>
        <c:axId val="146748544"/>
        <c:axId val="146750080"/>
      </c:lineChart>
      <c:catAx>
        <c:axId val="146748544"/>
        <c:scaling>
          <c:orientation val="minMax"/>
        </c:scaling>
        <c:delete val="0"/>
        <c:axPos val="b"/>
        <c:numFmt formatCode="General" sourceLinked="1"/>
        <c:majorTickMark val="out"/>
        <c:minorTickMark val="none"/>
        <c:tickLblPos val="nextTo"/>
        <c:crossAx val="146750080"/>
        <c:crosses val="autoZero"/>
        <c:auto val="1"/>
        <c:lblAlgn val="ctr"/>
        <c:lblOffset val="100"/>
        <c:noMultiLvlLbl val="0"/>
      </c:catAx>
      <c:valAx>
        <c:axId val="146750080"/>
        <c:scaling>
          <c:orientation val="minMax"/>
        </c:scaling>
        <c:delete val="0"/>
        <c:axPos val="l"/>
        <c:majorGridlines>
          <c:spPr>
            <a:ln w="3175">
              <a:prstDash val="sysDot"/>
            </a:ln>
          </c:spPr>
        </c:majorGridlines>
        <c:numFmt formatCode="#,##0" sourceLinked="1"/>
        <c:majorTickMark val="out"/>
        <c:minorTickMark val="none"/>
        <c:tickLblPos val="nextTo"/>
        <c:crossAx val="146748544"/>
        <c:crosses val="autoZero"/>
        <c:crossBetween val="between"/>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netters'!$K$59</c:f>
          <c:strCache>
            <c:ptCount val="1"/>
            <c:pt idx="0">
              <c:v>Average annual operating profit per vessel (£'000)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'Gill netters'!$D$2:$M$2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netters'!$D$34:$M$34</c:f>
              <c:numCache>
                <c:formatCode>#,##0.0</c:formatCode>
                <c:ptCount val="10"/>
                <c:pt idx="0">
                  <c:v>15.537085860809849</c:v>
                </c:pt>
                <c:pt idx="1">
                  <c:v>63.902740136528585</c:v>
                </c:pt>
                <c:pt idx="2">
                  <c:v>70.378306177866406</c:v>
                </c:pt>
                <c:pt idx="3">
                  <c:v>38.377318511454355</c:v>
                </c:pt>
                <c:pt idx="4">
                  <c:v>8.8374441416386293</c:v>
                </c:pt>
                <c:pt idx="5">
                  <c:v>111.55375954724514</c:v>
                </c:pt>
                <c:pt idx="6">
                  <c:v>31.830359748768025</c:v>
                </c:pt>
                <c:pt idx="7">
                  <c:v>108.86143693607029</c:v>
                </c:pt>
                <c:pt idx="8">
                  <c:v>52.996096067801751</c:v>
                </c:pt>
                <c:pt idx="9">
                  <c:v>64.499999749407621</c:v>
                </c:pt>
              </c:numCache>
            </c:numRef>
          </c:val>
          <c:smooth val="0"/>
        </c:ser>
        <c:dLbls>
          <c:showLegendKey val="0"/>
          <c:showVal val="0"/>
          <c:showCatName val="0"/>
          <c:showSerName val="0"/>
          <c:showPercent val="0"/>
          <c:showBubbleSize val="0"/>
        </c:dLbls>
        <c:marker val="1"/>
        <c:smooth val="0"/>
        <c:axId val="146774656"/>
        <c:axId val="146796928"/>
      </c:lineChart>
      <c:catAx>
        <c:axId val="146774656"/>
        <c:scaling>
          <c:orientation val="minMax"/>
        </c:scaling>
        <c:delete val="0"/>
        <c:axPos val="b"/>
        <c:numFmt formatCode="General" sourceLinked="1"/>
        <c:majorTickMark val="out"/>
        <c:minorTickMark val="none"/>
        <c:tickLblPos val="nextTo"/>
        <c:crossAx val="146796928"/>
        <c:crosses val="autoZero"/>
        <c:auto val="1"/>
        <c:lblAlgn val="ctr"/>
        <c:lblOffset val="100"/>
        <c:noMultiLvlLbl val="0"/>
      </c:catAx>
      <c:valAx>
        <c:axId val="146796928"/>
        <c:scaling>
          <c:orientation val="minMax"/>
        </c:scaling>
        <c:delete val="0"/>
        <c:axPos val="l"/>
        <c:majorGridlines>
          <c:spPr>
            <a:ln w="3175">
              <a:prstDash val="sysDot"/>
            </a:ln>
          </c:spPr>
        </c:majorGridlines>
        <c:numFmt formatCode="#,##0.0" sourceLinked="1"/>
        <c:majorTickMark val="out"/>
        <c:minorTickMark val="none"/>
        <c:tickLblPos val="nextTo"/>
        <c:crossAx val="146774656"/>
        <c:crosses val="autoZero"/>
        <c:crossBetween val="between"/>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netters'!$A$73</c:f>
          <c:strCache>
            <c:ptCount val="1"/>
            <c:pt idx="0">
              <c:v>Top 5 landed species by volume in 2013
Gill netters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9B2D2A"/>
              </a:solidFill>
              <a:ln>
                <a:solidFill>
                  <a:srgbClr val="FFFFFF"/>
                </a:solidFill>
              </a:ln>
            </c:spPr>
          </c:dPt>
          <c:dPt>
            <c:idx val="2"/>
            <c:bubble3D val="0"/>
            <c:spPr>
              <a:solidFill>
                <a:srgbClr val="7F2321"/>
              </a:solidFill>
              <a:ln>
                <a:solidFill>
                  <a:srgbClr val="FFFFFF"/>
                </a:solidFill>
              </a:ln>
            </c:spPr>
          </c:dPt>
          <c:dPt>
            <c:idx val="3"/>
            <c:bubble3D val="0"/>
            <c:spPr>
              <a:solidFill>
                <a:srgbClr val="607A2A"/>
              </a:solidFill>
              <a:ln>
                <a:solidFill>
                  <a:srgbClr val="FFFFFF"/>
                </a:solidFill>
              </a:ln>
            </c:spPr>
          </c:dPt>
          <c:dPt>
            <c:idx val="4"/>
            <c:bubble3D val="0"/>
            <c:spPr>
              <a:solidFill>
                <a:srgbClr val="769535"/>
              </a:solidFill>
              <a:ln>
                <a:solidFill>
                  <a:srgbClr val="FFFFFF"/>
                </a:solidFill>
              </a:ln>
            </c:spPr>
          </c:dPt>
          <c:dPt>
            <c:idx val="5"/>
            <c:bubble3D val="0"/>
            <c:spPr>
              <a:solidFill>
                <a:srgbClr val="008000"/>
              </a:solidFill>
              <a:ln>
                <a:solidFill>
                  <a:srgbClr val="FFFFFF"/>
                </a:solidFill>
              </a:ln>
            </c:spPr>
          </c:dPt>
          <c:cat>
            <c:strRef>
              <c:f>'Gill netters'!$B$74:$B$79</c:f>
              <c:strCache>
                <c:ptCount val="6"/>
                <c:pt idx="0">
                  <c:v>Anglerfish - 34.4%</c:v>
                </c:pt>
                <c:pt idx="1">
                  <c:v>Pilchards - 29.2%</c:v>
                </c:pt>
                <c:pt idx="2">
                  <c:v>Hake - 10.7%</c:v>
                </c:pt>
                <c:pt idx="3">
                  <c:v>Pollack - 9.8%</c:v>
                </c:pt>
                <c:pt idx="4">
                  <c:v>Ling - 3.8%</c:v>
                </c:pt>
                <c:pt idx="5">
                  <c:v>Others - 12.1%</c:v>
                </c:pt>
              </c:strCache>
            </c:strRef>
          </c:cat>
          <c:val>
            <c:numRef>
              <c:f>'Gill netters'!$C$74:$C$79</c:f>
              <c:numCache>
                <c:formatCode>0.0%</c:formatCode>
                <c:ptCount val="6"/>
                <c:pt idx="0">
                  <c:v>0.34447009832835535</c:v>
                </c:pt>
                <c:pt idx="1">
                  <c:v>0.29181907406140112</c:v>
                </c:pt>
                <c:pt idx="2">
                  <c:v>0.10671519096499929</c:v>
                </c:pt>
                <c:pt idx="3">
                  <c:v>9.8489090433215423E-2</c:v>
                </c:pt>
                <c:pt idx="4">
                  <c:v>3.7778927206524433E-2</c:v>
                </c:pt>
                <c:pt idx="5">
                  <c:v>0.12072761900550444</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netters'!$F$73</c:f>
          <c:strCache>
            <c:ptCount val="1"/>
            <c:pt idx="0">
              <c:v>Top 5 landed species by value in 2013
Gill netters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'Gill netters'!$G$74:$G$79</c:f>
              <c:strCache>
                <c:ptCount val="6"/>
                <c:pt idx="0">
                  <c:v>Anglerfish - 50.5%</c:v>
                </c:pt>
                <c:pt idx="1">
                  <c:v>Hake - 14.0%</c:v>
                </c:pt>
                <c:pt idx="2">
                  <c:v>Pollack - 12.4%</c:v>
                </c:pt>
                <c:pt idx="3">
                  <c:v>Turbot - 4.6%</c:v>
                </c:pt>
                <c:pt idx="4">
                  <c:v>Pilchards - 4.2%</c:v>
                </c:pt>
                <c:pt idx="5">
                  <c:v>Others - 14.3%</c:v>
                </c:pt>
              </c:strCache>
            </c:strRef>
          </c:cat>
          <c:val>
            <c:numRef>
              <c:f>'Gill netters'!$H$74:$H$79</c:f>
              <c:numCache>
                <c:formatCode>0.0%</c:formatCode>
                <c:ptCount val="6"/>
                <c:pt idx="0">
                  <c:v>0.50450387980886169</c:v>
                </c:pt>
                <c:pt idx="1">
                  <c:v>0.1404525108801431</c:v>
                </c:pt>
                <c:pt idx="2">
                  <c:v>0.12385305418762925</c:v>
                </c:pt>
                <c:pt idx="3">
                  <c:v>4.6375674981848414E-2</c:v>
                </c:pt>
                <c:pt idx="4">
                  <c:v>4.2056983576313905E-2</c:v>
                </c:pt>
                <c:pt idx="5">
                  <c:v>0.14275789656520355</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'Gill netters'!$C$88</c:f>
              <c:strCache>
                <c:ptCount val="1"/>
                <c:pt idx="0">
                  <c:v>Anglerfish</c:v>
                </c:pt>
              </c:strCache>
            </c:strRef>
          </c:tx>
          <c:spPr>
            <a:solidFill>
              <a:srgbClr val="224B7D"/>
            </a:solidFill>
            <a:ln>
              <a:solidFill>
                <a:srgbClr val="FFFFFF"/>
              </a:solidFill>
            </a:ln>
          </c:spPr>
          <c:invertIfNegative val="0"/>
          <c:cat>
            <c:numRef>
              <c:f>'Gill netters'!$D$87:$M$87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netters'!$D$88:$M$88</c:f>
              <c:numCache>
                <c:formatCode>0%</c:formatCode>
                <c:ptCount val="10"/>
                <c:pt idx="0">
                  <c:v>0.34428261477234523</c:v>
                </c:pt>
                <c:pt idx="1">
                  <c:v>0.44907091324873927</c:v>
                </c:pt>
                <c:pt idx="2">
                  <c:v>0.50979484387505336</c:v>
                </c:pt>
                <c:pt idx="3">
                  <c:v>0.53196362569504307</c:v>
                </c:pt>
                <c:pt idx="4">
                  <c:v>0.55883406597759366</c:v>
                </c:pt>
                <c:pt idx="5">
                  <c:v>0.56596263004986602</c:v>
                </c:pt>
                <c:pt idx="6">
                  <c:v>0.56086090427236235</c:v>
                </c:pt>
                <c:pt idx="7">
                  <c:v>0.58138064408721124</c:v>
                </c:pt>
                <c:pt idx="8">
                  <c:v>0.51310870978864809</c:v>
                </c:pt>
                <c:pt idx="9">
                  <c:v>0.536473117942324</c:v>
                </c:pt>
              </c:numCache>
            </c:numRef>
          </c:val>
        </c:ser>
        <c:ser>
          <c:idx val="1"/>
          <c:order val="1"/>
          <c:tx>
            <c:strRef>
              <c:f>'Gill netters'!$C$89</c:f>
              <c:strCache>
                <c:ptCount val="1"/>
                <c:pt idx="0">
                  <c:v>Hake</c:v>
                </c:pt>
              </c:strCache>
            </c:strRef>
          </c:tx>
          <c:spPr>
            <a:solidFill>
              <a:srgbClr val="7F2321"/>
            </a:solidFill>
            <a:ln>
              <a:solidFill>
                <a:srgbClr val="FFFFFF"/>
              </a:solidFill>
            </a:ln>
          </c:spPr>
          <c:invertIfNegative val="0"/>
          <c:cat>
            <c:numRef>
              <c:f>'Gill netters'!$D$87:$M$87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netters'!$D$89:$M$89</c:f>
              <c:numCache>
                <c:formatCode>0%</c:formatCode>
                <c:ptCount val="10"/>
                <c:pt idx="0">
                  <c:v>0.10616112583370528</c:v>
                </c:pt>
                <c:pt idx="1">
                  <c:v>0.10268296697769554</c:v>
                </c:pt>
                <c:pt idx="2">
                  <c:v>7.1291141679791531E-2</c:v>
                </c:pt>
                <c:pt idx="3">
                  <c:v>6.3468261225088182E-2</c:v>
                </c:pt>
                <c:pt idx="4">
                  <c:v>8.3302166682240872E-2</c:v>
                </c:pt>
                <c:pt idx="5">
                  <c:v>4.2344877938437483E-2</c:v>
                </c:pt>
                <c:pt idx="6">
                  <c:v>3.7012587194293546E-2</c:v>
                </c:pt>
                <c:pt idx="7">
                  <c:v>6.6427761900303819E-2</c:v>
                </c:pt>
                <c:pt idx="8">
                  <c:v>0.14284807219240819</c:v>
                </c:pt>
                <c:pt idx="9">
                  <c:v>0.11909792680532361</c:v>
                </c:pt>
              </c:numCache>
            </c:numRef>
          </c:val>
        </c:ser>
        <c:ser>
          <c:idx val="2"/>
          <c:order val="2"/>
          <c:tx>
            <c:strRef>
              <c:f>'Gill netters'!$C$90</c:f>
              <c:strCache>
                <c:ptCount val="1"/>
                <c:pt idx="0">
                  <c:v>Pollack</c:v>
                </c:pt>
              </c:strCache>
            </c:strRef>
          </c:tx>
          <c:spPr>
            <a:solidFill>
              <a:srgbClr val="607A2A"/>
            </a:solidFill>
            <a:ln>
              <a:solidFill>
                <a:srgbClr val="FFFFFF"/>
              </a:solidFill>
            </a:ln>
          </c:spPr>
          <c:invertIfNegative val="0"/>
          <c:cat>
            <c:numRef>
              <c:f>'Gill netters'!$D$87:$M$87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netters'!$D$90:$M$90</c:f>
              <c:numCache>
                <c:formatCode>0%</c:formatCode>
                <c:ptCount val="10"/>
                <c:pt idx="0">
                  <c:v>8.7036446295284856E-2</c:v>
                </c:pt>
                <c:pt idx="1">
                  <c:v>0.13724858989048094</c:v>
                </c:pt>
                <c:pt idx="2">
                  <c:v>0.16902805196552134</c:v>
                </c:pt>
                <c:pt idx="3">
                  <c:v>0.1458024478775678</c:v>
                </c:pt>
                <c:pt idx="4">
                  <c:v>0.12430762254220228</c:v>
                </c:pt>
                <c:pt idx="5">
                  <c:v>0.13626204218640497</c:v>
                </c:pt>
                <c:pt idx="6">
                  <c:v>0.14756786939978864</c:v>
                </c:pt>
                <c:pt idx="7">
                  <c:v>0.12958991142974788</c:v>
                </c:pt>
                <c:pt idx="8">
                  <c:v>0.12596549477810715</c:v>
                </c:pt>
                <c:pt idx="9">
                  <c:v>0.11171453514450365</c:v>
                </c:pt>
              </c:numCache>
            </c:numRef>
          </c:val>
        </c:ser>
        <c:ser>
          <c:idx val="3"/>
          <c:order val="3"/>
          <c:tx>
            <c:strRef>
              <c:f>'Gill netters'!$C$91</c:f>
              <c:strCache>
                <c:ptCount val="1"/>
                <c:pt idx="0">
                  <c:v>Turbot</c:v>
                </c:pt>
              </c:strCache>
            </c:strRef>
          </c:tx>
          <c:spPr>
            <a:solidFill>
              <a:srgbClr val="4B3467"/>
            </a:solidFill>
            <a:ln>
              <a:solidFill>
                <a:srgbClr val="FFFFFF"/>
              </a:solidFill>
            </a:ln>
          </c:spPr>
          <c:invertIfNegative val="0"/>
          <c:cat>
            <c:numRef>
              <c:f>'Gill netters'!$D$87:$M$87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netters'!$D$91:$M$91</c:f>
              <c:numCache>
                <c:formatCode>0%</c:formatCode>
                <c:ptCount val="10"/>
                <c:pt idx="1">
                  <c:v>4.1533371912261169E-2</c:v>
                </c:pt>
                <c:pt idx="2">
                  <c:v>4.0786552109604704E-2</c:v>
                </c:pt>
                <c:pt idx="3">
                  <c:v>4.7813779902180067E-2</c:v>
                </c:pt>
                <c:pt idx="4">
                  <c:v>4.2944750117134813E-2</c:v>
                </c:pt>
                <c:pt idx="5">
                  <c:v>6.1007195559314921E-2</c:v>
                </c:pt>
                <c:pt idx="6">
                  <c:v>7.3064019852233444E-2</c:v>
                </c:pt>
                <c:pt idx="7">
                  <c:v>5.0644788433041939E-2</c:v>
                </c:pt>
                <c:pt idx="8">
                  <c:v>4.7166659579564153E-2</c:v>
                </c:pt>
                <c:pt idx="9">
                  <c:v>5.985260619784414E-2</c:v>
                </c:pt>
              </c:numCache>
            </c:numRef>
          </c:val>
        </c:ser>
        <c:ser>
          <c:idx val="4"/>
          <c:order val="4"/>
          <c:tx>
            <c:strRef>
              <c:f>'Gill netters'!$C$92</c:f>
              <c:strCache>
                <c:ptCount val="1"/>
                <c:pt idx="0">
                  <c:v>Pilchards</c:v>
                </c:pt>
              </c:strCache>
            </c:strRef>
          </c:tx>
          <c:spPr>
            <a:solidFill>
              <a:srgbClr val="9B2D2A"/>
            </a:solidFill>
            <a:ln>
              <a:solidFill>
                <a:srgbClr val="FFFFFF"/>
              </a:solidFill>
            </a:ln>
          </c:spPr>
          <c:invertIfNegative val="0"/>
          <c:cat>
            <c:numRef>
              <c:f>'Gill netters'!$D$87:$M$87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netters'!$D$92:$M$92</c:f>
              <c:numCache>
                <c:formatCode>0%</c:formatCode>
                <c:ptCount val="10"/>
                <c:pt idx="8">
                  <c:v>4.2774308472356248E-2</c:v>
                </c:pt>
              </c:numCache>
            </c:numRef>
          </c:val>
        </c:ser>
        <c:ser>
          <c:idx val="5"/>
          <c:order val="5"/>
          <c:tx>
            <c:strRef>
              <c:f>'Gill netters'!$C$93</c:f>
              <c:strCache>
                <c:ptCount val="1"/>
                <c:pt idx="0">
                  <c:v>Plaice</c:v>
                </c:pt>
              </c:strCache>
            </c:strRef>
          </c:tx>
          <c:spPr>
            <a:solidFill>
              <a:srgbClr val="769535"/>
            </a:solidFill>
            <a:ln>
              <a:solidFill>
                <a:srgbClr val="FFFFFF"/>
              </a:solidFill>
            </a:ln>
          </c:spPr>
          <c:invertIfNegative val="0"/>
          <c:cat>
            <c:numRef>
              <c:f>'Gill netters'!$D$87:$M$87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netters'!$D$93:$M$93</c:f>
              <c:numCache>
                <c:formatCode>0%</c:formatCode>
                <c:ptCount val="10"/>
                <c:pt idx="9">
                  <c:v>3.5954600424314476E-2</c:v>
                </c:pt>
              </c:numCache>
            </c:numRef>
          </c:val>
        </c:ser>
        <c:ser>
          <c:idx val="6"/>
          <c:order val="6"/>
          <c:tx>
            <c:strRef>
              <c:f>'Gill netters'!$C$94</c:f>
              <c:strCache>
                <c:ptCount val="1"/>
                <c:pt idx="0">
                  <c:v>Cod</c:v>
                </c:pt>
              </c:strCache>
            </c:strRef>
          </c:tx>
          <c:spPr>
            <a:solidFill>
              <a:srgbClr val="A85816"/>
            </a:solidFill>
            <a:ln>
              <a:solidFill>
                <a:srgbClr val="FFFFFF"/>
              </a:solidFill>
            </a:ln>
          </c:spPr>
          <c:invertIfNegative val="0"/>
          <c:cat>
            <c:numRef>
              <c:f>'Gill netters'!$D$87:$M$87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netters'!$D$94:$M$94</c:f>
              <c:numCache>
                <c:formatCode>0%</c:formatCode>
                <c:ptCount val="10"/>
                <c:pt idx="1">
                  <c:v>5.5319245433739825E-2</c:v>
                </c:pt>
                <c:pt idx="2">
                  <c:v>4.4547865069069791E-2</c:v>
                </c:pt>
                <c:pt idx="3">
                  <c:v>7.0926732496934486E-2</c:v>
                </c:pt>
                <c:pt idx="4">
                  <c:v>6.8072306338746086E-2</c:v>
                </c:pt>
                <c:pt idx="5">
                  <c:v>5.5804930512107033E-2</c:v>
                </c:pt>
                <c:pt idx="6">
                  <c:v>4.2585201231366561E-2</c:v>
                </c:pt>
                <c:pt idx="7">
                  <c:v>4.7969005892327922E-2</c:v>
                </c:pt>
              </c:numCache>
            </c:numRef>
          </c:val>
        </c:ser>
        <c:ser>
          <c:idx val="7"/>
          <c:order val="7"/>
          <c:tx>
            <c:strRef>
              <c:f>'Gill netters'!$C$95</c:f>
              <c:strCache>
                <c:ptCount val="1"/>
                <c:pt idx="0">
                  <c:v>Leafscale Gulper Shark</c:v>
                </c:pt>
              </c:strCache>
            </c:strRef>
          </c:tx>
          <c:spPr>
            <a:solidFill>
              <a:srgbClr val="5D417E"/>
            </a:solidFill>
            <a:ln>
              <a:solidFill>
                <a:srgbClr val="FFFFFF"/>
              </a:solidFill>
            </a:ln>
          </c:spPr>
          <c:invertIfNegative val="0"/>
          <c:cat>
            <c:numRef>
              <c:f>'Gill netters'!$D$87:$M$87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netters'!$D$95:$M$95</c:f>
              <c:numCache>
                <c:formatCode>0%</c:formatCode>
                <c:ptCount val="10"/>
                <c:pt idx="0">
                  <c:v>8.1150518483607798E-2</c:v>
                </c:pt>
              </c:numCache>
            </c:numRef>
          </c:val>
        </c:ser>
        <c:ser>
          <c:idx val="8"/>
          <c:order val="8"/>
          <c:tx>
            <c:strRef>
              <c:f>'Gill netters'!$C$96</c:f>
              <c:strCache>
                <c:ptCount val="1"/>
                <c:pt idx="0">
                  <c:v>Deepwater Red Crab</c:v>
                </c:pt>
              </c:strCache>
            </c:strRef>
          </c:tx>
          <c:spPr>
            <a:solidFill>
              <a:srgbClr val="2787A0"/>
            </a:solidFill>
            <a:ln>
              <a:solidFill>
                <a:srgbClr val="FFFFFF"/>
              </a:solidFill>
            </a:ln>
          </c:spPr>
          <c:invertIfNegative val="0"/>
          <c:cat>
            <c:numRef>
              <c:f>'Gill netters'!$D$87:$M$87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netters'!$D$96:$M$96</c:f>
              <c:numCache>
                <c:formatCode>0%</c:formatCode>
                <c:ptCount val="10"/>
                <c:pt idx="0">
                  <c:v>5.4311545462307619E-2</c:v>
                </c:pt>
              </c:numCache>
            </c:numRef>
          </c:val>
        </c:ser>
        <c:ser>
          <c:idx val="9"/>
          <c:order val="9"/>
          <c:tx>
            <c:strRef>
              <c:f>'Gill netters'!$C$97</c:f>
              <c:strCache>
                <c:ptCount val="1"/>
                <c:pt idx="0">
                  <c:v>Others</c:v>
                </c:pt>
              </c:strCache>
            </c:strRef>
          </c:tx>
          <c:spPr>
            <a:solidFill>
              <a:srgbClr val="008000"/>
            </a:solidFill>
            <a:ln>
              <a:solidFill>
                <a:srgbClr val="FFFFFF"/>
              </a:solidFill>
            </a:ln>
          </c:spPr>
          <c:invertIfNegative val="0"/>
          <c:cat>
            <c:numRef>
              <c:f>'Gill netters'!$D$87:$M$87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'Gill netters'!$D$97:$M$97</c:f>
              <c:numCache>
                <c:formatCode>0%</c:formatCode>
                <c:ptCount val="10"/>
                <c:pt idx="0">
                  <c:v>0.32705774915274921</c:v>
                </c:pt>
                <c:pt idx="1">
                  <c:v>0.21414491253708326</c:v>
                </c:pt>
                <c:pt idx="2">
                  <c:v>0.16455154530095925</c:v>
                </c:pt>
                <c:pt idx="3">
                  <c:v>0.14002515280318642</c:v>
                </c:pt>
                <c:pt idx="4">
                  <c:v>0.12253908834208224</c:v>
                </c:pt>
                <c:pt idx="5">
                  <c:v>0.13861832375386951</c:v>
                </c:pt>
                <c:pt idx="6">
                  <c:v>0.13890941804995549</c:v>
                </c:pt>
                <c:pt idx="7">
                  <c:v>0.12398788825736716</c:v>
                </c:pt>
                <c:pt idx="8">
                  <c:v>0.12813675518891612</c:v>
                </c:pt>
                <c:pt idx="9">
                  <c:v>0.13690721348569013</c:v>
                </c:pt>
              </c:numCache>
            </c:numRef>
          </c:val>
        </c:ser>
        <c:dLbls>
          <c:showLegendKey val="0"/>
          <c:showVal val="0"/>
          <c:showCatName val="0"/>
          <c:showSerName val="0"/>
          <c:showPercent val="0"/>
          <c:showBubbleSize val="0"/>
        </c:dLbls>
        <c:gapWidth val="150"/>
        <c:overlap val="100"/>
        <c:axId val="147260160"/>
        <c:axId val="147261696"/>
      </c:barChart>
      <c:catAx>
        <c:axId val="147260160"/>
        <c:scaling>
          <c:orientation val="minMax"/>
        </c:scaling>
        <c:delete val="0"/>
        <c:axPos val="b"/>
        <c:numFmt formatCode="General" sourceLinked="1"/>
        <c:majorTickMark val="out"/>
        <c:minorTickMark val="none"/>
        <c:tickLblPos val="nextTo"/>
        <c:crossAx val="147261696"/>
        <c:crosses val="autoZero"/>
        <c:auto val="1"/>
        <c:lblAlgn val="ctr"/>
        <c:lblOffset val="100"/>
        <c:noMultiLvlLbl val="0"/>
      </c:catAx>
      <c:valAx>
        <c:axId val="147261696"/>
        <c:scaling>
          <c:orientation val="minMax"/>
          <c:max val="1"/>
          <c:min val="0"/>
        </c:scaling>
        <c:delete val="0"/>
        <c:axPos val="l"/>
        <c:majorGridlines/>
        <c:numFmt formatCode="0%" sourceLinked="1"/>
        <c:majorTickMark val="out"/>
        <c:minorTickMark val="none"/>
        <c:tickLblPos val="nextTo"/>
        <c:crossAx val="14726016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Longliners!$A$45</c:f>
          <c:strCache>
            <c:ptCount val="1"/>
            <c:pt idx="0">
              <c:v>Landings per kW day at sea (kg)
Longliners</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Longliners!$D$2:$M$2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Longliners!$D$20:$M$20</c:f>
              <c:numCache>
                <c:formatCode>#,##0.00</c:formatCode>
                <c:ptCount val="10"/>
                <c:pt idx="0">
                  <c:v>2.4017703736388936</c:v>
                </c:pt>
                <c:pt idx="1">
                  <c:v>2.420820123086155</c:v>
                </c:pt>
                <c:pt idx="2">
                  <c:v>2.0644167446006954</c:v>
                </c:pt>
                <c:pt idx="3">
                  <c:v>2.242228631417178</c:v>
                </c:pt>
                <c:pt idx="4">
                  <c:v>2.8276736814873051</c:v>
                </c:pt>
                <c:pt idx="5">
                  <c:v>3.1356309059868281</c:v>
                </c:pt>
                <c:pt idx="6">
                  <c:v>3.5082270014429069</c:v>
                </c:pt>
                <c:pt idx="7">
                  <c:v>3.7910090073482006</c:v>
                </c:pt>
                <c:pt idx="8">
                  <c:v>3.7417045710456689</c:v>
                </c:pt>
                <c:pt idx="9">
                  <c:v>4.6114925709189531</c:v>
                </c:pt>
              </c:numCache>
            </c:numRef>
          </c:val>
          <c:smooth val="0"/>
        </c:ser>
        <c:dLbls>
          <c:showLegendKey val="0"/>
          <c:showVal val="0"/>
          <c:showCatName val="0"/>
          <c:showSerName val="0"/>
          <c:showPercent val="0"/>
          <c:showBubbleSize val="0"/>
        </c:dLbls>
        <c:marker val="1"/>
        <c:smooth val="0"/>
        <c:axId val="147489920"/>
        <c:axId val="147491456"/>
      </c:lineChart>
      <c:catAx>
        <c:axId val="147489920"/>
        <c:scaling>
          <c:orientation val="minMax"/>
        </c:scaling>
        <c:delete val="0"/>
        <c:axPos val="b"/>
        <c:numFmt formatCode="General" sourceLinked="1"/>
        <c:majorTickMark val="out"/>
        <c:minorTickMark val="none"/>
        <c:tickLblPos val="nextTo"/>
        <c:crossAx val="147491456"/>
        <c:crosses val="autoZero"/>
        <c:auto val="1"/>
        <c:lblAlgn val="ctr"/>
        <c:lblOffset val="100"/>
        <c:noMultiLvlLbl val="0"/>
      </c:catAx>
      <c:valAx>
        <c:axId val="147491456"/>
        <c:scaling>
          <c:orientation val="minMax"/>
        </c:scaling>
        <c:delete val="0"/>
        <c:axPos val="l"/>
        <c:majorGridlines>
          <c:spPr>
            <a:ln w="3175">
              <a:prstDash val="sysDot"/>
            </a:ln>
          </c:spPr>
        </c:majorGridlines>
        <c:numFmt formatCode="#,##0.00" sourceLinked="1"/>
        <c:majorTickMark val="out"/>
        <c:minorTickMark val="none"/>
        <c:tickLblPos val="nextTo"/>
        <c:crossAx val="147489920"/>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Longliners!$F$45</c:f>
          <c:strCache>
            <c:ptCount val="1"/>
            <c:pt idx="0">
              <c:v>Income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Longliners!$D$2:$M$2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Longliners!$D$21:$M$21</c:f>
              <c:numCache>
                <c:formatCode>#,##0.00</c:formatCode>
                <c:ptCount val="10"/>
                <c:pt idx="0">
                  <c:v>4.4474645689114123</c:v>
                </c:pt>
                <c:pt idx="1">
                  <c:v>3.4266903466004459</c:v>
                </c:pt>
                <c:pt idx="2">
                  <c:v>2.5134175825849479</c:v>
                </c:pt>
                <c:pt idx="3">
                  <c:v>3.2312055443008525</c:v>
                </c:pt>
                <c:pt idx="4">
                  <c:v>5.6202221849850655</c:v>
                </c:pt>
                <c:pt idx="5">
                  <c:v>6.4396374429775767</c:v>
                </c:pt>
                <c:pt idx="6">
                  <c:v>7.3191034875147452</c:v>
                </c:pt>
                <c:pt idx="7">
                  <c:v>8.9724996065897589</c:v>
                </c:pt>
                <c:pt idx="8">
                  <c:v>10.908621790376403</c:v>
                </c:pt>
                <c:pt idx="9">
                  <c:v>11.831070509299979</c:v>
                </c:pt>
              </c:numCache>
            </c:numRef>
          </c:val>
          <c:smooth val="0"/>
        </c:ser>
        <c:dLbls>
          <c:showLegendKey val="0"/>
          <c:showVal val="0"/>
          <c:showCatName val="0"/>
          <c:showSerName val="0"/>
          <c:showPercent val="0"/>
          <c:showBubbleSize val="0"/>
        </c:dLbls>
        <c:marker val="1"/>
        <c:smooth val="0"/>
        <c:axId val="147548800"/>
        <c:axId val="147550592"/>
      </c:lineChart>
      <c:catAx>
        <c:axId val="147548800"/>
        <c:scaling>
          <c:orientation val="minMax"/>
        </c:scaling>
        <c:delete val="0"/>
        <c:axPos val="b"/>
        <c:numFmt formatCode="General" sourceLinked="1"/>
        <c:majorTickMark val="out"/>
        <c:minorTickMark val="none"/>
        <c:tickLblPos val="nextTo"/>
        <c:crossAx val="147550592"/>
        <c:crosses val="autoZero"/>
        <c:auto val="1"/>
        <c:lblAlgn val="ctr"/>
        <c:lblOffset val="100"/>
        <c:noMultiLvlLbl val="0"/>
      </c:catAx>
      <c:valAx>
        <c:axId val="147550592"/>
        <c:scaling>
          <c:orientation val="minMax"/>
        </c:scaling>
        <c:delete val="0"/>
        <c:axPos val="l"/>
        <c:majorGridlines>
          <c:spPr>
            <a:ln w="3175">
              <a:prstDash val="sysDot"/>
            </a:ln>
          </c:spPr>
        </c:majorGridlines>
        <c:numFmt formatCode="#,##0.00" sourceLinked="1"/>
        <c:majorTickMark val="out"/>
        <c:minorTickMark val="none"/>
        <c:tickLblPos val="nextTo"/>
        <c:crossAx val="147548800"/>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Longliners!$K$45</c:f>
          <c:strCache>
            <c:ptCount val="1"/>
            <c:pt idx="0">
              <c:v>Operating profit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Longliners!$D$2:$M$2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Longliners!$D$23:$M$23</c:f>
              <c:numCache>
                <c:formatCode>#,##0.00</c:formatCode>
                <c:ptCount val="10"/>
                <c:pt idx="0">
                  <c:v>-2.9917125087456663E-2</c:v>
                </c:pt>
                <c:pt idx="1">
                  <c:v>-0.23763545537399991</c:v>
                </c:pt>
                <c:pt idx="2">
                  <c:v>-0.22274401444931358</c:v>
                </c:pt>
                <c:pt idx="3">
                  <c:v>-0.51266235911040914</c:v>
                </c:pt>
                <c:pt idx="4">
                  <c:v>2.3874714978432663</c:v>
                </c:pt>
                <c:pt idx="5">
                  <c:v>-0.62506965318711283</c:v>
                </c:pt>
                <c:pt idx="6">
                  <c:v>3.6215403631456509</c:v>
                </c:pt>
                <c:pt idx="7">
                  <c:v>-1.41198850229365</c:v>
                </c:pt>
                <c:pt idx="8">
                  <c:v>1.0221508027903696</c:v>
                </c:pt>
                <c:pt idx="9">
                  <c:v>-1.0972580788447543</c:v>
                </c:pt>
              </c:numCache>
            </c:numRef>
          </c:val>
          <c:smooth val="0"/>
        </c:ser>
        <c:dLbls>
          <c:showLegendKey val="0"/>
          <c:showVal val="0"/>
          <c:showCatName val="0"/>
          <c:showSerName val="0"/>
          <c:showPercent val="0"/>
          <c:showBubbleSize val="0"/>
        </c:dLbls>
        <c:marker val="1"/>
        <c:smooth val="0"/>
        <c:axId val="147571072"/>
        <c:axId val="147572608"/>
      </c:lineChart>
      <c:catAx>
        <c:axId val="147571072"/>
        <c:scaling>
          <c:orientation val="minMax"/>
        </c:scaling>
        <c:delete val="0"/>
        <c:axPos val="b"/>
        <c:numFmt formatCode="General" sourceLinked="1"/>
        <c:majorTickMark val="out"/>
        <c:minorTickMark val="none"/>
        <c:tickLblPos val="nextTo"/>
        <c:crossAx val="147572608"/>
        <c:crosses val="autoZero"/>
        <c:auto val="1"/>
        <c:lblAlgn val="ctr"/>
        <c:lblOffset val="100"/>
        <c:noMultiLvlLbl val="0"/>
      </c:catAx>
      <c:valAx>
        <c:axId val="147572608"/>
        <c:scaling>
          <c:orientation val="minMax"/>
        </c:scaling>
        <c:delete val="0"/>
        <c:axPos val="l"/>
        <c:majorGridlines>
          <c:spPr>
            <a:ln w="3175">
              <a:prstDash val="sysDot"/>
            </a:ln>
          </c:spPr>
        </c:majorGridlines>
        <c:numFmt formatCode="#,##0.00" sourceLinked="1"/>
        <c:majorTickMark val="out"/>
        <c:minorTickMark val="none"/>
        <c:tickLblPos val="nextTo"/>
        <c:crossAx val="14757107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Longliners!$B$59</c:f>
          <c:strCache>
            <c:ptCount val="1"/>
            <c:pt idx="0">
              <c:v>Total cost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Longliners!$D$2:$M$2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Longliners!$D$22:$M$22</c:f>
              <c:numCache>
                <c:formatCode>#,##0.00</c:formatCode>
                <c:ptCount val="10"/>
                <c:pt idx="0">
                  <c:v>4.4773816939988658</c:v>
                </c:pt>
                <c:pt idx="1">
                  <c:v>3.664325801974448</c:v>
                </c:pt>
                <c:pt idx="2">
                  <c:v>2.7361615970342532</c:v>
                </c:pt>
                <c:pt idx="3">
                  <c:v>3.7438679034112599</c:v>
                </c:pt>
                <c:pt idx="4">
                  <c:v>3.2327506871417988</c:v>
                </c:pt>
                <c:pt idx="5">
                  <c:v>7.0647070961646863</c:v>
                </c:pt>
                <c:pt idx="6">
                  <c:v>3.6975631243690943</c:v>
                </c:pt>
                <c:pt idx="7">
                  <c:v>10.384488108883426</c:v>
                </c:pt>
                <c:pt idx="8">
                  <c:v>9.8864709875860335</c:v>
                </c:pt>
                <c:pt idx="9">
                  <c:v>12.928328588144662</c:v>
                </c:pt>
              </c:numCache>
            </c:numRef>
          </c:val>
          <c:smooth val="0"/>
        </c:ser>
        <c:dLbls>
          <c:showLegendKey val="0"/>
          <c:showVal val="0"/>
          <c:showCatName val="0"/>
          <c:showSerName val="0"/>
          <c:showPercent val="0"/>
          <c:showBubbleSize val="0"/>
        </c:dLbls>
        <c:marker val="1"/>
        <c:smooth val="0"/>
        <c:axId val="147634048"/>
        <c:axId val="147635584"/>
      </c:lineChart>
      <c:catAx>
        <c:axId val="147634048"/>
        <c:scaling>
          <c:orientation val="minMax"/>
        </c:scaling>
        <c:delete val="0"/>
        <c:axPos val="b"/>
        <c:numFmt formatCode="General" sourceLinked="1"/>
        <c:majorTickMark val="out"/>
        <c:minorTickMark val="none"/>
        <c:tickLblPos val="nextTo"/>
        <c:crossAx val="147635584"/>
        <c:crosses val="autoZero"/>
        <c:auto val="1"/>
        <c:lblAlgn val="ctr"/>
        <c:lblOffset val="100"/>
        <c:noMultiLvlLbl val="0"/>
      </c:catAx>
      <c:valAx>
        <c:axId val="147635584"/>
        <c:scaling>
          <c:orientation val="minMax"/>
        </c:scaling>
        <c:delete val="0"/>
        <c:axPos val="l"/>
        <c:majorGridlines>
          <c:spPr>
            <a:ln w="3175">
              <a:prstDash val="sysDot"/>
            </a:ln>
          </c:spPr>
        </c:majorGridlines>
        <c:numFmt formatCode="#,##0.00" sourceLinked="1"/>
        <c:majorTickMark val="out"/>
        <c:minorTickMark val="none"/>
        <c:tickLblPos val="nextTo"/>
        <c:crossAx val="147634048"/>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Longliners!$F$59</c:f>
          <c:strCache>
            <c:ptCount val="1"/>
            <c:pt idx="0">
              <c:v>Average price per tonne landed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Longliners!$D$2:$M$2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Longliners!$D$19:$M$19</c:f>
              <c:numCache>
                <c:formatCode>#,##0</c:formatCode>
                <c:ptCount val="10"/>
                <c:pt idx="0">
                  <c:v>1851.7443804534832</c:v>
                </c:pt>
                <c:pt idx="1">
                  <c:v>1415.5080387320406</c:v>
                </c:pt>
                <c:pt idx="2">
                  <c:v>1217.4951580373101</c:v>
                </c:pt>
                <c:pt idx="3">
                  <c:v>1441.0686354963493</c:v>
                </c:pt>
                <c:pt idx="4">
                  <c:v>1987.5778974544164</c:v>
                </c:pt>
                <c:pt idx="5">
                  <c:v>2053.6975978584246</c:v>
                </c:pt>
                <c:pt idx="6">
                  <c:v>2086.2684287352931</c:v>
                </c:pt>
                <c:pt idx="7">
                  <c:v>2366.7842099501386</c:v>
                </c:pt>
                <c:pt idx="8">
                  <c:v>2915.4150602044738</c:v>
                </c:pt>
                <c:pt idx="9">
                  <c:v>2565.5620953997582</c:v>
                </c:pt>
              </c:numCache>
            </c:numRef>
          </c:val>
          <c:smooth val="0"/>
        </c:ser>
        <c:dLbls>
          <c:showLegendKey val="0"/>
          <c:showVal val="0"/>
          <c:showCatName val="0"/>
          <c:showSerName val="0"/>
          <c:showPercent val="0"/>
          <c:showBubbleSize val="0"/>
        </c:dLbls>
        <c:marker val="1"/>
        <c:smooth val="0"/>
        <c:axId val="147668352"/>
        <c:axId val="147678336"/>
      </c:lineChart>
      <c:catAx>
        <c:axId val="147668352"/>
        <c:scaling>
          <c:orientation val="minMax"/>
        </c:scaling>
        <c:delete val="0"/>
        <c:axPos val="b"/>
        <c:numFmt formatCode="General" sourceLinked="1"/>
        <c:majorTickMark val="out"/>
        <c:minorTickMark val="none"/>
        <c:tickLblPos val="nextTo"/>
        <c:crossAx val="147678336"/>
        <c:crosses val="autoZero"/>
        <c:auto val="1"/>
        <c:lblAlgn val="ctr"/>
        <c:lblOffset val="100"/>
        <c:noMultiLvlLbl val="0"/>
      </c:catAx>
      <c:valAx>
        <c:axId val="147678336"/>
        <c:scaling>
          <c:orientation val="minMax"/>
        </c:scaling>
        <c:delete val="0"/>
        <c:axPos val="l"/>
        <c:majorGridlines>
          <c:spPr>
            <a:ln w="3175">
              <a:prstDash val="sysDot"/>
            </a:ln>
          </c:spPr>
        </c:majorGridlines>
        <c:numFmt formatCode="#,##0" sourceLinked="1"/>
        <c:majorTickMark val="out"/>
        <c:minorTickMark val="none"/>
        <c:tickLblPos val="nextTo"/>
        <c:crossAx val="147668352"/>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trawl'!$K$59</c:f>
          <c:strCache>
            <c:ptCount val="1"/>
            <c:pt idx="0">
              <c:v>Average annual operating profit per vessel (£'000)
Area VIIA demersal trawl</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'Area VIIa demersal trawl'!$D$2:$M$2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trawl'!$D$34:$M$34</c:f>
              <c:numCache>
                <c:formatCode>#,##0.0</c:formatCode>
                <c:ptCount val="10"/>
                <c:pt idx="0">
                  <c:v>11.9</c:v>
                </c:pt>
                <c:pt idx="1">
                  <c:v>16.600000000000001</c:v>
                </c:pt>
                <c:pt idx="2">
                  <c:v>7.7</c:v>
                </c:pt>
                <c:pt idx="3">
                  <c:v>43.7</c:v>
                </c:pt>
                <c:pt idx="4">
                  <c:v>21.2</c:v>
                </c:pt>
                <c:pt idx="5">
                  <c:v>29</c:v>
                </c:pt>
                <c:pt idx="6">
                  <c:v>9.5</c:v>
                </c:pt>
                <c:pt idx="7">
                  <c:v>11.9</c:v>
                </c:pt>
                <c:pt idx="8">
                  <c:v>16.399999999999999</c:v>
                </c:pt>
                <c:pt idx="9">
                  <c:v>27.5</c:v>
                </c:pt>
              </c:numCache>
            </c:numRef>
          </c:val>
          <c:smooth val="0"/>
        </c:ser>
        <c:dLbls>
          <c:showLegendKey val="0"/>
          <c:showVal val="0"/>
          <c:showCatName val="0"/>
          <c:showSerName val="0"/>
          <c:showPercent val="0"/>
          <c:showBubbleSize val="0"/>
        </c:dLbls>
        <c:marker val="1"/>
        <c:smooth val="0"/>
        <c:axId val="43760640"/>
        <c:axId val="43766528"/>
      </c:lineChart>
      <c:catAx>
        <c:axId val="43760640"/>
        <c:scaling>
          <c:orientation val="minMax"/>
        </c:scaling>
        <c:delete val="0"/>
        <c:axPos val="b"/>
        <c:numFmt formatCode="General" sourceLinked="1"/>
        <c:majorTickMark val="out"/>
        <c:minorTickMark val="none"/>
        <c:tickLblPos val="nextTo"/>
        <c:crossAx val="43766528"/>
        <c:crosses val="autoZero"/>
        <c:auto val="1"/>
        <c:lblAlgn val="ctr"/>
        <c:lblOffset val="100"/>
        <c:noMultiLvlLbl val="0"/>
      </c:catAx>
      <c:valAx>
        <c:axId val="43766528"/>
        <c:scaling>
          <c:orientation val="minMax"/>
        </c:scaling>
        <c:delete val="0"/>
        <c:axPos val="l"/>
        <c:majorGridlines>
          <c:spPr>
            <a:ln w="3175">
              <a:prstDash val="sysDot"/>
            </a:ln>
          </c:spPr>
        </c:majorGridlines>
        <c:numFmt formatCode="#,##0.0" sourceLinked="1"/>
        <c:majorTickMark val="out"/>
        <c:minorTickMark val="none"/>
        <c:tickLblPos val="nextTo"/>
        <c:crossAx val="43760640"/>
        <c:crosses val="autoZero"/>
        <c:crossBetween val="between"/>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Longliners!$K$59</c:f>
          <c:strCache>
            <c:ptCount val="1"/>
            <c:pt idx="0">
              <c:v>Average annual operating profit per vessel (£'000)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Longliners!$D$2:$M$2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Longliners!$D$34:$M$34</c:f>
              <c:numCache>
                <c:formatCode>#,##0.0</c:formatCode>
                <c:ptCount val="10"/>
                <c:pt idx="0">
                  <c:v>-3.0098019730364629</c:v>
                </c:pt>
                <c:pt idx="1">
                  <c:v>-28.902415800312276</c:v>
                </c:pt>
                <c:pt idx="2">
                  <c:v>-26.724851308078698</c:v>
                </c:pt>
                <c:pt idx="3">
                  <c:v>-49.961255665833434</c:v>
                </c:pt>
                <c:pt idx="4">
                  <c:v>217.41916148459933</c:v>
                </c:pt>
                <c:pt idx="5">
                  <c:v>-49.403708356619816</c:v>
                </c:pt>
                <c:pt idx="6">
                  <c:v>303.10103760767163</c:v>
                </c:pt>
                <c:pt idx="7">
                  <c:v>-93.21320908900428</c:v>
                </c:pt>
                <c:pt idx="8">
                  <c:v>68.236160799729902</c:v>
                </c:pt>
                <c:pt idx="9">
                  <c:v>-73.099999715995295</c:v>
                </c:pt>
              </c:numCache>
            </c:numRef>
          </c:val>
          <c:smooth val="0"/>
        </c:ser>
        <c:dLbls>
          <c:showLegendKey val="0"/>
          <c:showVal val="0"/>
          <c:showCatName val="0"/>
          <c:showSerName val="0"/>
          <c:showPercent val="0"/>
          <c:showBubbleSize val="0"/>
        </c:dLbls>
        <c:marker val="1"/>
        <c:smooth val="0"/>
        <c:axId val="147698816"/>
        <c:axId val="147700352"/>
      </c:lineChart>
      <c:catAx>
        <c:axId val="147698816"/>
        <c:scaling>
          <c:orientation val="minMax"/>
        </c:scaling>
        <c:delete val="0"/>
        <c:axPos val="b"/>
        <c:numFmt formatCode="General" sourceLinked="1"/>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spPr>
            <a:ln w="3175">
              <a:prstDash val="sysDot"/>
            </a:ln>
          </c:spPr>
        </c:majorGridlines>
        <c:numFmt formatCode="#,##0.0" sourceLinked="1"/>
        <c:majorTickMark val="out"/>
        <c:minorTickMark val="none"/>
        <c:tickLblPos val="nextTo"/>
        <c:crossAx val="147698816"/>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Longliners!$A$73</c:f>
          <c:strCache>
            <c:ptCount val="1"/>
            <c:pt idx="0">
              <c:v>Top 5 landed species by volume in 2013
Longliners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769535"/>
              </a:solidFill>
              <a:ln>
                <a:solidFill>
                  <a:srgbClr val="FFFFFF"/>
                </a:solidFill>
              </a:ln>
            </c:spPr>
          </c:dPt>
          <c:dPt>
            <c:idx val="5"/>
            <c:bubble3D val="0"/>
            <c:spPr>
              <a:solidFill>
                <a:srgbClr val="008000"/>
              </a:solidFill>
              <a:ln>
                <a:solidFill>
                  <a:srgbClr val="FFFFFF"/>
                </a:solidFill>
              </a:ln>
            </c:spPr>
          </c:dPt>
          <c:cat>
            <c:strRef>
              <c:f>Longliners!$B$74:$B$79</c:f>
              <c:strCache>
                <c:ptCount val="6"/>
                <c:pt idx="0">
                  <c:v>Hake - 58.4%</c:v>
                </c:pt>
                <c:pt idx="1">
                  <c:v>Ling - 16.7%</c:v>
                </c:pt>
                <c:pt idx="2">
                  <c:v>Swordfish - 8.3%</c:v>
                </c:pt>
                <c:pt idx="3">
                  <c:v>Razor Clam - 4.0%</c:v>
                </c:pt>
                <c:pt idx="4">
                  <c:v>Blue Shark - 2.9%</c:v>
                </c:pt>
                <c:pt idx="5">
                  <c:v>Others - 9.7%</c:v>
                </c:pt>
              </c:strCache>
            </c:strRef>
          </c:cat>
          <c:val>
            <c:numRef>
              <c:f>Longliners!$C$74:$C$79</c:f>
              <c:numCache>
                <c:formatCode>0.0%</c:formatCode>
                <c:ptCount val="6"/>
                <c:pt idx="0">
                  <c:v>0.58410360643885539</c:v>
                </c:pt>
                <c:pt idx="1">
                  <c:v>0.1674644411274791</c:v>
                </c:pt>
                <c:pt idx="2">
                  <c:v>8.2810403594478388E-2</c:v>
                </c:pt>
                <c:pt idx="3">
                  <c:v>3.962179528413199E-2</c:v>
                </c:pt>
                <c:pt idx="4">
                  <c:v>2.8648670861488607E-2</c:v>
                </c:pt>
                <c:pt idx="5">
                  <c:v>9.7351082693566626E-2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Longliners!$F$73</c:f>
          <c:strCache>
            <c:ptCount val="1"/>
            <c:pt idx="0">
              <c:v>Top 5 landed species by value in 2013
Longliners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Longliners!$G$74:$G$79</c:f>
              <c:strCache>
                <c:ptCount val="6"/>
                <c:pt idx="0">
                  <c:v>Hake - 70.0%</c:v>
                </c:pt>
                <c:pt idx="1">
                  <c:v>Ling - 8.4%</c:v>
                </c:pt>
                <c:pt idx="2">
                  <c:v>Swordfish - 6.5%</c:v>
                </c:pt>
                <c:pt idx="3">
                  <c:v>Razor Clam - 5.5%</c:v>
                </c:pt>
                <c:pt idx="4">
                  <c:v>Scallops - 2.1%</c:v>
                </c:pt>
                <c:pt idx="5">
                  <c:v>Others - 7.6%</c:v>
                </c:pt>
              </c:strCache>
            </c:strRef>
          </c:cat>
          <c:val>
            <c:numRef>
              <c:f>Longliners!$H$74:$H$79</c:f>
              <c:numCache>
                <c:formatCode>0.0%</c:formatCode>
                <c:ptCount val="6"/>
                <c:pt idx="0">
                  <c:v>0.69963811507992435</c:v>
                </c:pt>
                <c:pt idx="1">
                  <c:v>8.3657888813392076E-2</c:v>
                </c:pt>
                <c:pt idx="2">
                  <c:v>6.4839205792237717E-2</c:v>
                </c:pt>
                <c:pt idx="3">
                  <c:v>5.4944930142796916E-2</c:v>
                </c:pt>
                <c:pt idx="4">
                  <c:v>2.1265391491096606E-2</c:v>
                </c:pt>
                <c:pt idx="5">
                  <c:v>7.5654468680552367E-2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Longliners!$C$88</c:f>
              <c:strCache>
                <c:ptCount val="1"/>
                <c:pt idx="0">
                  <c:v>Hake</c:v>
                </c:pt>
              </c:strCache>
            </c:strRef>
          </c:tx>
          <c:spPr>
            <a:solidFill>
              <a:srgbClr val="224B7D"/>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Longliners!$D$88:$M$88</c:f>
              <c:numCache>
                <c:formatCode>0%</c:formatCode>
                <c:ptCount val="10"/>
                <c:pt idx="0">
                  <c:v>0.38687297714134194</c:v>
                </c:pt>
                <c:pt idx="1">
                  <c:v>0.3191375840036601</c:v>
                </c:pt>
                <c:pt idx="2">
                  <c:v>0.37840813525973788</c:v>
                </c:pt>
                <c:pt idx="3">
                  <c:v>0.54316703698293467</c:v>
                </c:pt>
                <c:pt idx="4">
                  <c:v>0.66866933951753249</c:v>
                </c:pt>
                <c:pt idx="5">
                  <c:v>0.51384662097137257</c:v>
                </c:pt>
                <c:pt idx="6">
                  <c:v>0.57719140395385038</c:v>
                </c:pt>
                <c:pt idx="7">
                  <c:v>0.6457139061786541</c:v>
                </c:pt>
                <c:pt idx="8">
                  <c:v>0.71157115385221414</c:v>
                </c:pt>
                <c:pt idx="9">
                  <c:v>0.79670933922180276</c:v>
                </c:pt>
              </c:numCache>
            </c:numRef>
          </c:val>
        </c:ser>
        <c:ser>
          <c:idx val="1"/>
          <c:order val="1"/>
          <c:tx>
            <c:strRef>
              <c:f>Longliners!$C$89</c:f>
              <c:strCache>
                <c:ptCount val="1"/>
                <c:pt idx="0">
                  <c:v>Ling</c:v>
                </c:pt>
              </c:strCache>
            </c:strRef>
          </c:tx>
          <c:spPr>
            <a:solidFill>
              <a:srgbClr val="7F2321"/>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Longliners!$D$89:$M$89</c:f>
              <c:numCache>
                <c:formatCode>0%</c:formatCode>
                <c:ptCount val="10"/>
                <c:pt idx="0">
                  <c:v>9.4103224143550962E-2</c:v>
                </c:pt>
                <c:pt idx="1">
                  <c:v>8.8402579253463856E-2</c:v>
                </c:pt>
                <c:pt idx="2">
                  <c:v>0.11457753802022137</c:v>
                </c:pt>
                <c:pt idx="3">
                  <c:v>6.6125018259539162E-2</c:v>
                </c:pt>
                <c:pt idx="4">
                  <c:v>7.2063348802590799E-2</c:v>
                </c:pt>
                <c:pt idx="5">
                  <c:v>0.119532696183774</c:v>
                </c:pt>
                <c:pt idx="6">
                  <c:v>0.12393992601783631</c:v>
                </c:pt>
                <c:pt idx="7">
                  <c:v>0.12657078501400459</c:v>
                </c:pt>
                <c:pt idx="8">
                  <c:v>8.508475909004086E-2</c:v>
                </c:pt>
                <c:pt idx="9">
                  <c:v>8.091024758430905E-2</c:v>
                </c:pt>
              </c:numCache>
            </c:numRef>
          </c:val>
        </c:ser>
        <c:ser>
          <c:idx val="2"/>
          <c:order val="2"/>
          <c:tx>
            <c:strRef>
              <c:f>Longliners!$C$90</c:f>
              <c:strCache>
                <c:ptCount val="1"/>
                <c:pt idx="0">
                  <c:v>Swordfish</c:v>
                </c:pt>
              </c:strCache>
            </c:strRef>
          </c:tx>
          <c:spPr>
            <a:solidFill>
              <a:srgbClr val="607A2A"/>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Longliners!$D$90:$M$90</c:f>
              <c:numCache>
                <c:formatCode>0%</c:formatCode>
                <c:ptCount val="10"/>
                <c:pt idx="0">
                  <c:v>6.8996477689832081E-2</c:v>
                </c:pt>
                <c:pt idx="1">
                  <c:v>0.23254222543218153</c:v>
                </c:pt>
                <c:pt idx="2">
                  <c:v>0.19463956227246712</c:v>
                </c:pt>
                <c:pt idx="3">
                  <c:v>9.7940977481183064E-2</c:v>
                </c:pt>
                <c:pt idx="4">
                  <c:v>8.0876289087007447E-2</c:v>
                </c:pt>
                <c:pt idx="5">
                  <c:v>0.10825371785904582</c:v>
                </c:pt>
                <c:pt idx="6">
                  <c:v>9.5846745411926407E-2</c:v>
                </c:pt>
                <c:pt idx="7">
                  <c:v>9.6583283428875052E-2</c:v>
                </c:pt>
                <c:pt idx="8">
                  <c:v>6.5945104313210753E-2</c:v>
                </c:pt>
                <c:pt idx="9">
                  <c:v>4.9995833843813953E-2</c:v>
                </c:pt>
              </c:numCache>
            </c:numRef>
          </c:val>
        </c:ser>
        <c:ser>
          <c:idx val="3"/>
          <c:order val="3"/>
          <c:tx>
            <c:strRef>
              <c:f>Longliners!$C$91</c:f>
              <c:strCache>
                <c:ptCount val="1"/>
                <c:pt idx="0">
                  <c:v>Razor Clam</c:v>
                </c:pt>
              </c:strCache>
            </c:strRef>
          </c:tx>
          <c:spPr>
            <a:solidFill>
              <a:srgbClr val="4B3467"/>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Longliners!$D$91:$M$91</c:f>
              <c:numCache>
                <c:formatCode>0%</c:formatCode>
                <c:ptCount val="10"/>
                <c:pt idx="3">
                  <c:v>6.9554979792776653E-2</c:v>
                </c:pt>
                <c:pt idx="4">
                  <c:v>4.3693740102054915E-2</c:v>
                </c:pt>
                <c:pt idx="5">
                  <c:v>5.7636889974698284E-2</c:v>
                </c:pt>
                <c:pt idx="6">
                  <c:v>6.3374783582717961E-2</c:v>
                </c:pt>
                <c:pt idx="7">
                  <c:v>6.3236075691803562E-2</c:v>
                </c:pt>
                <c:pt idx="8">
                  <c:v>5.5882071741578811E-2</c:v>
                </c:pt>
                <c:pt idx="9">
                  <c:v>2.5745633215868421E-2</c:v>
                </c:pt>
              </c:numCache>
            </c:numRef>
          </c:val>
        </c:ser>
        <c:ser>
          <c:idx val="4"/>
          <c:order val="4"/>
          <c:tx>
            <c:strRef>
              <c:f>Longliners!$C$92</c:f>
              <c:strCache>
                <c:ptCount val="1"/>
                <c:pt idx="0">
                  <c:v>Scallops</c:v>
                </c:pt>
              </c:strCache>
            </c:strRef>
          </c:tx>
          <c:spPr>
            <a:solidFill>
              <a:srgbClr val="9B2D2A"/>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Longliners!$D$92:$M$92</c:f>
              <c:numCache>
                <c:formatCode>0%</c:formatCode>
                <c:ptCount val="10"/>
                <c:pt idx="7">
                  <c:v>2.0846099502498355E-2</c:v>
                </c:pt>
                <c:pt idx="8">
                  <c:v>2.1628094345188809E-2</c:v>
                </c:pt>
                <c:pt idx="9">
                  <c:v>2.1908132438820258E-2</c:v>
                </c:pt>
              </c:numCache>
            </c:numRef>
          </c:val>
        </c:ser>
        <c:ser>
          <c:idx val="5"/>
          <c:order val="5"/>
          <c:tx>
            <c:strRef>
              <c:f>Longliners!$C$93</c:f>
              <c:strCache>
                <c:ptCount val="1"/>
                <c:pt idx="0">
                  <c:v>Greater Forked Beard</c:v>
                </c:pt>
              </c:strCache>
            </c:strRef>
          </c:tx>
          <c:spPr>
            <a:solidFill>
              <a:srgbClr val="769535"/>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Longliners!$D$93:$M$93</c:f>
              <c:numCache>
                <c:formatCode>0%</c:formatCode>
                <c:ptCount val="10"/>
                <c:pt idx="6">
                  <c:v>1.9826066363976085E-2</c:v>
                </c:pt>
              </c:numCache>
            </c:numRef>
          </c:val>
        </c:ser>
        <c:ser>
          <c:idx val="6"/>
          <c:order val="6"/>
          <c:tx>
            <c:strRef>
              <c:f>Longliners!$C$94</c:f>
              <c:strCache>
                <c:ptCount val="1"/>
                <c:pt idx="0">
                  <c:v>Bream - Ray's</c:v>
                </c:pt>
              </c:strCache>
            </c:strRef>
          </c:tx>
          <c:spPr>
            <a:solidFill>
              <a:srgbClr val="A85816"/>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Longliners!$D$94:$M$94</c:f>
              <c:numCache>
                <c:formatCode>0%</c:formatCode>
                <c:ptCount val="10"/>
                <c:pt idx="4">
                  <c:v>6.2107981910449368E-2</c:v>
                </c:pt>
                <c:pt idx="5">
                  <c:v>7.3653259655366524E-2</c:v>
                </c:pt>
              </c:numCache>
            </c:numRef>
          </c:val>
        </c:ser>
        <c:ser>
          <c:idx val="7"/>
          <c:order val="7"/>
          <c:tx>
            <c:strRef>
              <c:f>Longliners!$C$95</c:f>
              <c:strCache>
                <c:ptCount val="1"/>
                <c:pt idx="0">
                  <c:v>Blue Shark</c:v>
                </c:pt>
              </c:strCache>
            </c:strRef>
          </c:tx>
          <c:spPr>
            <a:solidFill>
              <a:srgbClr val="5D417E"/>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Longliners!$D$95:$M$95</c:f>
              <c:numCache>
                <c:formatCode>0%</c:formatCode>
                <c:ptCount val="10"/>
                <c:pt idx="3">
                  <c:v>4.1621120328441057E-2</c:v>
                </c:pt>
              </c:numCache>
            </c:numRef>
          </c:val>
        </c:ser>
        <c:ser>
          <c:idx val="8"/>
          <c:order val="8"/>
          <c:tx>
            <c:strRef>
              <c:f>Longliners!$C$96</c:f>
              <c:strCache>
                <c:ptCount val="1"/>
                <c:pt idx="0">
                  <c:v>Spurdog</c:v>
                </c:pt>
              </c:strCache>
            </c:strRef>
          </c:tx>
          <c:spPr>
            <a:solidFill>
              <a:srgbClr val="2787A0"/>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Longliners!$D$96:$M$96</c:f>
              <c:numCache>
                <c:formatCode>0%</c:formatCode>
                <c:ptCount val="10"/>
                <c:pt idx="0">
                  <c:v>0.14029978959922285</c:v>
                </c:pt>
                <c:pt idx="1">
                  <c:v>4.7875471123074921E-2</c:v>
                </c:pt>
                <c:pt idx="2">
                  <c:v>5.7542716535408898E-2</c:v>
                </c:pt>
              </c:numCache>
            </c:numRef>
          </c:val>
        </c:ser>
        <c:ser>
          <c:idx val="9"/>
          <c:order val="9"/>
          <c:tx>
            <c:strRef>
              <c:f>Longliners!$C$97</c:f>
              <c:strCache>
                <c:ptCount val="1"/>
                <c:pt idx="0">
                  <c:v>Sharks</c:v>
                </c:pt>
              </c:strCache>
            </c:strRef>
          </c:tx>
          <c:spPr>
            <a:solidFill>
              <a:srgbClr val="CB6C1D"/>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Longliners!$D$97:$M$97</c:f>
              <c:numCache>
                <c:formatCode>0%</c:formatCode>
                <c:ptCount val="10"/>
                <c:pt idx="2">
                  <c:v>5.4798439444838525E-2</c:v>
                </c:pt>
              </c:numCache>
            </c:numRef>
          </c:val>
        </c:ser>
        <c:ser>
          <c:idx val="10"/>
          <c:order val="10"/>
          <c:tx>
            <c:strRef>
              <c:f>Longliners!$C$98</c:f>
              <c:strCache>
                <c:ptCount val="1"/>
                <c:pt idx="0">
                  <c:v>Livers</c:v>
                </c:pt>
              </c:strCache>
            </c:strRef>
          </c:tx>
          <c:spPr>
            <a:solidFill>
              <a:srgbClr val="7888A4"/>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Longliners!$D$98:$M$98</c:f>
              <c:numCache>
                <c:formatCode>0%</c:formatCode>
                <c:ptCount val="10"/>
                <c:pt idx="1">
                  <c:v>3.6834912575766952E-2</c:v>
                </c:pt>
              </c:numCache>
            </c:numRef>
          </c:val>
        </c:ser>
        <c:ser>
          <c:idx val="11"/>
          <c:order val="11"/>
          <c:tx>
            <c:strRef>
              <c:f>Longliners!$C$99</c:f>
              <c:strCache>
                <c:ptCount val="1"/>
                <c:pt idx="0">
                  <c:v>Conger Eels</c:v>
                </c:pt>
              </c:strCache>
            </c:strRef>
          </c:tx>
          <c:spPr>
            <a:solidFill>
              <a:srgbClr val="A67877"/>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Longliners!$D$99:$M$99</c:f>
              <c:numCache>
                <c:formatCode>0%</c:formatCode>
                <c:ptCount val="10"/>
                <c:pt idx="0">
                  <c:v>0.11544139433885003</c:v>
                </c:pt>
              </c:numCache>
            </c:numRef>
          </c:val>
        </c:ser>
        <c:ser>
          <c:idx val="12"/>
          <c:order val="12"/>
          <c:tx>
            <c:strRef>
              <c:f>Longliners!$C$100</c:f>
              <c:strCache>
                <c:ptCount val="1"/>
                <c:pt idx="0">
                  <c:v>Others</c:v>
                </c:pt>
              </c:strCache>
            </c:strRef>
          </c:tx>
          <c:spPr>
            <a:solidFill>
              <a:srgbClr val="008000"/>
            </a:solidFill>
            <a:ln>
              <a:solidFill>
                <a:srgbClr val="FFFFFF"/>
              </a:solidFill>
            </a:ln>
          </c:spPr>
          <c:invertIfNegative val="0"/>
          <c:cat>
            <c:numRef>
              <c:f>Longliners!$D$87:$M$87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Longliners!$D$100:$M$100</c:f>
              <c:numCache>
                <c:formatCode>0%</c:formatCode>
                <c:ptCount val="10"/>
                <c:pt idx="0">
                  <c:v>0.19428613708720216</c:v>
                </c:pt>
                <c:pt idx="1">
                  <c:v>0.27520722761185262</c:v>
                </c:pt>
                <c:pt idx="2">
                  <c:v>0.20003360846732618</c:v>
                </c:pt>
                <c:pt idx="3">
                  <c:v>0.18159086715512535</c:v>
                </c:pt>
                <c:pt idx="4">
                  <c:v>7.2589300580365002E-2</c:v>
                </c:pt>
                <c:pt idx="5">
                  <c:v>0.12707681535574281</c:v>
                </c:pt>
                <c:pt idx="6">
                  <c:v>0.11982107466969284</c:v>
                </c:pt>
                <c:pt idx="7">
                  <c:v>4.7049850184164327E-2</c:v>
                </c:pt>
                <c:pt idx="8">
                  <c:v>5.9888816657766644E-2</c:v>
                </c:pt>
                <c:pt idx="9">
                  <c:v>2.4730813695385521E-2</c:v>
                </c:pt>
              </c:numCache>
            </c:numRef>
          </c:val>
        </c:ser>
        <c:dLbls>
          <c:showLegendKey val="0"/>
          <c:showVal val="0"/>
          <c:showCatName val="0"/>
          <c:showSerName val="0"/>
          <c:showPercent val="0"/>
          <c:showBubbleSize val="0"/>
        </c:dLbls>
        <c:gapWidth val="150"/>
        <c:overlap val="100"/>
        <c:axId val="148092416"/>
        <c:axId val="148093952"/>
      </c:barChart>
      <c:catAx>
        <c:axId val="148092416"/>
        <c:scaling>
          <c:orientation val="minMax"/>
        </c:scaling>
        <c:delete val="0"/>
        <c:axPos val="b"/>
        <c:numFmt formatCode="General" sourceLinked="1"/>
        <c:majorTickMark val="out"/>
        <c:minorTickMark val="none"/>
        <c:tickLblPos val="nextTo"/>
        <c:crossAx val="148093952"/>
        <c:crosses val="autoZero"/>
        <c:auto val="1"/>
        <c:lblAlgn val="ctr"/>
        <c:lblOffset val="100"/>
        <c:noMultiLvlLbl val="0"/>
      </c:catAx>
      <c:valAx>
        <c:axId val="148093952"/>
        <c:scaling>
          <c:orientation val="minMax"/>
          <c:max val="1"/>
          <c:min val="0"/>
        </c:scaling>
        <c:delete val="0"/>
        <c:axPos val="l"/>
        <c:majorGridlines/>
        <c:numFmt formatCode="0%" sourceLinked="1"/>
        <c:majorTickMark val="out"/>
        <c:minorTickMark val="none"/>
        <c:tickLblPos val="nextTo"/>
        <c:crossAx val="14809241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10m'!$A$45</c:f>
          <c:strCache>
            <c:ptCount val="1"/>
            <c:pt idx="0">
              <c:v>Landings per kW day at sea (kg)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'Low activity over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10m'!$D$20:$M$20</c:f>
              <c:numCache>
                <c:formatCode>#,##0.00</c:formatCode>
                <c:ptCount val="10"/>
                <c:pt idx="0">
                  <c:v>5.6078166676441725</c:v>
                </c:pt>
                <c:pt idx="1">
                  <c:v>33.965881507040848</c:v>
                </c:pt>
                <c:pt idx="2">
                  <c:v>1.5597207572824616</c:v>
                </c:pt>
                <c:pt idx="3">
                  <c:v>27.422175549590317</c:v>
                </c:pt>
                <c:pt idx="4">
                  <c:v>8.7041275289034647</c:v>
                </c:pt>
                <c:pt idx="5">
                  <c:v>22.100900821494136</c:v>
                </c:pt>
                <c:pt idx="6">
                  <c:v>42.508608072009594</c:v>
                </c:pt>
                <c:pt idx="7">
                  <c:v>49.196650701070674</c:v>
                </c:pt>
                <c:pt idx="8">
                  <c:v>1.2477320695659355</c:v>
                </c:pt>
                <c:pt idx="9">
                  <c:v>11.57110415434291</c:v>
                </c:pt>
              </c:numCache>
            </c:numRef>
          </c:val>
          <c:smooth val="0"/>
        </c:ser>
        <c:dLbls>
          <c:showLegendKey val="0"/>
          <c:showVal val="0"/>
          <c:showCatName val="0"/>
          <c:showSerName val="0"/>
          <c:showPercent val="0"/>
          <c:showBubbleSize val="0"/>
        </c:dLbls>
        <c:marker val="1"/>
        <c:smooth val="0"/>
        <c:axId val="148354560"/>
        <c:axId val="148356096"/>
      </c:lineChart>
      <c:catAx>
        <c:axId val="148354560"/>
        <c:scaling>
          <c:orientation val="minMax"/>
        </c:scaling>
        <c:delete val="0"/>
        <c:axPos val="b"/>
        <c:numFmt formatCode="General" sourceLinked="1"/>
        <c:majorTickMark val="out"/>
        <c:minorTickMark val="none"/>
        <c:tickLblPos val="nextTo"/>
        <c:crossAx val="148356096"/>
        <c:crosses val="autoZero"/>
        <c:auto val="1"/>
        <c:lblAlgn val="ctr"/>
        <c:lblOffset val="100"/>
        <c:noMultiLvlLbl val="0"/>
      </c:catAx>
      <c:valAx>
        <c:axId val="148356096"/>
        <c:scaling>
          <c:orientation val="minMax"/>
        </c:scaling>
        <c:delete val="0"/>
        <c:axPos val="l"/>
        <c:majorGridlines>
          <c:spPr>
            <a:ln w="3175">
              <a:prstDash val="sysDot"/>
            </a:ln>
          </c:spPr>
        </c:majorGridlines>
        <c:numFmt formatCode="#,##0.00" sourceLinked="1"/>
        <c:majorTickMark val="out"/>
        <c:minorTickMark val="none"/>
        <c:tickLblPos val="nextTo"/>
        <c:crossAx val="148354560"/>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10m'!$F$45</c:f>
          <c:strCache>
            <c:ptCount val="1"/>
            <c:pt idx="0">
              <c:v>Income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'Low activity over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10m'!$D$21:$M$21</c:f>
              <c:numCache>
                <c:formatCode>#,##0.00</c:formatCode>
                <c:ptCount val="10"/>
                <c:pt idx="0">
                  <c:v>1.5048019661952838</c:v>
                </c:pt>
                <c:pt idx="1">
                  <c:v>1.9558148961435169</c:v>
                </c:pt>
                <c:pt idx="2">
                  <c:v>1.4926358037347507</c:v>
                </c:pt>
                <c:pt idx="3">
                  <c:v>1.8862852881691829</c:v>
                </c:pt>
                <c:pt idx="4">
                  <c:v>1.568695430501112</c:v>
                </c:pt>
                <c:pt idx="5">
                  <c:v>2.1096697277894063</c:v>
                </c:pt>
                <c:pt idx="6">
                  <c:v>1.942400665283629</c:v>
                </c:pt>
                <c:pt idx="7">
                  <c:v>1.6130921592939473</c:v>
                </c:pt>
                <c:pt idx="8">
                  <c:v>2.220880016188636</c:v>
                </c:pt>
                <c:pt idx="9">
                  <c:v>1.4357097806886074</c:v>
                </c:pt>
              </c:numCache>
            </c:numRef>
          </c:val>
          <c:smooth val="0"/>
        </c:ser>
        <c:dLbls>
          <c:showLegendKey val="0"/>
          <c:showVal val="0"/>
          <c:showCatName val="0"/>
          <c:showSerName val="0"/>
          <c:showPercent val="0"/>
          <c:showBubbleSize val="0"/>
        </c:dLbls>
        <c:marker val="1"/>
        <c:smooth val="0"/>
        <c:axId val="149302272"/>
        <c:axId val="149320448"/>
      </c:lineChart>
      <c:catAx>
        <c:axId val="149302272"/>
        <c:scaling>
          <c:orientation val="minMax"/>
        </c:scaling>
        <c:delete val="0"/>
        <c:axPos val="b"/>
        <c:numFmt formatCode="General" sourceLinked="1"/>
        <c:majorTickMark val="out"/>
        <c:minorTickMark val="none"/>
        <c:tickLblPos val="nextTo"/>
        <c:crossAx val="149320448"/>
        <c:crosses val="autoZero"/>
        <c:auto val="1"/>
        <c:lblAlgn val="ctr"/>
        <c:lblOffset val="100"/>
        <c:noMultiLvlLbl val="0"/>
      </c:catAx>
      <c:valAx>
        <c:axId val="149320448"/>
        <c:scaling>
          <c:orientation val="minMax"/>
        </c:scaling>
        <c:delete val="0"/>
        <c:axPos val="l"/>
        <c:majorGridlines>
          <c:spPr>
            <a:ln w="3175">
              <a:prstDash val="sysDot"/>
            </a:ln>
          </c:spPr>
        </c:majorGridlines>
        <c:numFmt formatCode="#,##0.00" sourceLinked="1"/>
        <c:majorTickMark val="out"/>
        <c:minorTickMark val="none"/>
        <c:tickLblPos val="nextTo"/>
        <c:crossAx val="149302272"/>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10m'!$K$45</c:f>
          <c:strCache>
            <c:ptCount val="1"/>
            <c:pt idx="0">
              <c:v>Operating profit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'Low activity over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10m'!$D$23:$M$23</c:f>
              <c:numCache>
                <c:formatCode>#,##0.00</c:formatCode>
                <c:ptCount val="10"/>
                <c:pt idx="0">
                  <c:v>-0.35904216513750259</c:v>
                </c:pt>
                <c:pt idx="1">
                  <c:v>-9.1235377072172427E-2</c:v>
                </c:pt>
                <c:pt idx="2">
                  <c:v>-0.15952392973723406</c:v>
                </c:pt>
                <c:pt idx="3">
                  <c:v>-13.17120215659997</c:v>
                </c:pt>
                <c:pt idx="4">
                  <c:v>-0.38524303562116863</c:v>
                </c:pt>
                <c:pt idx="5">
                  <c:v>-0.56092000428907318</c:v>
                </c:pt>
                <c:pt idx="6">
                  <c:v>-0.66933317437906836</c:v>
                </c:pt>
                <c:pt idx="7">
                  <c:v>-0.88612868745153128</c:v>
                </c:pt>
                <c:pt idx="8">
                  <c:v>-1.1754136834276869</c:v>
                </c:pt>
                <c:pt idx="9">
                  <c:v>-0.82381920221621918</c:v>
                </c:pt>
              </c:numCache>
            </c:numRef>
          </c:val>
          <c:smooth val="0"/>
        </c:ser>
        <c:dLbls>
          <c:showLegendKey val="0"/>
          <c:showVal val="0"/>
          <c:showCatName val="0"/>
          <c:showSerName val="0"/>
          <c:showPercent val="0"/>
          <c:showBubbleSize val="0"/>
        </c:dLbls>
        <c:marker val="1"/>
        <c:smooth val="0"/>
        <c:axId val="149762816"/>
        <c:axId val="149764352"/>
      </c:lineChart>
      <c:catAx>
        <c:axId val="149762816"/>
        <c:scaling>
          <c:orientation val="minMax"/>
        </c:scaling>
        <c:delete val="0"/>
        <c:axPos val="b"/>
        <c:numFmt formatCode="General" sourceLinked="1"/>
        <c:majorTickMark val="out"/>
        <c:minorTickMark val="none"/>
        <c:tickLblPos val="nextTo"/>
        <c:crossAx val="149764352"/>
        <c:crosses val="autoZero"/>
        <c:auto val="1"/>
        <c:lblAlgn val="ctr"/>
        <c:lblOffset val="100"/>
        <c:noMultiLvlLbl val="0"/>
      </c:catAx>
      <c:valAx>
        <c:axId val="149764352"/>
        <c:scaling>
          <c:orientation val="minMax"/>
        </c:scaling>
        <c:delete val="0"/>
        <c:axPos val="l"/>
        <c:majorGridlines>
          <c:spPr>
            <a:ln w="3175">
              <a:prstDash val="sysDot"/>
            </a:ln>
          </c:spPr>
        </c:majorGridlines>
        <c:numFmt formatCode="#,##0.00" sourceLinked="1"/>
        <c:majorTickMark val="out"/>
        <c:minorTickMark val="none"/>
        <c:tickLblPos val="nextTo"/>
        <c:crossAx val="14976281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10m'!$B$59</c:f>
          <c:strCache>
            <c:ptCount val="1"/>
            <c:pt idx="0">
              <c:v>Total cost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'Low activity over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10m'!$D$22:$M$22</c:f>
              <c:numCache>
                <c:formatCode>#,##0.00</c:formatCode>
                <c:ptCount val="10"/>
                <c:pt idx="0">
                  <c:v>1.8638441313327885</c:v>
                </c:pt>
                <c:pt idx="1">
                  <c:v>2.0470502732156883</c:v>
                </c:pt>
                <c:pt idx="2">
                  <c:v>1.6521597334719873</c:v>
                </c:pt>
                <c:pt idx="3">
                  <c:v>15.057487444769134</c:v>
                </c:pt>
                <c:pt idx="4">
                  <c:v>1.9539384661222743</c:v>
                </c:pt>
                <c:pt idx="5">
                  <c:v>2.6705897320784762</c:v>
                </c:pt>
                <c:pt idx="6">
                  <c:v>2.6117338396627003</c:v>
                </c:pt>
                <c:pt idx="7">
                  <c:v>2.4992208467454833</c:v>
                </c:pt>
                <c:pt idx="8">
                  <c:v>3.3962936996163231</c:v>
                </c:pt>
                <c:pt idx="9">
                  <c:v>2.2595289829048233</c:v>
                </c:pt>
              </c:numCache>
            </c:numRef>
          </c:val>
          <c:smooth val="0"/>
        </c:ser>
        <c:dLbls>
          <c:showLegendKey val="0"/>
          <c:showVal val="0"/>
          <c:showCatName val="0"/>
          <c:showSerName val="0"/>
          <c:showPercent val="0"/>
          <c:showBubbleSize val="0"/>
        </c:dLbls>
        <c:marker val="1"/>
        <c:smooth val="0"/>
        <c:axId val="149776640"/>
        <c:axId val="149778432"/>
      </c:lineChart>
      <c:catAx>
        <c:axId val="149776640"/>
        <c:scaling>
          <c:orientation val="minMax"/>
        </c:scaling>
        <c:delete val="0"/>
        <c:axPos val="b"/>
        <c:numFmt formatCode="General" sourceLinked="1"/>
        <c:majorTickMark val="out"/>
        <c:minorTickMark val="none"/>
        <c:tickLblPos val="nextTo"/>
        <c:crossAx val="149778432"/>
        <c:crosses val="autoZero"/>
        <c:auto val="1"/>
        <c:lblAlgn val="ctr"/>
        <c:lblOffset val="100"/>
        <c:noMultiLvlLbl val="0"/>
      </c:catAx>
      <c:valAx>
        <c:axId val="149778432"/>
        <c:scaling>
          <c:orientation val="minMax"/>
        </c:scaling>
        <c:delete val="0"/>
        <c:axPos val="l"/>
        <c:majorGridlines>
          <c:spPr>
            <a:ln w="3175">
              <a:prstDash val="sysDot"/>
            </a:ln>
          </c:spPr>
        </c:majorGridlines>
        <c:numFmt formatCode="#,##0.00" sourceLinked="1"/>
        <c:majorTickMark val="out"/>
        <c:minorTickMark val="none"/>
        <c:tickLblPos val="nextTo"/>
        <c:crossAx val="149776640"/>
        <c:crosses val="autoZero"/>
        <c:crossBetween val="between"/>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10m'!$F$59</c:f>
          <c:strCache>
            <c:ptCount val="1"/>
            <c:pt idx="0">
              <c:v>Average price per tonne landed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'Low activity over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10m'!$D$19:$M$19</c:f>
              <c:numCache>
                <c:formatCode>#,##0</c:formatCode>
                <c:ptCount val="10"/>
                <c:pt idx="0">
                  <c:v>268.34011076753666</c:v>
                </c:pt>
                <c:pt idx="1">
                  <c:v>57.581744614628285</c:v>
                </c:pt>
                <c:pt idx="2">
                  <c:v>956.98910019556297</c:v>
                </c:pt>
                <c:pt idx="3">
                  <c:v>68.786861493403279</c:v>
                </c:pt>
                <c:pt idx="4">
                  <c:v>180.22430946794694</c:v>
                </c:pt>
                <c:pt idx="5">
                  <c:v>95.456288631563183</c:v>
                </c:pt>
                <c:pt idx="6">
                  <c:v>45.694285216072288</c:v>
                </c:pt>
                <c:pt idx="7">
                  <c:v>32.788656624222419</c:v>
                </c:pt>
                <c:pt idx="8">
                  <c:v>1779.93350466118</c:v>
                </c:pt>
                <c:pt idx="9">
                  <c:v>124.0771635307142</c:v>
                </c:pt>
              </c:numCache>
            </c:numRef>
          </c:val>
          <c:smooth val="0"/>
        </c:ser>
        <c:dLbls>
          <c:showLegendKey val="0"/>
          <c:showVal val="0"/>
          <c:showCatName val="0"/>
          <c:showSerName val="0"/>
          <c:showPercent val="0"/>
          <c:showBubbleSize val="0"/>
        </c:dLbls>
        <c:marker val="1"/>
        <c:smooth val="0"/>
        <c:axId val="149807104"/>
        <c:axId val="149808640"/>
      </c:lineChart>
      <c:catAx>
        <c:axId val="149807104"/>
        <c:scaling>
          <c:orientation val="minMax"/>
        </c:scaling>
        <c:delete val="0"/>
        <c:axPos val="b"/>
        <c:numFmt formatCode="General" sourceLinked="1"/>
        <c:majorTickMark val="out"/>
        <c:minorTickMark val="none"/>
        <c:tickLblPos val="nextTo"/>
        <c:crossAx val="149808640"/>
        <c:crosses val="autoZero"/>
        <c:auto val="1"/>
        <c:lblAlgn val="ctr"/>
        <c:lblOffset val="100"/>
        <c:noMultiLvlLbl val="0"/>
      </c:catAx>
      <c:valAx>
        <c:axId val="149808640"/>
        <c:scaling>
          <c:orientation val="minMax"/>
        </c:scaling>
        <c:delete val="0"/>
        <c:axPos val="l"/>
        <c:majorGridlines>
          <c:spPr>
            <a:ln w="3175">
              <a:prstDash val="sysDot"/>
            </a:ln>
          </c:spPr>
        </c:majorGridlines>
        <c:numFmt formatCode="#,##0" sourceLinked="1"/>
        <c:majorTickMark val="out"/>
        <c:minorTickMark val="none"/>
        <c:tickLblPos val="nextTo"/>
        <c:crossAx val="149807104"/>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10m'!$K$59</c:f>
          <c:strCache>
            <c:ptCount val="1"/>
            <c:pt idx="0">
              <c:v>Average annual operating profit per vessel (£'000)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'Low activity over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10m'!$D$34:$M$34</c:f>
              <c:numCache>
                <c:formatCode>#,##0.0</c:formatCode>
                <c:ptCount val="10"/>
                <c:pt idx="0">
                  <c:v>-0.97615199125506902</c:v>
                </c:pt>
                <c:pt idx="1">
                  <c:v>-0.16706598728504207</c:v>
                </c:pt>
                <c:pt idx="2">
                  <c:v>-0.51559198665103589</c:v>
                </c:pt>
                <c:pt idx="3">
                  <c:v>-32.187428428961717</c:v>
                </c:pt>
                <c:pt idx="4">
                  <c:v>-0.99195801589821353</c:v>
                </c:pt>
                <c:pt idx="5">
                  <c:v>-1.2095069842486961</c:v>
                </c:pt>
                <c:pt idx="6">
                  <c:v>-1.6152719872509147</c:v>
                </c:pt>
                <c:pt idx="7">
                  <c:v>-2.3182559773431115</c:v>
                </c:pt>
                <c:pt idx="8">
                  <c:v>-2.7530439515741167</c:v>
                </c:pt>
                <c:pt idx="9">
                  <c:v>-2.8999999887330556</c:v>
                </c:pt>
              </c:numCache>
            </c:numRef>
          </c:val>
          <c:smooth val="0"/>
        </c:ser>
        <c:dLbls>
          <c:showLegendKey val="0"/>
          <c:showVal val="0"/>
          <c:showCatName val="0"/>
          <c:showSerName val="0"/>
          <c:showPercent val="0"/>
          <c:showBubbleSize val="0"/>
        </c:dLbls>
        <c:marker val="1"/>
        <c:smooth val="0"/>
        <c:axId val="149829120"/>
        <c:axId val="149830656"/>
      </c:lineChart>
      <c:catAx>
        <c:axId val="149829120"/>
        <c:scaling>
          <c:orientation val="minMax"/>
        </c:scaling>
        <c:delete val="0"/>
        <c:axPos val="b"/>
        <c:numFmt formatCode="General" sourceLinked="1"/>
        <c:majorTickMark val="out"/>
        <c:minorTickMark val="none"/>
        <c:tickLblPos val="nextTo"/>
        <c:crossAx val="149830656"/>
        <c:crosses val="autoZero"/>
        <c:auto val="1"/>
        <c:lblAlgn val="ctr"/>
        <c:lblOffset val="100"/>
        <c:noMultiLvlLbl val="0"/>
      </c:catAx>
      <c:valAx>
        <c:axId val="149830656"/>
        <c:scaling>
          <c:orientation val="minMax"/>
        </c:scaling>
        <c:delete val="0"/>
        <c:axPos val="l"/>
        <c:majorGridlines>
          <c:spPr>
            <a:ln w="3175">
              <a:prstDash val="sysDot"/>
            </a:ln>
          </c:spPr>
        </c:majorGridlines>
        <c:numFmt formatCode="#,##0.0" sourceLinked="1"/>
        <c:majorTickMark val="out"/>
        <c:minorTickMark val="none"/>
        <c:tickLblPos val="nextTo"/>
        <c:crossAx val="149829120"/>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trawl'!$A$73</c:f>
          <c:strCache>
            <c:ptCount val="1"/>
            <c:pt idx="0">
              <c:v>Top 5 landed species by volume in 2013
Area VIIA demersal trawl</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4B3467"/>
              </a:solidFill>
              <a:ln>
                <a:solidFill>
                  <a:srgbClr val="FFFFFF"/>
                </a:solidFill>
              </a:ln>
            </c:spPr>
          </c:dPt>
          <c:dPt>
            <c:idx val="1"/>
            <c:bubble3D val="0"/>
            <c:spPr>
              <a:solidFill>
                <a:srgbClr val="224B7D"/>
              </a:solidFill>
              <a:ln>
                <a:solidFill>
                  <a:srgbClr val="FFFFFF"/>
                </a:solidFill>
              </a:ln>
            </c:spPr>
          </c:dPt>
          <c:dPt>
            <c:idx val="2"/>
            <c:bubble3D val="0"/>
            <c:spPr>
              <a:solidFill>
                <a:srgbClr val="607A2A"/>
              </a:solidFill>
              <a:ln>
                <a:solidFill>
                  <a:srgbClr val="FFFFFF"/>
                </a:solidFill>
              </a:ln>
            </c:spPr>
          </c:dPt>
          <c:dPt>
            <c:idx val="3"/>
            <c:bubble3D val="0"/>
            <c:spPr>
              <a:solidFill>
                <a:srgbClr val="7F2321"/>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'Area VIIa demersal trawl'!$B$74:$B$79</c:f>
              <c:strCache>
                <c:ptCount val="6"/>
                <c:pt idx="0">
                  <c:v>Queen Scallops - 30.5%</c:v>
                </c:pt>
                <c:pt idx="1">
                  <c:v>Scallops - 26.5%</c:v>
                </c:pt>
                <c:pt idx="2">
                  <c:v>Brown Crab - 22.6%</c:v>
                </c:pt>
                <c:pt idx="3">
                  <c:v>Nephrops - 13.0%</c:v>
                </c:pt>
                <c:pt idx="4">
                  <c:v>Thornback Ray - 3.6%</c:v>
                </c:pt>
                <c:pt idx="5">
                  <c:v>Others - 3.8%</c:v>
                </c:pt>
              </c:strCache>
            </c:strRef>
          </c:cat>
          <c:val>
            <c:numRef>
              <c:f>'Area VIIa demersal trawl'!$C$74:$C$79</c:f>
              <c:numCache>
                <c:formatCode>0.0%</c:formatCode>
                <c:ptCount val="6"/>
                <c:pt idx="0">
                  <c:v>0.30532295411206284</c:v>
                </c:pt>
                <c:pt idx="1">
                  <c:v>0.26544136255308914</c:v>
                </c:pt>
                <c:pt idx="2">
                  <c:v>0.2255597709941155</c:v>
                </c:pt>
                <c:pt idx="3">
                  <c:v>0.13033748548954024</c:v>
                </c:pt>
                <c:pt idx="4">
                  <c:v>3.556505159145857E-2</c:v>
                </c:pt>
                <c:pt idx="5">
                  <c:v>3.7773375259733677E-2</c:v>
                </c:pt>
              </c:numCache>
            </c:numRef>
          </c:val>
        </c:ser>
        <c:dLbls>
          <c:showLegendKey val="0"/>
          <c:showVal val="0"/>
          <c:showCatName val="0"/>
          <c:showSerName val="0"/>
          <c:showPercent val="0"/>
          <c:showBubbleSize val="0"/>
          <c:showLeaderLines val="1"/>
        </c:dLbls>
        <c:firstSliceAng val="0"/>
      </c:pieChart>
    </c:plotArea>
    <c:legend>
      <c:legendPos val="l"/>
      <c:layout/>
      <c:overlay val="0"/>
    </c:legend>
    <c:plotVisOnly val="1"/>
    <c:dispBlanksAs val="gap"/>
    <c:showDLblsOverMax val="0"/>
  </c:chart>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10m'!$A$73</c:f>
          <c:strCache>
            <c:ptCount val="1"/>
            <c:pt idx="0">
              <c:v>Top 5 landed species by volume in 2013
Low activity over 10m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769535"/>
              </a:solidFill>
              <a:ln>
                <a:solidFill>
                  <a:srgbClr val="FFFFFF"/>
                </a:solidFill>
              </a:ln>
            </c:spPr>
          </c:dPt>
          <c:dPt>
            <c:idx val="1"/>
            <c:bubble3D val="0"/>
            <c:spPr>
              <a:solidFill>
                <a:srgbClr val="224B7D"/>
              </a:solidFill>
              <a:ln>
                <a:solidFill>
                  <a:srgbClr val="FFFFFF"/>
                </a:solidFill>
              </a:ln>
            </c:spPr>
          </c:dPt>
          <c:dPt>
            <c:idx val="2"/>
            <c:bubble3D val="0"/>
            <c:spPr>
              <a:solidFill>
                <a:srgbClr val="A85816"/>
              </a:solidFill>
              <a:ln>
                <a:solidFill>
                  <a:srgbClr val="FFFFFF"/>
                </a:solidFill>
              </a:ln>
            </c:spPr>
          </c:dPt>
          <c:dPt>
            <c:idx val="3"/>
            <c:bubble3D val="0"/>
            <c:spPr>
              <a:solidFill>
                <a:srgbClr val="607A2A"/>
              </a:solidFill>
              <a:ln>
                <a:solidFill>
                  <a:srgbClr val="FFFFFF"/>
                </a:solidFill>
              </a:ln>
            </c:spPr>
          </c:dPt>
          <c:dPt>
            <c:idx val="4"/>
            <c:bubble3D val="0"/>
            <c:spPr>
              <a:solidFill>
                <a:srgbClr val="5D417E"/>
              </a:solidFill>
              <a:ln>
                <a:solidFill>
                  <a:srgbClr val="FFFFFF"/>
                </a:solidFill>
              </a:ln>
            </c:spPr>
          </c:dPt>
          <c:dPt>
            <c:idx val="5"/>
            <c:bubble3D val="0"/>
            <c:spPr>
              <a:solidFill>
                <a:srgbClr val="008000"/>
              </a:solidFill>
              <a:ln>
                <a:solidFill>
                  <a:srgbClr val="FFFFFF"/>
                </a:solidFill>
              </a:ln>
            </c:spPr>
          </c:dPt>
          <c:cat>
            <c:strRef>
              <c:f>'Low activity over 10m'!$B$74:$B$79</c:f>
              <c:strCache>
                <c:ptCount val="6"/>
                <c:pt idx="0">
                  <c:v>Cockles - 13.3%</c:v>
                </c:pt>
                <c:pt idx="1">
                  <c:v>Nephrops - 11.0%</c:v>
                </c:pt>
                <c:pt idx="2">
                  <c:v>Plaice - 9.4%</c:v>
                </c:pt>
                <c:pt idx="3">
                  <c:v>Scallops - 9.1%</c:v>
                </c:pt>
                <c:pt idx="4">
                  <c:v>Whelks - 7.7%</c:v>
                </c:pt>
                <c:pt idx="5">
                  <c:v>Others - 49.5%</c:v>
                </c:pt>
              </c:strCache>
            </c:strRef>
          </c:cat>
          <c:val>
            <c:numRef>
              <c:f>'Low activity over 10m'!$C$74:$C$79</c:f>
              <c:numCache>
                <c:formatCode>0.0%</c:formatCode>
                <c:ptCount val="6"/>
                <c:pt idx="0">
                  <c:v>0.13341181996287096</c:v>
                </c:pt>
                <c:pt idx="1">
                  <c:v>0.11042510435278022</c:v>
                </c:pt>
                <c:pt idx="2">
                  <c:v>9.392293421220918E-2</c:v>
                </c:pt>
                <c:pt idx="3">
                  <c:v>9.0613360837767762E-2</c:v>
                </c:pt>
                <c:pt idx="4">
                  <c:v>7.6707032718520723E-2</c:v>
                </c:pt>
                <c:pt idx="5">
                  <c:v>0.49491974791585114</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10m'!$F$73</c:f>
          <c:strCache>
            <c:ptCount val="1"/>
            <c:pt idx="0">
              <c:v>Top 5 landed species by value in 2013
Low activity over 10m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'Low activity over 10m'!$G$74:$G$79</c:f>
              <c:strCache>
                <c:ptCount val="6"/>
                <c:pt idx="0">
                  <c:v>Nephrops - 18.3%</c:v>
                </c:pt>
                <c:pt idx="1">
                  <c:v>Lobsters - 12.8%</c:v>
                </c:pt>
                <c:pt idx="2">
                  <c:v>Scallops - 10.8%</c:v>
                </c:pt>
                <c:pt idx="3">
                  <c:v>Sole - 7.6%</c:v>
                </c:pt>
                <c:pt idx="4">
                  <c:v>Brown Shrimps - 6.4%</c:v>
                </c:pt>
                <c:pt idx="5">
                  <c:v>Others - 44.1%</c:v>
                </c:pt>
              </c:strCache>
            </c:strRef>
          </c:cat>
          <c:val>
            <c:numRef>
              <c:f>'Low activity over 10m'!$H$74:$H$79</c:f>
              <c:numCache>
                <c:formatCode>0.0%</c:formatCode>
                <c:ptCount val="6"/>
                <c:pt idx="0">
                  <c:v>0.18344304963132671</c:v>
                </c:pt>
                <c:pt idx="1">
                  <c:v>0.12799926930704855</c:v>
                </c:pt>
                <c:pt idx="2">
                  <c:v>0.10771131807866557</c:v>
                </c:pt>
                <c:pt idx="3">
                  <c:v>7.610897809642099E-2</c:v>
                </c:pt>
                <c:pt idx="4">
                  <c:v>6.3671139338410482E-2</c:v>
                </c:pt>
                <c:pt idx="5">
                  <c:v>0.44106624554812768</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'Low activity over 10m'!$C$88</c:f>
              <c:strCache>
                <c:ptCount val="1"/>
                <c:pt idx="0">
                  <c:v>Nephrops</c:v>
                </c:pt>
              </c:strCache>
            </c:strRef>
          </c:tx>
          <c:spPr>
            <a:solidFill>
              <a:srgbClr val="224B7D"/>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10m'!$D$88:$M$88</c:f>
              <c:numCache>
                <c:formatCode>0%</c:formatCode>
                <c:ptCount val="10"/>
                <c:pt idx="0">
                  <c:v>0.19809782837312293</c:v>
                </c:pt>
                <c:pt idx="1">
                  <c:v>0.24106162801644795</c:v>
                </c:pt>
                <c:pt idx="2">
                  <c:v>0.18276273282352001</c:v>
                </c:pt>
                <c:pt idx="3">
                  <c:v>0.13293730112742391</c:v>
                </c:pt>
                <c:pt idx="4">
                  <c:v>0.22949915261109038</c:v>
                </c:pt>
                <c:pt idx="5">
                  <c:v>0.15363309818900253</c:v>
                </c:pt>
                <c:pt idx="6">
                  <c:v>0.16262170110976773</c:v>
                </c:pt>
                <c:pt idx="7">
                  <c:v>0.20494047590417946</c:v>
                </c:pt>
                <c:pt idx="8">
                  <c:v>0.18657185671967791</c:v>
                </c:pt>
                <c:pt idx="9">
                  <c:v>0.13165906929673935</c:v>
                </c:pt>
              </c:numCache>
            </c:numRef>
          </c:val>
        </c:ser>
        <c:ser>
          <c:idx val="1"/>
          <c:order val="1"/>
          <c:tx>
            <c:strRef>
              <c:f>'Low activity over 10m'!$C$89</c:f>
              <c:strCache>
                <c:ptCount val="1"/>
                <c:pt idx="0">
                  <c:v>Lobsters</c:v>
                </c:pt>
              </c:strCache>
            </c:strRef>
          </c:tx>
          <c:spPr>
            <a:solidFill>
              <a:srgbClr val="7F2321"/>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10m'!$D$89:$M$89</c:f>
              <c:numCache>
                <c:formatCode>0%</c:formatCode>
                <c:ptCount val="10"/>
                <c:pt idx="0">
                  <c:v>0.1089980515901212</c:v>
                </c:pt>
                <c:pt idx="1">
                  <c:v>0.10554377444185399</c:v>
                </c:pt>
                <c:pt idx="3">
                  <c:v>0.13655562752998771</c:v>
                </c:pt>
                <c:pt idx="4">
                  <c:v>0.11154984410367207</c:v>
                </c:pt>
                <c:pt idx="5">
                  <c:v>0.10853341111987612</c:v>
                </c:pt>
                <c:pt idx="6">
                  <c:v>0.1330052178944269</c:v>
                </c:pt>
                <c:pt idx="7">
                  <c:v>8.2183676972432715E-2</c:v>
                </c:pt>
                <c:pt idx="8">
                  <c:v>0.13018242654258591</c:v>
                </c:pt>
                <c:pt idx="9">
                  <c:v>7.5962607269105809E-2</c:v>
                </c:pt>
              </c:numCache>
            </c:numRef>
          </c:val>
        </c:ser>
        <c:ser>
          <c:idx val="2"/>
          <c:order val="2"/>
          <c:tx>
            <c:strRef>
              <c:f>'Low activity over 10m'!$C$90</c:f>
              <c:strCache>
                <c:ptCount val="1"/>
                <c:pt idx="0">
                  <c:v>Scallops</c:v>
                </c:pt>
              </c:strCache>
            </c:strRef>
          </c:tx>
          <c:spPr>
            <a:solidFill>
              <a:srgbClr val="607A2A"/>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10m'!$D$90:$M$90</c:f>
              <c:numCache>
                <c:formatCode>0%</c:formatCode>
                <c:ptCount val="10"/>
                <c:pt idx="0">
                  <c:v>8.0412246201151227E-2</c:v>
                </c:pt>
                <c:pt idx="1">
                  <c:v>9.725902646277898E-2</c:v>
                </c:pt>
                <c:pt idx="2">
                  <c:v>0.11534079392850478</c:v>
                </c:pt>
                <c:pt idx="3">
                  <c:v>9.2741048608036128E-2</c:v>
                </c:pt>
                <c:pt idx="6">
                  <c:v>0.17490689618251651</c:v>
                </c:pt>
                <c:pt idx="8">
                  <c:v>0.10954844374888027</c:v>
                </c:pt>
              </c:numCache>
            </c:numRef>
          </c:val>
        </c:ser>
        <c:ser>
          <c:idx val="3"/>
          <c:order val="3"/>
          <c:tx>
            <c:strRef>
              <c:f>'Low activity over 10m'!$C$91</c:f>
              <c:strCache>
                <c:ptCount val="1"/>
                <c:pt idx="0">
                  <c:v>Sole</c:v>
                </c:pt>
              </c:strCache>
            </c:strRef>
          </c:tx>
          <c:spPr>
            <a:solidFill>
              <a:srgbClr val="4B3467"/>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10m'!$D$91:$M$91</c:f>
              <c:numCache>
                <c:formatCode>0%</c:formatCode>
                <c:ptCount val="10"/>
                <c:pt idx="0">
                  <c:v>8.4519594507642459E-2</c:v>
                </c:pt>
                <c:pt idx="2">
                  <c:v>0.15739368163257531</c:v>
                </c:pt>
                <c:pt idx="3">
                  <c:v>8.2454200614257192E-2</c:v>
                </c:pt>
                <c:pt idx="4">
                  <c:v>6.3227497116733269E-2</c:v>
                </c:pt>
                <c:pt idx="5">
                  <c:v>8.4701352539621078E-2</c:v>
                </c:pt>
                <c:pt idx="6">
                  <c:v>7.0900905024044933E-2</c:v>
                </c:pt>
                <c:pt idx="7">
                  <c:v>0.118001454659359</c:v>
                </c:pt>
                <c:pt idx="8">
                  <c:v>7.7407093836612997E-2</c:v>
                </c:pt>
                <c:pt idx="9">
                  <c:v>8.6767386070206592E-2</c:v>
                </c:pt>
              </c:numCache>
            </c:numRef>
          </c:val>
        </c:ser>
        <c:ser>
          <c:idx val="4"/>
          <c:order val="4"/>
          <c:tx>
            <c:strRef>
              <c:f>'Low activity over 10m'!$C$92</c:f>
              <c:strCache>
                <c:ptCount val="1"/>
                <c:pt idx="0">
                  <c:v>Brown Shrimps</c:v>
                </c:pt>
              </c:strCache>
            </c:strRef>
          </c:tx>
          <c:spPr>
            <a:solidFill>
              <a:srgbClr val="9B2D2A"/>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10m'!$D$92:$M$92</c:f>
              <c:numCache>
                <c:formatCode>0%</c:formatCode>
                <c:ptCount val="10"/>
                <c:pt idx="0">
                  <c:v>0.134202819507697</c:v>
                </c:pt>
                <c:pt idx="1">
                  <c:v>0.10840415019037676</c:v>
                </c:pt>
                <c:pt idx="2">
                  <c:v>0.13248985844092476</c:v>
                </c:pt>
                <c:pt idx="4">
                  <c:v>0.14774124281026196</c:v>
                </c:pt>
                <c:pt idx="5">
                  <c:v>0.18337251251827327</c:v>
                </c:pt>
                <c:pt idx="8">
                  <c:v>6.475711513572624E-2</c:v>
                </c:pt>
              </c:numCache>
            </c:numRef>
          </c:val>
        </c:ser>
        <c:ser>
          <c:idx val="5"/>
          <c:order val="5"/>
          <c:tx>
            <c:strRef>
              <c:f>'Low activity over 10m'!$C$93</c:f>
              <c:strCache>
                <c:ptCount val="1"/>
                <c:pt idx="0">
                  <c:v>Pilchards</c:v>
                </c:pt>
              </c:strCache>
            </c:strRef>
          </c:tx>
          <c:spPr>
            <a:solidFill>
              <a:srgbClr val="769535"/>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10m'!$D$93:$M$93</c:f>
              <c:numCache>
                <c:formatCode>0%</c:formatCode>
                <c:ptCount val="10"/>
                <c:pt idx="9">
                  <c:v>0.44221804527872799</c:v>
                </c:pt>
              </c:numCache>
            </c:numRef>
          </c:val>
        </c:ser>
        <c:ser>
          <c:idx val="6"/>
          <c:order val="6"/>
          <c:tx>
            <c:strRef>
              <c:f>'Low activity over 10m'!$C$94</c:f>
              <c:strCache>
                <c:ptCount val="1"/>
                <c:pt idx="0">
                  <c:v>Anchovy</c:v>
                </c:pt>
              </c:strCache>
            </c:strRef>
          </c:tx>
          <c:spPr>
            <a:solidFill>
              <a:srgbClr val="A85816"/>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10m'!$D$94:$M$94</c:f>
              <c:numCache>
                <c:formatCode>0%</c:formatCode>
                <c:ptCount val="10"/>
                <c:pt idx="9">
                  <c:v>0.26339289208522026</c:v>
                </c:pt>
              </c:numCache>
            </c:numRef>
          </c:val>
        </c:ser>
        <c:ser>
          <c:idx val="7"/>
          <c:order val="7"/>
          <c:tx>
            <c:strRef>
              <c:f>'Low activity over 10m'!$C$95</c:f>
              <c:strCache>
                <c:ptCount val="1"/>
                <c:pt idx="0">
                  <c:v>Cockles</c:v>
                </c:pt>
              </c:strCache>
            </c:strRef>
          </c:tx>
          <c:spPr>
            <a:solidFill>
              <a:srgbClr val="5D417E"/>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10m'!$D$95:$M$95</c:f>
              <c:numCache>
                <c:formatCode>0%</c:formatCode>
                <c:ptCount val="10"/>
                <c:pt idx="6">
                  <c:v>7.8018301237540694E-2</c:v>
                </c:pt>
                <c:pt idx="7">
                  <c:v>7.6291344611477588E-2</c:v>
                </c:pt>
              </c:numCache>
            </c:numRef>
          </c:val>
        </c:ser>
        <c:ser>
          <c:idx val="8"/>
          <c:order val="8"/>
          <c:tx>
            <c:strRef>
              <c:f>'Low activity over 10m'!$C$96</c:f>
              <c:strCache>
                <c:ptCount val="1"/>
                <c:pt idx="0">
                  <c:v>Velvet Crab</c:v>
                </c:pt>
              </c:strCache>
            </c:strRef>
          </c:tx>
          <c:spPr>
            <a:solidFill>
              <a:srgbClr val="2787A0"/>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10m'!$D$96:$M$96</c:f>
              <c:numCache>
                <c:formatCode>0%</c:formatCode>
                <c:ptCount val="10"/>
                <c:pt idx="7">
                  <c:v>7.2281524533510971E-2</c:v>
                </c:pt>
              </c:numCache>
            </c:numRef>
          </c:val>
        </c:ser>
        <c:ser>
          <c:idx val="9"/>
          <c:order val="9"/>
          <c:tx>
            <c:strRef>
              <c:f>'Low activity over 10m'!$C$97</c:f>
              <c:strCache>
                <c:ptCount val="1"/>
                <c:pt idx="0">
                  <c:v>Whelks</c:v>
                </c:pt>
              </c:strCache>
            </c:strRef>
          </c:tx>
          <c:spPr>
            <a:solidFill>
              <a:srgbClr val="CB6C1D"/>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10m'!$D$97:$M$97</c:f>
              <c:numCache>
                <c:formatCode>0%</c:formatCode>
                <c:ptCount val="10"/>
                <c:pt idx="1">
                  <c:v>8.737304939563581E-2</c:v>
                </c:pt>
                <c:pt idx="5">
                  <c:v>0.10792965199475713</c:v>
                </c:pt>
              </c:numCache>
            </c:numRef>
          </c:val>
        </c:ser>
        <c:ser>
          <c:idx val="10"/>
          <c:order val="10"/>
          <c:tx>
            <c:strRef>
              <c:f>'Low activity over 10m'!$C$98</c:f>
              <c:strCache>
                <c:ptCount val="1"/>
                <c:pt idx="0">
                  <c:v>Thornback Ray</c:v>
                </c:pt>
              </c:strCache>
            </c:strRef>
          </c:tx>
          <c:spPr>
            <a:solidFill>
              <a:srgbClr val="7888A4"/>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10m'!$D$98:$M$98</c:f>
              <c:numCache>
                <c:formatCode>0%</c:formatCode>
                <c:ptCount val="10"/>
                <c:pt idx="4">
                  <c:v>3.985806668560922E-2</c:v>
                </c:pt>
              </c:numCache>
            </c:numRef>
          </c:val>
        </c:ser>
        <c:ser>
          <c:idx val="11"/>
          <c:order val="11"/>
          <c:tx>
            <c:strRef>
              <c:f>'Low activity over 10m'!$C$99</c:f>
              <c:strCache>
                <c:ptCount val="1"/>
                <c:pt idx="0">
                  <c:v>Brown Crab</c:v>
                </c:pt>
              </c:strCache>
            </c:strRef>
          </c:tx>
          <c:spPr>
            <a:solidFill>
              <a:srgbClr val="A67877"/>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10m'!$D$99:$M$99</c:f>
              <c:numCache>
                <c:formatCode>0%</c:formatCode>
                <c:ptCount val="10"/>
                <c:pt idx="2">
                  <c:v>0.14898166296271761</c:v>
                </c:pt>
                <c:pt idx="3">
                  <c:v>6.2751296726969163E-2</c:v>
                </c:pt>
              </c:numCache>
            </c:numRef>
          </c:val>
        </c:ser>
        <c:ser>
          <c:idx val="12"/>
          <c:order val="12"/>
          <c:tx>
            <c:strRef>
              <c:f>'Low activity over 10m'!$C$100</c:f>
              <c:strCache>
                <c:ptCount val="1"/>
                <c:pt idx="0">
                  <c:v>Others</c:v>
                </c:pt>
              </c:strCache>
            </c:strRef>
          </c:tx>
          <c:spPr>
            <a:solidFill>
              <a:srgbClr val="008000"/>
            </a:solidFill>
            <a:ln>
              <a:solidFill>
                <a:srgbClr val="FFFFFF"/>
              </a:solidFill>
            </a:ln>
          </c:spPr>
          <c:invertIfNegative val="0"/>
          <c:cat>
            <c:numRef>
              <c:f>'Low activity over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over 10m'!$D$100:$M$100</c:f>
              <c:numCache>
                <c:formatCode>0%</c:formatCode>
                <c:ptCount val="10"/>
                <c:pt idx="0">
                  <c:v>0.39376945982026518</c:v>
                </c:pt>
                <c:pt idx="1">
                  <c:v>0.3603583714929065</c:v>
                </c:pt>
                <c:pt idx="2">
                  <c:v>0.26303127021175754</c:v>
                </c:pt>
                <c:pt idx="3">
                  <c:v>0.4925605253933259</c:v>
                </c:pt>
                <c:pt idx="4">
                  <c:v>0.40812419667263311</c:v>
                </c:pt>
                <c:pt idx="5">
                  <c:v>0.36182997363846992</c:v>
                </c:pt>
                <c:pt idx="6">
                  <c:v>0.38054697855170322</c:v>
                </c:pt>
                <c:pt idx="7">
                  <c:v>0.44630152331904027</c:v>
                </c:pt>
                <c:pt idx="8">
                  <c:v>0.43153306401651664</c:v>
                </c:pt>
                <c:pt idx="9">
                  <c:v>0</c:v>
                </c:pt>
              </c:numCache>
            </c:numRef>
          </c:val>
        </c:ser>
        <c:dLbls>
          <c:showLegendKey val="0"/>
          <c:showVal val="0"/>
          <c:showCatName val="0"/>
          <c:showSerName val="0"/>
          <c:showPercent val="0"/>
          <c:showBubbleSize val="0"/>
        </c:dLbls>
        <c:gapWidth val="150"/>
        <c:overlap val="100"/>
        <c:axId val="150468480"/>
        <c:axId val="150470016"/>
      </c:barChart>
      <c:catAx>
        <c:axId val="150468480"/>
        <c:scaling>
          <c:orientation val="minMax"/>
        </c:scaling>
        <c:delete val="0"/>
        <c:axPos val="b"/>
        <c:numFmt formatCode="General" sourceLinked="1"/>
        <c:majorTickMark val="out"/>
        <c:minorTickMark val="none"/>
        <c:tickLblPos val="nextTo"/>
        <c:crossAx val="150470016"/>
        <c:crosses val="autoZero"/>
        <c:auto val="1"/>
        <c:lblAlgn val="ctr"/>
        <c:lblOffset val="100"/>
        <c:noMultiLvlLbl val="0"/>
      </c:catAx>
      <c:valAx>
        <c:axId val="150470016"/>
        <c:scaling>
          <c:orientation val="minMax"/>
          <c:max val="1"/>
          <c:min val="0"/>
        </c:scaling>
        <c:delete val="0"/>
        <c:axPos val="l"/>
        <c:majorGridlines/>
        <c:numFmt formatCode="0%" sourceLinked="1"/>
        <c:majorTickMark val="out"/>
        <c:minorTickMark val="none"/>
        <c:tickLblPos val="nextTo"/>
        <c:crossAx val="15046848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10m'!$A$45</c:f>
          <c:strCache>
            <c:ptCount val="1"/>
            <c:pt idx="0">
              <c:v>Landings per kW day at sea (kg)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'Low activity under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10m'!$D$20:$M$20</c:f>
              <c:numCache>
                <c:formatCode>#,##0.00</c:formatCode>
                <c:ptCount val="10"/>
                <c:pt idx="0">
                  <c:v>1.7961222109264809</c:v>
                </c:pt>
                <c:pt idx="1">
                  <c:v>1.3104896825563013</c:v>
                </c:pt>
                <c:pt idx="2">
                  <c:v>1.5154195843342713</c:v>
                </c:pt>
                <c:pt idx="3">
                  <c:v>1.5509480447126351</c:v>
                </c:pt>
                <c:pt idx="4">
                  <c:v>1.7639601410073402</c:v>
                </c:pt>
                <c:pt idx="5">
                  <c:v>1.8110880255382931</c:v>
                </c:pt>
                <c:pt idx="6">
                  <c:v>2.0788121665292256</c:v>
                </c:pt>
                <c:pt idx="7">
                  <c:v>1.5782157819734923</c:v>
                </c:pt>
                <c:pt idx="8">
                  <c:v>1.5204185579417067</c:v>
                </c:pt>
                <c:pt idx="9">
                  <c:v>1.4942879680309453</c:v>
                </c:pt>
              </c:numCache>
            </c:numRef>
          </c:val>
          <c:smooth val="0"/>
        </c:ser>
        <c:dLbls>
          <c:showLegendKey val="0"/>
          <c:showVal val="0"/>
          <c:showCatName val="0"/>
          <c:showSerName val="0"/>
          <c:showPercent val="0"/>
          <c:showBubbleSize val="0"/>
        </c:dLbls>
        <c:marker val="1"/>
        <c:smooth val="0"/>
        <c:axId val="150710144"/>
        <c:axId val="150711680"/>
      </c:lineChart>
      <c:catAx>
        <c:axId val="150710144"/>
        <c:scaling>
          <c:orientation val="minMax"/>
        </c:scaling>
        <c:delete val="0"/>
        <c:axPos val="b"/>
        <c:numFmt formatCode="General" sourceLinked="1"/>
        <c:majorTickMark val="out"/>
        <c:minorTickMark val="none"/>
        <c:tickLblPos val="nextTo"/>
        <c:crossAx val="150711680"/>
        <c:crosses val="autoZero"/>
        <c:auto val="1"/>
        <c:lblAlgn val="ctr"/>
        <c:lblOffset val="100"/>
        <c:noMultiLvlLbl val="0"/>
      </c:catAx>
      <c:valAx>
        <c:axId val="150711680"/>
        <c:scaling>
          <c:orientation val="minMax"/>
        </c:scaling>
        <c:delete val="0"/>
        <c:axPos val="l"/>
        <c:majorGridlines>
          <c:spPr>
            <a:ln w="3175">
              <a:prstDash val="sysDot"/>
            </a:ln>
          </c:spPr>
        </c:majorGridlines>
        <c:numFmt formatCode="#,##0.00" sourceLinked="1"/>
        <c:majorTickMark val="out"/>
        <c:minorTickMark val="none"/>
        <c:tickLblPos val="nextTo"/>
        <c:crossAx val="150710144"/>
        <c:crosses val="autoZero"/>
        <c:crossBetween val="between"/>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10m'!$F$45</c:f>
          <c:strCache>
            <c:ptCount val="1"/>
            <c:pt idx="0">
              <c:v>Income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'Low activity under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10m'!$D$21:$M$21</c:f>
              <c:numCache>
                <c:formatCode>#,##0.00</c:formatCode>
                <c:ptCount val="10"/>
                <c:pt idx="0">
                  <c:v>2.7015344228856875</c:v>
                </c:pt>
                <c:pt idx="1">
                  <c:v>2.8113013546664432</c:v>
                </c:pt>
                <c:pt idx="2">
                  <c:v>3.4341510311612193</c:v>
                </c:pt>
                <c:pt idx="3">
                  <c:v>3.4457465401399245</c:v>
                </c:pt>
                <c:pt idx="4">
                  <c:v>3.7988267596193075</c:v>
                </c:pt>
                <c:pt idx="5">
                  <c:v>3.8796358512133522</c:v>
                </c:pt>
                <c:pt idx="6">
                  <c:v>3.8035133872960585</c:v>
                </c:pt>
                <c:pt idx="7">
                  <c:v>3.9616317206582754</c:v>
                </c:pt>
                <c:pt idx="8">
                  <c:v>3.6695162897938505</c:v>
                </c:pt>
                <c:pt idx="9">
                  <c:v>3.2314296401774909</c:v>
                </c:pt>
              </c:numCache>
            </c:numRef>
          </c:val>
          <c:smooth val="0"/>
        </c:ser>
        <c:dLbls>
          <c:showLegendKey val="0"/>
          <c:showVal val="0"/>
          <c:showCatName val="0"/>
          <c:showSerName val="0"/>
          <c:showPercent val="0"/>
          <c:showBubbleSize val="0"/>
        </c:dLbls>
        <c:marker val="1"/>
        <c:smooth val="0"/>
        <c:axId val="150744448"/>
        <c:axId val="150762624"/>
      </c:lineChart>
      <c:catAx>
        <c:axId val="150744448"/>
        <c:scaling>
          <c:orientation val="minMax"/>
        </c:scaling>
        <c:delete val="0"/>
        <c:axPos val="b"/>
        <c:numFmt formatCode="General" sourceLinked="1"/>
        <c:majorTickMark val="out"/>
        <c:minorTickMark val="none"/>
        <c:tickLblPos val="nextTo"/>
        <c:crossAx val="150762624"/>
        <c:crosses val="autoZero"/>
        <c:auto val="1"/>
        <c:lblAlgn val="ctr"/>
        <c:lblOffset val="100"/>
        <c:noMultiLvlLbl val="0"/>
      </c:catAx>
      <c:valAx>
        <c:axId val="150762624"/>
        <c:scaling>
          <c:orientation val="minMax"/>
        </c:scaling>
        <c:delete val="0"/>
        <c:axPos val="l"/>
        <c:majorGridlines>
          <c:spPr>
            <a:ln w="3175">
              <a:prstDash val="sysDot"/>
            </a:ln>
          </c:spPr>
        </c:majorGridlines>
        <c:numFmt formatCode="#,##0.00" sourceLinked="1"/>
        <c:majorTickMark val="out"/>
        <c:minorTickMark val="none"/>
        <c:tickLblPos val="nextTo"/>
        <c:crossAx val="150744448"/>
        <c:crosses val="autoZero"/>
        <c:crossBetween val="between"/>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10m'!$K$45</c:f>
          <c:strCache>
            <c:ptCount val="1"/>
            <c:pt idx="0">
              <c:v>Operating profit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'Low activity under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10m'!$D$23:$M$23</c:f>
              <c:numCache>
                <c:formatCode>#,##0.00</c:formatCode>
                <c:ptCount val="10"/>
                <c:pt idx="0">
                  <c:v>0.1934972133313575</c:v>
                </c:pt>
                <c:pt idx="1">
                  <c:v>0.59165524496845168</c:v>
                </c:pt>
                <c:pt idx="2">
                  <c:v>1.0908823916767241</c:v>
                </c:pt>
                <c:pt idx="3">
                  <c:v>1.0205732905878326</c:v>
                </c:pt>
                <c:pt idx="4">
                  <c:v>1.1694184976805226</c:v>
                </c:pt>
                <c:pt idx="5">
                  <c:v>0.30199316360284939</c:v>
                </c:pt>
                <c:pt idx="6">
                  <c:v>0.6428465612996459</c:v>
                </c:pt>
                <c:pt idx="7">
                  <c:v>0.84876616496735491</c:v>
                </c:pt>
                <c:pt idx="8">
                  <c:v>-0.34760604652294058</c:v>
                </c:pt>
                <c:pt idx="9">
                  <c:v>-0.32134854002175967</c:v>
                </c:pt>
              </c:numCache>
            </c:numRef>
          </c:val>
          <c:smooth val="0"/>
        </c:ser>
        <c:dLbls>
          <c:showLegendKey val="0"/>
          <c:showVal val="0"/>
          <c:showCatName val="0"/>
          <c:showSerName val="0"/>
          <c:showPercent val="0"/>
          <c:showBubbleSize val="0"/>
        </c:dLbls>
        <c:marker val="1"/>
        <c:smooth val="0"/>
        <c:axId val="150799488"/>
        <c:axId val="150801024"/>
      </c:lineChart>
      <c:catAx>
        <c:axId val="150799488"/>
        <c:scaling>
          <c:orientation val="minMax"/>
        </c:scaling>
        <c:delete val="0"/>
        <c:axPos val="b"/>
        <c:numFmt formatCode="General" sourceLinked="1"/>
        <c:majorTickMark val="out"/>
        <c:minorTickMark val="none"/>
        <c:tickLblPos val="nextTo"/>
        <c:crossAx val="150801024"/>
        <c:crosses val="autoZero"/>
        <c:auto val="1"/>
        <c:lblAlgn val="ctr"/>
        <c:lblOffset val="100"/>
        <c:noMultiLvlLbl val="0"/>
      </c:catAx>
      <c:valAx>
        <c:axId val="150801024"/>
        <c:scaling>
          <c:orientation val="minMax"/>
        </c:scaling>
        <c:delete val="0"/>
        <c:axPos val="l"/>
        <c:majorGridlines>
          <c:spPr>
            <a:ln w="3175">
              <a:prstDash val="sysDot"/>
            </a:ln>
          </c:spPr>
        </c:majorGridlines>
        <c:numFmt formatCode="#,##0.00" sourceLinked="1"/>
        <c:majorTickMark val="out"/>
        <c:minorTickMark val="none"/>
        <c:tickLblPos val="nextTo"/>
        <c:crossAx val="150799488"/>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10m'!$B$59</c:f>
          <c:strCache>
            <c:ptCount val="1"/>
            <c:pt idx="0">
              <c:v>Total cost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'Low activity under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10m'!$D$22:$M$22</c:f>
              <c:numCache>
                <c:formatCode>#,##0.00</c:formatCode>
                <c:ptCount val="10"/>
                <c:pt idx="0">
                  <c:v>2.508037209554332</c:v>
                </c:pt>
                <c:pt idx="1">
                  <c:v>2.2196461096979934</c:v>
                </c:pt>
                <c:pt idx="2">
                  <c:v>2.3432686394844953</c:v>
                </c:pt>
                <c:pt idx="3">
                  <c:v>2.425173249552083</c:v>
                </c:pt>
                <c:pt idx="4">
                  <c:v>2.6294082619387851</c:v>
                </c:pt>
                <c:pt idx="5">
                  <c:v>3.5776426876105005</c:v>
                </c:pt>
                <c:pt idx="6">
                  <c:v>3.160666825996417</c:v>
                </c:pt>
                <c:pt idx="7">
                  <c:v>3.1128655556909166</c:v>
                </c:pt>
                <c:pt idx="8">
                  <c:v>4.0171223363167945</c:v>
                </c:pt>
                <c:pt idx="9">
                  <c:v>3.5527781801992524</c:v>
                </c:pt>
              </c:numCache>
            </c:numRef>
          </c:val>
          <c:smooth val="0"/>
        </c:ser>
        <c:dLbls>
          <c:showLegendKey val="0"/>
          <c:showVal val="0"/>
          <c:showCatName val="0"/>
          <c:showSerName val="0"/>
          <c:showPercent val="0"/>
          <c:showBubbleSize val="0"/>
        </c:dLbls>
        <c:marker val="1"/>
        <c:smooth val="0"/>
        <c:axId val="150829696"/>
        <c:axId val="150831488"/>
      </c:lineChart>
      <c:catAx>
        <c:axId val="150829696"/>
        <c:scaling>
          <c:orientation val="minMax"/>
        </c:scaling>
        <c:delete val="0"/>
        <c:axPos val="b"/>
        <c:numFmt formatCode="General" sourceLinked="1"/>
        <c:majorTickMark val="out"/>
        <c:minorTickMark val="none"/>
        <c:tickLblPos val="nextTo"/>
        <c:crossAx val="150831488"/>
        <c:crosses val="autoZero"/>
        <c:auto val="1"/>
        <c:lblAlgn val="ctr"/>
        <c:lblOffset val="100"/>
        <c:noMultiLvlLbl val="0"/>
      </c:catAx>
      <c:valAx>
        <c:axId val="150831488"/>
        <c:scaling>
          <c:orientation val="minMax"/>
        </c:scaling>
        <c:delete val="0"/>
        <c:axPos val="l"/>
        <c:majorGridlines>
          <c:spPr>
            <a:ln w="3175">
              <a:prstDash val="sysDot"/>
            </a:ln>
          </c:spPr>
        </c:majorGridlines>
        <c:numFmt formatCode="#,##0.00" sourceLinked="1"/>
        <c:majorTickMark val="out"/>
        <c:minorTickMark val="none"/>
        <c:tickLblPos val="nextTo"/>
        <c:crossAx val="150829696"/>
        <c:crosses val="autoZero"/>
        <c:crossBetween val="between"/>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10m'!$F$59</c:f>
          <c:strCache>
            <c:ptCount val="1"/>
            <c:pt idx="0">
              <c:v>Average price per tonne landed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'Low activity under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10m'!$D$19:$M$19</c:f>
              <c:numCache>
                <c:formatCode>#,##0</c:formatCode>
                <c:ptCount val="10"/>
                <c:pt idx="0">
                  <c:v>1504.0926226275653</c:v>
                </c:pt>
                <c:pt idx="1">
                  <c:v>2145.2296830758551</c:v>
                </c:pt>
                <c:pt idx="2">
                  <c:v>2266.1387706587284</c:v>
                </c:pt>
                <c:pt idx="3">
                  <c:v>2221.7035464472406</c:v>
                </c:pt>
                <c:pt idx="4">
                  <c:v>2153.5786249446805</c:v>
                </c:pt>
                <c:pt idx="5">
                  <c:v>2142.1573107726217</c:v>
                </c:pt>
                <c:pt idx="6">
                  <c:v>1829.6571721148496</c:v>
                </c:pt>
                <c:pt idx="7">
                  <c:v>2510.196352945939</c:v>
                </c:pt>
                <c:pt idx="8">
                  <c:v>2413.4909250080077</c:v>
                </c:pt>
                <c:pt idx="9">
                  <c:v>2162.5211866481841</c:v>
                </c:pt>
              </c:numCache>
            </c:numRef>
          </c:val>
          <c:smooth val="0"/>
        </c:ser>
        <c:dLbls>
          <c:showLegendKey val="0"/>
          <c:showVal val="0"/>
          <c:showCatName val="0"/>
          <c:showSerName val="0"/>
          <c:showPercent val="0"/>
          <c:showBubbleSize val="0"/>
        </c:dLbls>
        <c:marker val="1"/>
        <c:smooth val="0"/>
        <c:axId val="156311936"/>
        <c:axId val="156313472"/>
      </c:lineChart>
      <c:catAx>
        <c:axId val="156311936"/>
        <c:scaling>
          <c:orientation val="minMax"/>
        </c:scaling>
        <c:delete val="0"/>
        <c:axPos val="b"/>
        <c:numFmt formatCode="General" sourceLinked="1"/>
        <c:majorTickMark val="out"/>
        <c:minorTickMark val="none"/>
        <c:tickLblPos val="nextTo"/>
        <c:crossAx val="156313472"/>
        <c:crosses val="autoZero"/>
        <c:auto val="1"/>
        <c:lblAlgn val="ctr"/>
        <c:lblOffset val="100"/>
        <c:noMultiLvlLbl val="0"/>
      </c:catAx>
      <c:valAx>
        <c:axId val="156313472"/>
        <c:scaling>
          <c:orientation val="minMax"/>
        </c:scaling>
        <c:delete val="0"/>
        <c:axPos val="l"/>
        <c:majorGridlines>
          <c:spPr>
            <a:ln w="3175">
              <a:prstDash val="sysDot"/>
            </a:ln>
          </c:spPr>
        </c:majorGridlines>
        <c:numFmt formatCode="#,##0" sourceLinked="1"/>
        <c:majorTickMark val="out"/>
        <c:minorTickMark val="none"/>
        <c:tickLblPos val="nextTo"/>
        <c:crossAx val="156311936"/>
        <c:crosses val="autoZero"/>
        <c:crossBetween val="between"/>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10m'!$K$59</c:f>
          <c:strCache>
            <c:ptCount val="1"/>
            <c:pt idx="0">
              <c:v>Average annual operating profit per vessel (£'000)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'Low activity under 10m'!$D$2:$M$2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10m'!$D$34:$M$34</c:f>
              <c:numCache>
                <c:formatCode>#,##0.0</c:formatCode>
                <c:ptCount val="10"/>
                <c:pt idx="0">
                  <c:v>0.24403799781376725</c:v>
                </c:pt>
                <c:pt idx="1">
                  <c:v>0.66826394914016829</c:v>
                </c:pt>
                <c:pt idx="2">
                  <c:v>1.0311839733020718</c:v>
                </c:pt>
                <c:pt idx="3">
                  <c:v>0.97269701296312894</c:v>
                </c:pt>
                <c:pt idx="4">
                  <c:v>0.99195801589821353</c:v>
                </c:pt>
                <c:pt idx="5">
                  <c:v>0.27911699636508369</c:v>
                </c:pt>
                <c:pt idx="6">
                  <c:v>0.57009599550032286</c:v>
                </c:pt>
                <c:pt idx="7">
                  <c:v>0.67615799339174087</c:v>
                </c:pt>
                <c:pt idx="8">
                  <c:v>-0.29496899481151251</c:v>
                </c:pt>
                <c:pt idx="9">
                  <c:v>-0.29999999883445405</c:v>
                </c:pt>
              </c:numCache>
            </c:numRef>
          </c:val>
          <c:smooth val="0"/>
        </c:ser>
        <c:dLbls>
          <c:showLegendKey val="0"/>
          <c:showVal val="0"/>
          <c:showCatName val="0"/>
          <c:showSerName val="0"/>
          <c:showPercent val="0"/>
          <c:showBubbleSize val="0"/>
        </c:dLbls>
        <c:marker val="1"/>
        <c:smooth val="0"/>
        <c:axId val="156329856"/>
        <c:axId val="156331392"/>
      </c:lineChart>
      <c:catAx>
        <c:axId val="156329856"/>
        <c:scaling>
          <c:orientation val="minMax"/>
        </c:scaling>
        <c:delete val="0"/>
        <c:axPos val="b"/>
        <c:numFmt formatCode="General" sourceLinked="1"/>
        <c:majorTickMark val="out"/>
        <c:minorTickMark val="none"/>
        <c:tickLblPos val="nextTo"/>
        <c:crossAx val="156331392"/>
        <c:crosses val="autoZero"/>
        <c:auto val="1"/>
        <c:lblAlgn val="ctr"/>
        <c:lblOffset val="100"/>
        <c:noMultiLvlLbl val="0"/>
      </c:catAx>
      <c:valAx>
        <c:axId val="156331392"/>
        <c:scaling>
          <c:orientation val="minMax"/>
        </c:scaling>
        <c:delete val="0"/>
        <c:axPos val="l"/>
        <c:majorGridlines>
          <c:spPr>
            <a:ln w="3175">
              <a:prstDash val="sysDot"/>
            </a:ln>
          </c:spPr>
        </c:majorGridlines>
        <c:numFmt formatCode="#,##0.0" sourceLinked="1"/>
        <c:majorTickMark val="out"/>
        <c:minorTickMark val="none"/>
        <c:tickLblPos val="nextTo"/>
        <c:crossAx val="156329856"/>
        <c:crosses val="autoZero"/>
        <c:crossBetween val="between"/>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10m'!$A$73</c:f>
          <c:strCache>
            <c:ptCount val="1"/>
            <c:pt idx="0">
              <c:v>Top 5 landed species by volume in 2013
Low activity under 10m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4B3467"/>
              </a:solidFill>
              <a:ln>
                <a:solidFill>
                  <a:srgbClr val="FFFFFF"/>
                </a:solidFill>
              </a:ln>
            </c:spPr>
          </c:dPt>
          <c:dPt>
            <c:idx val="1"/>
            <c:bubble3D val="0"/>
            <c:spPr>
              <a:solidFill>
                <a:srgbClr val="9B2D2A"/>
              </a:solidFill>
              <a:ln>
                <a:solidFill>
                  <a:srgbClr val="FFFFFF"/>
                </a:solidFill>
              </a:ln>
            </c:spPr>
          </c:dPt>
          <c:dPt>
            <c:idx val="2"/>
            <c:bubble3D val="0"/>
            <c:spPr>
              <a:solidFill>
                <a:srgbClr val="769535"/>
              </a:solidFill>
              <a:ln>
                <a:solidFill>
                  <a:srgbClr val="FFFFFF"/>
                </a:solidFill>
              </a:ln>
            </c:spPr>
          </c:dPt>
          <c:dPt>
            <c:idx val="3"/>
            <c:bubble3D val="0"/>
            <c:spPr>
              <a:solidFill>
                <a:srgbClr val="224B7D"/>
              </a:solidFill>
              <a:ln>
                <a:solidFill>
                  <a:srgbClr val="FFFFFF"/>
                </a:solidFill>
              </a:ln>
            </c:spPr>
          </c:dPt>
          <c:dPt>
            <c:idx val="4"/>
            <c:bubble3D val="0"/>
            <c:spPr>
              <a:solidFill>
                <a:srgbClr val="A85816"/>
              </a:solidFill>
              <a:ln>
                <a:solidFill>
                  <a:srgbClr val="FFFFFF"/>
                </a:solidFill>
              </a:ln>
            </c:spPr>
          </c:dPt>
          <c:dPt>
            <c:idx val="5"/>
            <c:bubble3D val="0"/>
            <c:spPr>
              <a:solidFill>
                <a:srgbClr val="008000"/>
              </a:solidFill>
              <a:ln>
                <a:solidFill>
                  <a:srgbClr val="FFFFFF"/>
                </a:solidFill>
              </a:ln>
            </c:spPr>
          </c:dPt>
          <c:cat>
            <c:strRef>
              <c:f>'Low activity under 10m'!$B$74:$B$79</c:f>
              <c:strCache>
                <c:ptCount val="6"/>
                <c:pt idx="0">
                  <c:v>Mackerel - 18.6%</c:v>
                </c:pt>
                <c:pt idx="1">
                  <c:v>Brown Crab - 18.1%</c:v>
                </c:pt>
                <c:pt idx="2">
                  <c:v>Velvet Crab - 7.3%</c:v>
                </c:pt>
                <c:pt idx="3">
                  <c:v>Lobsters - 6.7%</c:v>
                </c:pt>
                <c:pt idx="4">
                  <c:v>Herring - 6.4%</c:v>
                </c:pt>
                <c:pt idx="5">
                  <c:v>Others - 42.9%</c:v>
                </c:pt>
              </c:strCache>
            </c:strRef>
          </c:cat>
          <c:val>
            <c:numRef>
              <c:f>'Low activity under 10m'!$C$74:$C$79</c:f>
              <c:numCache>
                <c:formatCode>0.0%</c:formatCode>
                <c:ptCount val="6"/>
                <c:pt idx="0">
                  <c:v>0.18642708278202411</c:v>
                </c:pt>
                <c:pt idx="1">
                  <c:v>0.18098448860660005</c:v>
                </c:pt>
                <c:pt idx="2">
                  <c:v>7.3305890983088373E-2</c:v>
                </c:pt>
                <c:pt idx="3">
                  <c:v>6.6764313949752269E-2</c:v>
                </c:pt>
                <c:pt idx="4">
                  <c:v>6.3891422017335456E-2</c:v>
                </c:pt>
                <c:pt idx="5">
                  <c:v>0.42862680166119982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trawl'!$F$73</c:f>
          <c:strCache>
            <c:ptCount val="1"/>
            <c:pt idx="0">
              <c:v>Top 5 landed species by value in 2013
Area VIIA demersal trawl</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'Area VIIa demersal trawl'!$G$74:$G$79</c:f>
              <c:strCache>
                <c:ptCount val="6"/>
                <c:pt idx="0">
                  <c:v>Scallops - 38.1%</c:v>
                </c:pt>
                <c:pt idx="1">
                  <c:v>Nephrops - 26.2%</c:v>
                </c:pt>
                <c:pt idx="2">
                  <c:v>Brown Crab - 17.2%</c:v>
                </c:pt>
                <c:pt idx="3">
                  <c:v>Queen Scallops - 11.0%</c:v>
                </c:pt>
                <c:pt idx="4">
                  <c:v>Thornback Ray - 2.8%</c:v>
                </c:pt>
                <c:pt idx="5">
                  <c:v>Others - 4.6%</c:v>
                </c:pt>
              </c:strCache>
            </c:strRef>
          </c:cat>
          <c:val>
            <c:numRef>
              <c:f>'Area VIIa demersal trawl'!$H$74:$H$79</c:f>
              <c:numCache>
                <c:formatCode>0.0%</c:formatCode>
                <c:ptCount val="6"/>
                <c:pt idx="0">
                  <c:v>0.38083638247818657</c:v>
                </c:pt>
                <c:pt idx="1">
                  <c:v>0.26235582298897053</c:v>
                </c:pt>
                <c:pt idx="2">
                  <c:v>0.17239810076043852</c:v>
                </c:pt>
                <c:pt idx="3">
                  <c:v>0.11044061382765927</c:v>
                </c:pt>
                <c:pt idx="4">
                  <c:v>2.7926111568841762E-2</c:v>
                </c:pt>
                <c:pt idx="5">
                  <c:v>4.6042968375903492E-2</c:v>
                </c:pt>
              </c:numCache>
            </c:numRef>
          </c:val>
        </c:ser>
        <c:dLbls>
          <c:showLegendKey val="0"/>
          <c:showVal val="0"/>
          <c:showCatName val="0"/>
          <c:showSerName val="0"/>
          <c:showPercent val="0"/>
          <c:showBubbleSize val="0"/>
          <c:showLeaderLines val="1"/>
        </c:dLbls>
        <c:firstSliceAng val="0"/>
      </c:pieChart>
    </c:plotArea>
    <c:legend>
      <c:legendPos val="l"/>
      <c:layout/>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10m'!$F$73</c:f>
          <c:strCache>
            <c:ptCount val="1"/>
            <c:pt idx="0">
              <c:v>Top 5 landed species by value in 2013
Low activity under 10m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'Low activity under 10m'!$G$74:$G$79</c:f>
              <c:strCache>
                <c:ptCount val="6"/>
                <c:pt idx="0">
                  <c:v>Lobsters - 28.7%</c:v>
                </c:pt>
                <c:pt idx="1">
                  <c:v>Bass - 13.8%</c:v>
                </c:pt>
                <c:pt idx="2">
                  <c:v>Sole - 11.4%</c:v>
                </c:pt>
                <c:pt idx="3">
                  <c:v>Mackerel - 9.0%</c:v>
                </c:pt>
                <c:pt idx="4">
                  <c:v>Brown Crab - 8.8%</c:v>
                </c:pt>
                <c:pt idx="5">
                  <c:v>Others - 28.3%</c:v>
                </c:pt>
              </c:strCache>
            </c:strRef>
          </c:cat>
          <c:val>
            <c:numRef>
              <c:f>'Low activity under 10m'!$H$74:$H$79</c:f>
              <c:numCache>
                <c:formatCode>0.0%</c:formatCode>
                <c:ptCount val="6"/>
                <c:pt idx="0">
                  <c:v>0.28683762339040825</c:v>
                </c:pt>
                <c:pt idx="1">
                  <c:v>0.13849253974861608</c:v>
                </c:pt>
                <c:pt idx="2">
                  <c:v>0.11389936160042601</c:v>
                </c:pt>
                <c:pt idx="3">
                  <c:v>9.0119758702815314E-2</c:v>
                </c:pt>
                <c:pt idx="4">
                  <c:v>8.7540035249621506E-2</c:v>
                </c:pt>
                <c:pt idx="5">
                  <c:v>0.2831106813081129</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'Low activity under 10m'!$C$88</c:f>
              <c:strCache>
                <c:ptCount val="1"/>
                <c:pt idx="0">
                  <c:v>Lobsters</c:v>
                </c:pt>
              </c:strCache>
            </c:strRef>
          </c:tx>
          <c:spPr>
            <a:solidFill>
              <a:srgbClr val="224B7D"/>
            </a:solidFill>
            <a:ln>
              <a:solidFill>
                <a:srgbClr val="FFFFFF"/>
              </a:solidFill>
            </a:ln>
          </c:spPr>
          <c:invertIfNegative val="0"/>
          <c:cat>
            <c:numRef>
              <c:f>'Low activity under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10m'!$D$88:$M$88</c:f>
              <c:numCache>
                <c:formatCode>0%</c:formatCode>
                <c:ptCount val="10"/>
                <c:pt idx="0">
                  <c:v>0.19993339109283162</c:v>
                </c:pt>
                <c:pt idx="1">
                  <c:v>0.34920591475440194</c:v>
                </c:pt>
                <c:pt idx="2">
                  <c:v>0.34131717795897959</c:v>
                </c:pt>
                <c:pt idx="3">
                  <c:v>0.32481358960426898</c:v>
                </c:pt>
                <c:pt idx="4">
                  <c:v>0.29981828039034575</c:v>
                </c:pt>
                <c:pt idx="5">
                  <c:v>0.2986942409255301</c:v>
                </c:pt>
                <c:pt idx="6">
                  <c:v>0.29995731258297059</c:v>
                </c:pt>
                <c:pt idx="7">
                  <c:v>0.29168662313338767</c:v>
                </c:pt>
                <c:pt idx="8">
                  <c:v>0.29172995877577396</c:v>
                </c:pt>
                <c:pt idx="9">
                  <c:v>0.32052624552252046</c:v>
                </c:pt>
              </c:numCache>
            </c:numRef>
          </c:val>
        </c:ser>
        <c:ser>
          <c:idx val="1"/>
          <c:order val="1"/>
          <c:tx>
            <c:strRef>
              <c:f>'Low activity under 10m'!$C$89</c:f>
              <c:strCache>
                <c:ptCount val="1"/>
                <c:pt idx="0">
                  <c:v>Bass</c:v>
                </c:pt>
              </c:strCache>
            </c:strRef>
          </c:tx>
          <c:spPr>
            <a:solidFill>
              <a:srgbClr val="7F2321"/>
            </a:solidFill>
            <a:ln>
              <a:solidFill>
                <a:srgbClr val="FFFFFF"/>
              </a:solidFill>
            </a:ln>
          </c:spPr>
          <c:invertIfNegative val="0"/>
          <c:cat>
            <c:numRef>
              <c:f>'Low activity under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10m'!$D$89:$M$89</c:f>
              <c:numCache>
                <c:formatCode>0%</c:formatCode>
                <c:ptCount val="10"/>
                <c:pt idx="2">
                  <c:v>0.10262999303912212</c:v>
                </c:pt>
                <c:pt idx="3">
                  <c:v>9.9916158539168895E-2</c:v>
                </c:pt>
                <c:pt idx="4">
                  <c:v>0.10993852677881004</c:v>
                </c:pt>
                <c:pt idx="5">
                  <c:v>0.10807230510289059</c:v>
                </c:pt>
                <c:pt idx="6">
                  <c:v>0.11176820854616737</c:v>
                </c:pt>
                <c:pt idx="7">
                  <c:v>0.129258024028853</c:v>
                </c:pt>
                <c:pt idx="8">
                  <c:v>0.14085468438226872</c:v>
                </c:pt>
                <c:pt idx="9">
                  <c:v>0.14734843588554972</c:v>
                </c:pt>
              </c:numCache>
            </c:numRef>
          </c:val>
        </c:ser>
        <c:ser>
          <c:idx val="2"/>
          <c:order val="2"/>
          <c:tx>
            <c:strRef>
              <c:f>'Low activity under 10m'!$C$90</c:f>
              <c:strCache>
                <c:ptCount val="1"/>
                <c:pt idx="0">
                  <c:v>Sole</c:v>
                </c:pt>
              </c:strCache>
            </c:strRef>
          </c:tx>
          <c:spPr>
            <a:solidFill>
              <a:srgbClr val="607A2A"/>
            </a:solidFill>
            <a:ln>
              <a:solidFill>
                <a:srgbClr val="FFFFFF"/>
              </a:solidFill>
            </a:ln>
          </c:spPr>
          <c:invertIfNegative val="0"/>
          <c:cat>
            <c:numRef>
              <c:f>'Low activity under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10m'!$D$90:$M$90</c:f>
              <c:numCache>
                <c:formatCode>0%</c:formatCode>
                <c:ptCount val="10"/>
                <c:pt idx="1">
                  <c:v>6.1121651220296162E-2</c:v>
                </c:pt>
                <c:pt idx="2">
                  <c:v>6.8775342931874123E-2</c:v>
                </c:pt>
                <c:pt idx="4">
                  <c:v>6.6298531546626766E-2</c:v>
                </c:pt>
                <c:pt idx="5">
                  <c:v>6.7370034506640808E-2</c:v>
                </c:pt>
                <c:pt idx="7">
                  <c:v>7.1711782699921414E-2</c:v>
                </c:pt>
                <c:pt idx="8">
                  <c:v>0.11584204216841373</c:v>
                </c:pt>
                <c:pt idx="9">
                  <c:v>8.003365299714138E-2</c:v>
                </c:pt>
              </c:numCache>
            </c:numRef>
          </c:val>
        </c:ser>
        <c:ser>
          <c:idx val="3"/>
          <c:order val="3"/>
          <c:tx>
            <c:strRef>
              <c:f>'Low activity under 10m'!$C$91</c:f>
              <c:strCache>
                <c:ptCount val="1"/>
                <c:pt idx="0">
                  <c:v>Mackerel</c:v>
                </c:pt>
              </c:strCache>
            </c:strRef>
          </c:tx>
          <c:spPr>
            <a:solidFill>
              <a:srgbClr val="4B3467"/>
            </a:solidFill>
            <a:ln>
              <a:solidFill>
                <a:srgbClr val="FFFFFF"/>
              </a:solidFill>
            </a:ln>
          </c:spPr>
          <c:invertIfNegative val="0"/>
          <c:cat>
            <c:numRef>
              <c:f>'Low activity under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10m'!$D$91:$M$91</c:f>
              <c:numCache>
                <c:formatCode>0%</c:formatCode>
                <c:ptCount val="10"/>
                <c:pt idx="0">
                  <c:v>0.11098366238282641</c:v>
                </c:pt>
                <c:pt idx="3">
                  <c:v>7.8648490099521698E-2</c:v>
                </c:pt>
                <c:pt idx="4">
                  <c:v>8.361242968965614E-2</c:v>
                </c:pt>
                <c:pt idx="5">
                  <c:v>9.3690662006917183E-2</c:v>
                </c:pt>
                <c:pt idx="6">
                  <c:v>0.10962366935317229</c:v>
                </c:pt>
                <c:pt idx="7">
                  <c:v>9.7330528199066402E-2</c:v>
                </c:pt>
                <c:pt idx="8">
                  <c:v>9.1656851637873946E-2</c:v>
                </c:pt>
                <c:pt idx="9">
                  <c:v>8.0611936616549459E-2</c:v>
                </c:pt>
              </c:numCache>
            </c:numRef>
          </c:val>
        </c:ser>
        <c:ser>
          <c:idx val="4"/>
          <c:order val="4"/>
          <c:tx>
            <c:strRef>
              <c:f>'Low activity under 10m'!$C$92</c:f>
              <c:strCache>
                <c:ptCount val="1"/>
                <c:pt idx="0">
                  <c:v>Brown Crab</c:v>
                </c:pt>
              </c:strCache>
            </c:strRef>
          </c:tx>
          <c:spPr>
            <a:solidFill>
              <a:srgbClr val="9B2D2A"/>
            </a:solidFill>
            <a:ln>
              <a:solidFill>
                <a:srgbClr val="FFFFFF"/>
              </a:solidFill>
            </a:ln>
          </c:spPr>
          <c:invertIfNegative val="0"/>
          <c:cat>
            <c:numRef>
              <c:f>'Low activity under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10m'!$D$92:$M$92</c:f>
              <c:numCache>
                <c:formatCode>0%</c:formatCode>
                <c:ptCount val="10"/>
                <c:pt idx="0">
                  <c:v>6.9162465467362613E-2</c:v>
                </c:pt>
                <c:pt idx="1">
                  <c:v>0.1019060095122117</c:v>
                </c:pt>
                <c:pt idx="2">
                  <c:v>7.1290690987764832E-2</c:v>
                </c:pt>
                <c:pt idx="3">
                  <c:v>6.6190943630811488E-2</c:v>
                </c:pt>
                <c:pt idx="6">
                  <c:v>6.6720613732758283E-2</c:v>
                </c:pt>
                <c:pt idx="7">
                  <c:v>8.8894972316109738E-2</c:v>
                </c:pt>
                <c:pt idx="8">
                  <c:v>8.9033128125743169E-2</c:v>
                </c:pt>
                <c:pt idx="9">
                  <c:v>7.3619887777531562E-2</c:v>
                </c:pt>
              </c:numCache>
            </c:numRef>
          </c:val>
        </c:ser>
        <c:ser>
          <c:idx val="5"/>
          <c:order val="5"/>
          <c:tx>
            <c:strRef>
              <c:f>'Low activity under 10m'!$C$93</c:f>
              <c:strCache>
                <c:ptCount val="1"/>
                <c:pt idx="0">
                  <c:v>Velvet Crab</c:v>
                </c:pt>
              </c:strCache>
            </c:strRef>
          </c:tx>
          <c:spPr>
            <a:solidFill>
              <a:srgbClr val="769535"/>
            </a:solidFill>
            <a:ln>
              <a:solidFill>
                <a:srgbClr val="FFFFFF"/>
              </a:solidFill>
            </a:ln>
          </c:spPr>
          <c:invertIfNegative val="0"/>
          <c:cat>
            <c:numRef>
              <c:f>'Low activity under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10m'!$D$93:$M$93</c:f>
              <c:numCache>
                <c:formatCode>0%</c:formatCode>
                <c:ptCount val="10"/>
                <c:pt idx="0">
                  <c:v>0.13697756465694613</c:v>
                </c:pt>
                <c:pt idx="1">
                  <c:v>9.8632362230227699E-2</c:v>
                </c:pt>
                <c:pt idx="2">
                  <c:v>8.6435143644419912E-2</c:v>
                </c:pt>
                <c:pt idx="3">
                  <c:v>8.7431881990813545E-2</c:v>
                </c:pt>
                <c:pt idx="4">
                  <c:v>7.5400410092049619E-2</c:v>
                </c:pt>
                <c:pt idx="5">
                  <c:v>7.5686706838971315E-2</c:v>
                </c:pt>
                <c:pt idx="6">
                  <c:v>7.8714336040647911E-2</c:v>
                </c:pt>
              </c:numCache>
            </c:numRef>
          </c:val>
        </c:ser>
        <c:ser>
          <c:idx val="6"/>
          <c:order val="6"/>
          <c:tx>
            <c:strRef>
              <c:f>'Low activity under 10m'!$C$94</c:f>
              <c:strCache>
                <c:ptCount val="1"/>
                <c:pt idx="0">
                  <c:v>Nephrops</c:v>
                </c:pt>
              </c:strCache>
            </c:strRef>
          </c:tx>
          <c:spPr>
            <a:solidFill>
              <a:srgbClr val="A85816"/>
            </a:solidFill>
            <a:ln>
              <a:solidFill>
                <a:srgbClr val="FFFFFF"/>
              </a:solidFill>
            </a:ln>
          </c:spPr>
          <c:invertIfNegative val="0"/>
          <c:cat>
            <c:numRef>
              <c:f>'Low activity under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10m'!$D$94:$M$94</c:f>
              <c:numCache>
                <c:formatCode>0%</c:formatCode>
                <c:ptCount val="10"/>
                <c:pt idx="0">
                  <c:v>0.16412440319995145</c:v>
                </c:pt>
                <c:pt idx="1">
                  <c:v>6.2023341083715128E-2</c:v>
                </c:pt>
              </c:numCache>
            </c:numRef>
          </c:val>
        </c:ser>
        <c:ser>
          <c:idx val="7"/>
          <c:order val="7"/>
          <c:tx>
            <c:strRef>
              <c:f>'Low activity under 10m'!$C$95</c:f>
              <c:strCache>
                <c:ptCount val="1"/>
                <c:pt idx="0">
                  <c:v>Others</c:v>
                </c:pt>
              </c:strCache>
            </c:strRef>
          </c:tx>
          <c:spPr>
            <a:solidFill>
              <a:srgbClr val="008000"/>
            </a:solidFill>
            <a:ln>
              <a:solidFill>
                <a:srgbClr val="FFFFFF"/>
              </a:solidFill>
            </a:ln>
          </c:spPr>
          <c:invertIfNegative val="0"/>
          <c:cat>
            <c:numRef>
              <c:f>'Low activity under 10m'!$D$87:$M$87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'Low activity under 10m'!$D$95:$M$95</c:f>
              <c:numCache>
                <c:formatCode>0%</c:formatCode>
                <c:ptCount val="10"/>
                <c:pt idx="0">
                  <c:v>0.31881851320008181</c:v>
                </c:pt>
                <c:pt idx="1">
                  <c:v>0.32711072119914736</c:v>
                </c:pt>
                <c:pt idx="2">
                  <c:v>0.32955165143783938</c:v>
                </c:pt>
                <c:pt idx="3">
                  <c:v>0.34299893613541538</c:v>
                </c:pt>
                <c:pt idx="4">
                  <c:v>0.36493182150251163</c:v>
                </c:pt>
                <c:pt idx="5">
                  <c:v>0.35648605061904998</c:v>
                </c:pt>
                <c:pt idx="6">
                  <c:v>0.33321585974428353</c:v>
                </c:pt>
                <c:pt idx="7">
                  <c:v>0.32111806962266176</c:v>
                </c:pt>
                <c:pt idx="8">
                  <c:v>0.27088333490992644</c:v>
                </c:pt>
                <c:pt idx="9">
                  <c:v>0.29785984120070741</c:v>
                </c:pt>
              </c:numCache>
            </c:numRef>
          </c:val>
        </c:ser>
        <c:dLbls>
          <c:showLegendKey val="0"/>
          <c:showVal val="0"/>
          <c:showCatName val="0"/>
          <c:showSerName val="0"/>
          <c:showPercent val="0"/>
          <c:showBubbleSize val="0"/>
        </c:dLbls>
        <c:gapWidth val="150"/>
        <c:overlap val="100"/>
        <c:axId val="48281856"/>
        <c:axId val="48295936"/>
      </c:barChart>
      <c:catAx>
        <c:axId val="48281856"/>
        <c:scaling>
          <c:orientation val="minMax"/>
        </c:scaling>
        <c:delete val="0"/>
        <c:axPos val="b"/>
        <c:numFmt formatCode="General" sourceLinked="1"/>
        <c:majorTickMark val="out"/>
        <c:minorTickMark val="none"/>
        <c:tickLblPos val="nextTo"/>
        <c:crossAx val="48295936"/>
        <c:crosses val="autoZero"/>
        <c:auto val="1"/>
        <c:lblAlgn val="ctr"/>
        <c:lblOffset val="100"/>
        <c:noMultiLvlLbl val="0"/>
      </c:catAx>
      <c:valAx>
        <c:axId val="48295936"/>
        <c:scaling>
          <c:orientation val="minMax"/>
          <c:max val="1"/>
          <c:min val="0"/>
        </c:scaling>
        <c:delete val="0"/>
        <c:axPos val="l"/>
        <c:majorGridlines/>
        <c:numFmt formatCode="0%" sourceLinked="1"/>
        <c:majorTickMark val="out"/>
        <c:minorTickMark val="none"/>
        <c:tickLblPos val="nextTo"/>
        <c:crossAx val="4828185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Miscellaneous!$A$45</c:f>
          <c:strCache>
            <c:ptCount val="1"/>
            <c:pt idx="0">
              <c:v>Landings per kW day at sea (kg)
Miscellaneous</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Miscellaneous!$D$2:$M$2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Miscellaneous!$D$20:$M$20</c:f>
              <c:numCache>
                <c:formatCode>#,##0.00</c:formatCode>
                <c:ptCount val="10"/>
                <c:pt idx="0">
                  <c:v>2.0066506533529802</c:v>
                </c:pt>
                <c:pt idx="1">
                  <c:v>5.1005667835281185</c:v>
                </c:pt>
                <c:pt idx="2">
                  <c:v>6.0349409856644387</c:v>
                </c:pt>
                <c:pt idx="3">
                  <c:v>7.0219481152781942</c:v>
                </c:pt>
                <c:pt idx="4">
                  <c:v>5.1581010216877576</c:v>
                </c:pt>
                <c:pt idx="5">
                  <c:v>5.7436220285886694</c:v>
                </c:pt>
                <c:pt idx="6">
                  <c:v>4.873239541151813</c:v>
                </c:pt>
                <c:pt idx="7">
                  <c:v>7.4173561185454107</c:v>
                </c:pt>
                <c:pt idx="8">
                  <c:v>4.6088743322398296</c:v>
                </c:pt>
                <c:pt idx="9">
                  <c:v>2.7038365109036997</c:v>
                </c:pt>
              </c:numCache>
            </c:numRef>
          </c:val>
          <c:smooth val="0"/>
        </c:ser>
        <c:dLbls>
          <c:showLegendKey val="0"/>
          <c:showVal val="0"/>
          <c:showCatName val="0"/>
          <c:showSerName val="0"/>
          <c:showPercent val="0"/>
          <c:showBubbleSize val="0"/>
        </c:dLbls>
        <c:marker val="1"/>
        <c:smooth val="0"/>
        <c:axId val="45606784"/>
        <c:axId val="45608320"/>
      </c:lineChart>
      <c:catAx>
        <c:axId val="45606784"/>
        <c:scaling>
          <c:orientation val="minMax"/>
        </c:scaling>
        <c:delete val="0"/>
        <c:axPos val="b"/>
        <c:numFmt formatCode="General" sourceLinked="1"/>
        <c:majorTickMark val="out"/>
        <c:minorTickMark val="none"/>
        <c:tickLblPos val="nextTo"/>
        <c:crossAx val="45608320"/>
        <c:crosses val="autoZero"/>
        <c:auto val="1"/>
        <c:lblAlgn val="ctr"/>
        <c:lblOffset val="100"/>
        <c:noMultiLvlLbl val="0"/>
      </c:catAx>
      <c:valAx>
        <c:axId val="45608320"/>
        <c:scaling>
          <c:orientation val="minMax"/>
        </c:scaling>
        <c:delete val="0"/>
        <c:axPos val="l"/>
        <c:majorGridlines>
          <c:spPr>
            <a:ln w="3175">
              <a:prstDash val="sysDot"/>
            </a:ln>
          </c:spPr>
        </c:majorGridlines>
        <c:numFmt formatCode="#,##0.00" sourceLinked="1"/>
        <c:majorTickMark val="out"/>
        <c:minorTickMark val="none"/>
        <c:tickLblPos val="nextTo"/>
        <c:crossAx val="45606784"/>
        <c:crosses val="autoZero"/>
        <c:crossBetween val="between"/>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Miscellaneous!$F$45</c:f>
          <c:strCache>
            <c:ptCount val="1"/>
            <c:pt idx="0">
              <c:v>Income per kW day at sea (£)
Miscellaneous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Miscellaneous!$D$2:$M$2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Miscellaneous!$D$21:$M$21</c:f>
              <c:numCache>
                <c:formatCode>#,##0.00</c:formatCode>
                <c:ptCount val="10"/>
                <c:pt idx="0">
                  <c:v>2.3699811755917568</c:v>
                </c:pt>
                <c:pt idx="1">
                  <c:v>5.7154017272868138</c:v>
                </c:pt>
                <c:pt idx="2">
                  <c:v>7.1382968491387304</c:v>
                </c:pt>
                <c:pt idx="3">
                  <c:v>8.0779968772662869</c:v>
                </c:pt>
                <c:pt idx="4">
                  <c:v>5.7870564546453744</c:v>
                </c:pt>
                <c:pt idx="5">
                  <c:v>8.2527988969797281</c:v>
                </c:pt>
                <c:pt idx="6">
                  <c:v>8.3429853810053292</c:v>
                </c:pt>
                <c:pt idx="7">
                  <c:v>6.4451043662405256</c:v>
                </c:pt>
                <c:pt idx="8">
                  <c:v>5.2286400003447646</c:v>
                </c:pt>
                <c:pt idx="9">
                  <c:v>2.2527378548075081</c:v>
                </c:pt>
              </c:numCache>
            </c:numRef>
          </c:val>
          <c:smooth val="0"/>
        </c:ser>
        <c:dLbls>
          <c:showLegendKey val="0"/>
          <c:showVal val="0"/>
          <c:showCatName val="0"/>
          <c:showSerName val="0"/>
          <c:showPercent val="0"/>
          <c:showBubbleSize val="0"/>
        </c:dLbls>
        <c:marker val="1"/>
        <c:smooth val="0"/>
        <c:axId val="48328064"/>
        <c:axId val="48329856"/>
      </c:lineChart>
      <c:catAx>
        <c:axId val="48328064"/>
        <c:scaling>
          <c:orientation val="minMax"/>
        </c:scaling>
        <c:delete val="0"/>
        <c:axPos val="b"/>
        <c:numFmt formatCode="General" sourceLinked="1"/>
        <c:majorTickMark val="out"/>
        <c:minorTickMark val="none"/>
        <c:tickLblPos val="nextTo"/>
        <c:crossAx val="48329856"/>
        <c:crosses val="autoZero"/>
        <c:auto val="1"/>
        <c:lblAlgn val="ctr"/>
        <c:lblOffset val="100"/>
        <c:noMultiLvlLbl val="0"/>
      </c:catAx>
      <c:valAx>
        <c:axId val="48329856"/>
        <c:scaling>
          <c:orientation val="minMax"/>
        </c:scaling>
        <c:delete val="0"/>
        <c:axPos val="l"/>
        <c:majorGridlines>
          <c:spPr>
            <a:ln w="3175">
              <a:prstDash val="sysDot"/>
            </a:ln>
          </c:spPr>
        </c:majorGridlines>
        <c:numFmt formatCode="#,##0.00" sourceLinked="1"/>
        <c:majorTickMark val="out"/>
        <c:minorTickMark val="none"/>
        <c:tickLblPos val="nextTo"/>
        <c:crossAx val="48328064"/>
        <c:crosses val="autoZero"/>
        <c:crossBetween val="between"/>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Miscellaneous!$K$45</c:f>
          <c:strCache>
            <c:ptCount val="1"/>
            <c:pt idx="0">
              <c:v>Operating profit per kW day at sea (£)
Miscellaneous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Miscellaneous!$D$2:$M$2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Miscellaneous!$D$23:$M$23</c:f>
              <c:numCache>
                <c:formatCode>#,##0.00</c:formatCode>
                <c:ptCount val="10"/>
                <c:pt idx="0">
                  <c:v>-0.28250365009819711</c:v>
                </c:pt>
                <c:pt idx="1">
                  <c:v>0.69344472606175611</c:v>
                </c:pt>
                <c:pt idx="2">
                  <c:v>-0.95285079380896154</c:v>
                </c:pt>
                <c:pt idx="3">
                  <c:v>0.47206142361387665</c:v>
                </c:pt>
                <c:pt idx="4">
                  <c:v>0.9900947691806874</c:v>
                </c:pt>
                <c:pt idx="5">
                  <c:v>4.3293889224973041</c:v>
                </c:pt>
                <c:pt idx="6">
                  <c:v>-1.4942743295940839</c:v>
                </c:pt>
                <c:pt idx="7">
                  <c:v>-1.0090357140717259</c:v>
                </c:pt>
                <c:pt idx="8">
                  <c:v>2.5019847349057693</c:v>
                </c:pt>
                <c:pt idx="9">
                  <c:v>-1.6165860551645657</c:v>
                </c:pt>
              </c:numCache>
            </c:numRef>
          </c:val>
          <c:smooth val="0"/>
        </c:ser>
        <c:dLbls>
          <c:showLegendKey val="0"/>
          <c:showVal val="0"/>
          <c:showCatName val="0"/>
          <c:showSerName val="0"/>
          <c:showPercent val="0"/>
          <c:showBubbleSize val="0"/>
        </c:dLbls>
        <c:marker val="1"/>
        <c:smooth val="0"/>
        <c:axId val="48342144"/>
        <c:axId val="48343680"/>
      </c:lineChart>
      <c:catAx>
        <c:axId val="48342144"/>
        <c:scaling>
          <c:orientation val="minMax"/>
        </c:scaling>
        <c:delete val="0"/>
        <c:axPos val="b"/>
        <c:numFmt formatCode="General" sourceLinked="1"/>
        <c:majorTickMark val="out"/>
        <c:minorTickMark val="none"/>
        <c:tickLblPos val="nextTo"/>
        <c:crossAx val="48343680"/>
        <c:crosses val="autoZero"/>
        <c:auto val="1"/>
        <c:lblAlgn val="ctr"/>
        <c:lblOffset val="100"/>
        <c:noMultiLvlLbl val="0"/>
      </c:catAx>
      <c:valAx>
        <c:axId val="48343680"/>
        <c:scaling>
          <c:orientation val="minMax"/>
        </c:scaling>
        <c:delete val="0"/>
        <c:axPos val="l"/>
        <c:majorGridlines>
          <c:spPr>
            <a:ln w="3175">
              <a:prstDash val="sysDot"/>
            </a:ln>
          </c:spPr>
        </c:majorGridlines>
        <c:numFmt formatCode="#,##0.00" sourceLinked="1"/>
        <c:majorTickMark val="out"/>
        <c:minorTickMark val="none"/>
        <c:tickLblPos val="nextTo"/>
        <c:crossAx val="48342144"/>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Miscellaneous!$B$59</c:f>
          <c:strCache>
            <c:ptCount val="1"/>
            <c:pt idx="0">
              <c:v>Total cost per kW day at sea (£)
Miscellaneous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Miscellaneous!$D$2:$M$2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Miscellaneous!$D$22:$M$22</c:f>
              <c:numCache>
                <c:formatCode>#,##0.00</c:formatCode>
                <c:ptCount val="10"/>
                <c:pt idx="0">
                  <c:v>2.6524848256899536</c:v>
                </c:pt>
                <c:pt idx="1">
                  <c:v>5.0219570012250614</c:v>
                </c:pt>
                <c:pt idx="2">
                  <c:v>8.091147642947691</c:v>
                </c:pt>
                <c:pt idx="3">
                  <c:v>7.6059354536524157</c:v>
                </c:pt>
                <c:pt idx="4">
                  <c:v>4.7969616854646873</c:v>
                </c:pt>
                <c:pt idx="5">
                  <c:v>3.9234099744824227</c:v>
                </c:pt>
                <c:pt idx="6">
                  <c:v>9.837259710599433</c:v>
                </c:pt>
                <c:pt idx="7">
                  <c:v>7.4541400803122517</c:v>
                </c:pt>
                <c:pt idx="8">
                  <c:v>2.7266552654389953</c:v>
                </c:pt>
                <c:pt idx="9">
                  <c:v>3.8693239099720738</c:v>
                </c:pt>
              </c:numCache>
            </c:numRef>
          </c:val>
          <c:smooth val="0"/>
        </c:ser>
        <c:dLbls>
          <c:showLegendKey val="0"/>
          <c:showVal val="0"/>
          <c:showCatName val="0"/>
          <c:showSerName val="0"/>
          <c:showPercent val="0"/>
          <c:showBubbleSize val="0"/>
        </c:dLbls>
        <c:marker val="1"/>
        <c:smooth val="0"/>
        <c:axId val="45697664"/>
        <c:axId val="45699456"/>
      </c:lineChart>
      <c:catAx>
        <c:axId val="45697664"/>
        <c:scaling>
          <c:orientation val="minMax"/>
        </c:scaling>
        <c:delete val="0"/>
        <c:axPos val="b"/>
        <c:numFmt formatCode="General" sourceLinked="1"/>
        <c:majorTickMark val="out"/>
        <c:minorTickMark val="none"/>
        <c:tickLblPos val="nextTo"/>
        <c:crossAx val="45699456"/>
        <c:crosses val="autoZero"/>
        <c:auto val="1"/>
        <c:lblAlgn val="ctr"/>
        <c:lblOffset val="100"/>
        <c:noMultiLvlLbl val="0"/>
      </c:catAx>
      <c:valAx>
        <c:axId val="45699456"/>
        <c:scaling>
          <c:orientation val="minMax"/>
        </c:scaling>
        <c:delete val="0"/>
        <c:axPos val="l"/>
        <c:majorGridlines>
          <c:spPr>
            <a:ln w="3175">
              <a:prstDash val="sysDot"/>
            </a:ln>
          </c:spPr>
        </c:majorGridlines>
        <c:numFmt formatCode="#,##0.00" sourceLinked="1"/>
        <c:majorTickMark val="out"/>
        <c:minorTickMark val="none"/>
        <c:tickLblPos val="nextTo"/>
        <c:crossAx val="45697664"/>
        <c:crosses val="autoZero"/>
        <c:crossBetween val="between"/>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Miscellaneous!$F$59</c:f>
          <c:strCache>
            <c:ptCount val="1"/>
            <c:pt idx="0">
              <c:v>Average price per tonne landed (£)
Miscellaneous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Miscellaneous!$D$2:$M$2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Miscellaneous!$D$19:$M$19</c:f>
              <c:numCache>
                <c:formatCode>#,##0</c:formatCode>
                <c:ptCount val="10"/>
                <c:pt idx="0">
                  <c:v>1181.0631487163705</c:v>
                </c:pt>
                <c:pt idx="1">
                  <c:v>1120.5424547990581</c:v>
                </c:pt>
                <c:pt idx="2">
                  <c:v>1182.8279458067989</c:v>
                </c:pt>
                <c:pt idx="3">
                  <c:v>1150.3925063722747</c:v>
                </c:pt>
                <c:pt idx="4">
                  <c:v>1121.93556447691</c:v>
                </c:pt>
                <c:pt idx="5">
                  <c:v>1436.8632158737701</c:v>
                </c:pt>
                <c:pt idx="6">
                  <c:v>1711.9998376588399</c:v>
                </c:pt>
                <c:pt idx="7">
                  <c:v>868.92205584568137</c:v>
                </c:pt>
                <c:pt idx="8">
                  <c:v>1134.4722727886151</c:v>
                </c:pt>
                <c:pt idx="9">
                  <c:v>833.16348002069424</c:v>
                </c:pt>
              </c:numCache>
            </c:numRef>
          </c:val>
          <c:smooth val="0"/>
        </c:ser>
        <c:dLbls>
          <c:showLegendKey val="0"/>
          <c:showVal val="0"/>
          <c:showCatName val="0"/>
          <c:showSerName val="0"/>
          <c:showPercent val="0"/>
          <c:showBubbleSize val="0"/>
        </c:dLbls>
        <c:marker val="1"/>
        <c:smooth val="0"/>
        <c:axId val="45724032"/>
        <c:axId val="45725568"/>
      </c:lineChart>
      <c:catAx>
        <c:axId val="45724032"/>
        <c:scaling>
          <c:orientation val="minMax"/>
        </c:scaling>
        <c:delete val="0"/>
        <c:axPos val="b"/>
        <c:numFmt formatCode="General" sourceLinked="1"/>
        <c:majorTickMark val="out"/>
        <c:minorTickMark val="none"/>
        <c:tickLblPos val="nextTo"/>
        <c:crossAx val="45725568"/>
        <c:crosses val="autoZero"/>
        <c:auto val="1"/>
        <c:lblAlgn val="ctr"/>
        <c:lblOffset val="100"/>
        <c:noMultiLvlLbl val="0"/>
      </c:catAx>
      <c:valAx>
        <c:axId val="45725568"/>
        <c:scaling>
          <c:orientation val="minMax"/>
        </c:scaling>
        <c:delete val="0"/>
        <c:axPos val="l"/>
        <c:majorGridlines>
          <c:spPr>
            <a:ln w="3175">
              <a:prstDash val="sysDot"/>
            </a:ln>
          </c:spPr>
        </c:majorGridlines>
        <c:numFmt formatCode="#,##0" sourceLinked="1"/>
        <c:majorTickMark val="out"/>
        <c:minorTickMark val="none"/>
        <c:tickLblPos val="nextTo"/>
        <c:crossAx val="45724032"/>
        <c:crosses val="autoZero"/>
        <c:crossBetween val="between"/>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Miscellaneous!$K$59</c:f>
          <c:strCache>
            <c:ptCount val="1"/>
            <c:pt idx="0">
              <c:v>Average annual operating profit per vessel (£'000)
Miscellaneous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Miscellaneous!$D$2:$M$2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Miscellaneous!$D$34:$M$34</c:f>
              <c:numCache>
                <c:formatCode>#,##0.0</c:formatCode>
                <c:ptCount val="10"/>
                <c:pt idx="0">
                  <c:v>-86.226759227531105</c:v>
                </c:pt>
                <c:pt idx="1">
                  <c:v>179.34533735049263</c:v>
                </c:pt>
                <c:pt idx="2">
                  <c:v>-153.0448880375825</c:v>
                </c:pt>
                <c:pt idx="3">
                  <c:v>92.848351237389565</c:v>
                </c:pt>
                <c:pt idx="4">
                  <c:v>162.86147061019759</c:v>
                </c:pt>
                <c:pt idx="5">
                  <c:v>534.60208703792364</c:v>
                </c:pt>
                <c:pt idx="6">
                  <c:v>-214.45111030737144</c:v>
                </c:pt>
                <c:pt idx="7">
                  <c:v>-241.67818563801939</c:v>
                </c:pt>
                <c:pt idx="8">
                  <c:v>705.56583558913803</c:v>
                </c:pt>
                <c:pt idx="9">
                  <c:v>-234.79999908776605</c:v>
                </c:pt>
              </c:numCache>
            </c:numRef>
          </c:val>
          <c:smooth val="0"/>
        </c:ser>
        <c:dLbls>
          <c:showLegendKey val="0"/>
          <c:showVal val="0"/>
          <c:showCatName val="0"/>
          <c:showSerName val="0"/>
          <c:showPercent val="0"/>
          <c:showBubbleSize val="0"/>
        </c:dLbls>
        <c:marker val="1"/>
        <c:smooth val="0"/>
        <c:axId val="48387968"/>
        <c:axId val="48389504"/>
      </c:lineChart>
      <c:catAx>
        <c:axId val="48387968"/>
        <c:scaling>
          <c:orientation val="minMax"/>
        </c:scaling>
        <c:delete val="0"/>
        <c:axPos val="b"/>
        <c:numFmt formatCode="General" sourceLinked="1"/>
        <c:majorTickMark val="out"/>
        <c:minorTickMark val="none"/>
        <c:tickLblPos val="nextTo"/>
        <c:crossAx val="48389504"/>
        <c:crosses val="autoZero"/>
        <c:auto val="1"/>
        <c:lblAlgn val="ctr"/>
        <c:lblOffset val="100"/>
        <c:noMultiLvlLbl val="0"/>
      </c:catAx>
      <c:valAx>
        <c:axId val="48389504"/>
        <c:scaling>
          <c:orientation val="minMax"/>
        </c:scaling>
        <c:delete val="0"/>
        <c:axPos val="l"/>
        <c:majorGridlines>
          <c:spPr>
            <a:ln w="3175">
              <a:prstDash val="sysDot"/>
            </a:ln>
          </c:spPr>
        </c:majorGridlines>
        <c:numFmt formatCode="#,##0.0" sourceLinked="1"/>
        <c:majorTickMark val="out"/>
        <c:minorTickMark val="none"/>
        <c:tickLblPos val="nextTo"/>
        <c:crossAx val="48387968"/>
        <c:crosses val="autoZero"/>
        <c:crossBetween val="between"/>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Miscellaneous!$A$73</c:f>
          <c:strCache>
            <c:ptCount val="1"/>
            <c:pt idx="0">
              <c:v>Top 5 landed species by volume in 2013
Miscellaneous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4B3467"/>
              </a:solidFill>
              <a:ln>
                <a:solidFill>
                  <a:srgbClr val="FFFFFF"/>
                </a:solidFill>
              </a:ln>
            </c:spPr>
          </c:dPt>
          <c:dPt>
            <c:idx val="3"/>
            <c:bubble3D val="0"/>
            <c:spPr>
              <a:solidFill>
                <a:srgbClr val="769535"/>
              </a:solidFill>
              <a:ln>
                <a:solidFill>
                  <a:srgbClr val="FFFFFF"/>
                </a:solidFill>
              </a:ln>
            </c:spPr>
          </c:dPt>
          <c:dPt>
            <c:idx val="4"/>
            <c:bubble3D val="0"/>
            <c:spPr>
              <a:solidFill>
                <a:srgbClr val="A85816"/>
              </a:solidFill>
              <a:ln>
                <a:solidFill>
                  <a:srgbClr val="FFFFFF"/>
                </a:solidFill>
              </a:ln>
            </c:spPr>
          </c:dPt>
          <c:dPt>
            <c:idx val="5"/>
            <c:bubble3D val="0"/>
            <c:spPr>
              <a:solidFill>
                <a:srgbClr val="008000"/>
              </a:solidFill>
              <a:ln>
                <a:solidFill>
                  <a:srgbClr val="FFFFFF"/>
                </a:solidFill>
              </a:ln>
            </c:spPr>
          </c:dPt>
          <c:cat>
            <c:strRef>
              <c:f>Miscellaneous!$B$74:$B$79</c:f>
              <c:strCache>
                <c:ptCount val="6"/>
                <c:pt idx="0">
                  <c:v>Cod - 93.6%</c:v>
                </c:pt>
                <c:pt idx="1">
                  <c:v>Haddock - 3.9%</c:v>
                </c:pt>
                <c:pt idx="2">
                  <c:v>Saithe - 0.7%</c:v>
                </c:pt>
                <c:pt idx="3">
                  <c:v>Redfishes - 0.4%</c:v>
                </c:pt>
                <c:pt idx="4">
                  <c:v>Catfish - 0.3%</c:v>
                </c:pt>
                <c:pt idx="5">
                  <c:v>Others - 1.0%</c:v>
                </c:pt>
              </c:strCache>
            </c:strRef>
          </c:cat>
          <c:val>
            <c:numRef>
              <c:f>Miscellaneous!$C$74:$C$79</c:f>
              <c:numCache>
                <c:formatCode>0.0%</c:formatCode>
                <c:ptCount val="6"/>
                <c:pt idx="0">
                  <c:v>0.93609543856728872</c:v>
                </c:pt>
                <c:pt idx="1">
                  <c:v>3.9318190881758315E-2</c:v>
                </c:pt>
                <c:pt idx="2">
                  <c:v>6.9203665417390571E-3</c:v>
                </c:pt>
                <c:pt idx="3">
                  <c:v>4.4364206643212759E-3</c:v>
                </c:pt>
                <c:pt idx="4">
                  <c:v>3.1030559852982483E-3</c:v>
                </c:pt>
                <c:pt idx="5">
                  <c:v>1.0126527359594295E-2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Miscellaneous!$F$73</c:f>
          <c:strCache>
            <c:ptCount val="1"/>
            <c:pt idx="0">
              <c:v>Top 5 landed species by value in 2013
Miscellaneous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Miscellaneous!$G$74:$G$79</c:f>
              <c:strCache>
                <c:ptCount val="6"/>
                <c:pt idx="0">
                  <c:v>Cod - 92.8%</c:v>
                </c:pt>
                <c:pt idx="1">
                  <c:v>Haddock - 3.0%</c:v>
                </c:pt>
                <c:pt idx="2">
                  <c:v>Squid - 1.1%</c:v>
                </c:pt>
                <c:pt idx="3">
                  <c:v>Saithe - 0.6%</c:v>
                </c:pt>
                <c:pt idx="4">
                  <c:v>Nephrops - 0.5%</c:v>
                </c:pt>
                <c:pt idx="5">
                  <c:v>Others - 2.0%</c:v>
                </c:pt>
              </c:strCache>
            </c:strRef>
          </c:cat>
          <c:val>
            <c:numRef>
              <c:f>Miscellaneous!$H$74:$H$79</c:f>
              <c:numCache>
                <c:formatCode>0.0%</c:formatCode>
                <c:ptCount val="6"/>
                <c:pt idx="0">
                  <c:v>0.92757344289129273</c:v>
                </c:pt>
                <c:pt idx="1">
                  <c:v>3.001831225023795E-2</c:v>
                </c:pt>
                <c:pt idx="2">
                  <c:v>1.1188312608268264E-2</c:v>
                </c:pt>
                <c:pt idx="3">
                  <c:v>5.7199914720308569E-3</c:v>
                </c:pt>
                <c:pt idx="4">
                  <c:v>5.1839843013453939E-3</c:v>
                </c:pt>
                <c:pt idx="5">
                  <c:v>2.0315956476824826E-2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demersal trawl'!$C$88</c:f>
              <c:strCache>
                <c:ptCount val="1"/>
                <c:pt idx="0">
                  <c:v>Scallops</c:v>
                </c:pt>
              </c:strCache>
            </c:strRef>
          </c:tx>
          <c:spPr>
            <a:solidFill>
              <a:srgbClr val="224B7D"/>
            </a:solidFill>
            <a:ln>
              <a:solidFill>
                <a:srgbClr val="FFFFFF"/>
              </a:solidFill>
            </a:ln>
          </c:spPr>
          <c:invertIfNegative val="0"/>
          <c:cat>
            <c:numRef>
              <c:f>'Area VIIa demersal trawl'!$D$87:$M$87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trawl'!$D$88:$M$88</c:f>
              <c:numCache>
                <c:formatCode>0%</c:formatCode>
                <c:ptCount val="10"/>
                <c:pt idx="3">
                  <c:v>9.8885950673941306E-2</c:v>
                </c:pt>
                <c:pt idx="4">
                  <c:v>7.9210223553099063E-2</c:v>
                </c:pt>
                <c:pt idx="6">
                  <c:v>0.12914706594523956</c:v>
                </c:pt>
                <c:pt idx="7">
                  <c:v>0.20185679087086117</c:v>
                </c:pt>
                <c:pt idx="8">
                  <c:v>0.38733196329771086</c:v>
                </c:pt>
                <c:pt idx="9">
                  <c:v>0.36809968622806721</c:v>
                </c:pt>
              </c:numCache>
            </c:numRef>
          </c:val>
        </c:ser>
        <c:ser>
          <c:idx val="1"/>
          <c:order val="1"/>
          <c:tx>
            <c:strRef>
              <c:f>'Area VIIa demersal trawl'!$C$89</c:f>
              <c:strCache>
                <c:ptCount val="1"/>
                <c:pt idx="0">
                  <c:v>Nephrops</c:v>
                </c:pt>
              </c:strCache>
            </c:strRef>
          </c:tx>
          <c:spPr>
            <a:solidFill>
              <a:srgbClr val="7F2321"/>
            </a:solidFill>
            <a:ln>
              <a:solidFill>
                <a:srgbClr val="FFFFFF"/>
              </a:solidFill>
            </a:ln>
          </c:spPr>
          <c:invertIfNegative val="0"/>
          <c:cat>
            <c:numRef>
              <c:f>'Area VIIa demersal trawl'!$D$87:$M$87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trawl'!$D$89:$M$89</c:f>
              <c:numCache>
                <c:formatCode>0%</c:formatCode>
                <c:ptCount val="10"/>
                <c:pt idx="0">
                  <c:v>6.1959198853219308E-2</c:v>
                </c:pt>
                <c:pt idx="1">
                  <c:v>7.7488214583982057E-2</c:v>
                </c:pt>
                <c:pt idx="2">
                  <c:v>0.16018517392560172</c:v>
                </c:pt>
                <c:pt idx="3">
                  <c:v>0.17766000034391879</c:v>
                </c:pt>
                <c:pt idx="4">
                  <c:v>0.10141260028421964</c:v>
                </c:pt>
                <c:pt idx="5">
                  <c:v>0.12746934832883033</c:v>
                </c:pt>
                <c:pt idx="6">
                  <c:v>0.31764210121284425</c:v>
                </c:pt>
                <c:pt idx="7">
                  <c:v>0.18041128070089271</c:v>
                </c:pt>
                <c:pt idx="8">
                  <c:v>0.26683058834780615</c:v>
                </c:pt>
                <c:pt idx="9">
                  <c:v>0.36347251800770397</c:v>
                </c:pt>
              </c:numCache>
            </c:numRef>
          </c:val>
        </c:ser>
        <c:ser>
          <c:idx val="2"/>
          <c:order val="2"/>
          <c:tx>
            <c:strRef>
              <c:f>'Area VIIa demersal trawl'!$C$90</c:f>
              <c:strCache>
                <c:ptCount val="1"/>
                <c:pt idx="0">
                  <c:v>Brown Crab</c:v>
                </c:pt>
              </c:strCache>
            </c:strRef>
          </c:tx>
          <c:spPr>
            <a:solidFill>
              <a:srgbClr val="607A2A"/>
            </a:solidFill>
            <a:ln>
              <a:solidFill>
                <a:srgbClr val="FFFFFF"/>
              </a:solidFill>
            </a:ln>
          </c:spPr>
          <c:invertIfNegative val="0"/>
          <c:cat>
            <c:numRef>
              <c:f>'Area VIIa demersal trawl'!$D$87:$M$87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trawl'!$D$90:$M$90</c:f>
              <c:numCache>
                <c:formatCode>0%</c:formatCode>
                <c:ptCount val="10"/>
                <c:pt idx="7">
                  <c:v>0.16311261114501663</c:v>
                </c:pt>
                <c:pt idx="8">
                  <c:v>0.17533853882818554</c:v>
                </c:pt>
                <c:pt idx="9">
                  <c:v>5.5198033747590143E-2</c:v>
                </c:pt>
              </c:numCache>
            </c:numRef>
          </c:val>
        </c:ser>
        <c:ser>
          <c:idx val="3"/>
          <c:order val="3"/>
          <c:tx>
            <c:strRef>
              <c:f>'Area VIIa demersal trawl'!$C$91</c:f>
              <c:strCache>
                <c:ptCount val="1"/>
                <c:pt idx="0">
                  <c:v>Queen Scallops</c:v>
                </c:pt>
              </c:strCache>
            </c:strRef>
          </c:tx>
          <c:spPr>
            <a:solidFill>
              <a:srgbClr val="4B3467"/>
            </a:solidFill>
            <a:ln>
              <a:solidFill>
                <a:srgbClr val="FFFFFF"/>
              </a:solidFill>
            </a:ln>
          </c:spPr>
          <c:invertIfNegative val="0"/>
          <c:cat>
            <c:numRef>
              <c:f>'Area VIIa demersal trawl'!$D$87:$M$87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trawl'!$D$91:$M$91</c:f>
              <c:numCache>
                <c:formatCode>0%</c:formatCode>
                <c:ptCount val="10"/>
                <c:pt idx="2">
                  <c:v>0.11730275692688646</c:v>
                </c:pt>
                <c:pt idx="5">
                  <c:v>8.1736447314957078E-2</c:v>
                </c:pt>
                <c:pt idx="6">
                  <c:v>8.2959092835104525E-2</c:v>
                </c:pt>
                <c:pt idx="7">
                  <c:v>0.32255897599386679</c:v>
                </c:pt>
                <c:pt idx="8">
                  <c:v>0.1123242992261165</c:v>
                </c:pt>
              </c:numCache>
            </c:numRef>
          </c:val>
        </c:ser>
        <c:ser>
          <c:idx val="4"/>
          <c:order val="4"/>
          <c:tx>
            <c:strRef>
              <c:f>'Area VIIa demersal trawl'!$C$92</c:f>
              <c:strCache>
                <c:ptCount val="1"/>
                <c:pt idx="0">
                  <c:v>Thornback Ray</c:v>
                </c:pt>
              </c:strCache>
            </c:strRef>
          </c:tx>
          <c:spPr>
            <a:solidFill>
              <a:srgbClr val="9B2D2A"/>
            </a:solidFill>
            <a:ln>
              <a:solidFill>
                <a:srgbClr val="FFFFFF"/>
              </a:solidFill>
            </a:ln>
          </c:spPr>
          <c:invertIfNegative val="0"/>
          <c:cat>
            <c:numRef>
              <c:f>'Area VIIa demersal trawl'!$D$87:$M$87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trawl'!$D$92:$M$92</c:f>
              <c:numCache>
                <c:formatCode>0%</c:formatCode>
                <c:ptCount val="10"/>
                <c:pt idx="8">
                  <c:v>2.8402421929448796E-2</c:v>
                </c:pt>
              </c:numCache>
            </c:numRef>
          </c:val>
        </c:ser>
        <c:ser>
          <c:idx val="5"/>
          <c:order val="5"/>
          <c:tx>
            <c:strRef>
              <c:f>'Area VIIa demersal trawl'!$C$93</c:f>
              <c:strCache>
                <c:ptCount val="1"/>
                <c:pt idx="0">
                  <c:v>Haddock</c:v>
                </c:pt>
              </c:strCache>
            </c:strRef>
          </c:tx>
          <c:spPr>
            <a:solidFill>
              <a:srgbClr val="769535"/>
            </a:solidFill>
            <a:ln>
              <a:solidFill>
                <a:srgbClr val="FFFFFF"/>
              </a:solidFill>
            </a:ln>
          </c:spPr>
          <c:invertIfNegative val="0"/>
          <c:cat>
            <c:numRef>
              <c:f>'Area VIIa demersal trawl'!$D$87:$M$87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trawl'!$D$93:$M$93</c:f>
              <c:numCache>
                <c:formatCode>0%</c:formatCode>
                <c:ptCount val="10"/>
                <c:pt idx="0">
                  <c:v>9.7260378416951856E-2</c:v>
                </c:pt>
                <c:pt idx="1">
                  <c:v>8.81402624923944E-2</c:v>
                </c:pt>
                <c:pt idx="2">
                  <c:v>0.14369503396373257</c:v>
                </c:pt>
                <c:pt idx="3">
                  <c:v>9.5135660211106726E-2</c:v>
                </c:pt>
                <c:pt idx="4">
                  <c:v>9.9479538729585773E-2</c:v>
                </c:pt>
                <c:pt idx="5">
                  <c:v>0.31099886996481563</c:v>
                </c:pt>
                <c:pt idx="9">
                  <c:v>0.16503179428719497</c:v>
                </c:pt>
              </c:numCache>
            </c:numRef>
          </c:val>
        </c:ser>
        <c:ser>
          <c:idx val="6"/>
          <c:order val="6"/>
          <c:tx>
            <c:strRef>
              <c:f>'Area VIIa demersal trawl'!$C$94</c:f>
              <c:strCache>
                <c:ptCount val="1"/>
                <c:pt idx="0">
                  <c:v>Cod</c:v>
                </c:pt>
              </c:strCache>
            </c:strRef>
          </c:tx>
          <c:spPr>
            <a:solidFill>
              <a:srgbClr val="A85816"/>
            </a:solidFill>
            <a:ln>
              <a:solidFill>
                <a:srgbClr val="FFFFFF"/>
              </a:solidFill>
            </a:ln>
          </c:spPr>
          <c:invertIfNegative val="0"/>
          <c:cat>
            <c:numRef>
              <c:f>'Area VIIa demersal trawl'!$D$87:$M$87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trawl'!$D$94:$M$94</c:f>
              <c:numCache>
                <c:formatCode>0%</c:formatCode>
                <c:ptCount val="10"/>
                <c:pt idx="0">
                  <c:v>0.25422688113214031</c:v>
                </c:pt>
                <c:pt idx="1">
                  <c:v>0.39195309524398925</c:v>
                </c:pt>
                <c:pt idx="2">
                  <c:v>0.28850537261820108</c:v>
                </c:pt>
                <c:pt idx="3">
                  <c:v>0.31512759702584064</c:v>
                </c:pt>
                <c:pt idx="4">
                  <c:v>0.32961915043018919</c:v>
                </c:pt>
                <c:pt idx="5">
                  <c:v>0.16884741402915401</c:v>
                </c:pt>
                <c:pt idx="6">
                  <c:v>0.12489345021194778</c:v>
                </c:pt>
                <c:pt idx="7">
                  <c:v>4.1360533442062142E-2</c:v>
                </c:pt>
                <c:pt idx="9">
                  <c:v>1.4169060163907482E-2</c:v>
                </c:pt>
              </c:numCache>
            </c:numRef>
          </c:val>
        </c:ser>
        <c:ser>
          <c:idx val="7"/>
          <c:order val="7"/>
          <c:tx>
            <c:strRef>
              <c:f>'Area VIIa demersal trawl'!$C$95</c:f>
              <c:strCache>
                <c:ptCount val="1"/>
                <c:pt idx="0">
                  <c:v>Hake</c:v>
                </c:pt>
              </c:strCache>
            </c:strRef>
          </c:tx>
          <c:spPr>
            <a:solidFill>
              <a:srgbClr val="5D417E"/>
            </a:solidFill>
            <a:ln>
              <a:solidFill>
                <a:srgbClr val="FFFFFF"/>
              </a:solidFill>
            </a:ln>
          </c:spPr>
          <c:invertIfNegative val="0"/>
          <c:cat>
            <c:numRef>
              <c:f>'Area VIIa demersal trawl'!$D$87:$M$87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trawl'!$D$95:$M$95</c:f>
              <c:numCache>
                <c:formatCode>0%</c:formatCode>
                <c:ptCount val="10"/>
                <c:pt idx="0">
                  <c:v>0.20696674983492855</c:v>
                </c:pt>
                <c:pt idx="1">
                  <c:v>0.20182833687501112</c:v>
                </c:pt>
                <c:pt idx="2">
                  <c:v>9.5959822391191191E-2</c:v>
                </c:pt>
                <c:pt idx="3">
                  <c:v>0.19269124383635838</c:v>
                </c:pt>
                <c:pt idx="4">
                  <c:v>0.17778120405318237</c:v>
                </c:pt>
                <c:pt idx="5">
                  <c:v>0.13662521086623536</c:v>
                </c:pt>
                <c:pt idx="6">
                  <c:v>0.10092983073665747</c:v>
                </c:pt>
              </c:numCache>
            </c:numRef>
          </c:val>
        </c:ser>
        <c:ser>
          <c:idx val="8"/>
          <c:order val="8"/>
          <c:tx>
            <c:strRef>
              <c:f>'Area VIIa demersal trawl'!$C$96</c:f>
              <c:strCache>
                <c:ptCount val="1"/>
                <c:pt idx="0">
                  <c:v>Skates and Rays</c:v>
                </c:pt>
              </c:strCache>
            </c:strRef>
          </c:tx>
          <c:spPr>
            <a:solidFill>
              <a:srgbClr val="2787A0"/>
            </a:solidFill>
            <a:ln>
              <a:solidFill>
                <a:srgbClr val="FFFFFF"/>
              </a:solidFill>
            </a:ln>
          </c:spPr>
          <c:invertIfNegative val="0"/>
          <c:cat>
            <c:numRef>
              <c:f>'Area VIIa demersal trawl'!$D$87:$M$87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trawl'!$D$96:$M$96</c:f>
              <c:numCache>
                <c:formatCode>0%</c:formatCode>
                <c:ptCount val="10"/>
                <c:pt idx="0">
                  <c:v>6.1145029995802139E-2</c:v>
                </c:pt>
                <c:pt idx="1">
                  <c:v>4.5749320273640752E-2</c:v>
                </c:pt>
              </c:numCache>
            </c:numRef>
          </c:val>
        </c:ser>
        <c:ser>
          <c:idx val="9"/>
          <c:order val="9"/>
          <c:tx>
            <c:strRef>
              <c:f>'Area VIIa demersal trawl'!$C$97</c:f>
              <c:strCache>
                <c:ptCount val="1"/>
                <c:pt idx="0">
                  <c:v>Others</c:v>
                </c:pt>
              </c:strCache>
            </c:strRef>
          </c:tx>
          <c:spPr>
            <a:solidFill>
              <a:srgbClr val="008000"/>
            </a:solidFill>
            <a:ln>
              <a:solidFill>
                <a:srgbClr val="FFFFFF"/>
              </a:solidFill>
            </a:ln>
          </c:spPr>
          <c:invertIfNegative val="0"/>
          <c:cat>
            <c:numRef>
              <c:f>'Area VIIa demersal trawl'!$D$87:$M$87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'Area VIIa demersal trawl'!$D$97:$M$97</c:f>
              <c:numCache>
                <c:formatCode>0%</c:formatCode>
                <c:ptCount val="10"/>
                <c:pt idx="0">
                  <c:v>0.31844176176695782</c:v>
                </c:pt>
                <c:pt idx="1">
                  <c:v>0.19484077053098239</c:v>
                </c:pt>
                <c:pt idx="2">
                  <c:v>0.19435184017438695</c:v>
                </c:pt>
                <c:pt idx="3">
                  <c:v>0.12049954790883415</c:v>
                </c:pt>
                <c:pt idx="4">
                  <c:v>0.21249728294972395</c:v>
                </c:pt>
                <c:pt idx="5">
                  <c:v>0.17432270949600759</c:v>
                </c:pt>
                <c:pt idx="6">
                  <c:v>0.24442845905820643</c:v>
                </c:pt>
                <c:pt idx="7">
                  <c:v>9.069980784730057E-2</c:v>
                </c:pt>
                <c:pt idx="8">
                  <c:v>2.9772188370732127E-2</c:v>
                </c:pt>
                <c:pt idx="9">
                  <c:v>3.4028907565536205E-2</c:v>
                </c:pt>
              </c:numCache>
            </c:numRef>
          </c:val>
        </c:ser>
        <c:dLbls>
          <c:showLegendKey val="0"/>
          <c:showVal val="0"/>
          <c:showCatName val="0"/>
          <c:showSerName val="0"/>
          <c:showPercent val="0"/>
          <c:showBubbleSize val="0"/>
        </c:dLbls>
        <c:gapWidth val="150"/>
        <c:overlap val="100"/>
        <c:axId val="48132864"/>
        <c:axId val="48134400"/>
      </c:barChart>
      <c:catAx>
        <c:axId val="48132864"/>
        <c:scaling>
          <c:orientation val="minMax"/>
        </c:scaling>
        <c:delete val="0"/>
        <c:axPos val="b"/>
        <c:numFmt formatCode="General" sourceLinked="1"/>
        <c:majorTickMark val="out"/>
        <c:minorTickMark val="none"/>
        <c:tickLblPos val="nextTo"/>
        <c:crossAx val="48134400"/>
        <c:crosses val="autoZero"/>
        <c:auto val="1"/>
        <c:lblAlgn val="ctr"/>
        <c:lblOffset val="100"/>
        <c:noMultiLvlLbl val="0"/>
      </c:catAx>
      <c:valAx>
        <c:axId val="48134400"/>
        <c:scaling>
          <c:orientation val="minMax"/>
          <c:max val="1"/>
          <c:min val="0"/>
        </c:scaling>
        <c:delete val="0"/>
        <c:axPos val="l"/>
        <c:majorGridlines/>
        <c:numFmt formatCode="0%" sourceLinked="1"/>
        <c:majorTickMark val="out"/>
        <c:minorTickMark val="none"/>
        <c:tickLblPos val="nextTo"/>
        <c:crossAx val="4813286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Miscellaneous!$C$88</c:f>
              <c:strCache>
                <c:ptCount val="1"/>
                <c:pt idx="0">
                  <c:v>Cod</c:v>
                </c:pt>
              </c:strCache>
            </c:strRef>
          </c:tx>
          <c:spPr>
            <a:solidFill>
              <a:srgbClr val="224B7D"/>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Miscellaneous!$D$88:$M$88</c:f>
              <c:numCache>
                <c:formatCode>0%</c:formatCode>
                <c:ptCount val="10"/>
                <c:pt idx="0">
                  <c:v>0.3599010004448106</c:v>
                </c:pt>
                <c:pt idx="1">
                  <c:v>0.52866375994752246</c:v>
                </c:pt>
                <c:pt idx="2">
                  <c:v>0.55518810551951914</c:v>
                </c:pt>
                <c:pt idx="3">
                  <c:v>0.64908108224416061</c:v>
                </c:pt>
                <c:pt idx="4">
                  <c:v>0.4963389726171426</c:v>
                </c:pt>
                <c:pt idx="5">
                  <c:v>0.58485808232832015</c:v>
                </c:pt>
                <c:pt idx="6">
                  <c:v>0.634896833919666</c:v>
                </c:pt>
                <c:pt idx="7">
                  <c:v>0.62596350522894317</c:v>
                </c:pt>
                <c:pt idx="8">
                  <c:v>0.94339423810193057</c:v>
                </c:pt>
                <c:pt idx="9">
                  <c:v>0.54807473934246376</c:v>
                </c:pt>
              </c:numCache>
            </c:numRef>
          </c:val>
        </c:ser>
        <c:ser>
          <c:idx val="1"/>
          <c:order val="1"/>
          <c:tx>
            <c:strRef>
              <c:f>Miscellaneous!$C$89</c:f>
              <c:strCache>
                <c:ptCount val="1"/>
                <c:pt idx="0">
                  <c:v>Haddock</c:v>
                </c:pt>
              </c:strCache>
            </c:strRef>
          </c:tx>
          <c:spPr>
            <a:solidFill>
              <a:srgbClr val="7F2321"/>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Miscellaneous!$D$89:$M$89</c:f>
              <c:numCache>
                <c:formatCode>0%</c:formatCode>
                <c:ptCount val="10"/>
                <c:pt idx="0">
                  <c:v>6.4931021318741525E-2</c:v>
                </c:pt>
                <c:pt idx="1">
                  <c:v>4.9570250477612231E-2</c:v>
                </c:pt>
                <c:pt idx="2">
                  <c:v>5.0377847095849956E-2</c:v>
                </c:pt>
                <c:pt idx="3">
                  <c:v>6.9544440500937985E-2</c:v>
                </c:pt>
                <c:pt idx="4">
                  <c:v>6.4212623999419793E-2</c:v>
                </c:pt>
                <c:pt idx="5">
                  <c:v>6.84074594421962E-2</c:v>
                </c:pt>
                <c:pt idx="6">
                  <c:v>6.1427815450186128E-2</c:v>
                </c:pt>
                <c:pt idx="7">
                  <c:v>3.818827772588429E-2</c:v>
                </c:pt>
                <c:pt idx="8">
                  <c:v>3.0530307903325719E-2</c:v>
                </c:pt>
                <c:pt idx="9">
                  <c:v>3.2382192488040244E-2</c:v>
                </c:pt>
              </c:numCache>
            </c:numRef>
          </c:val>
        </c:ser>
        <c:ser>
          <c:idx val="2"/>
          <c:order val="2"/>
          <c:tx>
            <c:strRef>
              <c:f>Miscellaneous!$C$90</c:f>
              <c:strCache>
                <c:ptCount val="1"/>
                <c:pt idx="0">
                  <c:v>Squid</c:v>
                </c:pt>
              </c:strCache>
            </c:strRef>
          </c:tx>
          <c:spPr>
            <a:solidFill>
              <a:srgbClr val="607A2A"/>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Miscellaneous!$D$90:$M$90</c:f>
              <c:numCache>
                <c:formatCode>0%</c:formatCode>
                <c:ptCount val="10"/>
                <c:pt idx="0">
                  <c:v>0.23757396179955903</c:v>
                </c:pt>
                <c:pt idx="1">
                  <c:v>0.30242047967111219</c:v>
                </c:pt>
                <c:pt idx="2">
                  <c:v>0.26946587398326571</c:v>
                </c:pt>
                <c:pt idx="4">
                  <c:v>2.268419723677231E-2</c:v>
                </c:pt>
                <c:pt idx="8">
                  <c:v>1.1379141705289699E-2</c:v>
                </c:pt>
              </c:numCache>
            </c:numRef>
          </c:val>
        </c:ser>
        <c:ser>
          <c:idx val="3"/>
          <c:order val="3"/>
          <c:tx>
            <c:strRef>
              <c:f>Miscellaneous!$C$91</c:f>
              <c:strCache>
                <c:ptCount val="1"/>
                <c:pt idx="0">
                  <c:v>Saithe</c:v>
                </c:pt>
              </c:strCache>
            </c:strRef>
          </c:tx>
          <c:spPr>
            <a:solidFill>
              <a:srgbClr val="4B3467"/>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Miscellaneous!$D$91:$M$91</c:f>
              <c:numCache>
                <c:formatCode>0%</c:formatCode>
                <c:ptCount val="10"/>
                <c:pt idx="0">
                  <c:v>3.830587154603339E-2</c:v>
                </c:pt>
                <c:pt idx="6">
                  <c:v>2.8582379634730419E-2</c:v>
                </c:pt>
                <c:pt idx="8">
                  <c:v>5.8175522790797499E-3</c:v>
                </c:pt>
              </c:numCache>
            </c:numRef>
          </c:val>
        </c:ser>
        <c:ser>
          <c:idx val="4"/>
          <c:order val="4"/>
          <c:tx>
            <c:strRef>
              <c:f>Miscellaneous!$C$92</c:f>
              <c:strCache>
                <c:ptCount val="1"/>
                <c:pt idx="0">
                  <c:v>Nephrops</c:v>
                </c:pt>
              </c:strCache>
            </c:strRef>
          </c:tx>
          <c:spPr>
            <a:solidFill>
              <a:srgbClr val="9B2D2A"/>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Miscellaneous!$D$92:$M$92</c:f>
              <c:numCache>
                <c:formatCode>0%</c:formatCode>
                <c:ptCount val="10"/>
                <c:pt idx="2">
                  <c:v>3.4628245434192885E-2</c:v>
                </c:pt>
                <c:pt idx="7">
                  <c:v>5.816028218899371E-2</c:v>
                </c:pt>
                <c:pt idx="8">
                  <c:v>5.2724029108207823E-3</c:v>
                </c:pt>
              </c:numCache>
            </c:numRef>
          </c:val>
        </c:ser>
        <c:ser>
          <c:idx val="5"/>
          <c:order val="5"/>
          <c:tx>
            <c:strRef>
              <c:f>Miscellaneous!$C$93</c:f>
              <c:strCache>
                <c:ptCount val="1"/>
                <c:pt idx="0">
                  <c:v>Mackerel</c:v>
                </c:pt>
              </c:strCache>
            </c:strRef>
          </c:tx>
          <c:spPr>
            <a:solidFill>
              <a:srgbClr val="769535"/>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Miscellaneous!$D$93:$M$93</c:f>
              <c:numCache>
                <c:formatCode>0%</c:formatCode>
                <c:ptCount val="10"/>
                <c:pt idx="0">
                  <c:v>9.3670631733497184E-2</c:v>
                </c:pt>
                <c:pt idx="9">
                  <c:v>0.1525625639721695</c:v>
                </c:pt>
              </c:numCache>
            </c:numRef>
          </c:val>
        </c:ser>
        <c:ser>
          <c:idx val="6"/>
          <c:order val="6"/>
          <c:tx>
            <c:strRef>
              <c:f>Miscellaneous!$C$94</c:f>
              <c:strCache>
                <c:ptCount val="1"/>
                <c:pt idx="0">
                  <c:v>Herring</c:v>
                </c:pt>
              </c:strCache>
            </c:strRef>
          </c:tx>
          <c:spPr>
            <a:solidFill>
              <a:srgbClr val="A85816"/>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Miscellaneous!$D$94:$M$94</c:f>
              <c:numCache>
                <c:formatCode>0%</c:formatCode>
                <c:ptCount val="10"/>
                <c:pt idx="9">
                  <c:v>0.1111021473755819</c:v>
                </c:pt>
              </c:numCache>
            </c:numRef>
          </c:val>
        </c:ser>
        <c:ser>
          <c:idx val="7"/>
          <c:order val="7"/>
          <c:tx>
            <c:strRef>
              <c:f>Miscellaneous!$C$95</c:f>
              <c:strCache>
                <c:ptCount val="1"/>
                <c:pt idx="0">
                  <c:v>Horse Mackerel</c:v>
                </c:pt>
              </c:strCache>
            </c:strRef>
          </c:tx>
          <c:spPr>
            <a:solidFill>
              <a:srgbClr val="5D417E"/>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Miscellaneous!$D$95:$M$95</c:f>
              <c:numCache>
                <c:formatCode>0%</c:formatCode>
                <c:ptCount val="10"/>
                <c:pt idx="9">
                  <c:v>4.2956263903075907E-2</c:v>
                </c:pt>
              </c:numCache>
            </c:numRef>
          </c:val>
        </c:ser>
        <c:ser>
          <c:idx val="8"/>
          <c:order val="8"/>
          <c:tx>
            <c:strRef>
              <c:f>Miscellaneous!$C$96</c:f>
              <c:strCache>
                <c:ptCount val="1"/>
                <c:pt idx="0">
                  <c:v>Patagonian squid</c:v>
                </c:pt>
              </c:strCache>
            </c:strRef>
          </c:tx>
          <c:spPr>
            <a:solidFill>
              <a:srgbClr val="2787A0"/>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Miscellaneous!$D$96:$M$96</c:f>
              <c:numCache>
                <c:formatCode>0%</c:formatCode>
                <c:ptCount val="10"/>
                <c:pt idx="3">
                  <c:v>0.12103508307897336</c:v>
                </c:pt>
                <c:pt idx="4">
                  <c:v>0.22952421679950982</c:v>
                </c:pt>
                <c:pt idx="5">
                  <c:v>0.28408643146046564</c:v>
                </c:pt>
                <c:pt idx="6">
                  <c:v>0.14539648932572322</c:v>
                </c:pt>
                <c:pt idx="7">
                  <c:v>0.24190927809006038</c:v>
                </c:pt>
              </c:numCache>
            </c:numRef>
          </c:val>
        </c:ser>
        <c:ser>
          <c:idx val="9"/>
          <c:order val="9"/>
          <c:tx>
            <c:strRef>
              <c:f>Miscellaneous!$C$97</c:f>
              <c:strCache>
                <c:ptCount val="1"/>
                <c:pt idx="0">
                  <c:v>Brown Crab</c:v>
                </c:pt>
              </c:strCache>
            </c:strRef>
          </c:tx>
          <c:spPr>
            <a:solidFill>
              <a:srgbClr val="CB6C1D"/>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Miscellaneous!$D$97:$M$97</c:f>
              <c:numCache>
                <c:formatCode>0%</c:formatCode>
                <c:ptCount val="10"/>
                <c:pt idx="7">
                  <c:v>3.5778656766118494E-2</c:v>
                </c:pt>
              </c:numCache>
            </c:numRef>
          </c:val>
        </c:ser>
        <c:ser>
          <c:idx val="10"/>
          <c:order val="10"/>
          <c:tx>
            <c:strRef>
              <c:f>Miscellaneous!$C$98</c:f>
              <c:strCache>
                <c:ptCount val="1"/>
                <c:pt idx="0">
                  <c:v>Greenland Halibut</c:v>
                </c:pt>
              </c:strCache>
            </c:strRef>
          </c:tx>
          <c:spPr>
            <a:solidFill>
              <a:srgbClr val="7888A4"/>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Miscellaneous!$D$98:$M$98</c:f>
              <c:numCache>
                <c:formatCode>0%</c:formatCode>
                <c:ptCount val="10"/>
                <c:pt idx="2">
                  <c:v>4.1991686536801701E-2</c:v>
                </c:pt>
                <c:pt idx="4">
                  <c:v>4.3917745264180151E-2</c:v>
                </c:pt>
                <c:pt idx="5">
                  <c:v>1.4831086971830793E-2</c:v>
                </c:pt>
                <c:pt idx="6">
                  <c:v>2.0291468619578746E-2</c:v>
                </c:pt>
              </c:numCache>
            </c:numRef>
          </c:val>
        </c:ser>
        <c:ser>
          <c:idx val="11"/>
          <c:order val="11"/>
          <c:tx>
            <c:strRef>
              <c:f>Miscellaneous!$C$99</c:f>
              <c:strCache>
                <c:ptCount val="1"/>
                <c:pt idx="0">
                  <c:v>Argentine Hake</c:v>
                </c:pt>
              </c:strCache>
            </c:strRef>
          </c:tx>
          <c:spPr>
            <a:solidFill>
              <a:srgbClr val="A67877"/>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Miscellaneous!$D$99:$M$99</c:f>
              <c:numCache>
                <c:formatCode>0%</c:formatCode>
                <c:ptCount val="10"/>
                <c:pt idx="3">
                  <c:v>2.6383584198714269E-2</c:v>
                </c:pt>
                <c:pt idx="5">
                  <c:v>1.1546259719580539E-2</c:v>
                </c:pt>
              </c:numCache>
            </c:numRef>
          </c:val>
        </c:ser>
        <c:ser>
          <c:idx val="12"/>
          <c:order val="12"/>
          <c:tx>
            <c:strRef>
              <c:f>Miscellaneous!$C$100</c:f>
              <c:strCache>
                <c:ptCount val="1"/>
                <c:pt idx="0">
                  <c:v>Argentine shortfin squid</c:v>
                </c:pt>
              </c:strCache>
            </c:strRef>
          </c:tx>
          <c:spPr>
            <a:solidFill>
              <a:srgbClr val="93A37A"/>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Miscellaneous!$D$100:$M$100</c:f>
              <c:numCache>
                <c:formatCode>0%</c:formatCode>
                <c:ptCount val="10"/>
                <c:pt idx="3">
                  <c:v>3.0706778727360398E-2</c:v>
                </c:pt>
              </c:numCache>
            </c:numRef>
          </c:val>
        </c:ser>
        <c:ser>
          <c:idx val="13"/>
          <c:order val="13"/>
          <c:tx>
            <c:strRef>
              <c:f>Miscellaneous!$C$101</c:f>
              <c:strCache>
                <c:ptCount val="1"/>
                <c:pt idx="0">
                  <c:v>Redfishes</c:v>
                </c:pt>
              </c:strCache>
            </c:strRef>
          </c:tx>
          <c:spPr>
            <a:solidFill>
              <a:srgbClr val="887E97"/>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Miscellaneous!$D$101:$M$101</c:f>
              <c:numCache>
                <c:formatCode>0%</c:formatCode>
                <c:ptCount val="10"/>
                <c:pt idx="1">
                  <c:v>5.0945701625224341E-2</c:v>
                </c:pt>
              </c:numCache>
            </c:numRef>
          </c:val>
        </c:ser>
        <c:ser>
          <c:idx val="14"/>
          <c:order val="14"/>
          <c:tx>
            <c:strRef>
              <c:f>Miscellaneous!$C$102</c:f>
              <c:strCache>
                <c:ptCount val="1"/>
                <c:pt idx="0">
                  <c:v>Anglerfish</c:v>
                </c:pt>
              </c:strCache>
            </c:strRef>
          </c:tx>
          <c:spPr>
            <a:solidFill>
              <a:srgbClr val="2C5D98"/>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Miscellaneous!$D$102:$M$102</c:f>
              <c:numCache>
                <c:formatCode>0%</c:formatCode>
                <c:ptCount val="10"/>
                <c:pt idx="1">
                  <c:v>5.0901073479941952E-2</c:v>
                </c:pt>
              </c:numCache>
            </c:numRef>
          </c:val>
        </c:ser>
        <c:ser>
          <c:idx val="15"/>
          <c:order val="15"/>
          <c:tx>
            <c:strRef>
              <c:f>Miscellaneous!$C$103</c:f>
              <c:strCache>
                <c:ptCount val="1"/>
                <c:pt idx="0">
                  <c:v>Others</c:v>
                </c:pt>
              </c:strCache>
            </c:strRef>
          </c:tx>
          <c:spPr>
            <a:solidFill>
              <a:srgbClr val="008000"/>
            </a:solidFill>
            <a:ln>
              <a:solidFill>
                <a:srgbClr val="FFFFFF"/>
              </a:solidFill>
            </a:ln>
          </c:spPr>
          <c:invertIfNegative val="0"/>
          <c:cat>
            <c:numRef>
              <c:f>Miscellaneous!$D$87:$M$87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Miscellaneous!$D$103:$M$103</c:f>
              <c:numCache>
                <c:formatCode>0%</c:formatCode>
                <c:ptCount val="10"/>
                <c:pt idx="0">
                  <c:v>0.20561751315735827</c:v>
                </c:pt>
                <c:pt idx="1">
                  <c:v>1.7498734798586806E-2</c:v>
                </c:pt>
                <c:pt idx="2">
                  <c:v>4.8348241430370663E-2</c:v>
                </c:pt>
                <c:pt idx="3">
                  <c:v>0.10324903124985337</c:v>
                </c:pt>
                <c:pt idx="4">
                  <c:v>0.14332224408297534</c:v>
                </c:pt>
                <c:pt idx="5">
                  <c:v>3.6270680077606691E-2</c:v>
                </c:pt>
                <c:pt idx="6">
                  <c:v>0.10940501305011546</c:v>
                </c:pt>
                <c:pt idx="7">
                  <c:v>0</c:v>
                </c:pt>
                <c:pt idx="8">
                  <c:v>3.606357099553468E-3</c:v>
                </c:pt>
                <c:pt idx="9">
                  <c:v>0.11292209291866867</c:v>
                </c:pt>
              </c:numCache>
            </c:numRef>
          </c:val>
        </c:ser>
        <c:dLbls>
          <c:showLegendKey val="0"/>
          <c:showVal val="0"/>
          <c:showCatName val="0"/>
          <c:showSerName val="0"/>
          <c:showPercent val="0"/>
          <c:showBubbleSize val="0"/>
        </c:dLbls>
        <c:gapWidth val="150"/>
        <c:overlap val="100"/>
        <c:axId val="48706304"/>
        <c:axId val="48707840"/>
      </c:barChart>
      <c:catAx>
        <c:axId val="48706304"/>
        <c:scaling>
          <c:orientation val="minMax"/>
        </c:scaling>
        <c:delete val="0"/>
        <c:axPos val="b"/>
        <c:numFmt formatCode="General" sourceLinked="1"/>
        <c:majorTickMark val="out"/>
        <c:minorTickMark val="none"/>
        <c:tickLblPos val="nextTo"/>
        <c:crossAx val="48707840"/>
        <c:crosses val="autoZero"/>
        <c:auto val="1"/>
        <c:lblAlgn val="ctr"/>
        <c:lblOffset val="100"/>
        <c:noMultiLvlLbl val="0"/>
      </c:catAx>
      <c:valAx>
        <c:axId val="48707840"/>
        <c:scaling>
          <c:orientation val="minMax"/>
          <c:max val="1"/>
          <c:min val="0"/>
        </c:scaling>
        <c:delete val="0"/>
        <c:axPos val="l"/>
        <c:majorGridlines/>
        <c:numFmt formatCode="0%" sourceLinked="1"/>
        <c:majorTickMark val="out"/>
        <c:minorTickMark val="none"/>
        <c:tickLblPos val="nextTo"/>
        <c:crossAx val="4870630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300kW'!$A$45</c:f>
          <c:strCache>
            <c:ptCount val="1"/>
            <c:pt idx="0">
              <c:v>Landings per kW day at sea (kg)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c:spPr>
          <c:marker>
            <c:symbol val="none"/>
          </c:marker>
          <c:dPt>
            <c:idx val="9"/>
            <c:bubble3D val="0"/>
            <c:spPr>
              <a:ln w="57150">
                <a:prstDash val="sysDot"/>
              </a:ln>
            </c:spPr>
          </c:dPt>
          <c:cat>
            <c:numRef>
              <c:f>'NS beam trawl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300kW'!$D$20:$M$20</c:f>
              <c:numCache>
                <c:formatCode>#,##0.00</c:formatCode>
                <c:ptCount val="10"/>
                <c:pt idx="0">
                  <c:v>1.5263588036266871</c:v>
                </c:pt>
                <c:pt idx="1">
                  <c:v>1.6922833073952948</c:v>
                </c:pt>
                <c:pt idx="2">
                  <c:v>1.8557478545610584</c:v>
                </c:pt>
                <c:pt idx="3">
                  <c:v>2.3182717445427996</c:v>
                </c:pt>
                <c:pt idx="4">
                  <c:v>2.6239202121655145</c:v>
                </c:pt>
                <c:pt idx="5">
                  <c:v>2.925802476005229</c:v>
                </c:pt>
                <c:pt idx="6">
                  <c:v>3.3250466740589304</c:v>
                </c:pt>
                <c:pt idx="7">
                  <c:v>3.6960425503925234</c:v>
                </c:pt>
                <c:pt idx="8">
                  <c:v>3.0634145081247306</c:v>
                </c:pt>
                <c:pt idx="9">
                  <c:v>3.1131918234449065</c:v>
                </c:pt>
              </c:numCache>
            </c:numRef>
          </c:val>
          <c:smooth val="0"/>
        </c:ser>
        <c:dLbls>
          <c:showLegendKey val="0"/>
          <c:showVal val="0"/>
          <c:showCatName val="0"/>
          <c:showSerName val="0"/>
          <c:showPercent val="0"/>
          <c:showBubbleSize val="0"/>
        </c:dLbls>
        <c:marker val="1"/>
        <c:smooth val="0"/>
        <c:axId val="45953792"/>
        <c:axId val="45955328"/>
      </c:lineChart>
      <c:catAx>
        <c:axId val="45953792"/>
        <c:scaling>
          <c:orientation val="minMax"/>
        </c:scaling>
        <c:delete val="0"/>
        <c:axPos val="b"/>
        <c:numFmt formatCode="General" sourceLinked="1"/>
        <c:majorTickMark val="out"/>
        <c:minorTickMark val="none"/>
        <c:tickLblPos val="nextTo"/>
        <c:crossAx val="45955328"/>
        <c:crosses val="autoZero"/>
        <c:auto val="1"/>
        <c:lblAlgn val="ctr"/>
        <c:lblOffset val="100"/>
        <c:noMultiLvlLbl val="0"/>
      </c:catAx>
      <c:valAx>
        <c:axId val="45955328"/>
        <c:scaling>
          <c:orientation val="minMax"/>
        </c:scaling>
        <c:delete val="0"/>
        <c:axPos val="l"/>
        <c:majorGridlines>
          <c:spPr>
            <a:ln w="3175">
              <a:prstDash val="sysDot"/>
            </a:ln>
          </c:spPr>
        </c:majorGridlines>
        <c:numFmt formatCode="#,##0.00" sourceLinked="1"/>
        <c:majorTickMark val="out"/>
        <c:minorTickMark val="none"/>
        <c:tickLblPos val="nextTo"/>
        <c:crossAx val="45953792"/>
        <c:crosses val="autoZero"/>
        <c:crossBetween val="between"/>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300kW'!$F$45</c:f>
          <c:strCache>
            <c:ptCount val="1"/>
            <c:pt idx="0">
              <c:v>Income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0B050"/>
              </a:solidFill>
            </a:ln>
          </c:spPr>
          <c:marker>
            <c:symbol val="none"/>
          </c:marker>
          <c:dPt>
            <c:idx val="9"/>
            <c:bubble3D val="0"/>
            <c:spPr>
              <a:ln w="57150">
                <a:solidFill>
                  <a:srgbClr val="00B050"/>
                </a:solidFill>
                <a:prstDash val="sysDot"/>
              </a:ln>
            </c:spPr>
          </c:dPt>
          <c:cat>
            <c:numRef>
              <c:f>'NS beam trawl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300kW'!$D$21:$M$21</c:f>
              <c:numCache>
                <c:formatCode>#,##0.00</c:formatCode>
                <c:ptCount val="10"/>
                <c:pt idx="0">
                  <c:v>2.6282089164028899</c:v>
                </c:pt>
                <c:pt idx="1">
                  <c:v>2.8673039304695189</c:v>
                </c:pt>
                <c:pt idx="2">
                  <c:v>3.2620754039758753</c:v>
                </c:pt>
                <c:pt idx="3">
                  <c:v>4.0842449438916946</c:v>
                </c:pt>
                <c:pt idx="4">
                  <c:v>4.5268770719290625</c:v>
                </c:pt>
                <c:pt idx="5">
                  <c:v>5.2550236094836826</c:v>
                </c:pt>
                <c:pt idx="6">
                  <c:v>6.0069177056414205</c:v>
                </c:pt>
                <c:pt idx="7">
                  <c:v>5.9202353062929856</c:v>
                </c:pt>
                <c:pt idx="8">
                  <c:v>4.6076521892728639</c:v>
                </c:pt>
                <c:pt idx="9">
                  <c:v>4.962722300249613</c:v>
                </c:pt>
              </c:numCache>
            </c:numRef>
          </c:val>
          <c:smooth val="0"/>
        </c:ser>
        <c:dLbls>
          <c:showLegendKey val="0"/>
          <c:showVal val="0"/>
          <c:showCatName val="0"/>
          <c:showSerName val="0"/>
          <c:showPercent val="0"/>
          <c:showBubbleSize val="0"/>
        </c:dLbls>
        <c:marker val="1"/>
        <c:smooth val="0"/>
        <c:axId val="48769280"/>
        <c:axId val="48771072"/>
      </c:lineChart>
      <c:catAx>
        <c:axId val="48769280"/>
        <c:scaling>
          <c:orientation val="minMax"/>
        </c:scaling>
        <c:delete val="0"/>
        <c:axPos val="b"/>
        <c:numFmt formatCode="General" sourceLinked="1"/>
        <c:majorTickMark val="out"/>
        <c:minorTickMark val="none"/>
        <c:tickLblPos val="nextTo"/>
        <c:crossAx val="48771072"/>
        <c:crosses val="autoZero"/>
        <c:auto val="1"/>
        <c:lblAlgn val="ctr"/>
        <c:lblOffset val="100"/>
        <c:noMultiLvlLbl val="0"/>
      </c:catAx>
      <c:valAx>
        <c:axId val="48771072"/>
        <c:scaling>
          <c:orientation val="minMax"/>
        </c:scaling>
        <c:delete val="0"/>
        <c:axPos val="l"/>
        <c:majorGridlines>
          <c:spPr>
            <a:ln w="3175">
              <a:prstDash val="sysDot"/>
            </a:ln>
          </c:spPr>
        </c:majorGridlines>
        <c:numFmt formatCode="#,##0.00" sourceLinked="1"/>
        <c:majorTickMark val="out"/>
        <c:minorTickMark val="none"/>
        <c:tickLblPos val="nextTo"/>
        <c:crossAx val="48769280"/>
        <c:crosses val="autoZero"/>
        <c:crossBetween val="between"/>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300kW'!$K$45</c:f>
          <c:strCache>
            <c:ptCount val="1"/>
            <c:pt idx="0">
              <c:v>Operating profit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7030A0"/>
              </a:solidFill>
            </a:ln>
          </c:spPr>
          <c:marker>
            <c:symbol val="none"/>
          </c:marker>
          <c:dPt>
            <c:idx val="9"/>
            <c:bubble3D val="0"/>
            <c:spPr>
              <a:ln w="57150">
                <a:solidFill>
                  <a:srgbClr val="7030A0"/>
                </a:solidFill>
                <a:prstDash val="sysDot"/>
              </a:ln>
            </c:spPr>
          </c:dPt>
          <c:cat>
            <c:numRef>
              <c:f>'NS beam trawl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300kW'!$D$23:$M$23</c:f>
              <c:numCache>
                <c:formatCode>#,##0.00</c:formatCode>
                <c:ptCount val="10"/>
                <c:pt idx="0">
                  <c:v>0.3302258907064794</c:v>
                </c:pt>
                <c:pt idx="1">
                  <c:v>0.32457721961986719</c:v>
                </c:pt>
                <c:pt idx="2">
                  <c:v>0.38918748062316971</c:v>
                </c:pt>
                <c:pt idx="3">
                  <c:v>0.11719393809737248</c:v>
                </c:pt>
                <c:pt idx="4">
                  <c:v>0.87164947289272043</c:v>
                </c:pt>
                <c:pt idx="5">
                  <c:v>0.41804162580159471</c:v>
                </c:pt>
                <c:pt idx="6">
                  <c:v>0.35594090352331959</c:v>
                </c:pt>
                <c:pt idx="7">
                  <c:v>3.4491715765342145E-3</c:v>
                </c:pt>
                <c:pt idx="8">
                  <c:v>-0.25764085372387641</c:v>
                </c:pt>
                <c:pt idx="9">
                  <c:v>3.9916810028731473E-2</c:v>
                </c:pt>
              </c:numCache>
            </c:numRef>
          </c:val>
          <c:smooth val="0"/>
        </c:ser>
        <c:dLbls>
          <c:showLegendKey val="0"/>
          <c:showVal val="0"/>
          <c:showCatName val="0"/>
          <c:showSerName val="0"/>
          <c:showPercent val="0"/>
          <c:showBubbleSize val="0"/>
        </c:dLbls>
        <c:marker val="1"/>
        <c:smooth val="0"/>
        <c:axId val="46026752"/>
        <c:axId val="46028288"/>
      </c:lineChart>
      <c:catAx>
        <c:axId val="46026752"/>
        <c:scaling>
          <c:orientation val="minMax"/>
        </c:scaling>
        <c:delete val="0"/>
        <c:axPos val="b"/>
        <c:numFmt formatCode="General" sourceLinked="1"/>
        <c:majorTickMark val="out"/>
        <c:minorTickMark val="none"/>
        <c:tickLblPos val="nextTo"/>
        <c:crossAx val="46028288"/>
        <c:crosses val="autoZero"/>
        <c:auto val="1"/>
        <c:lblAlgn val="ctr"/>
        <c:lblOffset val="100"/>
        <c:noMultiLvlLbl val="0"/>
      </c:catAx>
      <c:valAx>
        <c:axId val="46028288"/>
        <c:scaling>
          <c:orientation val="minMax"/>
        </c:scaling>
        <c:delete val="0"/>
        <c:axPos val="l"/>
        <c:majorGridlines>
          <c:spPr>
            <a:ln w="3175">
              <a:prstDash val="sysDot"/>
            </a:ln>
          </c:spPr>
        </c:majorGridlines>
        <c:numFmt formatCode="#,##0.00" sourceLinked="1"/>
        <c:majorTickMark val="out"/>
        <c:minorTickMark val="none"/>
        <c:tickLblPos val="nextTo"/>
        <c:crossAx val="4602675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300kW'!$B$59</c:f>
          <c:strCache>
            <c:ptCount val="1"/>
            <c:pt idx="0">
              <c:v>Total cost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FFC000"/>
              </a:solidFill>
            </a:ln>
          </c:spPr>
          <c:marker>
            <c:symbol val="none"/>
          </c:marker>
          <c:dPt>
            <c:idx val="9"/>
            <c:bubble3D val="0"/>
            <c:spPr>
              <a:ln w="57150">
                <a:solidFill>
                  <a:srgbClr val="FFC000"/>
                </a:solidFill>
                <a:prstDash val="sysDot"/>
              </a:ln>
            </c:spPr>
          </c:dPt>
          <c:cat>
            <c:numRef>
              <c:f>'NS beam trawl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300kW'!$D$22:$M$22</c:f>
              <c:numCache>
                <c:formatCode>#,##0.00</c:formatCode>
                <c:ptCount val="10"/>
                <c:pt idx="0">
                  <c:v>2.2979830256964129</c:v>
                </c:pt>
                <c:pt idx="1">
                  <c:v>2.5427267108496507</c:v>
                </c:pt>
                <c:pt idx="2">
                  <c:v>2.8728879233527045</c:v>
                </c:pt>
                <c:pt idx="3">
                  <c:v>3.9670510057943171</c:v>
                </c:pt>
                <c:pt idx="4">
                  <c:v>3.6552275990363459</c:v>
                </c:pt>
                <c:pt idx="5">
                  <c:v>4.836981983682092</c:v>
                </c:pt>
                <c:pt idx="6">
                  <c:v>5.6509768021180964</c:v>
                </c:pt>
                <c:pt idx="7">
                  <c:v>5.9167861347164514</c:v>
                </c:pt>
                <c:pt idx="8">
                  <c:v>4.8652930429967416</c:v>
                </c:pt>
                <c:pt idx="9">
                  <c:v>4.9228054902208758</c:v>
                </c:pt>
              </c:numCache>
            </c:numRef>
          </c:val>
          <c:smooth val="0"/>
        </c:ser>
        <c:dLbls>
          <c:showLegendKey val="0"/>
          <c:showVal val="0"/>
          <c:showCatName val="0"/>
          <c:showSerName val="0"/>
          <c:showPercent val="0"/>
          <c:showBubbleSize val="0"/>
        </c:dLbls>
        <c:marker val="1"/>
        <c:smooth val="0"/>
        <c:axId val="46052864"/>
        <c:axId val="46054400"/>
      </c:lineChart>
      <c:catAx>
        <c:axId val="46052864"/>
        <c:scaling>
          <c:orientation val="minMax"/>
        </c:scaling>
        <c:delete val="0"/>
        <c:axPos val="b"/>
        <c:numFmt formatCode="General" sourceLinked="1"/>
        <c:majorTickMark val="out"/>
        <c:minorTickMark val="none"/>
        <c:tickLblPos val="nextTo"/>
        <c:crossAx val="46054400"/>
        <c:crosses val="autoZero"/>
        <c:auto val="1"/>
        <c:lblAlgn val="ctr"/>
        <c:lblOffset val="100"/>
        <c:noMultiLvlLbl val="0"/>
      </c:catAx>
      <c:valAx>
        <c:axId val="46054400"/>
        <c:scaling>
          <c:orientation val="minMax"/>
        </c:scaling>
        <c:delete val="0"/>
        <c:axPos val="l"/>
        <c:majorGridlines>
          <c:spPr>
            <a:ln w="3175">
              <a:prstDash val="sysDot"/>
            </a:ln>
          </c:spPr>
        </c:majorGridlines>
        <c:numFmt formatCode="#,##0.00" sourceLinked="1"/>
        <c:majorTickMark val="out"/>
        <c:minorTickMark val="none"/>
        <c:tickLblPos val="nextTo"/>
        <c:crossAx val="46052864"/>
        <c:crosses val="autoZero"/>
        <c:crossBetween val="between"/>
      </c:valAx>
    </c:plotArea>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300kW'!$F$59</c:f>
          <c:strCache>
            <c:ptCount val="1"/>
            <c:pt idx="0">
              <c:v>Average price per tonne landed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lumMod val="60000"/>
                  <a:lumOff val="40000"/>
                </a:schemeClr>
              </a:solidFill>
            </a:ln>
          </c:spPr>
          <c:marker>
            <c:symbol val="none"/>
          </c:marker>
          <c:dPt>
            <c:idx val="9"/>
            <c:bubble3D val="0"/>
            <c:spPr>
              <a:ln w="57150">
                <a:solidFill>
                  <a:schemeClr val="accent4">
                    <a:lumMod val="60000"/>
                    <a:lumOff val="40000"/>
                  </a:schemeClr>
                </a:solidFill>
                <a:prstDash val="sysDot"/>
              </a:ln>
            </c:spPr>
          </c:dPt>
          <c:cat>
            <c:numRef>
              <c:f>'NS beam trawl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300kW'!$D$19:$M$19</c:f>
              <c:numCache>
                <c:formatCode>#,##0</c:formatCode>
                <c:ptCount val="10"/>
                <c:pt idx="0">
                  <c:v>1721.8814679890802</c:v>
                </c:pt>
                <c:pt idx="1">
                  <c:v>1694.3404062862135</c:v>
                </c:pt>
                <c:pt idx="2">
                  <c:v>1757.8225591866485</c:v>
                </c:pt>
                <c:pt idx="3">
                  <c:v>1761.7628390986922</c:v>
                </c:pt>
                <c:pt idx="4">
                  <c:v>1725.2342720033814</c:v>
                </c:pt>
                <c:pt idx="5">
                  <c:v>1796.0965791685296</c:v>
                </c:pt>
                <c:pt idx="6">
                  <c:v>1806.5665579581519</c:v>
                </c:pt>
                <c:pt idx="7">
                  <c:v>1601.7768263150085</c:v>
                </c:pt>
                <c:pt idx="8">
                  <c:v>1504.0904260303914</c:v>
                </c:pt>
                <c:pt idx="9">
                  <c:v>1594.094624754958</c:v>
                </c:pt>
              </c:numCache>
            </c:numRef>
          </c:val>
          <c:smooth val="0"/>
        </c:ser>
        <c:dLbls>
          <c:showLegendKey val="0"/>
          <c:showVal val="0"/>
          <c:showCatName val="0"/>
          <c:showSerName val="0"/>
          <c:showPercent val="0"/>
          <c:showBubbleSize val="0"/>
        </c:dLbls>
        <c:marker val="1"/>
        <c:smooth val="0"/>
        <c:axId val="46074880"/>
        <c:axId val="46084864"/>
      </c:lineChart>
      <c:catAx>
        <c:axId val="46074880"/>
        <c:scaling>
          <c:orientation val="minMax"/>
        </c:scaling>
        <c:delete val="0"/>
        <c:axPos val="b"/>
        <c:numFmt formatCode="General" sourceLinked="1"/>
        <c:majorTickMark val="out"/>
        <c:minorTickMark val="none"/>
        <c:tickLblPos val="nextTo"/>
        <c:crossAx val="46084864"/>
        <c:crosses val="autoZero"/>
        <c:auto val="1"/>
        <c:lblAlgn val="ctr"/>
        <c:lblOffset val="100"/>
        <c:noMultiLvlLbl val="0"/>
      </c:catAx>
      <c:valAx>
        <c:axId val="46084864"/>
        <c:scaling>
          <c:orientation val="minMax"/>
        </c:scaling>
        <c:delete val="0"/>
        <c:axPos val="l"/>
        <c:majorGridlines>
          <c:spPr>
            <a:ln w="3175">
              <a:prstDash val="sysDot"/>
            </a:ln>
          </c:spPr>
        </c:majorGridlines>
        <c:numFmt formatCode="#,##0" sourceLinked="1"/>
        <c:majorTickMark val="out"/>
        <c:minorTickMark val="none"/>
        <c:tickLblPos val="nextTo"/>
        <c:crossAx val="46074880"/>
        <c:crosses val="autoZero"/>
        <c:crossBetween val="between"/>
      </c:valAx>
    </c:plotArea>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300kW'!$K$59</c:f>
          <c:strCache>
            <c:ptCount val="1"/>
            <c:pt idx="0">
              <c:v>Average annual operating profit per vessel (£'000)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99CCFF"/>
              </a:solidFill>
            </a:ln>
          </c:spPr>
          <c:marker>
            <c:symbol val="none"/>
          </c:marker>
          <c:dPt>
            <c:idx val="9"/>
            <c:bubble3D val="0"/>
            <c:spPr>
              <a:ln w="57150">
                <a:solidFill>
                  <a:srgbClr val="99CCFF"/>
                </a:solidFill>
                <a:prstDash val="sysDot"/>
              </a:ln>
            </c:spPr>
          </c:dPt>
          <c:cat>
            <c:numRef>
              <c:f>'NS beam trawl over 300kW'!$D$2:$M$2</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300kW'!$D$34:$M$34</c:f>
              <c:numCache>
                <c:formatCode>#,##0.0</c:formatCode>
                <c:ptCount val="10"/>
                <c:pt idx="0">
                  <c:v>106.23787504826001</c:v>
                </c:pt>
                <c:pt idx="1">
                  <c:v>97.56653657446455</c:v>
                </c:pt>
                <c:pt idx="2">
                  <c:v>107.15720122564031</c:v>
                </c:pt>
                <c:pt idx="3">
                  <c:v>27.058662360610676</c:v>
                </c:pt>
                <c:pt idx="4">
                  <c:v>281.80625451653793</c:v>
                </c:pt>
                <c:pt idx="5">
                  <c:v>139.55849818254185</c:v>
                </c:pt>
                <c:pt idx="6">
                  <c:v>108.79331914131161</c:v>
                </c:pt>
                <c:pt idx="7">
                  <c:v>1.062533989615593</c:v>
                </c:pt>
                <c:pt idx="8">
                  <c:v>-88.490698443453766</c:v>
                </c:pt>
                <c:pt idx="9">
                  <c:v>12.79999995027004</c:v>
                </c:pt>
              </c:numCache>
            </c:numRef>
          </c:val>
          <c:smooth val="0"/>
        </c:ser>
        <c:dLbls>
          <c:showLegendKey val="0"/>
          <c:showVal val="0"/>
          <c:showCatName val="0"/>
          <c:showSerName val="0"/>
          <c:showPercent val="0"/>
          <c:showBubbleSize val="0"/>
        </c:dLbls>
        <c:marker val="1"/>
        <c:smooth val="0"/>
        <c:axId val="46105344"/>
        <c:axId val="46106880"/>
      </c:lineChart>
      <c:catAx>
        <c:axId val="46105344"/>
        <c:scaling>
          <c:orientation val="minMax"/>
        </c:scaling>
        <c:delete val="0"/>
        <c:axPos val="b"/>
        <c:numFmt formatCode="General" sourceLinked="1"/>
        <c:majorTickMark val="out"/>
        <c:minorTickMark val="none"/>
        <c:tickLblPos val="nextTo"/>
        <c:crossAx val="46106880"/>
        <c:crosses val="autoZero"/>
        <c:auto val="1"/>
        <c:lblAlgn val="ctr"/>
        <c:lblOffset val="100"/>
        <c:noMultiLvlLbl val="0"/>
      </c:catAx>
      <c:valAx>
        <c:axId val="46106880"/>
        <c:scaling>
          <c:orientation val="minMax"/>
        </c:scaling>
        <c:delete val="0"/>
        <c:axPos val="l"/>
        <c:majorGridlines>
          <c:spPr>
            <a:ln w="3175">
              <a:prstDash val="sysDot"/>
            </a:ln>
          </c:spPr>
        </c:majorGridlines>
        <c:numFmt formatCode="#,##0.0" sourceLinked="1"/>
        <c:majorTickMark val="out"/>
        <c:minorTickMark val="none"/>
        <c:tickLblPos val="nextTo"/>
        <c:crossAx val="46105344"/>
        <c:crosses val="autoZero"/>
        <c:crossBetween val="between"/>
      </c:valAx>
    </c:plotArea>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300kW'!$A$73</c:f>
          <c:strCache>
            <c:ptCount val="1"/>
            <c:pt idx="0">
              <c:v>Top 5 landed species by volume in 2013
North Sea beam trawl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342"/>
          <c:y val="0.15815627498001597"/>
          <c:w val="0.43738562091503302"/>
          <c:h val="0.92944444444444396"/>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769535"/>
              </a:solidFill>
              <a:ln>
                <a:solidFill>
                  <a:srgbClr val="FFFFFF"/>
                </a:solidFill>
              </a:ln>
            </c:spPr>
          </c:dPt>
          <c:dPt>
            <c:idx val="3"/>
            <c:bubble3D val="0"/>
            <c:spPr>
              <a:solidFill>
                <a:srgbClr val="607A2A"/>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 beam trawl over 300kW'!$B$74:$B$79</c:f>
              <c:strCache>
                <c:ptCount val="6"/>
                <c:pt idx="0">
                  <c:v>Plaice - 85.5%</c:v>
                </c:pt>
                <c:pt idx="1">
                  <c:v>Sole - 4.4%</c:v>
                </c:pt>
                <c:pt idx="2">
                  <c:v>Dabs - 3.0%</c:v>
                </c:pt>
                <c:pt idx="3">
                  <c:v>Turbot - 1.9%</c:v>
                </c:pt>
                <c:pt idx="4">
                  <c:v>Lemon Sole - 1.4%</c:v>
                </c:pt>
                <c:pt idx="5">
                  <c:v>Others - 3.8%</c:v>
                </c:pt>
              </c:strCache>
            </c:strRef>
          </c:cat>
          <c:val>
            <c:numRef>
              <c:f>'NS beam trawl over 300kW'!$C$74:$C$79</c:f>
              <c:numCache>
                <c:formatCode>0.0%</c:formatCode>
                <c:ptCount val="6"/>
                <c:pt idx="0">
                  <c:v>0.8546367534491498</c:v>
                </c:pt>
                <c:pt idx="1">
                  <c:v>4.3825392675943591E-2</c:v>
                </c:pt>
                <c:pt idx="2">
                  <c:v>2.9894660858350821E-2</c:v>
                </c:pt>
                <c:pt idx="3">
                  <c:v>1.8890751310072847E-2</c:v>
                </c:pt>
                <c:pt idx="4">
                  <c:v>1.4398569214924842E-2</c:v>
                </c:pt>
                <c:pt idx="5">
                  <c:v>3.8353872491558083E-2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300kW'!$F$73</c:f>
          <c:strCache>
            <c:ptCount val="1"/>
            <c:pt idx="0">
              <c:v>Top 5 landed species by value in 2013
North Sea beam trawl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379"/>
          <c:y val="0.16406115107913669"/>
          <c:w val="0.43479166666666702"/>
          <c:h val="0.92393229166666702"/>
        </c:manualLayout>
      </c:layout>
      <c:pieChart>
        <c:varyColors val="1"/>
        <c:ser>
          <c:idx val="0"/>
          <c:order val="0"/>
          <c:dPt>
            <c:idx val="0"/>
            <c:bubble3D val="0"/>
            <c:spPr>
              <a:solidFill>
                <a:srgbClr val="224B7D"/>
              </a:solidFill>
              <a:ln>
                <a:solidFill>
                  <a:srgbClr val="FFFFFF"/>
                </a:solidFill>
              </a:ln>
            </c:spPr>
          </c:dPt>
          <c:dPt>
            <c:idx val="1"/>
            <c:bubble3D val="0"/>
            <c:spPr>
              <a:solidFill>
                <a:srgbClr val="7F2321"/>
              </a:solidFill>
              <a:ln>
                <a:solidFill>
                  <a:srgbClr val="FFFFFF"/>
                </a:solidFill>
              </a:ln>
            </c:spPr>
          </c:dPt>
          <c:dPt>
            <c:idx val="2"/>
            <c:bubble3D val="0"/>
            <c:spPr>
              <a:solidFill>
                <a:srgbClr val="607A2A"/>
              </a:solidFill>
              <a:ln>
                <a:solidFill>
                  <a:srgbClr val="FFFFFF"/>
                </a:solidFill>
              </a:ln>
            </c:spPr>
          </c:dPt>
          <c:dPt>
            <c:idx val="3"/>
            <c:bubble3D val="0"/>
            <c:spPr>
              <a:solidFill>
                <a:srgbClr val="4B3467"/>
              </a:solidFill>
              <a:ln>
                <a:solidFill>
                  <a:srgbClr val="FFFFFF"/>
                </a:solidFill>
              </a:ln>
            </c:spPr>
          </c:dPt>
          <c:dPt>
            <c:idx val="4"/>
            <c:bubble3D val="0"/>
            <c:spPr>
              <a:solidFill>
                <a:srgbClr val="9B2D2A"/>
              </a:solidFill>
              <a:ln>
                <a:solidFill>
                  <a:srgbClr val="FFFFFF"/>
                </a:solidFill>
              </a:ln>
            </c:spPr>
          </c:dPt>
          <c:dPt>
            <c:idx val="5"/>
            <c:bubble3D val="0"/>
            <c:spPr>
              <a:solidFill>
                <a:srgbClr val="008000"/>
              </a:solidFill>
              <a:ln>
                <a:solidFill>
                  <a:srgbClr val="FFFFFF"/>
                </a:solidFill>
              </a:ln>
            </c:spPr>
          </c:dPt>
          <c:cat>
            <c:strRef>
              <c:f>'NS beam trawl over 300kW'!$G$74:$G$79</c:f>
              <c:strCache>
                <c:ptCount val="6"/>
                <c:pt idx="0">
                  <c:v>Plaice - 59.7%</c:v>
                </c:pt>
                <c:pt idx="1">
                  <c:v>Sole - 21.1%</c:v>
                </c:pt>
                <c:pt idx="2">
                  <c:v>Turbot - 9.0%</c:v>
                </c:pt>
                <c:pt idx="3">
                  <c:v>Brill - 2.6%</c:v>
                </c:pt>
                <c:pt idx="4">
                  <c:v>Lemon Sole - 2.2%</c:v>
                </c:pt>
                <c:pt idx="5">
                  <c:v>Others - 5.4%</c:v>
                </c:pt>
              </c:strCache>
            </c:strRef>
          </c:cat>
          <c:val>
            <c:numRef>
              <c:f>'NS beam trawl over 300kW'!$H$74:$H$79</c:f>
              <c:numCache>
                <c:formatCode>0.0%</c:formatCode>
                <c:ptCount val="6"/>
                <c:pt idx="0">
                  <c:v>0.59678425531862023</c:v>
                </c:pt>
                <c:pt idx="1">
                  <c:v>0.21065929136418793</c:v>
                </c:pt>
                <c:pt idx="2">
                  <c:v>8.9513300969788143E-2</c:v>
                </c:pt>
                <c:pt idx="3">
                  <c:v>2.6395282910125707E-2</c:v>
                </c:pt>
                <c:pt idx="4">
                  <c:v>2.2250377949001834E-2</c:v>
                </c:pt>
                <c:pt idx="5">
                  <c:v>5.4397491488276106E-2</c:v>
                </c:pt>
              </c:numCache>
            </c:numRef>
          </c:val>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species 2005-2014 (by landing value)</a:t>
            </a:r>
            <a:endParaRPr lang="en-US" sz="1200"/>
          </a:p>
        </c:rich>
      </c:tx>
      <c:layout>
        <c:manualLayout>
          <c:xMode val="edge"/>
          <c:yMode val="edge"/>
          <c:x val="0.10192934830406614"/>
          <c:y val="5.0759392486011195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beam trawl over 300kW'!$C$88</c:f>
              <c:strCache>
                <c:ptCount val="1"/>
                <c:pt idx="0">
                  <c:v>Plaice</c:v>
                </c:pt>
              </c:strCache>
            </c:strRef>
          </c:tx>
          <c:spPr>
            <a:solidFill>
              <a:srgbClr val="224B7D"/>
            </a:solidFill>
            <a:ln>
              <a:solidFill>
                <a:srgbClr val="FFFFFF"/>
              </a:solidFill>
            </a:ln>
          </c:spPr>
          <c:invertIfNegative val="0"/>
          <c:cat>
            <c:numRef>
              <c:f>'NS beam trawl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300kW'!$D$88:$M$88</c:f>
              <c:numCache>
                <c:formatCode>0%</c:formatCode>
                <c:ptCount val="10"/>
                <c:pt idx="0">
                  <c:v>0.55664597162333829</c:v>
                </c:pt>
                <c:pt idx="1">
                  <c:v>0.515515153574852</c:v>
                </c:pt>
                <c:pt idx="2">
                  <c:v>0.49163144616486715</c:v>
                </c:pt>
                <c:pt idx="3">
                  <c:v>0.60863551405836092</c:v>
                </c:pt>
                <c:pt idx="4">
                  <c:v>0.58192029239088672</c:v>
                </c:pt>
                <c:pt idx="5">
                  <c:v>0.54899527029792006</c:v>
                </c:pt>
                <c:pt idx="6">
                  <c:v>0.63454574479196479</c:v>
                </c:pt>
                <c:pt idx="7">
                  <c:v>0.7625843231686168</c:v>
                </c:pt>
                <c:pt idx="8">
                  <c:v>0.6069630160279732</c:v>
                </c:pt>
                <c:pt idx="9">
                  <c:v>0.56732272349263768</c:v>
                </c:pt>
              </c:numCache>
            </c:numRef>
          </c:val>
        </c:ser>
        <c:ser>
          <c:idx val="1"/>
          <c:order val="1"/>
          <c:tx>
            <c:strRef>
              <c:f>'NS beam trawl over 300kW'!$C$89</c:f>
              <c:strCache>
                <c:ptCount val="1"/>
                <c:pt idx="0">
                  <c:v>Sole</c:v>
                </c:pt>
              </c:strCache>
            </c:strRef>
          </c:tx>
          <c:spPr>
            <a:solidFill>
              <a:srgbClr val="7F2321"/>
            </a:solidFill>
            <a:ln>
              <a:solidFill>
                <a:srgbClr val="FFFFFF"/>
              </a:solidFill>
            </a:ln>
          </c:spPr>
          <c:invertIfNegative val="0"/>
          <c:cat>
            <c:numRef>
              <c:f>'NS beam trawl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300kW'!$D$89:$M$89</c:f>
              <c:numCache>
                <c:formatCode>0%</c:formatCode>
                <c:ptCount val="10"/>
                <c:pt idx="0">
                  <c:v>0.19425373033745591</c:v>
                </c:pt>
                <c:pt idx="1">
                  <c:v>0.20979579344847954</c:v>
                </c:pt>
                <c:pt idx="2">
                  <c:v>0.26303235600988656</c:v>
                </c:pt>
                <c:pt idx="3">
                  <c:v>0.20436870001252919</c:v>
                </c:pt>
                <c:pt idx="4">
                  <c:v>0.24630710228139646</c:v>
                </c:pt>
                <c:pt idx="5">
                  <c:v>0.26344268463511944</c:v>
                </c:pt>
                <c:pt idx="6">
                  <c:v>0.19525802144587234</c:v>
                </c:pt>
                <c:pt idx="7">
                  <c:v>0.10899880158052927</c:v>
                </c:pt>
                <c:pt idx="8">
                  <c:v>0.21425229922069233</c:v>
                </c:pt>
                <c:pt idx="9">
                  <c:v>0.24871487117692309</c:v>
                </c:pt>
              </c:numCache>
            </c:numRef>
          </c:val>
        </c:ser>
        <c:ser>
          <c:idx val="2"/>
          <c:order val="2"/>
          <c:tx>
            <c:strRef>
              <c:f>'NS beam trawl over 300kW'!$C$90</c:f>
              <c:strCache>
                <c:ptCount val="1"/>
                <c:pt idx="0">
                  <c:v>Turbot</c:v>
                </c:pt>
              </c:strCache>
            </c:strRef>
          </c:tx>
          <c:spPr>
            <a:solidFill>
              <a:srgbClr val="607A2A"/>
            </a:solidFill>
            <a:ln>
              <a:solidFill>
                <a:srgbClr val="FFFFFF"/>
              </a:solidFill>
            </a:ln>
          </c:spPr>
          <c:invertIfNegative val="0"/>
          <c:cat>
            <c:numRef>
              <c:f>'NS beam trawl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300kW'!$D$90:$M$90</c:f>
              <c:numCache>
                <c:formatCode>0%</c:formatCode>
                <c:ptCount val="10"/>
                <c:pt idx="0">
                  <c:v>8.9964176259691123E-2</c:v>
                </c:pt>
                <c:pt idx="1">
                  <c:v>0.12903082741821556</c:v>
                </c:pt>
                <c:pt idx="2">
                  <c:v>0.12302623929240315</c:v>
                </c:pt>
                <c:pt idx="3">
                  <c:v>9.1798918698985488E-2</c:v>
                </c:pt>
                <c:pt idx="4">
                  <c:v>9.71935875073765E-2</c:v>
                </c:pt>
                <c:pt idx="5">
                  <c:v>0.1062469444104697</c:v>
                </c:pt>
                <c:pt idx="6">
                  <c:v>8.1678319418573092E-2</c:v>
                </c:pt>
                <c:pt idx="7">
                  <c:v>6.4133315079084929E-2</c:v>
                </c:pt>
                <c:pt idx="8">
                  <c:v>9.1040041098663219E-2</c:v>
                </c:pt>
                <c:pt idx="9">
                  <c:v>9.8087807895387472E-2</c:v>
                </c:pt>
              </c:numCache>
            </c:numRef>
          </c:val>
        </c:ser>
        <c:ser>
          <c:idx val="3"/>
          <c:order val="3"/>
          <c:tx>
            <c:strRef>
              <c:f>'NS beam trawl over 300kW'!$C$91</c:f>
              <c:strCache>
                <c:ptCount val="1"/>
                <c:pt idx="0">
                  <c:v>Brill</c:v>
                </c:pt>
              </c:strCache>
            </c:strRef>
          </c:tx>
          <c:spPr>
            <a:solidFill>
              <a:srgbClr val="4B3467"/>
            </a:solidFill>
            <a:ln>
              <a:solidFill>
                <a:srgbClr val="FFFFFF"/>
              </a:solidFill>
            </a:ln>
          </c:spPr>
          <c:invertIfNegative val="0"/>
          <c:cat>
            <c:numRef>
              <c:f>'NS beam trawl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300kW'!$D$91:$M$91</c:f>
              <c:numCache>
                <c:formatCode>0%</c:formatCode>
                <c:ptCount val="10"/>
                <c:pt idx="0">
                  <c:v>3.1149175408837389E-2</c:v>
                </c:pt>
                <c:pt idx="1">
                  <c:v>3.1251949962296084E-2</c:v>
                </c:pt>
                <c:pt idx="4">
                  <c:v>2.0878865534685362E-2</c:v>
                </c:pt>
                <c:pt idx="5">
                  <c:v>2.430475150512541E-2</c:v>
                </c:pt>
                <c:pt idx="6">
                  <c:v>2.3361304531919792E-2</c:v>
                </c:pt>
                <c:pt idx="7">
                  <c:v>1.6468527140065074E-2</c:v>
                </c:pt>
                <c:pt idx="8">
                  <c:v>2.684548122920569E-2</c:v>
                </c:pt>
                <c:pt idx="9">
                  <c:v>2.9303697238820724E-2</c:v>
                </c:pt>
              </c:numCache>
            </c:numRef>
          </c:val>
        </c:ser>
        <c:ser>
          <c:idx val="4"/>
          <c:order val="4"/>
          <c:tx>
            <c:strRef>
              <c:f>'NS beam trawl over 300kW'!$C$92</c:f>
              <c:strCache>
                <c:ptCount val="1"/>
                <c:pt idx="0">
                  <c:v>Lemon Sole</c:v>
                </c:pt>
              </c:strCache>
            </c:strRef>
          </c:tx>
          <c:spPr>
            <a:solidFill>
              <a:srgbClr val="9B2D2A"/>
            </a:solidFill>
            <a:ln>
              <a:solidFill>
                <a:srgbClr val="FFFFFF"/>
              </a:solidFill>
            </a:ln>
          </c:spPr>
          <c:invertIfNegative val="0"/>
          <c:cat>
            <c:numRef>
              <c:f>'NS beam trawl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300kW'!$D$92:$M$92</c:f>
              <c:numCache>
                <c:formatCode>0%</c:formatCode>
                <c:ptCount val="10"/>
                <c:pt idx="0">
                  <c:v>3.0325270466263904E-2</c:v>
                </c:pt>
                <c:pt idx="1">
                  <c:v>3.6416488941531683E-2</c:v>
                </c:pt>
                <c:pt idx="2">
                  <c:v>2.7601287389716431E-2</c:v>
                </c:pt>
                <c:pt idx="3">
                  <c:v>2.2762367260026221E-2</c:v>
                </c:pt>
                <c:pt idx="5">
                  <c:v>2.1941186391730767E-2</c:v>
                </c:pt>
                <c:pt idx="6">
                  <c:v>2.8429737999767384E-2</c:v>
                </c:pt>
                <c:pt idx="7">
                  <c:v>1.7101906170824618E-2</c:v>
                </c:pt>
                <c:pt idx="8">
                  <c:v>2.2629880710371829E-2</c:v>
                </c:pt>
                <c:pt idx="9">
                  <c:v>2.5202455737923738E-2</c:v>
                </c:pt>
              </c:numCache>
            </c:numRef>
          </c:val>
        </c:ser>
        <c:ser>
          <c:idx val="5"/>
          <c:order val="5"/>
          <c:tx>
            <c:strRef>
              <c:f>'NS beam trawl over 300kW'!$C$93</c:f>
              <c:strCache>
                <c:ptCount val="1"/>
                <c:pt idx="0">
                  <c:v>Dabs</c:v>
                </c:pt>
              </c:strCache>
            </c:strRef>
          </c:tx>
          <c:spPr>
            <a:solidFill>
              <a:srgbClr val="769535"/>
            </a:solidFill>
            <a:ln>
              <a:solidFill>
                <a:srgbClr val="FFFFFF"/>
              </a:solidFill>
            </a:ln>
          </c:spPr>
          <c:invertIfNegative val="0"/>
          <c:cat>
            <c:numRef>
              <c:f>'NS beam trawl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300kW'!$D$93:$M$93</c:f>
              <c:numCache>
                <c:formatCode>0%</c:formatCode>
                <c:ptCount val="10"/>
                <c:pt idx="2">
                  <c:v>3.2619585891989371E-2</c:v>
                </c:pt>
                <c:pt idx="3">
                  <c:v>2.7191201083347525E-2</c:v>
                </c:pt>
                <c:pt idx="4">
                  <c:v>1.7473431992535371E-2</c:v>
                </c:pt>
              </c:numCache>
            </c:numRef>
          </c:val>
        </c:ser>
        <c:ser>
          <c:idx val="6"/>
          <c:order val="6"/>
          <c:tx>
            <c:strRef>
              <c:f>'NS beam trawl over 300kW'!$C$94</c:f>
              <c:strCache>
                <c:ptCount val="1"/>
                <c:pt idx="0">
                  <c:v>Others</c:v>
                </c:pt>
              </c:strCache>
            </c:strRef>
          </c:tx>
          <c:spPr>
            <a:solidFill>
              <a:srgbClr val="008000"/>
            </a:solidFill>
            <a:ln>
              <a:solidFill>
                <a:srgbClr val="FFFFFF"/>
              </a:solidFill>
            </a:ln>
          </c:spPr>
          <c:invertIfNegative val="0"/>
          <c:cat>
            <c:numRef>
              <c:f>'NS beam trawl over 300kW'!$D$87:$M$87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'NS beam trawl over 300kW'!$D$94:$M$94</c:f>
              <c:numCache>
                <c:formatCode>0%</c:formatCode>
                <c:ptCount val="10"/>
                <c:pt idx="0">
                  <c:v>9.7661675904413381E-2</c:v>
                </c:pt>
                <c:pt idx="1">
                  <c:v>7.7989786654625179E-2</c:v>
                </c:pt>
                <c:pt idx="2">
                  <c:v>6.2089085251137363E-2</c:v>
                </c:pt>
                <c:pt idx="3">
                  <c:v>4.524329888675066E-2</c:v>
                </c:pt>
                <c:pt idx="4">
                  <c:v>3.6226720293119616E-2</c:v>
                </c:pt>
                <c:pt idx="5">
                  <c:v>3.5069162759634634E-2</c:v>
                </c:pt>
                <c:pt idx="6">
                  <c:v>3.6726871811902567E-2</c:v>
                </c:pt>
                <c:pt idx="7">
                  <c:v>3.0713126860879309E-2</c:v>
                </c:pt>
                <c:pt idx="8">
                  <c:v>3.8269281713093746E-2</c:v>
                </c:pt>
                <c:pt idx="9">
                  <c:v>3.1368444458307318E-2</c:v>
                </c:pt>
              </c:numCache>
            </c:numRef>
          </c:val>
        </c:ser>
        <c:dLbls>
          <c:showLegendKey val="0"/>
          <c:showVal val="0"/>
          <c:showCatName val="0"/>
          <c:showSerName val="0"/>
          <c:showPercent val="0"/>
          <c:showBubbleSize val="0"/>
        </c:dLbls>
        <c:gapWidth val="150"/>
        <c:overlap val="100"/>
        <c:axId val="46297472"/>
        <c:axId val="46299008"/>
      </c:barChart>
      <c:catAx>
        <c:axId val="46297472"/>
        <c:scaling>
          <c:orientation val="minMax"/>
        </c:scaling>
        <c:delete val="0"/>
        <c:axPos val="b"/>
        <c:numFmt formatCode="General" sourceLinked="1"/>
        <c:majorTickMark val="out"/>
        <c:minorTickMark val="none"/>
        <c:tickLblPos val="nextTo"/>
        <c:crossAx val="46299008"/>
        <c:crosses val="autoZero"/>
        <c:auto val="1"/>
        <c:lblAlgn val="ctr"/>
        <c:lblOffset val="100"/>
        <c:noMultiLvlLbl val="0"/>
      </c:catAx>
      <c:valAx>
        <c:axId val="46299008"/>
        <c:scaling>
          <c:orientation val="minMax"/>
          <c:max val="1"/>
          <c:min val="0"/>
        </c:scaling>
        <c:delete val="0"/>
        <c:axPos val="l"/>
        <c:majorGridlines/>
        <c:numFmt formatCode="0%" sourceLinked="1"/>
        <c:majorTickMark val="out"/>
        <c:minorTickMark val="none"/>
        <c:tickLblPos val="nextTo"/>
        <c:crossAx val="462974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13" r="0.74803149606299213" t="0.98425196850393704" header="0.51181102362204722" footer="0.51181102362204722"/>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4" Type="http://schemas.openxmlformats.org/officeDocument/2006/relationships/chart" Target="../charts/chart85.xml"/><Relationship Id="rId9" Type="http://schemas.openxmlformats.org/officeDocument/2006/relationships/chart" Target="../charts/chart9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98.xml"/><Relationship Id="rId3" Type="http://schemas.openxmlformats.org/officeDocument/2006/relationships/chart" Target="../charts/chart93.xml"/><Relationship Id="rId7" Type="http://schemas.openxmlformats.org/officeDocument/2006/relationships/chart" Target="../charts/chart97.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 Id="rId9" Type="http://schemas.openxmlformats.org/officeDocument/2006/relationships/chart" Target="../charts/chart9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07.xml"/><Relationship Id="rId3" Type="http://schemas.openxmlformats.org/officeDocument/2006/relationships/chart" Target="../charts/chart102.xml"/><Relationship Id="rId7" Type="http://schemas.openxmlformats.org/officeDocument/2006/relationships/chart" Target="../charts/chart106.xml"/><Relationship Id="rId2" Type="http://schemas.openxmlformats.org/officeDocument/2006/relationships/chart" Target="../charts/chart101.xml"/><Relationship Id="rId1" Type="http://schemas.openxmlformats.org/officeDocument/2006/relationships/chart" Target="../charts/chart100.xml"/><Relationship Id="rId6" Type="http://schemas.openxmlformats.org/officeDocument/2006/relationships/chart" Target="../charts/chart105.xml"/><Relationship Id="rId5" Type="http://schemas.openxmlformats.org/officeDocument/2006/relationships/chart" Target="../charts/chart104.xml"/><Relationship Id="rId4" Type="http://schemas.openxmlformats.org/officeDocument/2006/relationships/chart" Target="../charts/chart103.xml"/><Relationship Id="rId9" Type="http://schemas.openxmlformats.org/officeDocument/2006/relationships/chart" Target="../charts/chart108.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16.xml"/><Relationship Id="rId3" Type="http://schemas.openxmlformats.org/officeDocument/2006/relationships/chart" Target="../charts/chart111.xml"/><Relationship Id="rId7" Type="http://schemas.openxmlformats.org/officeDocument/2006/relationships/chart" Target="../charts/chart115.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5" Type="http://schemas.openxmlformats.org/officeDocument/2006/relationships/chart" Target="../charts/chart113.xml"/><Relationship Id="rId4" Type="http://schemas.openxmlformats.org/officeDocument/2006/relationships/chart" Target="../charts/chart112.xml"/><Relationship Id="rId9" Type="http://schemas.openxmlformats.org/officeDocument/2006/relationships/chart" Target="../charts/chart11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25.xml"/><Relationship Id="rId3" Type="http://schemas.openxmlformats.org/officeDocument/2006/relationships/chart" Target="../charts/chart120.xml"/><Relationship Id="rId7" Type="http://schemas.openxmlformats.org/officeDocument/2006/relationships/chart" Target="../charts/chart124.xml"/><Relationship Id="rId2" Type="http://schemas.openxmlformats.org/officeDocument/2006/relationships/chart" Target="../charts/chart119.xml"/><Relationship Id="rId1" Type="http://schemas.openxmlformats.org/officeDocument/2006/relationships/chart" Target="../charts/chart118.xml"/><Relationship Id="rId6" Type="http://schemas.openxmlformats.org/officeDocument/2006/relationships/chart" Target="../charts/chart123.xml"/><Relationship Id="rId5" Type="http://schemas.openxmlformats.org/officeDocument/2006/relationships/chart" Target="../charts/chart122.xml"/><Relationship Id="rId4" Type="http://schemas.openxmlformats.org/officeDocument/2006/relationships/chart" Target="../charts/chart121.xml"/><Relationship Id="rId9" Type="http://schemas.openxmlformats.org/officeDocument/2006/relationships/chart" Target="../charts/chart12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34.xml"/><Relationship Id="rId3" Type="http://schemas.openxmlformats.org/officeDocument/2006/relationships/chart" Target="../charts/chart129.xml"/><Relationship Id="rId7" Type="http://schemas.openxmlformats.org/officeDocument/2006/relationships/chart" Target="../charts/chart133.xml"/><Relationship Id="rId2" Type="http://schemas.openxmlformats.org/officeDocument/2006/relationships/chart" Target="../charts/chart128.xml"/><Relationship Id="rId1" Type="http://schemas.openxmlformats.org/officeDocument/2006/relationships/chart" Target="../charts/chart127.xml"/><Relationship Id="rId6" Type="http://schemas.openxmlformats.org/officeDocument/2006/relationships/chart" Target="../charts/chart132.xml"/><Relationship Id="rId5" Type="http://schemas.openxmlformats.org/officeDocument/2006/relationships/chart" Target="../charts/chart131.xml"/><Relationship Id="rId4" Type="http://schemas.openxmlformats.org/officeDocument/2006/relationships/chart" Target="../charts/chart130.xml"/><Relationship Id="rId9" Type="http://schemas.openxmlformats.org/officeDocument/2006/relationships/chart" Target="../charts/chart135.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43.xml"/><Relationship Id="rId3" Type="http://schemas.openxmlformats.org/officeDocument/2006/relationships/chart" Target="../charts/chart138.xml"/><Relationship Id="rId7" Type="http://schemas.openxmlformats.org/officeDocument/2006/relationships/chart" Target="../charts/chart142.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1.xml"/><Relationship Id="rId5" Type="http://schemas.openxmlformats.org/officeDocument/2006/relationships/chart" Target="../charts/chart140.xml"/><Relationship Id="rId4" Type="http://schemas.openxmlformats.org/officeDocument/2006/relationships/chart" Target="../charts/chart139.xml"/><Relationship Id="rId9" Type="http://schemas.openxmlformats.org/officeDocument/2006/relationships/chart" Target="../charts/chart1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52.xml"/><Relationship Id="rId3" Type="http://schemas.openxmlformats.org/officeDocument/2006/relationships/chart" Target="../charts/chart147.xml"/><Relationship Id="rId7" Type="http://schemas.openxmlformats.org/officeDocument/2006/relationships/chart" Target="../charts/chart151.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chart" Target="../charts/chart148.xml"/><Relationship Id="rId9" Type="http://schemas.openxmlformats.org/officeDocument/2006/relationships/chart" Target="../charts/chart153.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61.xml"/><Relationship Id="rId3" Type="http://schemas.openxmlformats.org/officeDocument/2006/relationships/chart" Target="../charts/chart156.xml"/><Relationship Id="rId7" Type="http://schemas.openxmlformats.org/officeDocument/2006/relationships/chart" Target="../charts/chart160.xml"/><Relationship Id="rId2" Type="http://schemas.openxmlformats.org/officeDocument/2006/relationships/chart" Target="../charts/chart155.xml"/><Relationship Id="rId1" Type="http://schemas.openxmlformats.org/officeDocument/2006/relationships/chart" Target="../charts/chart154.xml"/><Relationship Id="rId6" Type="http://schemas.openxmlformats.org/officeDocument/2006/relationships/chart" Target="../charts/chart159.xml"/><Relationship Id="rId5" Type="http://schemas.openxmlformats.org/officeDocument/2006/relationships/chart" Target="../charts/chart158.xml"/><Relationship Id="rId4" Type="http://schemas.openxmlformats.org/officeDocument/2006/relationships/chart" Target="../charts/chart157.xml"/><Relationship Id="rId9" Type="http://schemas.openxmlformats.org/officeDocument/2006/relationships/chart" Target="../charts/chart162.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70.xml"/><Relationship Id="rId3" Type="http://schemas.openxmlformats.org/officeDocument/2006/relationships/chart" Target="../charts/chart165.xml"/><Relationship Id="rId7" Type="http://schemas.openxmlformats.org/officeDocument/2006/relationships/chart" Target="../charts/chart169.xml"/><Relationship Id="rId2" Type="http://schemas.openxmlformats.org/officeDocument/2006/relationships/chart" Target="../charts/chart164.xml"/><Relationship Id="rId1" Type="http://schemas.openxmlformats.org/officeDocument/2006/relationships/chart" Target="../charts/chart163.xml"/><Relationship Id="rId6" Type="http://schemas.openxmlformats.org/officeDocument/2006/relationships/chart" Target="../charts/chart168.xml"/><Relationship Id="rId5" Type="http://schemas.openxmlformats.org/officeDocument/2006/relationships/chart" Target="../charts/chart167.xml"/><Relationship Id="rId4" Type="http://schemas.openxmlformats.org/officeDocument/2006/relationships/chart" Target="../charts/chart166.xml"/><Relationship Id="rId9" Type="http://schemas.openxmlformats.org/officeDocument/2006/relationships/chart" Target="../charts/chart17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74.xml"/><Relationship Id="rId2" Type="http://schemas.openxmlformats.org/officeDocument/2006/relationships/chart" Target="../charts/chart173.xml"/><Relationship Id="rId1" Type="http://schemas.openxmlformats.org/officeDocument/2006/relationships/chart" Target="../charts/chart172.xml"/><Relationship Id="rId5" Type="http://schemas.openxmlformats.org/officeDocument/2006/relationships/chart" Target="../charts/chart176.xml"/><Relationship Id="rId4" Type="http://schemas.openxmlformats.org/officeDocument/2006/relationships/chart" Target="../charts/chart175.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84.xml"/><Relationship Id="rId3" Type="http://schemas.openxmlformats.org/officeDocument/2006/relationships/chart" Target="../charts/chart179.xml"/><Relationship Id="rId7" Type="http://schemas.openxmlformats.org/officeDocument/2006/relationships/chart" Target="../charts/chart183.xml"/><Relationship Id="rId2" Type="http://schemas.openxmlformats.org/officeDocument/2006/relationships/chart" Target="../charts/chart178.xml"/><Relationship Id="rId1" Type="http://schemas.openxmlformats.org/officeDocument/2006/relationships/chart" Target="../charts/chart177.xml"/><Relationship Id="rId6" Type="http://schemas.openxmlformats.org/officeDocument/2006/relationships/chart" Target="../charts/chart182.xml"/><Relationship Id="rId5" Type="http://schemas.openxmlformats.org/officeDocument/2006/relationships/chart" Target="../charts/chart181.xml"/><Relationship Id="rId4" Type="http://schemas.openxmlformats.org/officeDocument/2006/relationships/chart" Target="../charts/chart180.xml"/><Relationship Id="rId9" Type="http://schemas.openxmlformats.org/officeDocument/2006/relationships/chart" Target="../charts/chart185.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93.xml"/><Relationship Id="rId3" Type="http://schemas.openxmlformats.org/officeDocument/2006/relationships/chart" Target="../charts/chart188.xml"/><Relationship Id="rId7" Type="http://schemas.openxmlformats.org/officeDocument/2006/relationships/chart" Target="../charts/chart192.xml"/><Relationship Id="rId2" Type="http://schemas.openxmlformats.org/officeDocument/2006/relationships/chart" Target="../charts/chart187.xml"/><Relationship Id="rId1" Type="http://schemas.openxmlformats.org/officeDocument/2006/relationships/chart" Target="../charts/chart186.xml"/><Relationship Id="rId6" Type="http://schemas.openxmlformats.org/officeDocument/2006/relationships/chart" Target="../charts/chart191.xml"/><Relationship Id="rId5" Type="http://schemas.openxmlformats.org/officeDocument/2006/relationships/chart" Target="../charts/chart190.xml"/><Relationship Id="rId4" Type="http://schemas.openxmlformats.org/officeDocument/2006/relationships/chart" Target="../charts/chart189.xml"/><Relationship Id="rId9" Type="http://schemas.openxmlformats.org/officeDocument/2006/relationships/chart" Target="../charts/chart19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02.xml"/><Relationship Id="rId3" Type="http://schemas.openxmlformats.org/officeDocument/2006/relationships/chart" Target="../charts/chart197.xml"/><Relationship Id="rId7" Type="http://schemas.openxmlformats.org/officeDocument/2006/relationships/chart" Target="../charts/chart201.xml"/><Relationship Id="rId2" Type="http://schemas.openxmlformats.org/officeDocument/2006/relationships/chart" Target="../charts/chart196.xml"/><Relationship Id="rId1" Type="http://schemas.openxmlformats.org/officeDocument/2006/relationships/chart" Target="../charts/chart195.xml"/><Relationship Id="rId6" Type="http://schemas.openxmlformats.org/officeDocument/2006/relationships/chart" Target="../charts/chart200.xml"/><Relationship Id="rId5" Type="http://schemas.openxmlformats.org/officeDocument/2006/relationships/chart" Target="../charts/chart199.xml"/><Relationship Id="rId4" Type="http://schemas.openxmlformats.org/officeDocument/2006/relationships/chart" Target="../charts/chart198.xml"/><Relationship Id="rId9" Type="http://schemas.openxmlformats.org/officeDocument/2006/relationships/chart" Target="../charts/chart203.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11.xml"/><Relationship Id="rId3" Type="http://schemas.openxmlformats.org/officeDocument/2006/relationships/chart" Target="../charts/chart206.xml"/><Relationship Id="rId7" Type="http://schemas.openxmlformats.org/officeDocument/2006/relationships/chart" Target="../charts/chart210.xml"/><Relationship Id="rId2" Type="http://schemas.openxmlformats.org/officeDocument/2006/relationships/chart" Target="../charts/chart205.xml"/><Relationship Id="rId1" Type="http://schemas.openxmlformats.org/officeDocument/2006/relationships/chart" Target="../charts/chart204.xml"/><Relationship Id="rId6" Type="http://schemas.openxmlformats.org/officeDocument/2006/relationships/chart" Target="../charts/chart209.xml"/><Relationship Id="rId5" Type="http://schemas.openxmlformats.org/officeDocument/2006/relationships/chart" Target="../charts/chart208.xml"/><Relationship Id="rId4" Type="http://schemas.openxmlformats.org/officeDocument/2006/relationships/chart" Target="../charts/chart207.xml"/><Relationship Id="rId9" Type="http://schemas.openxmlformats.org/officeDocument/2006/relationships/chart" Target="../charts/chart212.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20.xml"/><Relationship Id="rId3" Type="http://schemas.openxmlformats.org/officeDocument/2006/relationships/chart" Target="../charts/chart215.xml"/><Relationship Id="rId7" Type="http://schemas.openxmlformats.org/officeDocument/2006/relationships/chart" Target="../charts/chart219.xml"/><Relationship Id="rId2" Type="http://schemas.openxmlformats.org/officeDocument/2006/relationships/chart" Target="../charts/chart214.xml"/><Relationship Id="rId1" Type="http://schemas.openxmlformats.org/officeDocument/2006/relationships/chart" Target="../charts/chart213.xml"/><Relationship Id="rId6" Type="http://schemas.openxmlformats.org/officeDocument/2006/relationships/chart" Target="../charts/chart218.xml"/><Relationship Id="rId5" Type="http://schemas.openxmlformats.org/officeDocument/2006/relationships/chart" Target="../charts/chart217.xml"/><Relationship Id="rId4" Type="http://schemas.openxmlformats.org/officeDocument/2006/relationships/chart" Target="../charts/chart216.xml"/><Relationship Id="rId9" Type="http://schemas.openxmlformats.org/officeDocument/2006/relationships/chart" Target="../charts/chart221.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29.xml"/><Relationship Id="rId3" Type="http://schemas.openxmlformats.org/officeDocument/2006/relationships/chart" Target="../charts/chart224.xml"/><Relationship Id="rId7" Type="http://schemas.openxmlformats.org/officeDocument/2006/relationships/chart" Target="../charts/chart228.xml"/><Relationship Id="rId2" Type="http://schemas.openxmlformats.org/officeDocument/2006/relationships/chart" Target="../charts/chart223.xml"/><Relationship Id="rId1" Type="http://schemas.openxmlformats.org/officeDocument/2006/relationships/chart" Target="../charts/chart222.xml"/><Relationship Id="rId6" Type="http://schemas.openxmlformats.org/officeDocument/2006/relationships/chart" Target="../charts/chart227.xml"/><Relationship Id="rId5" Type="http://schemas.openxmlformats.org/officeDocument/2006/relationships/chart" Target="../charts/chart226.xml"/><Relationship Id="rId4" Type="http://schemas.openxmlformats.org/officeDocument/2006/relationships/chart" Target="../charts/chart225.xml"/><Relationship Id="rId9" Type="http://schemas.openxmlformats.org/officeDocument/2006/relationships/chart" Target="../charts/chart230.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238.xml"/><Relationship Id="rId3" Type="http://schemas.openxmlformats.org/officeDocument/2006/relationships/chart" Target="../charts/chart233.xml"/><Relationship Id="rId7" Type="http://schemas.openxmlformats.org/officeDocument/2006/relationships/chart" Target="../charts/chart237.xml"/><Relationship Id="rId2" Type="http://schemas.openxmlformats.org/officeDocument/2006/relationships/chart" Target="../charts/chart232.xml"/><Relationship Id="rId1" Type="http://schemas.openxmlformats.org/officeDocument/2006/relationships/chart" Target="../charts/chart231.xml"/><Relationship Id="rId6" Type="http://schemas.openxmlformats.org/officeDocument/2006/relationships/chart" Target="../charts/chart236.xml"/><Relationship Id="rId5" Type="http://schemas.openxmlformats.org/officeDocument/2006/relationships/chart" Target="../charts/chart235.xml"/><Relationship Id="rId4" Type="http://schemas.openxmlformats.org/officeDocument/2006/relationships/chart" Target="../charts/chart234.xml"/><Relationship Id="rId9" Type="http://schemas.openxmlformats.org/officeDocument/2006/relationships/chart" Target="../charts/chart239.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247.xml"/><Relationship Id="rId3" Type="http://schemas.openxmlformats.org/officeDocument/2006/relationships/chart" Target="../charts/chart242.xml"/><Relationship Id="rId7" Type="http://schemas.openxmlformats.org/officeDocument/2006/relationships/chart" Target="../charts/chart246.xml"/><Relationship Id="rId2" Type="http://schemas.openxmlformats.org/officeDocument/2006/relationships/chart" Target="../charts/chart241.xml"/><Relationship Id="rId1" Type="http://schemas.openxmlformats.org/officeDocument/2006/relationships/chart" Target="../charts/chart240.xml"/><Relationship Id="rId6" Type="http://schemas.openxmlformats.org/officeDocument/2006/relationships/chart" Target="../charts/chart245.xml"/><Relationship Id="rId5" Type="http://schemas.openxmlformats.org/officeDocument/2006/relationships/chart" Target="../charts/chart244.xml"/><Relationship Id="rId4" Type="http://schemas.openxmlformats.org/officeDocument/2006/relationships/chart" Target="../charts/chart243.xml"/><Relationship Id="rId9" Type="http://schemas.openxmlformats.org/officeDocument/2006/relationships/chart" Target="../charts/chart248.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256.xml"/><Relationship Id="rId3" Type="http://schemas.openxmlformats.org/officeDocument/2006/relationships/chart" Target="../charts/chart251.xml"/><Relationship Id="rId7" Type="http://schemas.openxmlformats.org/officeDocument/2006/relationships/chart" Target="../charts/chart255.xml"/><Relationship Id="rId2" Type="http://schemas.openxmlformats.org/officeDocument/2006/relationships/chart" Target="../charts/chart250.xml"/><Relationship Id="rId1" Type="http://schemas.openxmlformats.org/officeDocument/2006/relationships/chart" Target="../charts/chart249.xml"/><Relationship Id="rId6" Type="http://schemas.openxmlformats.org/officeDocument/2006/relationships/chart" Target="../charts/chart254.xml"/><Relationship Id="rId5" Type="http://schemas.openxmlformats.org/officeDocument/2006/relationships/chart" Target="../charts/chart253.xml"/><Relationship Id="rId4" Type="http://schemas.openxmlformats.org/officeDocument/2006/relationships/chart" Target="../charts/chart252.xml"/><Relationship Id="rId9" Type="http://schemas.openxmlformats.org/officeDocument/2006/relationships/chart" Target="../charts/chart25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265.xml"/><Relationship Id="rId3" Type="http://schemas.openxmlformats.org/officeDocument/2006/relationships/chart" Target="../charts/chart260.xml"/><Relationship Id="rId7" Type="http://schemas.openxmlformats.org/officeDocument/2006/relationships/chart" Target="../charts/chart264.xml"/><Relationship Id="rId2" Type="http://schemas.openxmlformats.org/officeDocument/2006/relationships/chart" Target="../charts/chart259.xml"/><Relationship Id="rId1" Type="http://schemas.openxmlformats.org/officeDocument/2006/relationships/chart" Target="../charts/chart258.xml"/><Relationship Id="rId6" Type="http://schemas.openxmlformats.org/officeDocument/2006/relationships/chart" Target="../charts/chart263.xml"/><Relationship Id="rId5" Type="http://schemas.openxmlformats.org/officeDocument/2006/relationships/chart" Target="../charts/chart262.xml"/><Relationship Id="rId4" Type="http://schemas.openxmlformats.org/officeDocument/2006/relationships/chart" Target="../charts/chart261.xml"/><Relationship Id="rId9" Type="http://schemas.openxmlformats.org/officeDocument/2006/relationships/chart" Target="../charts/chart266.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274.xml"/><Relationship Id="rId3" Type="http://schemas.openxmlformats.org/officeDocument/2006/relationships/chart" Target="../charts/chart269.xml"/><Relationship Id="rId7" Type="http://schemas.openxmlformats.org/officeDocument/2006/relationships/chart" Target="../charts/chart273.xml"/><Relationship Id="rId2" Type="http://schemas.openxmlformats.org/officeDocument/2006/relationships/chart" Target="../charts/chart268.xml"/><Relationship Id="rId1" Type="http://schemas.openxmlformats.org/officeDocument/2006/relationships/chart" Target="../charts/chart267.xml"/><Relationship Id="rId6" Type="http://schemas.openxmlformats.org/officeDocument/2006/relationships/chart" Target="../charts/chart272.xml"/><Relationship Id="rId5" Type="http://schemas.openxmlformats.org/officeDocument/2006/relationships/chart" Target="../charts/chart271.xml"/><Relationship Id="rId4" Type="http://schemas.openxmlformats.org/officeDocument/2006/relationships/chart" Target="../charts/chart270.xml"/><Relationship Id="rId9" Type="http://schemas.openxmlformats.org/officeDocument/2006/relationships/chart" Target="../charts/chart275.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283.xml"/><Relationship Id="rId3" Type="http://schemas.openxmlformats.org/officeDocument/2006/relationships/chart" Target="../charts/chart278.xml"/><Relationship Id="rId7" Type="http://schemas.openxmlformats.org/officeDocument/2006/relationships/chart" Target="../charts/chart282.xml"/><Relationship Id="rId2" Type="http://schemas.openxmlformats.org/officeDocument/2006/relationships/chart" Target="../charts/chart277.xml"/><Relationship Id="rId1" Type="http://schemas.openxmlformats.org/officeDocument/2006/relationships/chart" Target="../charts/chart276.xml"/><Relationship Id="rId6" Type="http://schemas.openxmlformats.org/officeDocument/2006/relationships/chart" Target="../charts/chart281.xml"/><Relationship Id="rId5" Type="http://schemas.openxmlformats.org/officeDocument/2006/relationships/chart" Target="../charts/chart280.xml"/><Relationship Id="rId4" Type="http://schemas.openxmlformats.org/officeDocument/2006/relationships/chart" Target="../charts/chart279.xml"/><Relationship Id="rId9" Type="http://schemas.openxmlformats.org/officeDocument/2006/relationships/chart" Target="../charts/chart28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 Id="rId9"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chart" Target="../charts/chart4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 Id="rId9"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 Id="rId9" Type="http://schemas.openxmlformats.org/officeDocument/2006/relationships/chart" Target="../charts/chart63.xml"/></Relationships>
</file>

<file path=xl/drawings/_rels/drawing8.xml.rels><?xml version="1.0" encoding="UTF-8" standalone="yes"?>
<Relationships xmlns="http://schemas.openxmlformats.org/package/2006/relationships"><Relationship Id="rId8" Type="http://schemas.openxmlformats.org/officeDocument/2006/relationships/chart" Target="../charts/chart71.xml"/><Relationship Id="rId3" Type="http://schemas.openxmlformats.org/officeDocument/2006/relationships/chart" Target="../charts/chart66.xml"/><Relationship Id="rId7" Type="http://schemas.openxmlformats.org/officeDocument/2006/relationships/chart" Target="../charts/chart70.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 Id="rId9"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0.xml"/><Relationship Id="rId3" Type="http://schemas.openxmlformats.org/officeDocument/2006/relationships/chart" Target="../charts/chart75.xml"/><Relationship Id="rId7" Type="http://schemas.openxmlformats.org/officeDocument/2006/relationships/chart" Target="../charts/chart79.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 Id="rId9" Type="http://schemas.openxmlformats.org/officeDocument/2006/relationships/chart" Target="../charts/chart81.xml"/></Relationships>
</file>

<file path=xl/drawings/drawing1.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34396</xdr:colOff>
      <xdr:row>57</xdr:row>
      <xdr:rowOff>117474</xdr:rowOff>
    </xdr:from>
    <xdr:to>
      <xdr:col>4</xdr:col>
      <xdr:colOff>15196</xdr:colOff>
      <xdr:row>70</xdr:row>
      <xdr:rowOff>142974</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86917</xdr:colOff>
      <xdr:row>57</xdr:row>
      <xdr:rowOff>128058</xdr:rowOff>
    </xdr:from>
    <xdr:to>
      <xdr:col>9</xdr:col>
      <xdr:colOff>382042</xdr:colOff>
      <xdr:row>70</xdr:row>
      <xdr:rowOff>153558</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474929</xdr:colOff>
      <xdr:row>57</xdr:row>
      <xdr:rowOff>128058</xdr:rowOff>
    </xdr:from>
    <xdr:to>
      <xdr:col>14</xdr:col>
      <xdr:colOff>770054</xdr:colOff>
      <xdr:row>70</xdr:row>
      <xdr:rowOff>153558</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23812</xdr:colOff>
      <xdr:row>44</xdr:row>
      <xdr:rowOff>31749</xdr:rowOff>
    </xdr:from>
    <xdr:to>
      <xdr:col>4</xdr:col>
      <xdr:colOff>4612</xdr:colOff>
      <xdr:row>57</xdr:row>
      <xdr:rowOff>57249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44</xdr:row>
      <xdr:rowOff>31749</xdr:rowOff>
    </xdr:from>
    <xdr:to>
      <xdr:col>9</xdr:col>
      <xdr:colOff>382041</xdr:colOff>
      <xdr:row>57</xdr:row>
      <xdr:rowOff>57249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44</xdr:row>
      <xdr:rowOff>31749</xdr:rowOff>
    </xdr:from>
    <xdr:to>
      <xdr:col>14</xdr:col>
      <xdr:colOff>759470</xdr:colOff>
      <xdr:row>57</xdr:row>
      <xdr:rowOff>57249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57</xdr:row>
      <xdr:rowOff>113108</xdr:rowOff>
    </xdr:from>
    <xdr:to>
      <xdr:col>4</xdr:col>
      <xdr:colOff>4612</xdr:colOff>
      <xdr:row>70</xdr:row>
      <xdr:rowOff>138608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57</xdr:row>
      <xdr:rowOff>113108</xdr:rowOff>
    </xdr:from>
    <xdr:to>
      <xdr:col>9</xdr:col>
      <xdr:colOff>382041</xdr:colOff>
      <xdr:row>70</xdr:row>
      <xdr:rowOff>138608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57</xdr:row>
      <xdr:rowOff>113108</xdr:rowOff>
    </xdr:from>
    <xdr:to>
      <xdr:col>14</xdr:col>
      <xdr:colOff>759470</xdr:colOff>
      <xdr:row>70</xdr:row>
      <xdr:rowOff>138608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71</xdr:row>
      <xdr:rowOff>22225</xdr:rowOff>
    </xdr:from>
    <xdr:to>
      <xdr:col>4</xdr:col>
      <xdr:colOff>4612</xdr:colOff>
      <xdr:row>84</xdr:row>
      <xdr:rowOff>47725</xdr:rowOff>
    </xdr:to>
    <xdr:graphicFrame macro="">
      <xdr:nvGraphicFramePr>
        <xdr:cNvPr id="8" name="PieChart_Volum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71</xdr:row>
      <xdr:rowOff>22225</xdr:rowOff>
    </xdr:from>
    <xdr:to>
      <xdr:col>9</xdr:col>
      <xdr:colOff>382041</xdr:colOff>
      <xdr:row>84</xdr:row>
      <xdr:rowOff>47725</xdr:rowOff>
    </xdr:to>
    <xdr:graphicFrame macro="">
      <xdr:nvGraphicFramePr>
        <xdr:cNvPr id="9" name="PieChart_Value" title="Pie_val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71</xdr:row>
      <xdr:rowOff>22225</xdr:rowOff>
    </xdr:from>
    <xdr:to>
      <xdr:col>14</xdr:col>
      <xdr:colOff>759470</xdr:colOff>
      <xdr:row>84</xdr:row>
      <xdr:rowOff>47725</xdr:rowOff>
    </xdr:to>
    <xdr:graphicFrame macro="">
      <xdr:nvGraphicFramePr>
        <xdr:cNvPr id="10" name="Hist_top5" title="Hist_top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43"/>
  <sheetViews>
    <sheetView workbookViewId="0">
      <selection activeCell="B6" sqref="B6"/>
    </sheetView>
  </sheetViews>
  <sheetFormatPr defaultRowHeight="12.75" x14ac:dyDescent="0.2"/>
  <cols>
    <col min="1" max="1" width="4.125" style="2" customWidth="1"/>
    <col min="2" max="2" width="81.75" style="2" customWidth="1"/>
    <col min="3" max="16384" width="9" style="2"/>
  </cols>
  <sheetData>
    <row r="1" spans="1:2" ht="18" x14ac:dyDescent="0.25">
      <c r="A1" s="1" t="s">
        <v>0</v>
      </c>
    </row>
    <row r="3" spans="1:2" x14ac:dyDescent="0.2">
      <c r="B3" s="84" t="s">
        <v>634</v>
      </c>
    </row>
    <row r="4" spans="1:2" x14ac:dyDescent="0.2">
      <c r="B4" s="84" t="s">
        <v>610</v>
      </c>
    </row>
    <row r="5" spans="1:2" x14ac:dyDescent="0.2">
      <c r="B5" s="84" t="s">
        <v>592</v>
      </c>
    </row>
    <row r="6" spans="1:2" x14ac:dyDescent="0.2">
      <c r="B6" s="84" t="s">
        <v>523</v>
      </c>
    </row>
    <row r="7" spans="1:2" x14ac:dyDescent="0.2">
      <c r="B7" s="87" t="s">
        <v>520</v>
      </c>
    </row>
    <row r="8" spans="1:2" x14ac:dyDescent="0.2">
      <c r="B8" s="84" t="s">
        <v>514</v>
      </c>
    </row>
    <row r="9" spans="1:2" x14ac:dyDescent="0.2">
      <c r="B9" s="3"/>
    </row>
    <row r="10" spans="1:2" x14ac:dyDescent="0.2">
      <c r="B10" s="4" t="s">
        <v>1</v>
      </c>
    </row>
    <row r="11" spans="1:2" x14ac:dyDescent="0.2">
      <c r="B11" s="70" t="s">
        <v>18</v>
      </c>
    </row>
    <row r="12" spans="1:2" x14ac:dyDescent="0.2">
      <c r="B12" s="70" t="s">
        <v>69</v>
      </c>
    </row>
    <row r="13" spans="1:2" x14ac:dyDescent="0.2">
      <c r="B13" s="70" t="s">
        <v>86</v>
      </c>
    </row>
    <row r="14" spans="1:2" x14ac:dyDescent="0.2">
      <c r="B14" s="70" t="s">
        <v>102</v>
      </c>
    </row>
    <row r="15" spans="1:2" x14ac:dyDescent="0.2">
      <c r="B15" s="70" t="s">
        <v>119</v>
      </c>
    </row>
    <row r="16" spans="1:2" x14ac:dyDescent="0.2">
      <c r="B16" s="70" t="s">
        <v>137</v>
      </c>
    </row>
    <row r="17" spans="2:2" x14ac:dyDescent="0.2">
      <c r="B17" s="70" t="s">
        <v>154</v>
      </c>
    </row>
    <row r="18" spans="2:2" x14ac:dyDescent="0.2">
      <c r="B18" s="70" t="s">
        <v>155</v>
      </c>
    </row>
    <row r="19" spans="2:2" x14ac:dyDescent="0.2">
      <c r="B19" s="70" t="s">
        <v>178</v>
      </c>
    </row>
    <row r="20" spans="2:2" x14ac:dyDescent="0.2">
      <c r="B20" s="70" t="s">
        <v>196</v>
      </c>
    </row>
    <row r="21" spans="2:2" x14ac:dyDescent="0.2">
      <c r="B21" s="70" t="s">
        <v>210</v>
      </c>
    </row>
    <row r="22" spans="2:2" x14ac:dyDescent="0.2">
      <c r="B22" s="70" t="s">
        <v>231</v>
      </c>
    </row>
    <row r="23" spans="2:2" x14ac:dyDescent="0.2">
      <c r="B23" s="70" t="s">
        <v>245</v>
      </c>
    </row>
    <row r="24" spans="2:2" x14ac:dyDescent="0.2">
      <c r="B24" s="70" t="s">
        <v>258</v>
      </c>
    </row>
    <row r="25" spans="2:2" x14ac:dyDescent="0.2">
      <c r="B25" s="70" t="s">
        <v>272</v>
      </c>
    </row>
    <row r="26" spans="2:2" x14ac:dyDescent="0.2">
      <c r="B26" s="70" t="s">
        <v>285</v>
      </c>
    </row>
    <row r="27" spans="2:2" x14ac:dyDescent="0.2">
      <c r="B27" s="70" t="s">
        <v>298</v>
      </c>
    </row>
    <row r="28" spans="2:2" x14ac:dyDescent="0.2">
      <c r="B28" s="70" t="s">
        <v>310</v>
      </c>
    </row>
    <row r="29" spans="2:2" x14ac:dyDescent="0.2">
      <c r="B29" s="70" t="s">
        <v>323</v>
      </c>
    </row>
    <row r="30" spans="2:2" x14ac:dyDescent="0.2">
      <c r="B30" s="70" t="s">
        <v>336</v>
      </c>
    </row>
    <row r="31" spans="2:2" x14ac:dyDescent="0.2">
      <c r="B31" s="70" t="s">
        <v>348</v>
      </c>
    </row>
    <row r="32" spans="2:2" x14ac:dyDescent="0.2">
      <c r="B32" s="70" t="s">
        <v>364</v>
      </c>
    </row>
    <row r="33" spans="2:2" x14ac:dyDescent="0.2">
      <c r="B33" s="70" t="s">
        <v>377</v>
      </c>
    </row>
    <row r="34" spans="2:2" x14ac:dyDescent="0.2">
      <c r="B34" s="70" t="s">
        <v>389</v>
      </c>
    </row>
    <row r="35" spans="2:2" x14ac:dyDescent="0.2">
      <c r="B35" s="70" t="s">
        <v>402</v>
      </c>
    </row>
    <row r="36" spans="2:2" x14ac:dyDescent="0.2">
      <c r="B36" s="70" t="s">
        <v>415</v>
      </c>
    </row>
    <row r="37" spans="2:2" x14ac:dyDescent="0.2">
      <c r="B37" s="70" t="s">
        <v>427</v>
      </c>
    </row>
    <row r="38" spans="2:2" x14ac:dyDescent="0.2">
      <c r="B38" s="70" t="s">
        <v>443</v>
      </c>
    </row>
    <row r="39" spans="2:2" x14ac:dyDescent="0.2">
      <c r="B39" s="70" t="s">
        <v>455</v>
      </c>
    </row>
    <row r="40" spans="2:2" x14ac:dyDescent="0.2">
      <c r="B40" s="70" t="s">
        <v>468</v>
      </c>
    </row>
    <row r="41" spans="2:2" x14ac:dyDescent="0.2">
      <c r="B41" s="70" t="s">
        <v>479</v>
      </c>
    </row>
    <row r="42" spans="2:2" x14ac:dyDescent="0.2">
      <c r="B42" s="70" t="s">
        <v>491</v>
      </c>
    </row>
    <row r="43" spans="2:2" x14ac:dyDescent="0.2">
      <c r="B43" s="70" t="s">
        <v>502</v>
      </c>
    </row>
  </sheetData>
  <hyperlinks>
    <hyperlink ref="B11" location="Area_VIIa_demersal_trawl" display="Area VIIA demersal trawl"/>
    <hyperlink ref="B12" location="Area_VIIa_nephrops_o250kW" display="Area VIIA nephrops over 250kW"/>
    <hyperlink ref="B13" location="Area_VIIa_nephrops_u250kW" display="Area VIIA nephrops under 250kW"/>
    <hyperlink ref="B14" location="Area_VIIb_k_trawlers_24_40m" display="Area VIIBCDEFGHK 24-40m"/>
    <hyperlink ref="B15" location="Area_VIIb_k_trawlers_10_24m" display="Area VIIBCDEFGHK trawlers 10-24m"/>
    <hyperlink ref="B16" location="Gill_netters" display="Gill netters"/>
    <hyperlink ref="B17" location="Inactive" display="Inactive"/>
    <hyperlink ref="B18" location="Longliners" display="Longliners"/>
    <hyperlink ref="B19" location="Low_activity_over_10m" display="Low activity over 10m"/>
    <hyperlink ref="B20" location="Low_activity_under_10m" display="Low activity under 10m"/>
    <hyperlink ref="B21" location="Miscellaneous" display="Miscellaneous"/>
    <hyperlink ref="B22" location="NS_beam_trawl_over_300kW" display="North Sea beam trawl over 300kW"/>
    <hyperlink ref="B23" location="NS_beam_trawl_under_300kW" display="North Sea beam trawl under 300kW"/>
    <hyperlink ref="B24" location="NS_nephrops_over_300kW" display="North Sea nephrops over 300kW"/>
    <hyperlink ref="B25" location="NS_nephrops_under_300kW" display="North Sea nephrops under 300kW"/>
    <hyperlink ref="B26" location="NSWOS_demersal_over_24m" display="NSWOS demersal over 24m"/>
    <hyperlink ref="B27" location="NSWOS_dem_pair_trawl_seine" display="NSWOS demersal pair trawl seine"/>
    <hyperlink ref="B28" location="NSWOS_demersal_seiners" display="NSWOS demersal seiners"/>
    <hyperlink ref="B29" location="NSWOS_demersal_u24m_o300kW" display="NSWOS demersal under 24m over 300kW"/>
    <hyperlink ref="B30" location="NSWOS_demersal_u24m_u300kW" display="NSWOS demersal under 24m under 300kW"/>
    <hyperlink ref="B31" location="Pelagic_over_40m" display="Pelagic over 40m"/>
    <hyperlink ref="B32" location="Pots_and_traps_10_12m" display="Pots and traps 10-12m"/>
    <hyperlink ref="B33" location="Pots_and_traps_over_12m" display="Pots and traps over 12m"/>
    <hyperlink ref="B34" location="South_West_beamers_o250kW" display="South West beamers over 250kW"/>
    <hyperlink ref="B35" location="South_West_beamers_u250kW" display="South West beamers under 250kW"/>
    <hyperlink ref="B36" location="UK_scallop_dredge_over_15m" display="UK scallop dredge over 15m"/>
    <hyperlink ref="B37" location="UK_scallop_dredge_under_15m" display="UK scallop dredge under 15m"/>
    <hyperlink ref="B38" location="U10m_demersal_trawl_seine" display="Under 10m demersal trawl/seine"/>
    <hyperlink ref="B39" location="U10m_drift_fixed_nets" display="Under 10m drift and/or fixed nets"/>
    <hyperlink ref="B40" location="U10m_pots_and_traps" display="Under 10m pots and traps"/>
    <hyperlink ref="B41" location="U10m_using_hooks" display="Under 10m using hooks"/>
    <hyperlink ref="B42" location="WOS_nephrops_over_250kW" display="WOS nephrops over 250kW"/>
    <hyperlink ref="B43" location="WOS_nephrops_under_250kW" display="WOS nephrops under 250kW"/>
    <hyperlink ref="B8" location="Net_profit_margin" display="Net profit margin"/>
    <hyperlink ref="B7" location="Operating_profit_margin" display="Operating profit margin"/>
    <hyperlink ref="B6" location="Sample_rates" display="Sample rates"/>
    <hyperlink ref="B5" location="Segmentation_Criteria" display="Segmentation Criteria"/>
    <hyperlink ref="B4" location="Highlights" display="Highlights"/>
    <hyperlink ref="B3" location="Notes" display="Not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137</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62</v>
      </c>
      <c r="E3" s="16">
        <v>50</v>
      </c>
      <c r="F3" s="16">
        <v>41</v>
      </c>
      <c r="G3" s="16">
        <v>40</v>
      </c>
      <c r="H3" s="16">
        <v>38</v>
      </c>
      <c r="I3" s="16">
        <v>40</v>
      </c>
      <c r="J3" s="16">
        <v>41</v>
      </c>
      <c r="K3" s="16">
        <v>41</v>
      </c>
      <c r="L3" s="16">
        <v>38</v>
      </c>
      <c r="M3" s="17">
        <v>37</v>
      </c>
      <c r="N3" s="18">
        <f t="shared" ref="N3:N38" si="0">IF(L3=0,"",IFERROR(IF(AND(L3&gt;0,D3&lt;0),"na",IF(AND(L3&lt;0,D3&lt;0),-1,1)*(L3-D3)/D3),""))</f>
        <v>-0.38709677419354838</v>
      </c>
      <c r="O3" s="18">
        <f t="shared" ref="O3:O38" si="1">IF(L3=0,"",IFERROR(IF(AND(L3&gt;0,H3&lt;0),"na",IF(AND(L3&lt;0,H3&lt;0),-1,1)*(L3-H3)/H3),""))</f>
        <v>0</v>
      </c>
    </row>
    <row r="4" spans="1:15" s="19" customFormat="1" ht="18" customHeight="1" x14ac:dyDescent="0.2">
      <c r="A4" s="141"/>
      <c r="B4" s="20" t="s">
        <v>20</v>
      </c>
      <c r="C4" s="21"/>
      <c r="D4" s="22">
        <v>20314.2109375</v>
      </c>
      <c r="E4" s="22">
        <v>13512.849609375</v>
      </c>
      <c r="F4" s="22">
        <v>10989.349609375</v>
      </c>
      <c r="G4" s="22">
        <v>11410.849609375</v>
      </c>
      <c r="H4" s="22">
        <v>9672.1103515625</v>
      </c>
      <c r="I4" s="22">
        <v>10847.58984375</v>
      </c>
      <c r="J4" s="22">
        <v>11491.1904296875</v>
      </c>
      <c r="K4" s="22">
        <v>12212.1904296875</v>
      </c>
      <c r="L4" s="22">
        <v>11685.169921875</v>
      </c>
      <c r="M4" s="23">
        <v>11139.1298828125</v>
      </c>
      <c r="N4" s="24">
        <f t="shared" si="0"/>
        <v>-0.42477854749926836</v>
      </c>
      <c r="O4" s="24">
        <f t="shared" si="1"/>
        <v>0.20813033527758462</v>
      </c>
    </row>
    <row r="5" spans="1:15" s="19" customFormat="1" ht="18" customHeight="1" x14ac:dyDescent="0.2">
      <c r="A5" s="141"/>
      <c r="B5" s="20" t="s">
        <v>21</v>
      </c>
      <c r="C5" s="21"/>
      <c r="D5" s="22">
        <v>8474.0498046875</v>
      </c>
      <c r="E5" s="22">
        <v>5327.669921875</v>
      </c>
      <c r="F5" s="22">
        <v>3999.22998046875</v>
      </c>
      <c r="G5" s="22">
        <v>4096.64013671875</v>
      </c>
      <c r="H5" s="22">
        <v>3757.239990234375</v>
      </c>
      <c r="I5" s="22">
        <v>4237.02978515625</v>
      </c>
      <c r="J5" s="22">
        <v>4463.4501953125</v>
      </c>
      <c r="K5" s="22">
        <v>4922.2099609375</v>
      </c>
      <c r="L5" s="22">
        <v>4761.2998046875</v>
      </c>
      <c r="M5" s="23">
        <v>4439.89013671875</v>
      </c>
      <c r="N5" s="24">
        <f t="shared" si="0"/>
        <v>-0.43813171807725954</v>
      </c>
      <c r="O5" s="24">
        <f t="shared" si="1"/>
        <v>0.26723334603667204</v>
      </c>
    </row>
    <row r="6" spans="1:15" s="19" customFormat="1" ht="18" customHeight="1" x14ac:dyDescent="0.2">
      <c r="A6" s="141"/>
      <c r="B6" s="20" t="s">
        <v>22</v>
      </c>
      <c r="C6" s="21"/>
      <c r="D6" s="22">
        <v>15999.267578125</v>
      </c>
      <c r="E6" s="22">
        <v>11999.0947265625</v>
      </c>
      <c r="F6" s="22">
        <v>6618.626953125</v>
      </c>
      <c r="G6" s="22">
        <v>9867.224609375</v>
      </c>
      <c r="H6" s="22">
        <v>8700.0751953125</v>
      </c>
      <c r="I6" s="22">
        <v>9596.4794921875</v>
      </c>
      <c r="J6" s="22">
        <v>10076.5146484375</v>
      </c>
      <c r="K6" s="22">
        <v>10711.0849609375</v>
      </c>
      <c r="L6" s="22">
        <v>10152.400390625</v>
      </c>
      <c r="M6" s="23">
        <v>9710.318359375</v>
      </c>
      <c r="N6" s="24">
        <f t="shared" si="0"/>
        <v>-0.36544592800573755</v>
      </c>
      <c r="O6" s="24">
        <f t="shared" si="1"/>
        <v>0.16693248767493366</v>
      </c>
    </row>
    <row r="7" spans="1:15" s="19" customFormat="1" ht="18" customHeight="1" x14ac:dyDescent="0.2">
      <c r="A7" s="141"/>
      <c r="B7" s="20" t="s">
        <v>23</v>
      </c>
      <c r="C7" s="21"/>
      <c r="D7" s="22">
        <v>11844.7958984375</v>
      </c>
      <c r="E7" s="22">
        <v>6168.21484375</v>
      </c>
      <c r="F7" s="22">
        <v>5473.62451171875</v>
      </c>
      <c r="G7" s="22">
        <v>4909.47900390625</v>
      </c>
      <c r="H7" s="22">
        <v>5534.43017578125</v>
      </c>
      <c r="I7" s="22">
        <v>5435.2392578125</v>
      </c>
      <c r="J7" s="22">
        <v>7646.62548828125</v>
      </c>
      <c r="K7" s="22">
        <v>8953.2822265625</v>
      </c>
      <c r="L7" s="22">
        <v>9518.1923828125</v>
      </c>
      <c r="M7" s="23">
        <v>8880.328125</v>
      </c>
      <c r="N7" s="24">
        <f t="shared" si="0"/>
        <v>-0.19642411195383389</v>
      </c>
      <c r="O7" s="24">
        <f t="shared" si="1"/>
        <v>0.71981434050144011</v>
      </c>
    </row>
    <row r="8" spans="1:15" s="19" customFormat="1" ht="18" customHeight="1" x14ac:dyDescent="0.2">
      <c r="A8" s="141"/>
      <c r="B8" s="20" t="s">
        <v>24</v>
      </c>
      <c r="C8" s="25"/>
      <c r="D8" s="26">
        <f ca="1">24.821366*OFFSET(D$108,MATCH($M$1,$C$109:$C$110,0),0)</f>
        <v>20.191188205475726</v>
      </c>
      <c r="E8" s="26">
        <f ca="1">14.530649*OFFSET(E$108,MATCH($M$1,$C$109:$C$110,0),0)</f>
        <v>12.137886105387045</v>
      </c>
      <c r="F8" s="26">
        <f ca="1">12.769182*OFFSET(F$108,MATCH($M$1,$C$109:$C$110,0),0)</f>
        <v>10.972813192147747</v>
      </c>
      <c r="G8" s="26">
        <f ca="1">12.928207*OFFSET(G$108,MATCH($M$1,$C$109:$C$110,0),0)</f>
        <v>11.432025756244558</v>
      </c>
      <c r="H8" s="26">
        <f ca="1">15.201671*OFFSET(H$108,MATCH($M$1,$C$109:$C$110,0),0)</f>
        <v>13.708563094088554</v>
      </c>
      <c r="I8" s="26">
        <f ca="1">16.644718*OFFSET(I$108,MATCH($M$1,$C$109:$C$110,0),0)</f>
        <v>15.486078978346146</v>
      </c>
      <c r="J8" s="26">
        <f ca="1">19.642474*OFFSET(J$108,MATCH($M$1,$C$109:$C$110,0),0)</f>
        <v>18.663492948532014</v>
      </c>
      <c r="K8" s="26">
        <f ca="1">19.550796*OFFSET(K$108,MATCH($M$1,$C$109:$C$110,0),0)</f>
        <v>18.884895703673248</v>
      </c>
      <c r="L8" s="26">
        <f ca="1">17.579732*OFFSET(L$108,MATCH($M$1,$C$109:$C$110,0),0)</f>
        <v>17.284919590319269</v>
      </c>
      <c r="M8" s="27">
        <f ca="1">18.620152*OFFSET(M$108,MATCH($M$1,$C$109:$C$110,0),0)</f>
        <v>18.620151927657858</v>
      </c>
      <c r="N8" s="24">
        <f t="shared" ca="1" si="0"/>
        <v>-0.14393747339585961</v>
      </c>
      <c r="O8" s="24">
        <f t="shared" ca="1" si="1"/>
        <v>0.2608848550854263</v>
      </c>
    </row>
    <row r="9" spans="1:15" s="19" customFormat="1" ht="18" customHeight="1" x14ac:dyDescent="0.2">
      <c r="A9" s="141"/>
      <c r="B9" s="20" t="s">
        <v>25</v>
      </c>
      <c r="C9" s="25"/>
      <c r="D9" s="22">
        <v>11044</v>
      </c>
      <c r="E9" s="22">
        <v>8321</v>
      </c>
      <c r="F9" s="22">
        <v>6526</v>
      </c>
      <c r="G9" s="22">
        <v>5967</v>
      </c>
      <c r="H9" s="22">
        <v>5915</v>
      </c>
      <c r="I9" s="22">
        <v>6499</v>
      </c>
      <c r="J9" s="22">
        <v>6850</v>
      </c>
      <c r="K9" s="22">
        <v>6501.58056640625</v>
      </c>
      <c r="L9" s="22">
        <v>6297.0244140625</v>
      </c>
      <c r="M9" s="23">
        <v>5859.39453125</v>
      </c>
      <c r="N9" s="24">
        <f t="shared" si="0"/>
        <v>-0.42982393932791563</v>
      </c>
      <c r="O9" s="24">
        <f t="shared" si="1"/>
        <v>6.45856997569738E-2</v>
      </c>
    </row>
    <row r="10" spans="1:15" s="19" customFormat="1" ht="18" customHeight="1" x14ac:dyDescent="0.2">
      <c r="A10" s="142" t="s">
        <v>7</v>
      </c>
      <c r="B10" s="28" t="s">
        <v>26</v>
      </c>
      <c r="C10" s="29"/>
      <c r="D10" s="30">
        <v>22.173225402832031</v>
      </c>
      <c r="E10" s="30">
        <v>19.477399826049805</v>
      </c>
      <c r="F10" s="30">
        <v>18.571950912475586</v>
      </c>
      <c r="G10" s="30">
        <v>18.967500686645508</v>
      </c>
      <c r="H10" s="30">
        <v>18.644474029541016</v>
      </c>
      <c r="I10" s="30">
        <v>19.218000411987305</v>
      </c>
      <c r="J10" s="30">
        <v>19.3758544921875</v>
      </c>
      <c r="K10" s="30">
        <v>20.028779983520508</v>
      </c>
      <c r="L10" s="30">
        <v>20.180000305175781</v>
      </c>
      <c r="M10" s="31">
        <v>19.943513870239258</v>
      </c>
      <c r="N10" s="32">
        <f t="shared" si="0"/>
        <v>-8.9893331323897929E-2</v>
      </c>
      <c r="O10" s="32">
        <f t="shared" si="1"/>
        <v>8.2358251200962782E-2</v>
      </c>
    </row>
    <row r="11" spans="1:15" s="19" customFormat="1" ht="18" customHeight="1" x14ac:dyDescent="0.2">
      <c r="A11" s="143"/>
      <c r="B11" s="33" t="s">
        <v>20</v>
      </c>
      <c r="C11" s="21"/>
      <c r="D11" s="22">
        <v>327.6485595703125</v>
      </c>
      <c r="E11" s="22">
        <v>270.25698852539062</v>
      </c>
      <c r="F11" s="22">
        <v>268.03292846679688</v>
      </c>
      <c r="G11" s="22">
        <v>285.271240234375</v>
      </c>
      <c r="H11" s="22">
        <v>254.52920532226562</v>
      </c>
      <c r="I11" s="22">
        <v>271.18975830078125</v>
      </c>
      <c r="J11" s="22">
        <v>280.27291870117187</v>
      </c>
      <c r="K11" s="22">
        <v>297.85830688476562</v>
      </c>
      <c r="L11" s="22">
        <v>307.50448608398437</v>
      </c>
      <c r="M11" s="23">
        <v>301.05755615234375</v>
      </c>
      <c r="N11" s="24">
        <f t="shared" si="0"/>
        <v>-6.1480732626279899E-2</v>
      </c>
      <c r="O11" s="24">
        <f t="shared" si="1"/>
        <v>0.20813046068581975</v>
      </c>
    </row>
    <row r="12" spans="1:15" s="19" customFormat="1" ht="18" customHeight="1" x14ac:dyDescent="0.2">
      <c r="A12" s="143"/>
      <c r="B12" s="33" t="s">
        <v>21</v>
      </c>
      <c r="C12" s="21"/>
      <c r="D12" s="22">
        <v>136.67822265625</v>
      </c>
      <c r="E12" s="22">
        <v>106.55339813232422</v>
      </c>
      <c r="F12" s="22">
        <v>97.542198181152344</v>
      </c>
      <c r="G12" s="22">
        <v>102.41600036621094</v>
      </c>
      <c r="H12" s="22">
        <v>98.874740600585938</v>
      </c>
      <c r="I12" s="22">
        <v>105.92575073242187</v>
      </c>
      <c r="J12" s="22">
        <v>108.86463165283203</v>
      </c>
      <c r="K12" s="22">
        <v>120.05390167236328</v>
      </c>
      <c r="L12" s="22">
        <v>125.29737091064453</v>
      </c>
      <c r="M12" s="23">
        <v>119.99702453613281</v>
      </c>
      <c r="N12" s="24">
        <f t="shared" si="0"/>
        <v>-8.3267484200673772E-2</v>
      </c>
      <c r="O12" s="24">
        <f t="shared" si="1"/>
        <v>0.26723337173439837</v>
      </c>
    </row>
    <row r="13" spans="1:15" s="19" customFormat="1" ht="18" customHeight="1" x14ac:dyDescent="0.2">
      <c r="A13" s="143"/>
      <c r="B13" s="33" t="s">
        <v>22</v>
      </c>
      <c r="C13" s="21"/>
      <c r="D13" s="22">
        <v>258.05270385742187</v>
      </c>
      <c r="E13" s="22">
        <v>239.98190307617187</v>
      </c>
      <c r="F13" s="22">
        <v>161.42991638183594</v>
      </c>
      <c r="G13" s="22">
        <v>246.68061828613281</v>
      </c>
      <c r="H13" s="22">
        <v>228.9493408203125</v>
      </c>
      <c r="I13" s="22">
        <v>239.9119873046875</v>
      </c>
      <c r="J13" s="22">
        <v>245.76864624023437</v>
      </c>
      <c r="K13" s="22">
        <v>261.2459716796875</v>
      </c>
      <c r="L13" s="22">
        <v>267.16842651367187</v>
      </c>
      <c r="M13" s="23">
        <v>262.4410400390625</v>
      </c>
      <c r="N13" s="24">
        <f t="shared" si="0"/>
        <v>3.5325042210317542E-2</v>
      </c>
      <c r="O13" s="24">
        <f t="shared" si="1"/>
        <v>0.16693249937485105</v>
      </c>
    </row>
    <row r="14" spans="1:15" s="19" customFormat="1" ht="18" customHeight="1" x14ac:dyDescent="0.2">
      <c r="A14" s="143"/>
      <c r="B14" s="33" t="s">
        <v>23</v>
      </c>
      <c r="C14" s="25"/>
      <c r="D14" s="26">
        <v>191.04510498046875</v>
      </c>
      <c r="E14" s="26">
        <v>123.36430358886719</v>
      </c>
      <c r="F14" s="26">
        <v>133.50303649902344</v>
      </c>
      <c r="G14" s="26">
        <v>122.73697662353516</v>
      </c>
      <c r="H14" s="26">
        <v>145.64289855957031</v>
      </c>
      <c r="I14" s="26">
        <v>135.8809814453125</v>
      </c>
      <c r="J14" s="26">
        <v>186.50306701660156</v>
      </c>
      <c r="K14" s="26">
        <v>218.37274169921875</v>
      </c>
      <c r="L14" s="26">
        <v>250.47874450683594</v>
      </c>
      <c r="M14" s="27">
        <v>240.00886535644531</v>
      </c>
      <c r="N14" s="24">
        <f t="shared" si="0"/>
        <v>0.31109742137828295</v>
      </c>
      <c r="O14" s="24">
        <f t="shared" si="1"/>
        <v>0.71981433344232748</v>
      </c>
    </row>
    <row r="15" spans="1:15" s="19" customFormat="1" ht="18" customHeight="1" x14ac:dyDescent="0.2">
      <c r="A15" s="143"/>
      <c r="B15" s="33" t="s">
        <v>27</v>
      </c>
      <c r="C15" s="25"/>
      <c r="D15" s="26">
        <f ca="1">400.34459375*OFFSET(D$108,MATCH($M$1,$C$109:$C$110,0),0)</f>
        <v>325.6643103143868</v>
      </c>
      <c r="E15" s="26">
        <f ca="1">290.61296875*OFFSET(E$108,MATCH($M$1,$C$109:$C$110,0),0)</f>
        <v>242.75771271027909</v>
      </c>
      <c r="F15" s="26">
        <f ca="1">311.44346875*OFFSET(F$108,MATCH($M$1,$C$109:$C$110,0),0)</f>
        <v>267.62959463717056</v>
      </c>
      <c r="G15" s="26">
        <f ca="1">323.2051875*OFFSET(G$108,MATCH($M$1,$C$109:$C$110,0),0)</f>
        <v>285.80065495948912</v>
      </c>
      <c r="H15" s="26">
        <f ca="1">400.044*OFFSET(H$108,MATCH($M$1,$C$109:$C$110,0),0)</f>
        <v>360.75168410180447</v>
      </c>
      <c r="I15" s="26">
        <f ca="1">416.1179375*OFFSET(I$108,MATCH($M$1,$C$109:$C$110,0),0)</f>
        <v>387.15196282877878</v>
      </c>
      <c r="J15" s="26">
        <f ca="1">479.08471875*OFFSET(J$108,MATCH($M$1,$C$109:$C$110,0),0)</f>
        <v>455.20713277462238</v>
      </c>
      <c r="K15" s="26">
        <f ca="1">476.8486875*OFFSET(K$108,MATCH($M$1,$C$109:$C$110,0),0)</f>
        <v>460.60721670212189</v>
      </c>
      <c r="L15" s="26">
        <f ca="1">462.6245625*OFFSET(L$108,MATCH($M$1,$C$109:$C$110,0),0)</f>
        <v>454.86634058580256</v>
      </c>
      <c r="M15" s="27">
        <f ca="1">503.247375*OFFSET(M$108,MATCH($M$1,$C$109:$C$110,0),0)</f>
        <v>503.24737304480681</v>
      </c>
      <c r="N15" s="24">
        <f t="shared" ca="1" si="0"/>
        <v>0.39673377210627686</v>
      </c>
      <c r="O15" s="24">
        <f t="shared" ca="1" si="1"/>
        <v>0.26088487076179206</v>
      </c>
    </row>
    <row r="16" spans="1:15" s="19" customFormat="1" ht="18" customHeight="1" x14ac:dyDescent="0.2">
      <c r="A16" s="143"/>
      <c r="B16" s="33" t="s">
        <v>25</v>
      </c>
      <c r="C16" s="21"/>
      <c r="D16" s="22">
        <v>178.1290283203125</v>
      </c>
      <c r="E16" s="22">
        <v>166.41999816894531</v>
      </c>
      <c r="F16" s="22">
        <v>159.17073059082031</v>
      </c>
      <c r="G16" s="22">
        <v>149.17500305175781</v>
      </c>
      <c r="H16" s="22">
        <v>155.65789794921875</v>
      </c>
      <c r="I16" s="22">
        <v>162.47500610351562</v>
      </c>
      <c r="J16" s="22">
        <v>167.07316589355469</v>
      </c>
      <c r="K16" s="22">
        <v>158.57513427734375</v>
      </c>
      <c r="L16" s="22">
        <v>165.711181640625</v>
      </c>
      <c r="M16" s="23">
        <v>158.36201477050781</v>
      </c>
      <c r="N16" s="24">
        <f t="shared" si="0"/>
        <v>-6.9712650412922406E-2</v>
      </c>
      <c r="O16" s="24">
        <f t="shared" si="1"/>
        <v>6.4585760336337034E-2</v>
      </c>
    </row>
    <row r="17" spans="1:15" s="19" customFormat="1" ht="18" customHeight="1" x14ac:dyDescent="0.2">
      <c r="A17" s="143"/>
      <c r="B17" s="33" t="s">
        <v>28</v>
      </c>
      <c r="C17" s="21"/>
      <c r="D17" s="22">
        <v>30.290323257446289</v>
      </c>
      <c r="E17" s="22">
        <v>29.639999389648438</v>
      </c>
      <c r="F17" s="22">
        <v>29.073171615600586</v>
      </c>
      <c r="G17" s="22">
        <v>28.600000381469727</v>
      </c>
      <c r="H17" s="22">
        <v>28.947368621826172</v>
      </c>
      <c r="I17" s="22">
        <v>29.375</v>
      </c>
      <c r="J17" s="22">
        <v>29.804878234863281</v>
      </c>
      <c r="K17" s="22">
        <v>29.926828384399414</v>
      </c>
      <c r="L17" s="22">
        <v>30.710525512695313</v>
      </c>
      <c r="M17" s="23">
        <v>31.297296524047852</v>
      </c>
      <c r="N17" s="24">
        <f t="shared" si="0"/>
        <v>1.3872491609865038E-2</v>
      </c>
      <c r="O17" s="24">
        <f t="shared" si="1"/>
        <v>6.0909055807571021E-2</v>
      </c>
    </row>
    <row r="18" spans="1:15" s="19" customFormat="1" ht="18" customHeight="1" x14ac:dyDescent="0.2">
      <c r="A18" s="143"/>
      <c r="B18" s="33" t="s">
        <v>29</v>
      </c>
      <c r="C18" s="21"/>
      <c r="D18" s="34">
        <v>1.0725096464157104</v>
      </c>
      <c r="E18" s="34">
        <v>0.74128293991088867</v>
      </c>
      <c r="F18" s="34">
        <v>0.83874112367630005</v>
      </c>
      <c r="G18" s="34">
        <v>0.82277172803878784</v>
      </c>
      <c r="H18" s="34">
        <v>0.93566018342971802</v>
      </c>
      <c r="I18" s="34">
        <v>0.83631926774978638</v>
      </c>
      <c r="J18" s="34">
        <v>1.1162958145141602</v>
      </c>
      <c r="K18" s="34">
        <v>1.3770931959152222</v>
      </c>
      <c r="L18" s="34">
        <v>1.511538028717041</v>
      </c>
      <c r="M18" s="35">
        <v>1.5155708789825439</v>
      </c>
      <c r="N18" s="24">
        <f t="shared" si="0"/>
        <v>0.40934679120933598</v>
      </c>
      <c r="O18" s="24">
        <f t="shared" si="1"/>
        <v>0.61547755850463626</v>
      </c>
    </row>
    <row r="19" spans="1:15" s="19" customFormat="1" ht="18" customHeight="1" x14ac:dyDescent="0.2">
      <c r="A19" s="144"/>
      <c r="B19" s="36" t="s">
        <v>8</v>
      </c>
      <c r="C19" s="37"/>
      <c r="D19" s="38">
        <f ca="1">2095.55033390439*OFFSET(D$108,MATCH($M$1,$C$109:$C$110,0),0)</f>
        <v>1704.6463593466624</v>
      </c>
      <c r="E19" s="38">
        <f ca="1">2355.73003990341*OFFSET(E$108,MATCH($M$1,$C$109:$C$110,0),0)</f>
        <v>1967.8118244674736</v>
      </c>
      <c r="F19" s="38">
        <f ca="1">2332.85677025558*OFFSET(F$108,MATCH($M$1,$C$109:$C$110,0),0)</f>
        <v>2004.6704279139897</v>
      </c>
      <c r="G19" s="38">
        <f ca="1">2633.31546783551*OFFSET(G$108,MATCH($M$1,$C$109:$C$110,0),0)</f>
        <v>2328.5618997756405</v>
      </c>
      <c r="H19" s="38">
        <f ca="1">2746.74546740561*OFFSET(H$108,MATCH($M$1,$C$109:$C$110,0),0)</f>
        <v>2476.9601672955268</v>
      </c>
      <c r="I19" s="38">
        <f ca="1">3062.37080107839*OFFSET(I$108,MATCH($M$1,$C$109:$C$110,0),0)</f>
        <v>2849.1991325104514</v>
      </c>
      <c r="J19" s="38">
        <f ca="1">2568.77678004537*OFFSET(J$108,MATCH($M$1,$C$109:$C$110,0),0)</f>
        <v>2440.7489260634648</v>
      </c>
      <c r="K19" s="38">
        <f ca="1">2183.64567376162*OFFSET(K$108,MATCH($M$1,$C$109:$C$110,0),0)</f>
        <v>2109.270681498876</v>
      </c>
      <c r="L19" s="38">
        <f ca="1">1846.96119735346*OFFSET(L$108,MATCH($M$1,$C$109:$C$110,0),0)</f>
        <v>1815.9876261307259</v>
      </c>
      <c r="M19" s="39">
        <f ca="1">2096.7864855782*OFFSET(M$108,MATCH($M$1,$C$109:$C$110,0),0)</f>
        <v>2096.7864774318632</v>
      </c>
      <c r="N19" s="40">
        <f ca="1">IF(L19=0,"",IFERROR(IF(AND(L19&gt;0,D19&lt;0),"na",IF(AND(L19&lt;0,D19&lt;0),-1,1)*(L19-D19)/D19),""))</f>
        <v>6.5316343283504913E-2</v>
      </c>
      <c r="O19" s="40">
        <f ca="1">IF(L19=0,"",IFERROR(IF(AND(L19&gt;0,H19&lt;0),"na",IF(AND(L19&lt;0,H19&lt;0),-1,1)*(L19-H19)/H19),""))</f>
        <v>-0.26684827228630204</v>
      </c>
    </row>
    <row r="20" spans="1:15" s="19" customFormat="1" ht="18" customHeight="1" x14ac:dyDescent="0.2">
      <c r="A20" s="145" t="s">
        <v>9</v>
      </c>
      <c r="B20" s="28" t="s">
        <v>30</v>
      </c>
      <c r="C20" s="41"/>
      <c r="D20" s="42">
        <v>2.7665816196656063</v>
      </c>
      <c r="E20" s="42">
        <v>2.2815663894303402</v>
      </c>
      <c r="F20" s="42">
        <v>2.5400917747632876</v>
      </c>
      <c r="G20" s="42">
        <v>2.5097934197538918</v>
      </c>
      <c r="H20" s="42">
        <v>2.9721476732928593</v>
      </c>
      <c r="I20" s="42">
        <v>2.527716807174377</v>
      </c>
      <c r="J20" s="42">
        <v>3.1509695160888915</v>
      </c>
      <c r="K20" s="42">
        <v>3.7854340049302433</v>
      </c>
      <c r="L20" s="42">
        <v>3.9156148203496377</v>
      </c>
      <c r="M20" s="43">
        <v>4.1011133758605665</v>
      </c>
      <c r="N20" s="32">
        <f t="shared" si="0"/>
        <v>0.41532597213702077</v>
      </c>
      <c r="O20" s="32">
        <f t="shared" si="1"/>
        <v>0.31743616090633403</v>
      </c>
    </row>
    <row r="21" spans="1:15" s="19" customFormat="1" ht="18" customHeight="1" x14ac:dyDescent="0.2">
      <c r="A21" s="145"/>
      <c r="B21" s="33" t="s">
        <v>31</v>
      </c>
      <c r="C21" s="21"/>
      <c r="D21" s="34">
        <f ca="1">5.79751046075992*OFFSET(D$108,MATCH($M$1,$C$109:$C$110,0),0)</f>
        <v>4.7160428171607407</v>
      </c>
      <c r="E21" s="34">
        <f ca="1">5.37475398104064*OFFSET(E$108,MATCH($M$1,$C$109:$C$110,0),0)</f>
        <v>4.4896929012838234</v>
      </c>
      <c r="F21" s="34">
        <f ca="1">5.9256704118592*OFFSET(F$108,MATCH($M$1,$C$109:$C$110,0),0)</f>
        <v>5.0920469664829122</v>
      </c>
      <c r="G21" s="34">
        <f ca="1">6.60907800675186*OFFSET(G$108,MATCH($M$1,$C$109:$C$110,0),0)</f>
        <v>5.8442094869162213</v>
      </c>
      <c r="H21" s="34">
        <f ca="1">8.16373373212187*OFFSET(H$108,MATCH($M$1,$C$109:$C$110,0),0)</f>
        <v>7.3618919229426609</v>
      </c>
      <c r="I21" s="34">
        <f ca="1">7.74080591115551*OFFSET(I$108,MATCH($M$1,$C$109:$C$110,0),0)</f>
        <v>7.2019683178893699</v>
      </c>
      <c r="J21" s="34">
        <f ca="1">8.09413683406555*OFFSET(J$108,MATCH($M$1,$C$109:$C$110,0),0)</f>
        <v>7.6907249935540518</v>
      </c>
      <c r="K21" s="34">
        <f ca="1">8.26604649840009*OFFSET(K$108,MATCH($M$1,$C$109:$C$110,0),0)</f>
        <v>7.9845048766300444</v>
      </c>
      <c r="L21" s="34">
        <f ca="1">7.23198927218086*OFFSET(L$108,MATCH($M$1,$C$109:$C$110,0),0)</f>
        <v>7.1107086870094349</v>
      </c>
      <c r="M21" s="35">
        <f ca="1">8.59915960985061*OFFSET(M$108,MATCH($M$1,$C$109:$C$110,0),0)</f>
        <v>8.599159576441556</v>
      </c>
      <c r="N21" s="24">
        <f t="shared" ca="1" si="0"/>
        <v>0.50777017145285064</v>
      </c>
      <c r="O21" s="24">
        <f t="shared" ca="1" si="1"/>
        <v>-3.4119386505856802E-2</v>
      </c>
    </row>
    <row r="22" spans="1:15" s="19" customFormat="1" ht="18" customHeight="1" x14ac:dyDescent="0.2">
      <c r="A22" s="145"/>
      <c r="B22" s="33" t="s">
        <v>10</v>
      </c>
      <c r="C22" s="21"/>
      <c r="D22" s="34">
        <f ca="1">5.52078363635644*OFFSET(D$108,MATCH($M$1,$C$109:$C$110,0),0)</f>
        <v>4.490936616598117</v>
      </c>
      <c r="E22" s="34">
        <f ca="1">3.96068941586937*OFFSET(E$108,MATCH($M$1,$C$109:$C$110,0),0)</f>
        <v>3.3084824379581641</v>
      </c>
      <c r="F22" s="34">
        <f ca="1">4.36768211046383*OFFSET(F$108,MATCH($M$1,$C$109:$C$110,0),0)</f>
        <v>3.7532364939903928</v>
      </c>
      <c r="G22" s="34">
        <f ca="1">5.72144192004233*OFFSET(G$108,MATCH($M$1,$C$109:$C$110,0),0)</f>
        <v>5.0592995140610935</v>
      </c>
      <c r="H22" s="34">
        <f ca="1">7.96274683809685*OFFSET(H$108,MATCH($M$1,$C$109:$C$110,0),0)</f>
        <v>7.1806459587439306</v>
      </c>
      <c r="I22" s="34">
        <f ca="1">5.51023544357828*OFFSET(I$108,MATCH($M$1,$C$109:$C$110,0),0)</f>
        <v>5.1266678875866472</v>
      </c>
      <c r="J22" s="34">
        <f ca="1">7.52879512045971*OFFSET(J$108,MATCH($M$1,$C$109:$C$110,0),0)</f>
        <v>7.1535599151940863</v>
      </c>
      <c r="K22" s="34">
        <f ca="1">6.31296594299783*OFFSET(K$108,MATCH($M$1,$C$109:$C$110,0),0)</f>
        <v>6.0979462633825889</v>
      </c>
      <c r="L22" s="34">
        <f ca="1">6.39002596159101*OFFSET(L$108,MATCH($M$1,$C$109:$C$110,0),0)</f>
        <v>6.2828651156998969</v>
      </c>
      <c r="M22" s="35">
        <f ca="1">7.49747404376135*OFFSET(M$108,MATCH($M$1,$C$109:$C$110,0),0)</f>
        <v>7.4974740146325143</v>
      </c>
      <c r="N22" s="24">
        <f t="shared" ca="1" si="0"/>
        <v>0.39900997321560178</v>
      </c>
      <c r="O22" s="24">
        <f t="shared" ca="1" si="1"/>
        <v>-0.12502786632319599</v>
      </c>
    </row>
    <row r="23" spans="1:15" s="19" customFormat="1" ht="18" customHeight="1" x14ac:dyDescent="0.2">
      <c r="A23" s="146"/>
      <c r="B23" s="33" t="s">
        <v>32</v>
      </c>
      <c r="C23" s="44"/>
      <c r="D23" s="34">
        <f ca="1">0.276726824403481*OFFSET(D$108,MATCH($M$1,$C$109:$C$110,0),0)</f>
        <v>0.22510620056262484</v>
      </c>
      <c r="E23" s="34">
        <f ca="1">1.41406456517126*OFFSET(E$108,MATCH($M$1,$C$109:$C$110,0),0)</f>
        <v>1.1812104633256513</v>
      </c>
      <c r="F23" s="34">
        <f ca="1">1.55798830139537*OFFSET(F$108,MATCH($M$1,$C$109:$C$110,0),0)</f>
        <v>1.3388104724925194</v>
      </c>
      <c r="G23" s="34">
        <f ca="1">0.887636086709528*OFFSET(G$108,MATCH($M$1,$C$109:$C$110,0),0)</f>
        <v>0.78490997285512609</v>
      </c>
      <c r="H23" s="34">
        <f ca="1">0.200986894025027*OFFSET(H$108,MATCH($M$1,$C$109:$C$110,0),0)</f>
        <v>0.18124596419873662</v>
      </c>
      <c r="I23" s="34">
        <f ca="1">2.23057046757723*OFFSET(I$108,MATCH($M$1,$C$109:$C$110,0),0)</f>
        <v>2.0753004303027227</v>
      </c>
      <c r="J23" s="34">
        <f ca="1">0.565341713605841*OFFSET(J$108,MATCH($M$1,$C$109:$C$110,0),0)</f>
        <v>0.53716507835996719</v>
      </c>
      <c r="K23" s="34">
        <f ca="1">1.95308055540226*OFFSET(K$108,MATCH($M$1,$C$109:$C$110,0),0)</f>
        <v>1.8865586132474559</v>
      </c>
      <c r="L23" s="34">
        <f ca="1">0.841963310589844*OFFSET(L$108,MATCH($M$1,$C$109:$C$110,0),0)</f>
        <v>0.82784357130953201</v>
      </c>
      <c r="M23" s="35">
        <f ca="1">1.10168556608926*OFFSET(M$108,MATCH($M$1,$C$109:$C$110,0),0)</f>
        <v>1.1016855618090426</v>
      </c>
      <c r="N23" s="24">
        <f t="shared" ca="1" si="0"/>
        <v>2.6775689396402247</v>
      </c>
      <c r="O23" s="24">
        <f t="shared" ca="1" si="1"/>
        <v>3.5675145097399223</v>
      </c>
    </row>
    <row r="24" spans="1:15" s="19" customFormat="1" ht="18" customHeight="1" x14ac:dyDescent="0.2">
      <c r="A24" s="147" t="s">
        <v>11</v>
      </c>
      <c r="B24" s="28" t="s">
        <v>27</v>
      </c>
      <c r="C24" s="29"/>
      <c r="D24" s="30">
        <f ca="1">400.3*OFFSET(D$108,MATCH($M$1,$C$109:$C$110,0),0)</f>
        <v>325.62803508283679</v>
      </c>
      <c r="E24" s="30">
        <f ca="1">290.6*OFFSET(E$108,MATCH($M$1,$C$109:$C$110,0),0)</f>
        <v>242.74687952516612</v>
      </c>
      <c r="F24" s="30">
        <f ca="1">311.4*OFFSET(F$108,MATCH($M$1,$C$109:$C$110,0),0)</f>
        <v>267.5922410718876</v>
      </c>
      <c r="G24" s="30">
        <f ca="1">323.2*OFFSET(G$108,MATCH($M$1,$C$109:$C$110,0),0)</f>
        <v>285.79606780880295</v>
      </c>
      <c r="H24" s="30">
        <f ca="1">400*OFFSET(H$108,MATCH($M$1,$C$109:$C$110,0),0)</f>
        <v>360.71200578116856</v>
      </c>
      <c r="I24" s="30">
        <f ca="1">416.1*OFFSET(I$108,MATCH($M$1,$C$109:$C$110,0),0)</f>
        <v>387.13527395837116</v>
      </c>
      <c r="J24" s="30">
        <f ca="1">479.1*OFFSET(J$108,MATCH($M$1,$C$109:$C$110,0),0)</f>
        <v>455.22165240700781</v>
      </c>
      <c r="K24" s="30">
        <f ca="1">476.8*OFFSET(K$108,MATCH($M$1,$C$109:$C$110,0),0)</f>
        <v>460.56018749883151</v>
      </c>
      <c r="L24" s="30">
        <f ca="1">462.6*OFFSET(L$108,MATCH($M$1,$C$109:$C$110,0),0)</f>
        <v>454.84218999935234</v>
      </c>
      <c r="M24" s="31">
        <f ca="1">503.2*OFFSET(M$108,MATCH($M$1,$C$109:$C$110,0),0)</f>
        <v>503.19999804499088</v>
      </c>
      <c r="N24" s="32">
        <f t="shared" ca="1" si="0"/>
        <v>0.39681520322304148</v>
      </c>
      <c r="O24" s="32">
        <f t="shared" ca="1" si="1"/>
        <v>0.26095661555354299</v>
      </c>
    </row>
    <row r="25" spans="1:15" s="19" customFormat="1" ht="18" customHeight="1" x14ac:dyDescent="0.2">
      <c r="A25" s="148"/>
      <c r="B25" s="33" t="s">
        <v>33</v>
      </c>
      <c r="C25" s="25"/>
      <c r="D25" s="26">
        <f ca="1">18.6*OFFSET(D$108,MATCH($M$1,$C$109:$C$110,0),0)</f>
        <v>15.130355864453572</v>
      </c>
      <c r="E25" s="26">
        <f ca="1">208.2*OFFSET(E$108,MATCH($M$1,$C$109:$C$110,0),0)</f>
        <v>173.91569276372877</v>
      </c>
      <c r="F25" s="26">
        <f ca="1">223.1*OFFSET(F$108,MATCH($M$1,$C$109:$C$110,0),0)</f>
        <v>191.71428703641018</v>
      </c>
      <c r="G25" s="26">
        <f ca="1">77.2*OFFSET(G$108,MATCH($M$1,$C$109:$C$110,0),0)</f>
        <v>68.265644909775958</v>
      </c>
      <c r="H25" s="26"/>
      <c r="I25" s="26"/>
      <c r="J25" s="26">
        <f ca="1">0.4*OFFSET(J$108,MATCH($M$1,$C$109:$C$110,0),0)</f>
        <v>0.38006399700021526</v>
      </c>
      <c r="K25" s="26"/>
      <c r="L25" s="26"/>
      <c r="M25" s="27"/>
      <c r="N25" s="24" t="str">
        <f t="shared" si="0"/>
        <v/>
      </c>
      <c r="O25" s="24" t="str">
        <f t="shared" si="1"/>
        <v/>
      </c>
    </row>
    <row r="26" spans="1:15" s="19" customFormat="1" ht="18" customHeight="1" x14ac:dyDescent="0.2">
      <c r="A26" s="148"/>
      <c r="B26" s="45" t="s">
        <v>34</v>
      </c>
      <c r="C26" s="46"/>
      <c r="D26" s="47">
        <f ca="1">419*OFFSET(D$108,MATCH($M$1,$C$109:$C$110,0),0)</f>
        <v>340.83973694656163</v>
      </c>
      <c r="E26" s="47">
        <f ca="1">498.8*OFFSET(E$108,MATCH($M$1,$C$109:$C$110,0),0)</f>
        <v>416.66257228889486</v>
      </c>
      <c r="F26" s="47">
        <f ca="1">534.5*OFFSET(F$108,MATCH($M$1,$C$109:$C$110,0),0)</f>
        <v>459.30652810829781</v>
      </c>
      <c r="G26" s="47">
        <f ca="1">400.4*OFFSET(G$108,MATCH($M$1,$C$109:$C$110,0),0)</f>
        <v>354.06171271857886</v>
      </c>
      <c r="H26" s="47">
        <f ca="1">400*OFFSET(H$108,MATCH($M$1,$C$109:$C$110,0),0)</f>
        <v>360.71200578116856</v>
      </c>
      <c r="I26" s="47">
        <f ca="1">416.1*OFFSET(I$108,MATCH($M$1,$C$109:$C$110,0),0)</f>
        <v>387.13527395837116</v>
      </c>
      <c r="J26" s="47">
        <f ca="1">479.5*OFFSET(J$108,MATCH($M$1,$C$109:$C$110,0),0)</f>
        <v>455.60171640400802</v>
      </c>
      <c r="K26" s="47">
        <f ca="1">476.8*OFFSET(K$108,MATCH($M$1,$C$109:$C$110,0),0)</f>
        <v>460.56018749883151</v>
      </c>
      <c r="L26" s="47">
        <f ca="1">462.6*OFFSET(L$108,MATCH($M$1,$C$109:$C$110,0),0)</f>
        <v>454.84218999935234</v>
      </c>
      <c r="M26" s="48">
        <f ca="1">503.2*OFFSET(M$108,MATCH($M$1,$C$109:$C$110,0),0)</f>
        <v>503.19999804499088</v>
      </c>
      <c r="N26" s="49">
        <f t="shared" ca="1" si="0"/>
        <v>0.33447524069256196</v>
      </c>
      <c r="O26" s="49">
        <f t="shared" ca="1" si="1"/>
        <v>0.26095661555354299</v>
      </c>
    </row>
    <row r="27" spans="1:15" s="19" customFormat="1" ht="18" customHeight="1" x14ac:dyDescent="0.2">
      <c r="A27" s="148"/>
      <c r="B27" s="33" t="s">
        <v>35</v>
      </c>
      <c r="C27" s="25"/>
      <c r="D27" s="26">
        <f ca="1">26.2*OFFSET(D$108,MATCH($M$1,$C$109:$C$110,0),0)</f>
        <v>21.312651809069006</v>
      </c>
      <c r="E27" s="26">
        <f ca="1">27.2*OFFSET(E$108,MATCH($M$1,$C$109:$C$110,0),0)</f>
        <v>22.720974270765719</v>
      </c>
      <c r="F27" s="26">
        <f ca="1">24.3*OFFSET(F$108,MATCH($M$1,$C$109:$C$110,0),0)</f>
        <v>20.881475459366957</v>
      </c>
      <c r="G27" s="26">
        <f ca="1">35.5*OFFSET(G$108,MATCH($M$1,$C$109:$C$110,0),0)</f>
        <v>31.391585418355522</v>
      </c>
      <c r="H27" s="26">
        <f ca="1">27.5*OFFSET(H$108,MATCH($M$1,$C$109:$C$110,0),0)</f>
        <v>24.798950397455336</v>
      </c>
      <c r="I27" s="26">
        <f ca="1">32.6*OFFSET(I$108,MATCH($M$1,$C$109:$C$110,0),0)</f>
        <v>30.330713605005766</v>
      </c>
      <c r="J27" s="26">
        <f ca="1">45.4*OFFSET(J$108,MATCH($M$1,$C$109:$C$110,0),0)</f>
        <v>43.137263659524429</v>
      </c>
      <c r="K27" s="26">
        <f ca="1">44.1*OFFSET(K$108,MATCH($M$1,$C$109:$C$110,0),0)</f>
        <v>42.597953583679676</v>
      </c>
      <c r="L27" s="26">
        <f ca="1">45.6*OFFSET(L$108,MATCH($M$1,$C$109:$C$110,0),0)</f>
        <v>44.835287211349907</v>
      </c>
      <c r="M27" s="27">
        <f ca="1">39.3*OFFSET(M$108,MATCH($M$1,$C$109:$C$110,0),0)</f>
        <v>39.29999984731348</v>
      </c>
      <c r="N27" s="24">
        <f t="shared" ca="1" si="0"/>
        <v>1.1036935062333022</v>
      </c>
      <c r="O27" s="24">
        <f t="shared" ca="1" si="1"/>
        <v>0.80795100166620504</v>
      </c>
    </row>
    <row r="28" spans="1:15" s="19" customFormat="1" ht="18" customHeight="1" x14ac:dyDescent="0.2">
      <c r="A28" s="148"/>
      <c r="B28" s="33" t="s">
        <v>36</v>
      </c>
      <c r="C28" s="25"/>
      <c r="D28" s="26">
        <f ca="1">112.1*OFFSET(D$108,MATCH($M$1,$C$109:$C$110,0),0)</f>
        <v>91.188865183077695</v>
      </c>
      <c r="E28" s="26">
        <f ca="1">171*OFFSET(E$108,MATCH($M$1,$C$109:$C$110,0),0)</f>
        <v>142.84141912871095</v>
      </c>
      <c r="F28" s="26">
        <f ca="1">188.2*OFFSET(F$108,MATCH($M$1,$C$109:$C$110,0),0)</f>
        <v>161.72401981287493</v>
      </c>
      <c r="G28" s="26">
        <f ca="1">135.1*OFFSET(G$108,MATCH($M$1,$C$109:$C$110,0),0)</f>
        <v>119.46487859210791</v>
      </c>
      <c r="H28" s="26">
        <f ca="1">139.4*OFFSET(H$108,MATCH($M$1,$C$109:$C$110,0),0)</f>
        <v>125.70813401473724</v>
      </c>
      <c r="I28" s="26">
        <f ca="1">106.9*OFFSET(I$108,MATCH($M$1,$C$109:$C$110,0),0)</f>
        <v>99.458689704758172</v>
      </c>
      <c r="J28" s="26">
        <f ca="1">160.4*OFFSET(J$108,MATCH($M$1,$C$109:$C$110,0),0)</f>
        <v>152.40566279708631</v>
      </c>
      <c r="K28" s="26">
        <f ca="1">125.6*OFFSET(K$108,MATCH($M$1,$C$109:$C$110,0),0)</f>
        <v>121.32206281428951</v>
      </c>
      <c r="L28" s="26">
        <f ca="1">149.6*OFFSET(L$108,MATCH($M$1,$C$109:$C$110,0),0)</f>
        <v>147.09120541267424</v>
      </c>
      <c r="M28" s="27">
        <f ca="1">167.2*OFFSET(M$108,MATCH($M$1,$C$109:$C$110,0),0)</f>
        <v>167.19999935040238</v>
      </c>
      <c r="N28" s="24">
        <f t="shared" ca="1" si="0"/>
        <v>0.61303910425206809</v>
      </c>
      <c r="O28" s="24">
        <f t="shared" ca="1" si="1"/>
        <v>0.17010093710746024</v>
      </c>
    </row>
    <row r="29" spans="1:15" s="19" customFormat="1" ht="18" customHeight="1" x14ac:dyDescent="0.2">
      <c r="A29" s="148"/>
      <c r="B29" s="33" t="s">
        <v>37</v>
      </c>
      <c r="C29" s="25"/>
      <c r="D29" s="26">
        <f ca="1">129.8*OFFSET(D$108,MATCH($M$1,$C$109:$C$110,0),0)</f>
        <v>105.58710705408998</v>
      </c>
      <c r="E29" s="26">
        <f ca="1">94.3*OFFSET(E$108,MATCH($M$1,$C$109:$C$110,0),0)</f>
        <v>78.771613004897318</v>
      </c>
      <c r="F29" s="26">
        <f ca="1">101*OFFSET(F$108,MATCH($M$1,$C$109:$C$110,0),0)</f>
        <v>86.791317752924385</v>
      </c>
      <c r="G29" s="26">
        <f ca="1">62.4*OFFSET(G$108,MATCH($M$1,$C$109:$C$110,0),0)</f>
        <v>55.178448735362942</v>
      </c>
      <c r="H29" s="26">
        <f ca="1">71.1*OFFSET(H$108,MATCH($M$1,$C$109:$C$110,0),0)</f>
        <v>64.116559027602705</v>
      </c>
      <c r="I29" s="26">
        <f ca="1">38.7*OFFSET(I$108,MATCH($M$1,$C$109:$C$110,0),0)</f>
        <v>36.006092531095803</v>
      </c>
      <c r="J29" s="26">
        <f ca="1">78.6*OFFSET(J$108,MATCH($M$1,$C$109:$C$110,0),0)</f>
        <v>74.682575410542285</v>
      </c>
      <c r="K29" s="26">
        <f ca="1">51.4*OFFSET(K$108,MATCH($M$1,$C$109:$C$110,0),0)</f>
        <v>49.649315514764972</v>
      </c>
      <c r="L29" s="26">
        <f ca="1">71.1*OFFSET(L$108,MATCH($M$1,$C$109:$C$110,0),0)</f>
        <v>69.907651770328471</v>
      </c>
      <c r="M29" s="27">
        <f ca="1">77.3*OFFSET(M$108,MATCH($M$1,$C$109:$C$110,0),0)</f>
        <v>77.299999699677656</v>
      </c>
      <c r="N29" s="24">
        <f t="shared" ca="1" si="0"/>
        <v>-0.33791488638365386</v>
      </c>
      <c r="O29" s="24">
        <f t="shared" ca="1" si="1"/>
        <v>9.0321327759224468E-2</v>
      </c>
    </row>
    <row r="30" spans="1:15" s="19" customFormat="1" ht="18" customHeight="1" x14ac:dyDescent="0.2">
      <c r="A30" s="148"/>
      <c r="B30" s="33" t="s">
        <v>38</v>
      </c>
      <c r="C30" s="25"/>
      <c r="D30" s="26">
        <f ca="1">268.1*OFFSET(D$108,MATCH($M$1,$C$109:$C$110,0),0)</f>
        <v>218.0886240462367</v>
      </c>
      <c r="E30" s="26">
        <f ca="1">292.5*OFFSET(E$108,MATCH($M$1,$C$109:$C$110,0),0)</f>
        <v>244.33400640437401</v>
      </c>
      <c r="F30" s="26">
        <f ca="1">313.5*OFFSET(F$108,MATCH($M$1,$C$109:$C$110,0),0)</f>
        <v>269.39681302516624</v>
      </c>
      <c r="G30" s="26">
        <f ca="1">233*OFFSET(G$108,MATCH($M$1,$C$109:$C$110,0),0)</f>
        <v>206.03491274582638</v>
      </c>
      <c r="H30" s="26">
        <f ca="1">238.1*OFFSET(H$108,MATCH($M$1,$C$109:$C$110,0),0)</f>
        <v>214.71382144124055</v>
      </c>
      <c r="I30" s="26">
        <f ca="1">178.2*OFFSET(I$108,MATCH($M$1,$C$109:$C$110,0),0)</f>
        <v>165.79549584085973</v>
      </c>
      <c r="J30" s="26">
        <f ca="1">284.4*OFFSET(J$108,MATCH($M$1,$C$109:$C$110,0),0)</f>
        <v>270.22550186715301</v>
      </c>
      <c r="K30" s="26">
        <f ca="1">221*OFFSET(K$108,MATCH($M$1,$C$109:$C$110,0),0)</f>
        <v>213.4727379136782</v>
      </c>
      <c r="L30" s="26">
        <f ca="1">266.2*OFFSET(L$108,MATCH($M$1,$C$109:$C$110,0),0)</f>
        <v>261.73582139608214</v>
      </c>
      <c r="M30" s="27">
        <f ca="1">283.7*OFFSET(M$108,MATCH($M$1,$C$109:$C$110,0),0)</f>
        <v>283.69999889778205</v>
      </c>
      <c r="N30" s="24">
        <f t="shared" ca="1" si="0"/>
        <v>0.20013514020149833</v>
      </c>
      <c r="O30" s="24">
        <f t="shared" ca="1" si="1"/>
        <v>0.2189984773183771</v>
      </c>
    </row>
    <row r="31" spans="1:15" s="19" customFormat="1" ht="18" customHeight="1" x14ac:dyDescent="0.2">
      <c r="A31" s="148"/>
      <c r="B31" s="33" t="s">
        <v>39</v>
      </c>
      <c r="C31" s="25"/>
      <c r="D31" s="26">
        <f ca="1">131.7*OFFSET(D$108,MATCH($M$1,$C$109:$C$110,0),0)</f>
        <v>107.13268104024382</v>
      </c>
      <c r="E31" s="26">
        <f ca="1">129.9*OFFSET(E$108,MATCH($M$1,$C$109:$C$110,0),0)</f>
        <v>108.50935874163481</v>
      </c>
      <c r="F31" s="26">
        <f ca="1">139.2*OFFSET(F$108,MATCH($M$1,$C$109:$C$110,0),0)</f>
        <v>119.61734090304033</v>
      </c>
      <c r="G31" s="26">
        <f ca="1">124*OFFSET(G$108,MATCH($M$1,$C$109:$C$110,0),0)</f>
        <v>109.64948146129817</v>
      </c>
      <c r="H31" s="26">
        <f ca="1">152.1*OFFSET(H$108,MATCH($M$1,$C$109:$C$110,0),0)</f>
        <v>137.16074019828932</v>
      </c>
      <c r="I31" s="26">
        <f ca="1">118*OFFSET(I$108,MATCH($M$1,$C$109:$C$110,0),0)</f>
        <v>109.78601857026626</v>
      </c>
      <c r="J31" s="26">
        <f ca="1">161.5*OFFSET(J$108,MATCH($M$1,$C$109:$C$110,0),0)</f>
        <v>153.4508387888369</v>
      </c>
      <c r="K31" s="26">
        <f ca="1">143.2*OFFSET(K$108,MATCH($M$1,$C$109:$C$110,0),0)</f>
        <v>138.32260664813899</v>
      </c>
      <c r="L31" s="26">
        <f ca="1">142.5*OFFSET(L$108,MATCH($M$1,$C$109:$C$110,0),0)</f>
        <v>140.11027253546845</v>
      </c>
      <c r="M31" s="27">
        <f ca="1">155*OFFSET(M$108,MATCH($M$1,$C$109:$C$110,0),0)</f>
        <v>154.99999939780125</v>
      </c>
      <c r="N31" s="24">
        <f t="shared" ca="1" si="0"/>
        <v>0.30782008977108277</v>
      </c>
      <c r="O31" s="24">
        <f t="shared" ca="1" si="1"/>
        <v>2.1504202535762653E-2</v>
      </c>
    </row>
    <row r="32" spans="1:15" s="19" customFormat="1" ht="18" customHeight="1" x14ac:dyDescent="0.2">
      <c r="A32" s="148"/>
      <c r="B32" s="33" t="s">
        <v>40</v>
      </c>
      <c r="C32" s="25"/>
      <c r="D32" s="26">
        <f ca="1">399.9*OFFSET(D$108,MATCH($M$1,$C$109:$C$110,0),0)</f>
        <v>325.30265108575173</v>
      </c>
      <c r="E32" s="26">
        <f ca="1">422.3*OFFSET(E$108,MATCH($M$1,$C$109:$C$110,0),0)</f>
        <v>352.7598321523663</v>
      </c>
      <c r="F32" s="26">
        <f ca="1">452.7*OFFSET(F$108,MATCH($M$1,$C$109:$C$110,0),0)</f>
        <v>389.01415392820661</v>
      </c>
      <c r="G32" s="26">
        <f ca="1">357*OFFSET(G$108,MATCH($M$1,$C$109:$C$110,0),0)</f>
        <v>315.68439420712457</v>
      </c>
      <c r="H32" s="26">
        <f ca="1">390.2*OFFSET(H$108,MATCH($M$1,$C$109:$C$110,0),0)</f>
        <v>351.87456163952987</v>
      </c>
      <c r="I32" s="26">
        <f ca="1">296.2*OFFSET(I$108,MATCH($M$1,$C$109:$C$110,0),0)</f>
        <v>275.58151441112597</v>
      </c>
      <c r="J32" s="26">
        <f ca="1">446*OFFSET(J$108,MATCH($M$1,$C$109:$C$110,0),0)</f>
        <v>423.77135665523997</v>
      </c>
      <c r="K32" s="26">
        <f ca="1">364.2*OFFSET(K$108,MATCH($M$1,$C$109:$C$110,0),0)</f>
        <v>351.79534456181716</v>
      </c>
      <c r="L32" s="26">
        <f ca="1">408.8*OFFSET(L$108,MATCH($M$1,$C$109:$C$110,0),0)</f>
        <v>401.9444169298211</v>
      </c>
      <c r="M32" s="27">
        <f ca="1">438.8*OFFSET(M$108,MATCH($M$1,$C$109:$C$110,0),0)</f>
        <v>438.79999829519477</v>
      </c>
      <c r="N32" s="24">
        <f t="shared" ca="1" si="0"/>
        <v>0.23560141790503311</v>
      </c>
      <c r="O32" s="24">
        <f t="shared" ca="1" si="1"/>
        <v>0.14229461503836752</v>
      </c>
    </row>
    <row r="33" spans="1:15" s="19" customFormat="1" ht="18" customHeight="1" x14ac:dyDescent="0.2">
      <c r="A33" s="148"/>
      <c r="B33" s="45" t="s">
        <v>41</v>
      </c>
      <c r="C33" s="46"/>
      <c r="D33" s="47">
        <f ca="1">131.2*OFFSET(D$108,MATCH($M$1,$C$109:$C$110,0),0)</f>
        <v>106.72595104388753</v>
      </c>
      <c r="E33" s="47">
        <f ca="1">247.5*OFFSET(E$108,MATCH($M$1,$C$109:$C$110,0),0)</f>
        <v>206.74415926523955</v>
      </c>
      <c r="F33" s="47">
        <f ca="1">270.1*OFFSET(F$108,MATCH($M$1,$C$109:$C$110,0),0)</f>
        <v>232.10232599074135</v>
      </c>
      <c r="G33" s="47">
        <f ca="1">178.5*OFFSET(G$108,MATCH($M$1,$C$109:$C$110,0),0)</f>
        <v>157.84219710356228</v>
      </c>
      <c r="H33" s="47">
        <f ca="1">149.2*OFFSET(H$108,MATCH($M$1,$C$109:$C$110,0),0)</f>
        <v>134.54557815637585</v>
      </c>
      <c r="I33" s="47">
        <f ca="1">226.8*OFFSET(I$108,MATCH($M$1,$C$109:$C$110,0),0)</f>
        <v>211.01244925200331</v>
      </c>
      <c r="J33" s="47">
        <f ca="1">193.9*OFFSET(J$108,MATCH($M$1,$C$109:$C$110,0),0)</f>
        <v>184.23602254585433</v>
      </c>
      <c r="K33" s="47">
        <f ca="1">238.3*OFFSET(K$108,MATCH($M$1,$C$109:$C$110,0),0)</f>
        <v>230.1834997503598</v>
      </c>
      <c r="L33" s="47">
        <f ca="1">203.5*OFFSET(L$108,MATCH($M$1,$C$109:$C$110,0),0)</f>
        <v>200.08730148047601</v>
      </c>
      <c r="M33" s="48">
        <f ca="1">231.7*OFFSET(M$108,MATCH($M$1,$C$109:$C$110,0),0)</f>
        <v>231.69999909980999</v>
      </c>
      <c r="N33" s="49">
        <f t="shared" ca="1" si="0"/>
        <v>0.87477646742352944</v>
      </c>
      <c r="O33" s="49">
        <f t="shared" ca="1" si="1"/>
        <v>0.48713398256703888</v>
      </c>
    </row>
    <row r="34" spans="1:15" s="19" customFormat="1" ht="18" customHeight="1" x14ac:dyDescent="0.2">
      <c r="A34" s="148"/>
      <c r="B34" s="45" t="s">
        <v>42</v>
      </c>
      <c r="C34" s="46"/>
      <c r="D34" s="47">
        <f ca="1">19.1*OFFSET(D$108,MATCH($M$1,$C$109:$C$110,0),0)</f>
        <v>15.537085860809849</v>
      </c>
      <c r="E34" s="47">
        <f ca="1">76.5*OFFSET(E$108,MATCH($M$1,$C$109:$C$110,0),0)</f>
        <v>63.902740136528585</v>
      </c>
      <c r="F34" s="47">
        <f ca="1">81.9*OFFSET(F$108,MATCH($M$1,$C$109:$C$110,0),0)</f>
        <v>70.378306177866406</v>
      </c>
      <c r="G34" s="47">
        <f ca="1">43.4*OFFSET(G$108,MATCH($M$1,$C$109:$C$110,0),0)</f>
        <v>38.377318511454355</v>
      </c>
      <c r="H34" s="47">
        <f ca="1">9.8*OFFSET(H$108,MATCH($M$1,$C$109:$C$110,0),0)</f>
        <v>8.8374441416386293</v>
      </c>
      <c r="I34" s="47">
        <f ca="1">119.9*OFFSET(I$108,MATCH($M$1,$C$109:$C$110,0),0)</f>
        <v>111.55375954724514</v>
      </c>
      <c r="J34" s="47">
        <f ca="1">33.5*OFFSET(J$108,MATCH($M$1,$C$109:$C$110,0),0)</f>
        <v>31.830359748768025</v>
      </c>
      <c r="K34" s="47">
        <f ca="1">112.7*OFFSET(K$108,MATCH($M$1,$C$109:$C$110,0),0)</f>
        <v>108.86143693607029</v>
      </c>
      <c r="L34" s="47">
        <f ca="1">53.9*OFFSET(L$108,MATCH($M$1,$C$109:$C$110,0),0)</f>
        <v>52.996096067801751</v>
      </c>
      <c r="M34" s="48">
        <f ca="1">64.5*OFFSET(M$108,MATCH($M$1,$C$109:$C$110,0),0)</f>
        <v>64.499999749407621</v>
      </c>
      <c r="N34" s="49">
        <f t="shared" ca="1" si="0"/>
        <v>2.4109418292832556</v>
      </c>
      <c r="O34" s="49">
        <f t="shared" ca="1" si="1"/>
        <v>4.9967673026757344</v>
      </c>
    </row>
    <row r="35" spans="1:15" s="19" customFormat="1" ht="18" customHeight="1" x14ac:dyDescent="0.2">
      <c r="A35" s="148"/>
      <c r="B35" s="33" t="s">
        <v>43</v>
      </c>
      <c r="C35" s="25"/>
      <c r="D35" s="26">
        <f ca="1">7*OFFSET(D$108,MATCH($M$1,$C$109:$C$110,0),0)</f>
        <v>5.6942199489879028</v>
      </c>
      <c r="E35" s="26">
        <f ca="1">37.4*OFFSET(E$108,MATCH($M$1,$C$109:$C$110,0),0)</f>
        <v>31.241339622302863</v>
      </c>
      <c r="F35" s="26"/>
      <c r="G35" s="26">
        <f ca="1">8.2*OFFSET(G$108,MATCH($M$1,$C$109:$C$110,0),0)</f>
        <v>7.2510140966342327</v>
      </c>
      <c r="H35" s="26">
        <f ca="1">5.6*OFFSET(H$108,MATCH($M$1,$C$109:$C$110,0),0)</f>
        <v>5.0499680809363587</v>
      </c>
      <c r="I35" s="26">
        <f ca="1">10.6*OFFSET(I$108,MATCH($M$1,$C$109:$C$110,0),0)</f>
        <v>9.8621338715662912</v>
      </c>
      <c r="J35" s="26">
        <f ca="1">15.9*OFFSET(J$108,MATCH($M$1,$C$109:$C$110,0),0)</f>
        <v>15.107543880758556</v>
      </c>
      <c r="K35" s="26">
        <f ca="1">15.8*OFFSET(K$108,MATCH($M$1,$C$109:$C$110,0),0)</f>
        <v>15.261851850842152</v>
      </c>
      <c r="L35" s="26">
        <f ca="1">33.7*OFFSET(L$108,MATCH($M$1,$C$109:$C$110,0),0)</f>
        <v>33.13485041715991</v>
      </c>
      <c r="M35" s="27"/>
      <c r="N35" s="24">
        <f t="shared" ca="1" si="0"/>
        <v>4.8190324072482191</v>
      </c>
      <c r="O35" s="24">
        <f t="shared" ca="1" si="1"/>
        <v>5.5613979902653341</v>
      </c>
    </row>
    <row r="36" spans="1:15" s="19" customFormat="1" ht="18" customHeight="1" x14ac:dyDescent="0.2">
      <c r="A36" s="148"/>
      <c r="B36" s="33" t="s">
        <v>44</v>
      </c>
      <c r="C36" s="25"/>
      <c r="D36" s="26">
        <f ca="1">4.2*OFFSET(D$108,MATCH($M$1,$C$109:$C$110,0),0)</f>
        <v>3.4165319693927416</v>
      </c>
      <c r="E36" s="26"/>
      <c r="F36" s="26"/>
      <c r="G36" s="26">
        <f ca="1">1.2*OFFSET(G$108,MATCH($M$1,$C$109:$C$110,0),0)</f>
        <v>1.061124014141595</v>
      </c>
      <c r="H36" s="26">
        <f ca="1">0.2*OFFSET(H$108,MATCH($M$1,$C$109:$C$110,0),0)</f>
        <v>0.18035600289058429</v>
      </c>
      <c r="I36" s="26">
        <f ca="1">0.3*OFFSET(I$108,MATCH($M$1,$C$109:$C$110,0),0)</f>
        <v>0.27911699636508369</v>
      </c>
      <c r="J36" s="26">
        <f ca="1">0.3*OFFSET(J$108,MATCH($M$1,$C$109:$C$110,0),0)</f>
        <v>0.28504799775016143</v>
      </c>
      <c r="K36" s="26"/>
      <c r="L36" s="26"/>
      <c r="M36" s="27"/>
      <c r="N36" s="24" t="str">
        <f t="shared" si="0"/>
        <v/>
      </c>
      <c r="O36" s="24" t="str">
        <f t="shared" si="1"/>
        <v/>
      </c>
    </row>
    <row r="37" spans="1:15" s="19" customFormat="1" ht="18" customHeight="1" x14ac:dyDescent="0.2">
      <c r="A37" s="148"/>
      <c r="B37" s="33" t="s">
        <v>45</v>
      </c>
      <c r="C37" s="25"/>
      <c r="D37" s="26"/>
      <c r="E37" s="26"/>
      <c r="F37" s="26"/>
      <c r="G37" s="26"/>
      <c r="H37" s="26">
        <f ca="1">0.4*OFFSET(H$108,MATCH($M$1,$C$109:$C$110,0),0)</f>
        <v>0.36071200578116858</v>
      </c>
      <c r="I37" s="26"/>
      <c r="J37" s="26"/>
      <c r="K37" s="26"/>
      <c r="L37" s="26"/>
      <c r="M37" s="27"/>
      <c r="N37" s="24" t="str">
        <f t="shared" si="0"/>
        <v/>
      </c>
      <c r="O37" s="24" t="str">
        <f t="shared" si="1"/>
        <v/>
      </c>
    </row>
    <row r="38" spans="1:15" s="19" customFormat="1" ht="18" customHeight="1" thickBot="1" x14ac:dyDescent="0.25">
      <c r="A38" s="149"/>
      <c r="B38" s="50" t="s">
        <v>46</v>
      </c>
      <c r="C38" s="51"/>
      <c r="D38" s="52">
        <f ca="1">7.9*OFFSET(D$108,MATCH($M$1,$C$109:$C$110,0),0)</f>
        <v>6.4263339424292045</v>
      </c>
      <c r="E38" s="52">
        <f ca="1">39.1*OFFSET(E$108,MATCH($M$1,$C$109:$C$110,0),0)</f>
        <v>32.661400514225726</v>
      </c>
      <c r="F38" s="52"/>
      <c r="G38" s="52">
        <f ca="1">34.1*OFFSET(G$108,MATCH($M$1,$C$109:$C$110,0),0)</f>
        <v>30.153607401856995</v>
      </c>
      <c r="H38" s="52">
        <f ca="1">3.6*OFFSET(H$108,MATCH($M$1,$C$109:$C$110,0),0)</f>
        <v>3.246408052030517</v>
      </c>
      <c r="I38" s="52">
        <f ca="1">109.1*OFFSET(I$108,MATCH($M$1,$C$109:$C$110,0),0)</f>
        <v>101.5055476781021</v>
      </c>
      <c r="J38" s="52">
        <f ca="1">17.2*OFFSET(J$108,MATCH($M$1,$C$109:$C$110,0),0)</f>
        <v>16.342751871009256</v>
      </c>
      <c r="K38" s="52">
        <f ca="1">96.8*OFFSET(K$108,MATCH($M$1,$C$109:$C$110,0),0)</f>
        <v>93.502991086172173</v>
      </c>
      <c r="L38" s="52">
        <f ca="1">20.2*OFFSET(L$108,MATCH($M$1,$C$109:$C$110,0),0)</f>
        <v>19.861245650641845</v>
      </c>
      <c r="M38" s="53"/>
      <c r="N38" s="54">
        <f t="shared" ca="1" si="0"/>
        <v>2.0906027960218543</v>
      </c>
      <c r="O38" s="54">
        <f t="shared" ca="1" si="1"/>
        <v>5.1179141168712032</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Gill netters</v>
      </c>
      <c r="C45" s="61"/>
      <c r="D45" s="61"/>
      <c r="E45" s="61"/>
      <c r="F45" s="61" t="str">
        <f>$B21&amp;CHAR(10)&amp;$A$1</f>
        <v>Income per kW day at sea (£)
Gill netters</v>
      </c>
      <c r="G45" s="61"/>
      <c r="K45" s="61" t="str">
        <f>$B23&amp;CHAR(10)&amp;$A$1</f>
        <v>Operating profit per kW day at sea (£)
Gill netters</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Gill netters</v>
      </c>
      <c r="F59" s="61" t="str">
        <f>$B19&amp;CHAR(10)&amp;$A$1</f>
        <v>Average price per tonne landed (£)
Gill netters</v>
      </c>
      <c r="K59" s="61" t="str">
        <f>"Average annual operating profit per vessel (£'000)"&amp;CHAR(10)&amp;$A$1</f>
        <v>Average annual operating profit per vessel (£'000)
Gill netters</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Gill netters</v>
      </c>
      <c r="F73" s="61" t="str">
        <f>"Top 5 landed species by value in "&amp;A74&amp;CHAR(10)&amp;A1</f>
        <v>Top 5 landed species by value in 2013
Gill netters</v>
      </c>
    </row>
    <row r="74" spans="1:9" s="61" customFormat="1" x14ac:dyDescent="0.2">
      <c r="A74" s="61">
        <v>2013</v>
      </c>
      <c r="B74" s="61" t="s">
        <v>138</v>
      </c>
      <c r="C74" s="62">
        <v>0.34447009832835535</v>
      </c>
      <c r="D74" s="63">
        <v>8211234</v>
      </c>
      <c r="G74" s="61" t="s">
        <v>139</v>
      </c>
      <c r="H74" s="62">
        <v>0.50450387980886169</v>
      </c>
      <c r="I74" s="63">
        <v>8211234</v>
      </c>
    </row>
    <row r="75" spans="1:9" s="61" customFormat="1" x14ac:dyDescent="0.2">
      <c r="B75" s="61" t="s">
        <v>140</v>
      </c>
      <c r="C75" s="62">
        <v>0.29181907406140112</v>
      </c>
      <c r="D75" s="63">
        <v>2764187</v>
      </c>
      <c r="G75" s="61" t="s">
        <v>141</v>
      </c>
      <c r="H75" s="62">
        <v>0.1404525108801431</v>
      </c>
      <c r="I75" s="63">
        <v>2171775</v>
      </c>
    </row>
    <row r="76" spans="1:9" s="61" customFormat="1" x14ac:dyDescent="0.2">
      <c r="B76" s="61" t="s">
        <v>142</v>
      </c>
      <c r="C76" s="62">
        <v>0.10671519096499929</v>
      </c>
      <c r="D76" s="63">
        <v>2171775</v>
      </c>
      <c r="G76" s="61" t="s">
        <v>143</v>
      </c>
      <c r="H76" s="62">
        <v>0.12385305418762925</v>
      </c>
      <c r="I76" s="63">
        <v>2783840</v>
      </c>
    </row>
    <row r="77" spans="1:9" s="61" customFormat="1" x14ac:dyDescent="0.2">
      <c r="B77" s="61" t="s">
        <v>144</v>
      </c>
      <c r="C77" s="62">
        <v>9.8489090433215423E-2</v>
      </c>
      <c r="D77" s="63">
        <v>2783840</v>
      </c>
      <c r="G77" s="61" t="s">
        <v>145</v>
      </c>
      <c r="H77" s="62">
        <v>4.6375674981848414E-2</v>
      </c>
      <c r="I77" s="63">
        <v>6763595</v>
      </c>
    </row>
    <row r="78" spans="1:9" s="61" customFormat="1" x14ac:dyDescent="0.2">
      <c r="B78" s="61" t="s">
        <v>146</v>
      </c>
      <c r="C78" s="62">
        <v>3.7778927206524433E-2</v>
      </c>
      <c r="D78" s="63">
        <v>3511670</v>
      </c>
      <c r="G78" s="61" t="s">
        <v>147</v>
      </c>
      <c r="H78" s="62">
        <v>4.2056983576313905E-2</v>
      </c>
      <c r="I78" s="63">
        <v>2764187</v>
      </c>
    </row>
    <row r="79" spans="1:9" s="61" customFormat="1" x14ac:dyDescent="0.2">
      <c r="B79" s="61" t="s">
        <v>148</v>
      </c>
      <c r="C79" s="62">
        <v>0.12072761900550444</v>
      </c>
      <c r="D79" s="63">
        <v>32768</v>
      </c>
      <c r="G79" s="61" t="s">
        <v>149</v>
      </c>
      <c r="H79" s="62">
        <v>0.14275789656520355</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82</v>
      </c>
      <c r="D88" s="66">
        <v>0.34428261477234523</v>
      </c>
      <c r="E88" s="66">
        <v>0.44907091324873927</v>
      </c>
      <c r="F88" s="66">
        <v>0.50979484387505336</v>
      </c>
      <c r="G88" s="66">
        <v>0.53196362569504307</v>
      </c>
      <c r="H88" s="66">
        <v>0.55883406597759366</v>
      </c>
      <c r="I88" s="66">
        <v>0.56596263004986602</v>
      </c>
      <c r="J88" s="66">
        <v>0.56086090427236235</v>
      </c>
      <c r="K88" s="66">
        <v>0.58138064408721124</v>
      </c>
      <c r="L88" s="66">
        <v>0.51310870978864809</v>
      </c>
      <c r="M88" s="66">
        <v>0.536473117942324</v>
      </c>
      <c r="N88" s="61"/>
      <c r="O88" s="61">
        <v>8211234</v>
      </c>
    </row>
    <row r="89" spans="1:15" s="65" customFormat="1" hidden="1" x14ac:dyDescent="0.2">
      <c r="A89" s="61"/>
      <c r="B89" s="61">
        <v>2</v>
      </c>
      <c r="C89" s="61" t="s">
        <v>66</v>
      </c>
      <c r="D89" s="66">
        <v>0.10616112583370528</v>
      </c>
      <c r="E89" s="66">
        <v>0.10268296697769554</v>
      </c>
      <c r="F89" s="66">
        <v>7.1291141679791531E-2</v>
      </c>
      <c r="G89" s="66">
        <v>6.3468261225088182E-2</v>
      </c>
      <c r="H89" s="66">
        <v>8.3302166682240872E-2</v>
      </c>
      <c r="I89" s="66">
        <v>4.2344877938437483E-2</v>
      </c>
      <c r="J89" s="66">
        <v>3.7012587194293546E-2</v>
      </c>
      <c r="K89" s="66">
        <v>6.6427761900303819E-2</v>
      </c>
      <c r="L89" s="66">
        <v>0.14284807219240819</v>
      </c>
      <c r="M89" s="66">
        <v>0.11909792680532361</v>
      </c>
      <c r="N89" s="61"/>
      <c r="O89" s="61">
        <v>2171775</v>
      </c>
    </row>
    <row r="90" spans="1:15" s="65" customFormat="1" hidden="1" x14ac:dyDescent="0.2">
      <c r="A90" s="61"/>
      <c r="B90" s="61">
        <v>3</v>
      </c>
      <c r="C90" s="61" t="s">
        <v>150</v>
      </c>
      <c r="D90" s="66">
        <v>8.7036446295284856E-2</v>
      </c>
      <c r="E90" s="66">
        <v>0.13724858989048094</v>
      </c>
      <c r="F90" s="66">
        <v>0.16902805196552134</v>
      </c>
      <c r="G90" s="66">
        <v>0.1458024478775678</v>
      </c>
      <c r="H90" s="66">
        <v>0.12430762254220228</v>
      </c>
      <c r="I90" s="66">
        <v>0.13626204218640497</v>
      </c>
      <c r="J90" s="66">
        <v>0.14756786939978864</v>
      </c>
      <c r="K90" s="66">
        <v>0.12958991142974788</v>
      </c>
      <c r="L90" s="66">
        <v>0.12596549477810715</v>
      </c>
      <c r="M90" s="66">
        <v>0.11171453514450365</v>
      </c>
      <c r="N90" s="61"/>
      <c r="O90" s="61">
        <v>2783840</v>
      </c>
    </row>
    <row r="91" spans="1:15" s="65" customFormat="1" hidden="1" x14ac:dyDescent="0.2">
      <c r="A91" s="61"/>
      <c r="B91" s="61">
        <v>4</v>
      </c>
      <c r="C91" s="61" t="s">
        <v>101</v>
      </c>
      <c r="D91" s="66"/>
      <c r="E91" s="66">
        <v>4.1533371912261169E-2</v>
      </c>
      <c r="F91" s="66">
        <v>4.0786552109604704E-2</v>
      </c>
      <c r="G91" s="66">
        <v>4.7813779902180067E-2</v>
      </c>
      <c r="H91" s="66">
        <v>4.2944750117134813E-2</v>
      </c>
      <c r="I91" s="66">
        <v>6.1007195559314921E-2</v>
      </c>
      <c r="J91" s="66">
        <v>7.3064019852233444E-2</v>
      </c>
      <c r="K91" s="66">
        <v>5.0644788433041939E-2</v>
      </c>
      <c r="L91" s="66">
        <v>4.7166659579564153E-2</v>
      </c>
      <c r="M91" s="66">
        <v>5.985260619784414E-2</v>
      </c>
      <c r="N91" s="61"/>
      <c r="O91" s="61">
        <v>6763595</v>
      </c>
    </row>
    <row r="92" spans="1:15" s="65" customFormat="1" hidden="1" x14ac:dyDescent="0.2">
      <c r="A92" s="61"/>
      <c r="B92" s="61">
        <v>5</v>
      </c>
      <c r="C92" s="61" t="s">
        <v>151</v>
      </c>
      <c r="D92" s="66"/>
      <c r="E92" s="66"/>
      <c r="F92" s="66"/>
      <c r="G92" s="66"/>
      <c r="H92" s="66"/>
      <c r="I92" s="66"/>
      <c r="J92" s="66"/>
      <c r="K92" s="66"/>
      <c r="L92" s="66">
        <v>4.2774308472356248E-2</v>
      </c>
      <c r="M92" s="66"/>
      <c r="N92" s="61"/>
      <c r="O92" s="61">
        <v>2764187</v>
      </c>
    </row>
    <row r="93" spans="1:15" s="65" customFormat="1" hidden="1" x14ac:dyDescent="0.2">
      <c r="A93" s="61"/>
      <c r="B93" s="61">
        <v>6</v>
      </c>
      <c r="C93" s="61" t="s">
        <v>85</v>
      </c>
      <c r="D93" s="66"/>
      <c r="E93" s="66"/>
      <c r="F93" s="66"/>
      <c r="G93" s="66"/>
      <c r="H93" s="66"/>
      <c r="I93" s="66"/>
      <c r="J93" s="66"/>
      <c r="K93" s="66"/>
      <c r="L93" s="66"/>
      <c r="M93" s="66">
        <v>3.5954600424314476E-2</v>
      </c>
      <c r="N93" s="61"/>
      <c r="O93" s="61">
        <v>3511670</v>
      </c>
    </row>
    <row r="94" spans="1:15" s="65" customFormat="1" hidden="1" x14ac:dyDescent="0.2">
      <c r="A94" s="61"/>
      <c r="B94" s="61">
        <v>7</v>
      </c>
      <c r="C94" s="61" t="s">
        <v>65</v>
      </c>
      <c r="D94" s="66"/>
      <c r="E94" s="66">
        <v>5.5319245433739825E-2</v>
      </c>
      <c r="F94" s="66">
        <v>4.4547865069069791E-2</v>
      </c>
      <c r="G94" s="66">
        <v>7.0926732496934486E-2</v>
      </c>
      <c r="H94" s="66">
        <v>6.8072306338746086E-2</v>
      </c>
      <c r="I94" s="66">
        <v>5.5804930512107033E-2</v>
      </c>
      <c r="J94" s="66">
        <v>4.2585201231366561E-2</v>
      </c>
      <c r="K94" s="66">
        <v>4.7969005892327922E-2</v>
      </c>
      <c r="L94" s="66"/>
      <c r="M94" s="66"/>
      <c r="N94" s="61"/>
      <c r="O94" s="61">
        <v>1464488</v>
      </c>
    </row>
    <row r="95" spans="1:15" s="65" customFormat="1" hidden="1" x14ac:dyDescent="0.2">
      <c r="A95" s="61"/>
      <c r="B95" s="61">
        <v>8</v>
      </c>
      <c r="C95" s="61" t="s">
        <v>152</v>
      </c>
      <c r="D95" s="66">
        <v>8.1150518483607798E-2</v>
      </c>
      <c r="E95" s="66"/>
      <c r="F95" s="66"/>
      <c r="G95" s="66"/>
      <c r="H95" s="66"/>
      <c r="I95" s="66"/>
      <c r="J95" s="66"/>
      <c r="K95" s="66"/>
      <c r="L95" s="66"/>
      <c r="M95" s="66"/>
      <c r="N95" s="61"/>
      <c r="O95" s="61">
        <v>8274269</v>
      </c>
    </row>
    <row r="96" spans="1:15" s="65" customFormat="1" hidden="1" x14ac:dyDescent="0.2">
      <c r="A96" s="61"/>
      <c r="B96" s="61">
        <v>9</v>
      </c>
      <c r="C96" s="61" t="s">
        <v>153</v>
      </c>
      <c r="D96" s="66">
        <v>5.4311545462307619E-2</v>
      </c>
      <c r="E96" s="66"/>
      <c r="F96" s="66"/>
      <c r="G96" s="66"/>
      <c r="H96" s="66"/>
      <c r="I96" s="66"/>
      <c r="J96" s="66"/>
      <c r="K96" s="66"/>
      <c r="L96" s="66"/>
      <c r="M96" s="66"/>
      <c r="N96" s="61"/>
      <c r="O96" s="61">
        <v>10520359</v>
      </c>
    </row>
    <row r="97" spans="1:15" s="65" customFormat="1" hidden="1" x14ac:dyDescent="0.2">
      <c r="A97" s="61"/>
      <c r="B97" s="61">
        <v>10</v>
      </c>
      <c r="C97" s="61" t="s">
        <v>68</v>
      </c>
      <c r="D97" s="66">
        <v>0.32705774915274921</v>
      </c>
      <c r="E97" s="66">
        <v>0.21414491253708326</v>
      </c>
      <c r="F97" s="66">
        <v>0.16455154530095925</v>
      </c>
      <c r="G97" s="66">
        <v>0.14002515280318642</v>
      </c>
      <c r="H97" s="66">
        <v>0.12253908834208224</v>
      </c>
      <c r="I97" s="66">
        <v>0.13861832375386951</v>
      </c>
      <c r="J97" s="66">
        <v>0.13890941804995549</v>
      </c>
      <c r="K97" s="66">
        <v>0.12398788825736716</v>
      </c>
      <c r="L97" s="66">
        <v>0.12813675518891612</v>
      </c>
      <c r="M97" s="66">
        <v>0.13690721348569013</v>
      </c>
      <c r="N97" s="61"/>
      <c r="O97" s="61">
        <v>32768</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11</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'Gill netters'!D3:L3</xm:f>
              <xm:sqref>C3</xm:sqref>
            </x14:sparkline>
            <x14:sparkline>
              <xm:f>'Gill netters'!D4:L4</xm:f>
              <xm:sqref>C4</xm:sqref>
            </x14:sparkline>
            <x14:sparkline>
              <xm:f>'Gill netters'!D5:L5</xm:f>
              <xm:sqref>C5</xm:sqref>
            </x14:sparkline>
            <x14:sparkline>
              <xm:f>'Gill netters'!D6:L6</xm:f>
              <xm:sqref>C6</xm:sqref>
            </x14:sparkline>
            <x14:sparkline>
              <xm:f>'Gill netters'!D7:L7</xm:f>
              <xm:sqref>C7</xm:sqref>
            </x14:sparkline>
            <x14:sparkline>
              <xm:f>'Gill netters'!D8:L8</xm:f>
              <xm:sqref>C8</xm:sqref>
            </x14:sparkline>
            <x14:sparkline>
              <xm:f>'Gill netters'!D9:L9</xm:f>
              <xm:sqref>C9</xm:sqref>
            </x14:sparkline>
            <x14:sparkline>
              <xm:f>'Gill netters'!D10:L10</xm:f>
              <xm:sqref>C10</xm:sqref>
            </x14:sparkline>
            <x14:sparkline>
              <xm:f>'Gill netters'!D11:L11</xm:f>
              <xm:sqref>C11</xm:sqref>
            </x14:sparkline>
            <x14:sparkline>
              <xm:f>'Gill netters'!D12:L12</xm:f>
              <xm:sqref>C12</xm:sqref>
            </x14:sparkline>
            <x14:sparkline>
              <xm:f>'Gill netters'!D13:L13</xm:f>
              <xm:sqref>C13</xm:sqref>
            </x14:sparkline>
            <x14:sparkline>
              <xm:f>'Gill netters'!D14:L14</xm:f>
              <xm:sqref>C14</xm:sqref>
            </x14:sparkline>
            <x14:sparkline>
              <xm:f>'Gill netters'!D15:L15</xm:f>
              <xm:sqref>C15</xm:sqref>
            </x14:sparkline>
            <x14:sparkline>
              <xm:f>'Gill netters'!D16:L16</xm:f>
              <xm:sqref>C16</xm:sqref>
            </x14:sparkline>
            <x14:sparkline>
              <xm:f>'Gill netters'!D17:L17</xm:f>
              <xm:sqref>C17</xm:sqref>
            </x14:sparkline>
            <x14:sparkline>
              <xm:f>'Gill netters'!D18:L18</xm:f>
              <xm:sqref>C18</xm:sqref>
            </x14:sparkline>
            <x14:sparkline>
              <xm:f>'Gill netters'!D19:L19</xm:f>
              <xm:sqref>C19</xm:sqref>
            </x14:sparkline>
            <x14:sparkline>
              <xm:f>'Gill netters'!D20:L20</xm:f>
              <xm:sqref>C20</xm:sqref>
            </x14:sparkline>
            <x14:sparkline>
              <xm:f>'Gill netters'!D21:L21</xm:f>
              <xm:sqref>C21</xm:sqref>
            </x14:sparkline>
            <x14:sparkline>
              <xm:f>'Gill netters'!D22:L22</xm:f>
              <xm:sqref>C22</xm:sqref>
            </x14:sparkline>
            <x14:sparkline>
              <xm:f>'Gill netters'!D23:L23</xm:f>
              <xm:sqref>C23</xm:sqref>
            </x14:sparkline>
            <x14:sparkline>
              <xm:f>'Gill netters'!D24:L24</xm:f>
              <xm:sqref>C24</xm:sqref>
            </x14:sparkline>
            <x14:sparkline>
              <xm:f>'Gill netters'!D25:L25</xm:f>
              <xm:sqref>C25</xm:sqref>
            </x14:sparkline>
            <x14:sparkline>
              <xm:f>'Gill netters'!D26:L26</xm:f>
              <xm:sqref>C26</xm:sqref>
            </x14:sparkline>
            <x14:sparkline>
              <xm:f>'Gill netters'!D27:L27</xm:f>
              <xm:sqref>C27</xm:sqref>
            </x14:sparkline>
            <x14:sparkline>
              <xm:f>'Gill netters'!D28:L28</xm:f>
              <xm:sqref>C28</xm:sqref>
            </x14:sparkline>
            <x14:sparkline>
              <xm:f>'Gill netters'!D29:L29</xm:f>
              <xm:sqref>C29</xm:sqref>
            </x14:sparkline>
            <x14:sparkline>
              <xm:f>'Gill netters'!D30:L30</xm:f>
              <xm:sqref>C30</xm:sqref>
            </x14:sparkline>
            <x14:sparkline>
              <xm:f>'Gill netters'!D31:L31</xm:f>
              <xm:sqref>C31</xm:sqref>
            </x14:sparkline>
            <x14:sparkline>
              <xm:f>'Gill netters'!D32:L32</xm:f>
              <xm:sqref>C32</xm:sqref>
            </x14:sparkline>
            <x14:sparkline>
              <xm:f>'Gill netters'!D33:L33</xm:f>
              <xm:sqref>C33</xm:sqref>
            </x14:sparkline>
            <x14:sparkline>
              <xm:f>'Gill netters'!D34:L34</xm:f>
              <xm:sqref>C34</xm:sqref>
            </x14:sparkline>
            <x14:sparkline>
              <xm:f>'Gill netters'!D35:L35</xm:f>
              <xm:sqref>C35</xm:sqref>
            </x14:sparkline>
            <x14:sparkline>
              <xm:f>'Gill netters'!D36:L36</xm:f>
              <xm:sqref>C36</xm:sqref>
            </x14:sparkline>
            <x14:sparkline>
              <xm:f>'Gill netters'!D37:L37</xm:f>
              <xm:sqref>C37</xm:sqref>
            </x14:sparkline>
            <x14:sparkline>
              <xm:f>'Gill netters'!D38:L38</xm:f>
              <xm:sqref>C38</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300"/>
  <sheetViews>
    <sheetView zoomScale="90" zoomScaleNormal="90" zoomScalePageLayoutView="75" workbookViewId="0">
      <selection activeCell="O1" sqref="O1"/>
    </sheetView>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154</v>
      </c>
      <c r="B1" s="57"/>
      <c r="M1" s="7" t="s">
        <v>16</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3775</v>
      </c>
      <c r="E3" s="16">
        <v>2381</v>
      </c>
      <c r="F3" s="16">
        <v>2038</v>
      </c>
      <c r="G3" s="16">
        <v>2079</v>
      </c>
      <c r="H3" s="16">
        <v>1945</v>
      </c>
      <c r="I3" s="16">
        <v>1946</v>
      </c>
      <c r="J3" s="16">
        <v>1810</v>
      </c>
      <c r="K3" s="16">
        <v>1844</v>
      </c>
      <c r="L3" s="16">
        <v>1939</v>
      </c>
      <c r="M3" s="17">
        <v>2023</v>
      </c>
      <c r="N3" s="18">
        <f t="shared" ref="N3:N38" si="0">IF(L3=0,"",IFERROR(IF(AND(L3&gt;0,D3&lt;0),"na",IF(AND(L3&lt;0,D3&lt;0),-1,1)*(L3-D3)/D3),""))</f>
        <v>-0.48635761589403975</v>
      </c>
      <c r="O3" s="18">
        <f t="shared" ref="O3:O38" si="1">IF(L3=0,"",IFERROR(IF(AND(L3&gt;0,H3&lt;0),"na",IF(AND(L3&lt;0,H3&lt;0),-1,1)*(L3-H3)/H3),""))</f>
        <v>-3.084832904884319E-3</v>
      </c>
    </row>
    <row r="4" spans="1:15" s="19" customFormat="1" ht="18" customHeight="1" x14ac:dyDescent="0.2">
      <c r="A4" s="141"/>
      <c r="B4" s="20" t="s">
        <v>20</v>
      </c>
      <c r="C4" s="21"/>
      <c r="D4" s="22">
        <v>213737.59375</v>
      </c>
      <c r="E4" s="22">
        <v>144527.40625</v>
      </c>
      <c r="F4" s="22">
        <v>132829.546875</v>
      </c>
      <c r="G4" s="22">
        <v>142452.671875</v>
      </c>
      <c r="H4" s="22">
        <v>132861.1875</v>
      </c>
      <c r="I4" s="22">
        <v>125362.2890625</v>
      </c>
      <c r="J4" s="22">
        <v>120902.8515625</v>
      </c>
      <c r="K4" s="22">
        <v>110098.0078125</v>
      </c>
      <c r="L4" s="22">
        <v>121499.09375</v>
      </c>
      <c r="M4" s="23">
        <v>129789.953125</v>
      </c>
      <c r="N4" s="24">
        <f t="shared" si="0"/>
        <v>-0.43155019377586684</v>
      </c>
      <c r="O4" s="24">
        <f t="shared" si="1"/>
        <v>-8.5518532265113162E-2</v>
      </c>
    </row>
    <row r="5" spans="1:15" s="19" customFormat="1" ht="18" customHeight="1" x14ac:dyDescent="0.2">
      <c r="A5" s="141"/>
      <c r="B5" s="20" t="s">
        <v>21</v>
      </c>
      <c r="C5" s="21"/>
      <c r="D5" s="22">
        <v>20515.16015625</v>
      </c>
      <c r="E5" s="22">
        <v>19759.650390625</v>
      </c>
      <c r="F5" s="22">
        <v>20282.119140625</v>
      </c>
      <c r="G5" s="22">
        <v>22335.490234375</v>
      </c>
      <c r="H5" s="22">
        <v>20159.83984375</v>
      </c>
      <c r="I5" s="22">
        <v>16759.150390625</v>
      </c>
      <c r="J5" s="22">
        <v>18758.380859375</v>
      </c>
      <c r="K5" s="22">
        <v>14118.099609375</v>
      </c>
      <c r="L5" s="22">
        <v>20893.4296875</v>
      </c>
      <c r="M5" s="23">
        <v>22780.140625</v>
      </c>
      <c r="N5" s="24">
        <f t="shared" si="0"/>
        <v>1.8438536592889292E-2</v>
      </c>
      <c r="O5" s="24">
        <f t="shared" si="1"/>
        <v>3.6388674187678591E-2</v>
      </c>
    </row>
    <row r="6" spans="1:15" s="19" customFormat="1" ht="18" customHeight="1" x14ac:dyDescent="0.2">
      <c r="A6" s="141"/>
      <c r="B6" s="20" t="s">
        <v>22</v>
      </c>
      <c r="C6" s="21"/>
      <c r="D6" s="22">
        <v>213040.453125</v>
      </c>
      <c r="E6" s="22">
        <v>121112.7890625</v>
      </c>
      <c r="F6" s="22">
        <v>94725.7109375</v>
      </c>
      <c r="G6" s="22">
        <v>117716.4375</v>
      </c>
      <c r="H6" s="22">
        <v>111135.3203125</v>
      </c>
      <c r="I6" s="22">
        <v>104989.359375</v>
      </c>
      <c r="J6" s="22">
        <v>101661.390625</v>
      </c>
      <c r="K6" s="22">
        <v>92733.2578125</v>
      </c>
      <c r="L6" s="22">
        <v>101324.921875</v>
      </c>
      <c r="M6" s="23">
        <v>106720.0859375</v>
      </c>
      <c r="N6" s="24">
        <f t="shared" si="0"/>
        <v>-0.52438647032191432</v>
      </c>
      <c r="O6" s="24">
        <f t="shared" si="1"/>
        <v>-8.8274352473311501E-2</v>
      </c>
    </row>
    <row r="7" spans="1:15" s="19" customFormat="1" ht="18" customHeight="1" x14ac:dyDescent="0.2">
      <c r="A7" s="141"/>
      <c r="B7" s="20" t="s">
        <v>23</v>
      </c>
      <c r="C7" s="21"/>
      <c r="D7" s="22"/>
      <c r="E7" s="22"/>
      <c r="F7" s="22"/>
      <c r="G7" s="22"/>
      <c r="H7" s="22"/>
      <c r="I7" s="22"/>
      <c r="J7" s="22"/>
      <c r="K7" s="22"/>
      <c r="L7" s="22"/>
      <c r="M7" s="23"/>
      <c r="N7" s="24" t="str">
        <f t="shared" si="0"/>
        <v/>
      </c>
      <c r="O7" s="24" t="str">
        <f t="shared" si="1"/>
        <v/>
      </c>
    </row>
    <row r="8" spans="1:15" s="19" customFormat="1" ht="18" customHeight="1" x14ac:dyDescent="0.2">
      <c r="A8" s="141"/>
      <c r="B8" s="20" t="s">
        <v>24</v>
      </c>
      <c r="C8" s="25"/>
      <c r="D8" s="26"/>
      <c r="E8" s="26"/>
      <c r="F8" s="26"/>
      <c r="G8" s="26"/>
      <c r="H8" s="26"/>
      <c r="I8" s="26"/>
      <c r="J8" s="26"/>
      <c r="K8" s="26"/>
      <c r="L8" s="26"/>
      <c r="M8" s="27"/>
      <c r="N8" s="24" t="str">
        <f t="shared" si="0"/>
        <v/>
      </c>
      <c r="O8" s="24" t="str">
        <f t="shared" si="1"/>
        <v/>
      </c>
    </row>
    <row r="9" spans="1:15" s="19" customFormat="1" ht="18" customHeight="1" x14ac:dyDescent="0.2">
      <c r="A9" s="141"/>
      <c r="B9" s="20" t="s">
        <v>25</v>
      </c>
      <c r="C9" s="25"/>
      <c r="D9" s="22"/>
      <c r="E9" s="22"/>
      <c r="F9" s="22"/>
      <c r="G9" s="22"/>
      <c r="H9" s="22"/>
      <c r="I9" s="22"/>
      <c r="J9" s="22"/>
      <c r="K9" s="22"/>
      <c r="L9" s="22"/>
      <c r="M9" s="23"/>
      <c r="N9" s="24" t="str">
        <f t="shared" si="0"/>
        <v/>
      </c>
      <c r="O9" s="24" t="str">
        <f t="shared" si="1"/>
        <v/>
      </c>
    </row>
    <row r="10" spans="1:15" s="19" customFormat="1" ht="18" customHeight="1" x14ac:dyDescent="0.2">
      <c r="A10" s="142" t="s">
        <v>7</v>
      </c>
      <c r="B10" s="28" t="s">
        <v>26</v>
      </c>
      <c r="C10" s="29"/>
      <c r="D10" s="30">
        <v>7.3350491523742676</v>
      </c>
      <c r="E10" s="30">
        <v>7.4810585975646973</v>
      </c>
      <c r="F10" s="30">
        <v>7.6310253143310547</v>
      </c>
      <c r="G10" s="30">
        <v>7.6641702651977539</v>
      </c>
      <c r="H10" s="30">
        <v>7.7296042442321777</v>
      </c>
      <c r="I10" s="30">
        <v>7.5980677604675293</v>
      </c>
      <c r="J10" s="30">
        <v>7.6513423919677734</v>
      </c>
      <c r="K10" s="30">
        <v>7.3857917785644531</v>
      </c>
      <c r="L10" s="30">
        <v>7.3928313255310059</v>
      </c>
      <c r="M10" s="31">
        <v>7.3254570960998535</v>
      </c>
      <c r="N10" s="32">
        <f t="shared" si="0"/>
        <v>7.8775440977154037E-3</v>
      </c>
      <c r="O10" s="32">
        <f t="shared" si="1"/>
        <v>-4.3569231756266362E-2</v>
      </c>
    </row>
    <row r="11" spans="1:15" s="19" customFormat="1" ht="18" customHeight="1" x14ac:dyDescent="0.2">
      <c r="A11" s="143"/>
      <c r="B11" s="33" t="s">
        <v>20</v>
      </c>
      <c r="C11" s="21"/>
      <c r="D11" s="22">
        <v>56.619228363037109</v>
      </c>
      <c r="E11" s="22">
        <v>60.700294494628906</v>
      </c>
      <c r="F11" s="22">
        <v>65.176414489746094</v>
      </c>
      <c r="G11" s="22">
        <v>68.519805908203125</v>
      </c>
      <c r="H11" s="22">
        <v>68.309089660644531</v>
      </c>
      <c r="I11" s="22">
        <v>64.420501708984375</v>
      </c>
      <c r="J11" s="22">
        <v>66.797157287597656</v>
      </c>
      <c r="K11" s="22">
        <v>59.706077575683594</v>
      </c>
      <c r="L11" s="22">
        <v>62.660697937011719</v>
      </c>
      <c r="M11" s="23">
        <v>64.15716552734375</v>
      </c>
      <c r="N11" s="24">
        <f t="shared" si="0"/>
        <v>0.10670349541391276</v>
      </c>
      <c r="O11" s="24">
        <f t="shared" si="1"/>
        <v>-8.2688727835397671E-2</v>
      </c>
    </row>
    <row r="12" spans="1:15" s="19" customFormat="1" ht="18" customHeight="1" x14ac:dyDescent="0.2">
      <c r="A12" s="143"/>
      <c r="B12" s="33" t="s">
        <v>21</v>
      </c>
      <c r="C12" s="21"/>
      <c r="D12" s="22">
        <v>5.4344792366027832</v>
      </c>
      <c r="E12" s="22">
        <v>8.2988872528076172</v>
      </c>
      <c r="F12" s="22">
        <v>9.9519729614257813</v>
      </c>
      <c r="G12" s="22">
        <v>10.743381500244141</v>
      </c>
      <c r="H12" s="22">
        <v>10.364955902099609</v>
      </c>
      <c r="I12" s="22">
        <v>8.6121015548706055</v>
      </c>
      <c r="J12" s="22">
        <v>10.36374568939209</v>
      </c>
      <c r="K12" s="22">
        <v>7.6562366485595703</v>
      </c>
      <c r="L12" s="22">
        <v>10.775363922119141</v>
      </c>
      <c r="M12" s="23">
        <v>11.260573387145996</v>
      </c>
      <c r="N12" s="24">
        <f t="shared" si="0"/>
        <v>0.98277764124002176</v>
      </c>
      <c r="O12" s="24">
        <f t="shared" si="1"/>
        <v>3.9595732378986358E-2</v>
      </c>
    </row>
    <row r="13" spans="1:15" s="19" customFormat="1" ht="18" customHeight="1" x14ac:dyDescent="0.2">
      <c r="A13" s="143"/>
      <c r="B13" s="33" t="s">
        <v>22</v>
      </c>
      <c r="C13" s="21"/>
      <c r="D13" s="22">
        <v>56.434555053710937</v>
      </c>
      <c r="E13" s="22">
        <v>51.080886840820313</v>
      </c>
      <c r="F13" s="22">
        <v>46.525398254394531</v>
      </c>
      <c r="G13" s="22">
        <v>56.621662139892578</v>
      </c>
      <c r="H13" s="22">
        <v>57.138980865478516</v>
      </c>
      <c r="I13" s="22">
        <v>53.951366424560547</v>
      </c>
      <c r="J13" s="22">
        <v>56.166511535644531</v>
      </c>
      <c r="K13" s="22">
        <v>50.2891845703125</v>
      </c>
      <c r="L13" s="22">
        <v>52.256275177001953</v>
      </c>
      <c r="M13" s="23">
        <v>52.753379821777344</v>
      </c>
      <c r="N13" s="24">
        <f t="shared" si="0"/>
        <v>-7.403761530027754E-2</v>
      </c>
      <c r="O13" s="24">
        <f t="shared" si="1"/>
        <v>-8.5453146250050321E-2</v>
      </c>
    </row>
    <row r="14" spans="1:15" s="19" customFormat="1" ht="18" customHeight="1" x14ac:dyDescent="0.2">
      <c r="A14" s="143"/>
      <c r="B14" s="33" t="s">
        <v>23</v>
      </c>
      <c r="C14" s="25"/>
      <c r="D14" s="26"/>
      <c r="E14" s="26"/>
      <c r="F14" s="26"/>
      <c r="G14" s="26"/>
      <c r="H14" s="26"/>
      <c r="I14" s="26"/>
      <c r="J14" s="26"/>
      <c r="K14" s="26"/>
      <c r="L14" s="26"/>
      <c r="M14" s="27"/>
      <c r="N14" s="24" t="str">
        <f t="shared" si="0"/>
        <v/>
      </c>
      <c r="O14" s="24" t="str">
        <f t="shared" si="1"/>
        <v/>
      </c>
    </row>
    <row r="15" spans="1:15" s="19" customFormat="1" ht="18" customHeight="1" x14ac:dyDescent="0.2">
      <c r="A15" s="143"/>
      <c r="B15" s="33" t="s">
        <v>27</v>
      </c>
      <c r="C15" s="25"/>
      <c r="D15" s="26"/>
      <c r="E15" s="26"/>
      <c r="F15" s="26"/>
      <c r="G15" s="26"/>
      <c r="H15" s="26"/>
      <c r="I15" s="26"/>
      <c r="J15" s="26"/>
      <c r="K15" s="26"/>
      <c r="L15" s="26"/>
      <c r="M15" s="27"/>
      <c r="N15" s="24" t="str">
        <f t="shared" si="0"/>
        <v/>
      </c>
      <c r="O15" s="24" t="str">
        <f t="shared" si="1"/>
        <v/>
      </c>
    </row>
    <row r="16" spans="1:15" s="19" customFormat="1" ht="18" customHeight="1" x14ac:dyDescent="0.2">
      <c r="A16" s="143"/>
      <c r="B16" s="33" t="s">
        <v>25</v>
      </c>
      <c r="C16" s="21"/>
      <c r="D16" s="22"/>
      <c r="E16" s="22"/>
      <c r="F16" s="22"/>
      <c r="G16" s="22"/>
      <c r="H16" s="22"/>
      <c r="I16" s="22"/>
      <c r="J16" s="22"/>
      <c r="K16" s="22"/>
      <c r="L16" s="22"/>
      <c r="M16" s="23"/>
      <c r="N16" s="24" t="str">
        <f t="shared" si="0"/>
        <v/>
      </c>
      <c r="O16" s="24" t="str">
        <f t="shared" si="1"/>
        <v/>
      </c>
    </row>
    <row r="17" spans="1:15" s="19" customFormat="1" ht="18" customHeight="1" x14ac:dyDescent="0.2">
      <c r="A17" s="143"/>
      <c r="B17" s="33" t="s">
        <v>28</v>
      </c>
      <c r="C17" s="21"/>
      <c r="D17" s="22">
        <v>20.598146438598633</v>
      </c>
      <c r="E17" s="22">
        <v>22.204116821289063</v>
      </c>
      <c r="F17" s="22">
        <v>23.19725227355957</v>
      </c>
      <c r="G17" s="22">
        <v>23.454545974731445</v>
      </c>
      <c r="H17" s="22">
        <v>24.053983688354492</v>
      </c>
      <c r="I17" s="22">
        <v>24.448099136352539</v>
      </c>
      <c r="J17" s="22">
        <v>25.234806060791016</v>
      </c>
      <c r="K17" s="22">
        <v>25.661605834960938</v>
      </c>
      <c r="L17" s="22">
        <v>26.013408660888672</v>
      </c>
      <c r="M17" s="23">
        <v>26.420661926269531</v>
      </c>
      <c r="N17" s="24">
        <f t="shared" si="0"/>
        <v>0.26290046235142989</v>
      </c>
      <c r="O17" s="24">
        <f t="shared" si="1"/>
        <v>8.1459478725880094E-2</v>
      </c>
    </row>
    <row r="18" spans="1:15" s="19" customFormat="1" ht="18" customHeight="1" x14ac:dyDescent="0.2">
      <c r="A18" s="143"/>
      <c r="B18" s="33" t="s">
        <v>29</v>
      </c>
      <c r="C18" s="21"/>
      <c r="D18" s="34"/>
      <c r="E18" s="34"/>
      <c r="F18" s="34"/>
      <c r="G18" s="34"/>
      <c r="H18" s="34"/>
      <c r="I18" s="34"/>
      <c r="J18" s="34"/>
      <c r="K18" s="34"/>
      <c r="L18" s="34"/>
      <c r="M18" s="35"/>
      <c r="N18" s="24" t="str">
        <f t="shared" si="0"/>
        <v/>
      </c>
      <c r="O18" s="24" t="str">
        <f t="shared" si="1"/>
        <v/>
      </c>
    </row>
    <row r="19" spans="1:15" s="19" customFormat="1" ht="18" customHeight="1" x14ac:dyDescent="0.2">
      <c r="A19" s="144"/>
      <c r="B19" s="36" t="s">
        <v>8</v>
      </c>
      <c r="C19" s="37"/>
      <c r="D19" s="38"/>
      <c r="E19" s="38"/>
      <c r="F19" s="38"/>
      <c r="G19" s="38"/>
      <c r="H19" s="38"/>
      <c r="I19" s="38"/>
      <c r="J19" s="38"/>
      <c r="K19" s="38"/>
      <c r="L19" s="38"/>
      <c r="M19" s="39"/>
      <c r="N19" s="40" t="str">
        <f>IF(L19=0,"",IFERROR(IF(AND(L19&gt;0,D19&lt;0),"na",IF(AND(L19&lt;0,D19&lt;0),-1,1)*(L19-D19)/D19),""))</f>
        <v/>
      </c>
      <c r="O19" s="40" t="str">
        <f>IF(L19=0,"",IFERROR(IF(AND(L19&gt;0,H19&lt;0),"na",IF(AND(L19&lt;0,H19&lt;0),-1,1)*(L19-H19)/H19),""))</f>
        <v/>
      </c>
    </row>
    <row r="20" spans="1:15" s="19" customFormat="1" ht="18" customHeight="1" x14ac:dyDescent="0.2">
      <c r="A20" s="145" t="s">
        <v>9</v>
      </c>
      <c r="B20" s="28" t="s">
        <v>30</v>
      </c>
      <c r="C20" s="41"/>
      <c r="D20" s="42"/>
      <c r="E20" s="42"/>
      <c r="F20" s="42"/>
      <c r="G20" s="42"/>
      <c r="H20" s="42"/>
      <c r="I20" s="42"/>
      <c r="J20" s="42"/>
      <c r="K20" s="42"/>
      <c r="L20" s="42"/>
      <c r="M20" s="43"/>
      <c r="N20" s="32" t="str">
        <f t="shared" si="0"/>
        <v/>
      </c>
      <c r="O20" s="32" t="str">
        <f t="shared" si="1"/>
        <v/>
      </c>
    </row>
    <row r="21" spans="1:15" s="19" customFormat="1" ht="18" customHeight="1" x14ac:dyDescent="0.2">
      <c r="A21" s="145"/>
      <c r="B21" s="33" t="s">
        <v>31</v>
      </c>
      <c r="C21" s="21"/>
      <c r="D21" s="34"/>
      <c r="E21" s="34"/>
      <c r="F21" s="34"/>
      <c r="G21" s="34"/>
      <c r="H21" s="34"/>
      <c r="I21" s="34"/>
      <c r="J21" s="34"/>
      <c r="K21" s="34"/>
      <c r="L21" s="34"/>
      <c r="M21" s="35"/>
      <c r="N21" s="24" t="str">
        <f t="shared" si="0"/>
        <v/>
      </c>
      <c r="O21" s="24" t="str">
        <f t="shared" si="1"/>
        <v/>
      </c>
    </row>
    <row r="22" spans="1:15" s="19" customFormat="1" ht="18" customHeight="1" x14ac:dyDescent="0.2">
      <c r="A22" s="145"/>
      <c r="B22" s="33" t="s">
        <v>10</v>
      </c>
      <c r="C22" s="21"/>
      <c r="D22" s="34"/>
      <c r="E22" s="34"/>
      <c r="F22" s="34"/>
      <c r="G22" s="34"/>
      <c r="H22" s="34"/>
      <c r="I22" s="34"/>
      <c r="J22" s="34"/>
      <c r="K22" s="34"/>
      <c r="L22" s="34"/>
      <c r="M22" s="35"/>
      <c r="N22" s="24" t="str">
        <f t="shared" si="0"/>
        <v/>
      </c>
      <c r="O22" s="24" t="str">
        <f t="shared" si="1"/>
        <v/>
      </c>
    </row>
    <row r="23" spans="1:15" s="19" customFormat="1" ht="18" customHeight="1" x14ac:dyDescent="0.2">
      <c r="A23" s="146"/>
      <c r="B23" s="33" t="s">
        <v>32</v>
      </c>
      <c r="C23" s="44"/>
      <c r="D23" s="34"/>
      <c r="E23" s="34"/>
      <c r="F23" s="34"/>
      <c r="G23" s="34"/>
      <c r="H23" s="34"/>
      <c r="I23" s="34"/>
      <c r="J23" s="34"/>
      <c r="K23" s="34"/>
      <c r="L23" s="34"/>
      <c r="M23" s="35"/>
      <c r="N23" s="24" t="str">
        <f t="shared" si="0"/>
        <v/>
      </c>
      <c r="O23" s="24" t="str">
        <f t="shared" si="1"/>
        <v/>
      </c>
    </row>
    <row r="24" spans="1:15" s="19" customFormat="1" ht="18" customHeight="1" x14ac:dyDescent="0.2">
      <c r="A24" s="147" t="s">
        <v>11</v>
      </c>
      <c r="B24" s="28" t="s">
        <v>27</v>
      </c>
      <c r="C24" s="29"/>
      <c r="D24" s="30"/>
      <c r="E24" s="30"/>
      <c r="F24" s="30"/>
      <c r="G24" s="30"/>
      <c r="H24" s="30"/>
      <c r="I24" s="30"/>
      <c r="J24" s="30"/>
      <c r="K24" s="30"/>
      <c r="L24" s="30"/>
      <c r="M24" s="31"/>
      <c r="N24" s="32" t="str">
        <f t="shared" si="0"/>
        <v/>
      </c>
      <c r="O24" s="32" t="str">
        <f t="shared" si="1"/>
        <v/>
      </c>
    </row>
    <row r="25" spans="1:15" s="19" customFormat="1" ht="18" customHeight="1" x14ac:dyDescent="0.2">
      <c r="A25" s="148"/>
      <c r="B25" s="33" t="s">
        <v>33</v>
      </c>
      <c r="C25" s="25"/>
      <c r="D25" s="26"/>
      <c r="E25" s="26"/>
      <c r="F25" s="26"/>
      <c r="G25" s="26"/>
      <c r="H25" s="26"/>
      <c r="I25" s="26"/>
      <c r="J25" s="26"/>
      <c r="K25" s="26"/>
      <c r="L25" s="26"/>
      <c r="M25" s="27"/>
      <c r="N25" s="24" t="str">
        <f t="shared" si="0"/>
        <v/>
      </c>
      <c r="O25" s="24" t="str">
        <f t="shared" si="1"/>
        <v/>
      </c>
    </row>
    <row r="26" spans="1:15" s="19" customFormat="1" ht="18" customHeight="1" x14ac:dyDescent="0.2">
      <c r="A26" s="148"/>
      <c r="B26" s="45" t="s">
        <v>34</v>
      </c>
      <c r="C26" s="46"/>
      <c r="D26" s="47"/>
      <c r="E26" s="47"/>
      <c r="F26" s="47"/>
      <c r="G26" s="47"/>
      <c r="H26" s="47"/>
      <c r="I26" s="47"/>
      <c r="J26" s="47"/>
      <c r="K26" s="47"/>
      <c r="L26" s="47"/>
      <c r="M26" s="48"/>
      <c r="N26" s="49" t="str">
        <f t="shared" si="0"/>
        <v/>
      </c>
      <c r="O26" s="49" t="str">
        <f t="shared" si="1"/>
        <v/>
      </c>
    </row>
    <row r="27" spans="1:15" s="19" customFormat="1" ht="18" customHeight="1" x14ac:dyDescent="0.2">
      <c r="A27" s="148"/>
      <c r="B27" s="33" t="s">
        <v>35</v>
      </c>
      <c r="C27" s="25"/>
      <c r="D27" s="26"/>
      <c r="E27" s="26"/>
      <c r="F27" s="26"/>
      <c r="G27" s="26"/>
      <c r="H27" s="26"/>
      <c r="I27" s="26"/>
      <c r="J27" s="26"/>
      <c r="K27" s="26"/>
      <c r="L27" s="26"/>
      <c r="M27" s="27"/>
      <c r="N27" s="24" t="str">
        <f t="shared" si="0"/>
        <v/>
      </c>
      <c r="O27" s="24" t="str">
        <f t="shared" si="1"/>
        <v/>
      </c>
    </row>
    <row r="28" spans="1:15" s="19" customFormat="1" ht="18" customHeight="1" x14ac:dyDescent="0.2">
      <c r="A28" s="148"/>
      <c r="B28" s="33" t="s">
        <v>36</v>
      </c>
      <c r="C28" s="25"/>
      <c r="D28" s="26"/>
      <c r="E28" s="26"/>
      <c r="F28" s="26"/>
      <c r="G28" s="26"/>
      <c r="H28" s="26"/>
      <c r="I28" s="26"/>
      <c r="J28" s="26"/>
      <c r="K28" s="26"/>
      <c r="L28" s="26"/>
      <c r="M28" s="27"/>
      <c r="N28" s="24" t="str">
        <f t="shared" si="0"/>
        <v/>
      </c>
      <c r="O28" s="24" t="str">
        <f t="shared" si="1"/>
        <v/>
      </c>
    </row>
    <row r="29" spans="1:15" s="19" customFormat="1" ht="18" customHeight="1" x14ac:dyDescent="0.2">
      <c r="A29" s="148"/>
      <c r="B29" s="33" t="s">
        <v>37</v>
      </c>
      <c r="C29" s="25"/>
      <c r="D29" s="26"/>
      <c r="E29" s="26"/>
      <c r="F29" s="26"/>
      <c r="G29" s="26"/>
      <c r="H29" s="26"/>
      <c r="I29" s="26"/>
      <c r="J29" s="26"/>
      <c r="K29" s="26"/>
      <c r="L29" s="26"/>
      <c r="M29" s="27"/>
      <c r="N29" s="24" t="str">
        <f t="shared" si="0"/>
        <v/>
      </c>
      <c r="O29" s="24" t="str">
        <f t="shared" si="1"/>
        <v/>
      </c>
    </row>
    <row r="30" spans="1:15" s="19" customFormat="1" ht="18" customHeight="1" x14ac:dyDescent="0.2">
      <c r="A30" s="148"/>
      <c r="B30" s="33" t="s">
        <v>38</v>
      </c>
      <c r="C30" s="25"/>
      <c r="D30" s="26"/>
      <c r="E30" s="26"/>
      <c r="F30" s="26"/>
      <c r="G30" s="26"/>
      <c r="H30" s="26"/>
      <c r="I30" s="26"/>
      <c r="J30" s="26"/>
      <c r="K30" s="26"/>
      <c r="L30" s="26"/>
      <c r="M30" s="27"/>
      <c r="N30" s="24" t="str">
        <f t="shared" si="0"/>
        <v/>
      </c>
      <c r="O30" s="24" t="str">
        <f t="shared" si="1"/>
        <v/>
      </c>
    </row>
    <row r="31" spans="1:15" s="19" customFormat="1" ht="18" customHeight="1" x14ac:dyDescent="0.2">
      <c r="A31" s="148"/>
      <c r="B31" s="33" t="s">
        <v>39</v>
      </c>
      <c r="C31" s="25"/>
      <c r="D31" s="26"/>
      <c r="E31" s="26"/>
      <c r="F31" s="26"/>
      <c r="G31" s="26"/>
      <c r="H31" s="26"/>
      <c r="I31" s="26"/>
      <c r="J31" s="26"/>
      <c r="K31" s="26"/>
      <c r="L31" s="26"/>
      <c r="M31" s="27"/>
      <c r="N31" s="24" t="str">
        <f t="shared" si="0"/>
        <v/>
      </c>
      <c r="O31" s="24" t="str">
        <f t="shared" si="1"/>
        <v/>
      </c>
    </row>
    <row r="32" spans="1:15" s="19" customFormat="1" ht="18" customHeight="1" x14ac:dyDescent="0.2">
      <c r="A32" s="148"/>
      <c r="B32" s="33" t="s">
        <v>40</v>
      </c>
      <c r="C32" s="25"/>
      <c r="D32" s="26"/>
      <c r="E32" s="26"/>
      <c r="F32" s="26"/>
      <c r="G32" s="26"/>
      <c r="H32" s="26"/>
      <c r="I32" s="26"/>
      <c r="J32" s="26"/>
      <c r="K32" s="26"/>
      <c r="L32" s="26"/>
      <c r="M32" s="27"/>
      <c r="N32" s="24" t="str">
        <f t="shared" si="0"/>
        <v/>
      </c>
      <c r="O32" s="24" t="str">
        <f t="shared" si="1"/>
        <v/>
      </c>
    </row>
    <row r="33" spans="1:15" s="19" customFormat="1" ht="18" customHeight="1" x14ac:dyDescent="0.2">
      <c r="A33" s="148"/>
      <c r="B33" s="45" t="s">
        <v>41</v>
      </c>
      <c r="C33" s="46"/>
      <c r="D33" s="47"/>
      <c r="E33" s="47"/>
      <c r="F33" s="47"/>
      <c r="G33" s="47"/>
      <c r="H33" s="47"/>
      <c r="I33" s="47"/>
      <c r="J33" s="47"/>
      <c r="K33" s="47"/>
      <c r="L33" s="47"/>
      <c r="M33" s="48"/>
      <c r="N33" s="49" t="str">
        <f t="shared" si="0"/>
        <v/>
      </c>
      <c r="O33" s="49" t="str">
        <f t="shared" si="1"/>
        <v/>
      </c>
    </row>
    <row r="34" spans="1:15" s="19" customFormat="1" ht="18" customHeight="1" x14ac:dyDescent="0.2">
      <c r="A34" s="148"/>
      <c r="B34" s="45" t="s">
        <v>42</v>
      </c>
      <c r="C34" s="46"/>
      <c r="D34" s="47"/>
      <c r="E34" s="47"/>
      <c r="F34" s="47"/>
      <c r="G34" s="47"/>
      <c r="H34" s="47"/>
      <c r="I34" s="47"/>
      <c r="J34" s="47"/>
      <c r="K34" s="47"/>
      <c r="L34" s="47"/>
      <c r="M34" s="48"/>
      <c r="N34" s="49" t="str">
        <f t="shared" si="0"/>
        <v/>
      </c>
      <c r="O34" s="49" t="str">
        <f t="shared" si="1"/>
        <v/>
      </c>
    </row>
    <row r="35" spans="1:15" s="19" customFormat="1" ht="18" customHeight="1" x14ac:dyDescent="0.2">
      <c r="A35" s="148"/>
      <c r="B35" s="33" t="s">
        <v>43</v>
      </c>
      <c r="C35" s="25"/>
      <c r="D35" s="26"/>
      <c r="E35" s="26"/>
      <c r="F35" s="26"/>
      <c r="G35" s="26"/>
      <c r="H35" s="26"/>
      <c r="I35" s="26"/>
      <c r="J35" s="26"/>
      <c r="K35" s="26"/>
      <c r="L35" s="26"/>
      <c r="M35" s="27"/>
      <c r="N35" s="24" t="str">
        <f t="shared" si="0"/>
        <v/>
      </c>
      <c r="O35" s="24" t="str">
        <f t="shared" si="1"/>
        <v/>
      </c>
    </row>
    <row r="36" spans="1:15" s="19" customFormat="1" ht="18" customHeight="1" x14ac:dyDescent="0.2">
      <c r="A36" s="148"/>
      <c r="B36" s="33" t="s">
        <v>44</v>
      </c>
      <c r="C36" s="25"/>
      <c r="D36" s="26"/>
      <c r="E36" s="26"/>
      <c r="F36" s="26"/>
      <c r="G36" s="26"/>
      <c r="H36" s="26"/>
      <c r="I36" s="26"/>
      <c r="J36" s="26"/>
      <c r="K36" s="26"/>
      <c r="L36" s="26"/>
      <c r="M36" s="27"/>
      <c r="N36" s="24" t="str">
        <f t="shared" si="0"/>
        <v/>
      </c>
      <c r="O36" s="24" t="str">
        <f t="shared" si="1"/>
        <v/>
      </c>
    </row>
    <row r="37" spans="1:15" s="19" customFormat="1" ht="18" customHeight="1" x14ac:dyDescent="0.2">
      <c r="A37" s="148"/>
      <c r="B37" s="33" t="s">
        <v>45</v>
      </c>
      <c r="C37" s="25"/>
      <c r="D37" s="26"/>
      <c r="E37" s="26"/>
      <c r="F37" s="26"/>
      <c r="G37" s="26"/>
      <c r="H37" s="26"/>
      <c r="I37" s="26"/>
      <c r="J37" s="26"/>
      <c r="K37" s="26"/>
      <c r="L37" s="26"/>
      <c r="M37" s="27"/>
      <c r="N37" s="24" t="str">
        <f t="shared" si="0"/>
        <v/>
      </c>
      <c r="O37" s="24" t="str">
        <f t="shared" si="1"/>
        <v/>
      </c>
    </row>
    <row r="38" spans="1:15" s="19" customFormat="1" ht="18" customHeight="1" thickBot="1" x14ac:dyDescent="0.25">
      <c r="A38" s="149"/>
      <c r="B38" s="50" t="s">
        <v>46</v>
      </c>
      <c r="C38" s="51"/>
      <c r="D38" s="52"/>
      <c r="E38" s="52"/>
      <c r="F38" s="52"/>
      <c r="G38" s="52"/>
      <c r="H38" s="52"/>
      <c r="I38" s="52"/>
      <c r="J38" s="52"/>
      <c r="K38" s="52"/>
      <c r="L38" s="52"/>
      <c r="M38" s="53"/>
      <c r="N38" s="54" t="str">
        <f t="shared" si="0"/>
        <v/>
      </c>
      <c r="O38" s="54" t="str">
        <f t="shared" si="1"/>
        <v/>
      </c>
    </row>
    <row r="39" spans="1:15" s="59" customFormat="1" x14ac:dyDescent="0.2">
      <c r="A39" s="57" t="s">
        <v>12</v>
      </c>
      <c r="B39" s="57" t="str">
        <f ca="1">"All values are "&amp;OFFSET($A$108,MATCH($M$1,$C$109:$C$110,0),0)&amp;". 2014 fishing income based on provisionnal data from MMO. 2014 costs and profits are projections."</f>
        <v>All values are adjusted to 2014 prices.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row>
    <row r="44" spans="1:15" s="59" customFormat="1" ht="12" x14ac:dyDescent="0.2"/>
    <row r="45" spans="1:15" s="58" customFormat="1" x14ac:dyDescent="0.2">
      <c r="A45" s="61" t="str">
        <f>$B20&amp;CHAR(10)&amp;$A$1</f>
        <v>Landings per kW day at sea (kg)
Inactive</v>
      </c>
      <c r="C45" s="61"/>
      <c r="D45" s="61"/>
      <c r="E45" s="61"/>
      <c r="F45" s="61" t="str">
        <f>$B21&amp;CHAR(10)&amp;$A$1</f>
        <v>Income per kW day at sea (£)
Inactive</v>
      </c>
      <c r="G45" s="61"/>
      <c r="K45" s="61" t="str">
        <f>$B23&amp;CHAR(10)&amp;$A$1</f>
        <v>Operating profit per kW day at sea (£)
Inactive</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Inactive</v>
      </c>
      <c r="F59" s="61" t="str">
        <f>$B19&amp;CHAR(10)&amp;$A$1</f>
        <v>Average price per tonne landed (£)
Inactive</v>
      </c>
      <c r="K59" s="61" t="str">
        <f>"Average annual operating profit per vessel (£'000)"&amp;CHAR(10)&amp;$A$1</f>
        <v>Average annual operating profit per vessel (£'000)
Inactive</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Inactive</v>
      </c>
      <c r="F73" s="61" t="str">
        <f>"Top 5 landed species by value in "&amp;A74&amp;CHAR(10)&amp;A1</f>
        <v>Top 5 landed species by value in 2013
Inactive</v>
      </c>
    </row>
    <row r="74" spans="1:9" s="61" customFormat="1" x14ac:dyDescent="0.2">
      <c r="A74" s="61">
        <v>2013</v>
      </c>
      <c r="B74" s="61" t="e">
        <v>#N/A</v>
      </c>
      <c r="C74" s="62" t="e">
        <v>#N/A</v>
      </c>
      <c r="D74" s="63">
        <v>8211234</v>
      </c>
      <c r="G74" s="61" t="e">
        <v>#N/A</v>
      </c>
      <c r="H74" s="62" t="e">
        <v>#N/A</v>
      </c>
      <c r="I74" s="63">
        <v>8211234</v>
      </c>
    </row>
    <row r="75" spans="1:9" s="61" customFormat="1" x14ac:dyDescent="0.2">
      <c r="B75" s="61" t="e">
        <v>#N/A</v>
      </c>
      <c r="C75" s="62" t="e">
        <v>#N/A</v>
      </c>
      <c r="D75" s="63">
        <v>2171775</v>
      </c>
      <c r="G75" s="61" t="e">
        <v>#N/A</v>
      </c>
      <c r="H75" s="62" t="e">
        <v>#N/A</v>
      </c>
      <c r="I75" s="63">
        <v>2171775</v>
      </c>
    </row>
    <row r="76" spans="1:9" s="61" customFormat="1" x14ac:dyDescent="0.2">
      <c r="B76" s="61" t="e">
        <v>#N/A</v>
      </c>
      <c r="C76" s="62" t="e">
        <v>#N/A</v>
      </c>
      <c r="D76" s="63">
        <v>2783840</v>
      </c>
      <c r="G76" s="61" t="e">
        <v>#N/A</v>
      </c>
      <c r="H76" s="62" t="e">
        <v>#N/A</v>
      </c>
      <c r="I76" s="63">
        <v>2783840</v>
      </c>
    </row>
    <row r="77" spans="1:9" s="61" customFormat="1" x14ac:dyDescent="0.2">
      <c r="B77" s="61" t="e">
        <v>#N/A</v>
      </c>
      <c r="C77" s="62" t="e">
        <v>#N/A</v>
      </c>
      <c r="D77" s="63">
        <v>2764187</v>
      </c>
      <c r="G77" s="61" t="e">
        <v>#N/A</v>
      </c>
      <c r="H77" s="62" t="e">
        <v>#N/A</v>
      </c>
      <c r="I77" s="63">
        <v>6763595</v>
      </c>
    </row>
    <row r="78" spans="1:9" s="61" customFormat="1" x14ac:dyDescent="0.2">
      <c r="B78" s="61" t="e">
        <v>#N/A</v>
      </c>
      <c r="C78" s="62" t="e">
        <v>#N/A</v>
      </c>
      <c r="D78" s="63">
        <v>6763595</v>
      </c>
      <c r="G78" s="61" t="e">
        <v>#N/A</v>
      </c>
      <c r="H78" s="62" t="e">
        <v>#N/A</v>
      </c>
      <c r="I78" s="63">
        <v>2764187</v>
      </c>
    </row>
    <row r="79" spans="1:9" s="61" customFormat="1" x14ac:dyDescent="0.2">
      <c r="B79" s="61" t="e">
        <v>#N/A</v>
      </c>
      <c r="C79" s="62" t="e">
        <v>#N/A</v>
      </c>
      <c r="D79" s="63">
        <v>32768</v>
      </c>
      <c r="G79" s="61" t="e">
        <v>#N/A</v>
      </c>
      <c r="H79" s="62" t="e">
        <v>#N/A</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c r="B86" s="64"/>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68</v>
      </c>
      <c r="D88" s="66">
        <v>0</v>
      </c>
      <c r="E88" s="66"/>
      <c r="F88" s="66">
        <v>0</v>
      </c>
      <c r="G88" s="66"/>
      <c r="H88" s="66"/>
      <c r="I88" s="66"/>
      <c r="J88" s="66"/>
      <c r="K88" s="66"/>
      <c r="L88" s="66">
        <v>0</v>
      </c>
      <c r="M88" s="66">
        <v>0</v>
      </c>
      <c r="N88" s="61"/>
      <c r="O88" s="61">
        <v>32768</v>
      </c>
    </row>
    <row r="89" spans="1:15" s="65" customFormat="1" hidden="1" x14ac:dyDescent="0.2">
      <c r="A89" s="61"/>
      <c r="B89" s="61">
        <v>2</v>
      </c>
      <c r="C89" s="61"/>
      <c r="D89" s="66"/>
      <c r="E89" s="66"/>
      <c r="F89" s="66"/>
      <c r="G89" s="66"/>
      <c r="H89" s="66"/>
      <c r="I89" s="66"/>
      <c r="J89" s="66"/>
      <c r="K89" s="66"/>
      <c r="L89" s="66"/>
      <c r="M89" s="66"/>
      <c r="N89" s="61"/>
      <c r="O89" s="61">
        <v>2171775</v>
      </c>
    </row>
    <row r="90" spans="1:15" s="65" customFormat="1" hidden="1" x14ac:dyDescent="0.2">
      <c r="A90" s="61"/>
      <c r="B90" s="61">
        <v>3</v>
      </c>
      <c r="C90" s="61"/>
      <c r="D90" s="66"/>
      <c r="E90" s="66"/>
      <c r="F90" s="66"/>
      <c r="G90" s="66"/>
      <c r="H90" s="66"/>
      <c r="I90" s="66"/>
      <c r="J90" s="66"/>
      <c r="K90" s="66"/>
      <c r="L90" s="66"/>
      <c r="M90" s="66"/>
      <c r="N90" s="61"/>
      <c r="O90" s="61">
        <v>2783840</v>
      </c>
    </row>
    <row r="91" spans="1:15" s="65" customFormat="1" hidden="1" x14ac:dyDescent="0.2">
      <c r="A91" s="61"/>
      <c r="B91" s="61">
        <v>4</v>
      </c>
      <c r="C91" s="61"/>
      <c r="D91" s="66"/>
      <c r="E91" s="66"/>
      <c r="F91" s="66"/>
      <c r="G91" s="66"/>
      <c r="H91" s="66"/>
      <c r="I91" s="66"/>
      <c r="J91" s="66"/>
      <c r="K91" s="66"/>
      <c r="L91" s="66"/>
      <c r="M91" s="66"/>
      <c r="N91" s="61"/>
      <c r="O91" s="61">
        <v>6763595</v>
      </c>
    </row>
    <row r="92" spans="1:15" s="65" customFormat="1" hidden="1" x14ac:dyDescent="0.2">
      <c r="A92" s="61"/>
      <c r="B92" s="61">
        <v>5</v>
      </c>
      <c r="C92" s="61"/>
      <c r="D92" s="66"/>
      <c r="E92" s="66"/>
      <c r="F92" s="66"/>
      <c r="G92" s="66"/>
      <c r="H92" s="66"/>
      <c r="I92" s="66"/>
      <c r="J92" s="66"/>
      <c r="K92" s="66"/>
      <c r="L92" s="66"/>
      <c r="M92" s="66"/>
      <c r="N92" s="61"/>
      <c r="O92" s="61">
        <v>2764187</v>
      </c>
    </row>
    <row r="93" spans="1:15" s="65" customFormat="1" hidden="1" x14ac:dyDescent="0.2">
      <c r="A93" s="61"/>
      <c r="B93" s="61">
        <v>6</v>
      </c>
      <c r="C93" s="61"/>
      <c r="D93" s="66"/>
      <c r="E93" s="66"/>
      <c r="F93" s="66"/>
      <c r="G93" s="66"/>
      <c r="H93" s="66"/>
      <c r="I93" s="66"/>
      <c r="J93" s="66"/>
      <c r="K93" s="66"/>
      <c r="L93" s="66"/>
      <c r="M93" s="66"/>
      <c r="N93" s="61"/>
      <c r="O93" s="61">
        <v>3511670</v>
      </c>
    </row>
    <row r="94" spans="1:15" s="65" customFormat="1" hidden="1" x14ac:dyDescent="0.2">
      <c r="A94" s="61"/>
      <c r="B94" s="61">
        <v>7</v>
      </c>
      <c r="C94" s="61"/>
      <c r="D94" s="66"/>
      <c r="E94" s="66"/>
      <c r="F94" s="66"/>
      <c r="G94" s="66"/>
      <c r="H94" s="66"/>
      <c r="I94" s="66"/>
      <c r="J94" s="66"/>
      <c r="K94" s="66"/>
      <c r="L94" s="66"/>
      <c r="M94" s="66"/>
      <c r="N94" s="61"/>
      <c r="O94" s="61">
        <v>1464488</v>
      </c>
    </row>
    <row r="95" spans="1:15" s="65" customFormat="1" hidden="1" x14ac:dyDescent="0.2">
      <c r="A95" s="61"/>
      <c r="B95" s="61">
        <v>8</v>
      </c>
      <c r="C95" s="61"/>
      <c r="D95" s="66"/>
      <c r="E95" s="66"/>
      <c r="F95" s="66"/>
      <c r="G95" s="66"/>
      <c r="H95" s="66"/>
      <c r="I95" s="66"/>
      <c r="J95" s="66"/>
      <c r="K95" s="66"/>
      <c r="L95" s="66"/>
      <c r="M95" s="66"/>
      <c r="N95" s="61"/>
      <c r="O95" s="61">
        <v>8274269</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2</v>
      </c>
      <c r="B107" s="61">
        <v>20</v>
      </c>
      <c r="C107" s="61"/>
      <c r="D107" s="66"/>
      <c r="E107" s="66"/>
      <c r="F107" s="66"/>
      <c r="G107" s="66"/>
      <c r="H107" s="66"/>
      <c r="I107" s="66"/>
      <c r="J107" s="66"/>
      <c r="K107" s="66"/>
      <c r="L107" s="66"/>
      <c r="M107" s="66"/>
      <c r="N107" s="61"/>
      <c r="O107" s="61">
        <v>0</v>
      </c>
    </row>
    <row r="108" spans="1:15" s="61" customFormat="1" x14ac:dyDescent="0.2">
      <c r="B108" s="57"/>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Inactive!D3:L3</xm:f>
              <xm:sqref>C3</xm:sqref>
            </x14:sparkline>
            <x14:sparkline>
              <xm:f>Inactive!D4:L4</xm:f>
              <xm:sqref>C4</xm:sqref>
            </x14:sparkline>
            <x14:sparkline>
              <xm:f>Inactive!D5:L5</xm:f>
              <xm:sqref>C5</xm:sqref>
            </x14:sparkline>
            <x14:sparkline>
              <xm:f>Inactive!D6:L6</xm:f>
              <xm:sqref>C6</xm:sqref>
            </x14:sparkline>
            <x14:sparkline>
              <xm:f>Inactive!D7:L7</xm:f>
              <xm:sqref>C7</xm:sqref>
            </x14:sparkline>
            <x14:sparkline>
              <xm:f>Inactive!D8:L8</xm:f>
              <xm:sqref>C8</xm:sqref>
            </x14:sparkline>
            <x14:sparkline>
              <xm:f>Inactive!D9:L9</xm:f>
              <xm:sqref>C9</xm:sqref>
            </x14:sparkline>
            <x14:sparkline>
              <xm:f>Inactive!D10:L10</xm:f>
              <xm:sqref>C10</xm:sqref>
            </x14:sparkline>
            <x14:sparkline>
              <xm:f>Inactive!D11:L11</xm:f>
              <xm:sqref>C11</xm:sqref>
            </x14:sparkline>
            <x14:sparkline>
              <xm:f>Inactive!D12:L12</xm:f>
              <xm:sqref>C12</xm:sqref>
            </x14:sparkline>
            <x14:sparkline>
              <xm:f>Inactive!D13:L13</xm:f>
              <xm:sqref>C13</xm:sqref>
            </x14:sparkline>
            <x14:sparkline>
              <xm:f>Inactive!D14:L14</xm:f>
              <xm:sqref>C14</xm:sqref>
            </x14:sparkline>
            <x14:sparkline>
              <xm:f>Inactive!D15:L15</xm:f>
              <xm:sqref>C15</xm:sqref>
            </x14:sparkline>
            <x14:sparkline>
              <xm:f>Inactive!D16:L16</xm:f>
              <xm:sqref>C16</xm:sqref>
            </x14:sparkline>
            <x14:sparkline>
              <xm:f>Inactive!D17:L17</xm:f>
              <xm:sqref>C17</xm:sqref>
            </x14:sparkline>
            <x14:sparkline>
              <xm:f>Inactive!D18:L18</xm:f>
              <xm:sqref>C18</xm:sqref>
            </x14:sparkline>
            <x14:sparkline>
              <xm:f>Inactive!D19:L19</xm:f>
              <xm:sqref>C19</xm:sqref>
            </x14:sparkline>
            <x14:sparkline>
              <xm:f>Inactive!D20:L20</xm:f>
              <xm:sqref>C20</xm:sqref>
            </x14:sparkline>
            <x14:sparkline>
              <xm:f>Inactive!D21:L21</xm:f>
              <xm:sqref>C21</xm:sqref>
            </x14:sparkline>
            <x14:sparkline>
              <xm:f>Inactive!D22:L22</xm:f>
              <xm:sqref>C22</xm:sqref>
            </x14:sparkline>
            <x14:sparkline>
              <xm:f>Inactive!D23:L23</xm:f>
              <xm:sqref>C23</xm:sqref>
            </x14:sparkline>
            <x14:sparkline>
              <xm:f>Inactive!D24:L24</xm:f>
              <xm:sqref>C24</xm:sqref>
            </x14:sparkline>
            <x14:sparkline>
              <xm:f>Inactive!D25:L25</xm:f>
              <xm:sqref>C25</xm:sqref>
            </x14:sparkline>
            <x14:sparkline>
              <xm:f>Inactive!D26:L26</xm:f>
              <xm:sqref>C26</xm:sqref>
            </x14:sparkline>
            <x14:sparkline>
              <xm:f>Inactive!D27:L27</xm:f>
              <xm:sqref>C27</xm:sqref>
            </x14:sparkline>
            <x14:sparkline>
              <xm:f>Inactive!D28:L28</xm:f>
              <xm:sqref>C28</xm:sqref>
            </x14:sparkline>
            <x14:sparkline>
              <xm:f>Inactive!D29:L29</xm:f>
              <xm:sqref>C29</xm:sqref>
            </x14:sparkline>
            <x14:sparkline>
              <xm:f>Inactive!D30:L30</xm:f>
              <xm:sqref>C30</xm:sqref>
            </x14:sparkline>
            <x14:sparkline>
              <xm:f>Inactive!D31:L31</xm:f>
              <xm:sqref>C31</xm:sqref>
            </x14:sparkline>
            <x14:sparkline>
              <xm:f>Inactive!D32:L32</xm:f>
              <xm:sqref>C32</xm:sqref>
            </x14:sparkline>
            <x14:sparkline>
              <xm:f>Inactive!D33:L33</xm:f>
              <xm:sqref>C33</xm:sqref>
            </x14:sparkline>
            <x14:sparkline>
              <xm:f>Inactive!D34:L34</xm:f>
              <xm:sqref>C34</xm:sqref>
            </x14:sparkline>
            <x14:sparkline>
              <xm:f>Inactive!D35:L35</xm:f>
              <xm:sqref>C35</xm:sqref>
            </x14:sparkline>
            <x14:sparkline>
              <xm:f>Inactive!D36:L36</xm:f>
              <xm:sqref>C36</xm:sqref>
            </x14:sparkline>
            <x14:sparkline>
              <xm:f>Inactive!D37:L37</xm:f>
              <xm:sqref>C37</xm:sqref>
            </x14:sparkline>
            <x14:sparkline>
              <xm:f>Inactive!D38:L38</xm:f>
              <xm:sqref>C38</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155</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18</v>
      </c>
      <c r="E3" s="16">
        <v>25</v>
      </c>
      <c r="F3" s="16">
        <v>27</v>
      </c>
      <c r="G3" s="16">
        <v>31</v>
      </c>
      <c r="H3" s="16">
        <v>29</v>
      </c>
      <c r="I3" s="16">
        <v>29</v>
      </c>
      <c r="J3" s="16">
        <v>24</v>
      </c>
      <c r="K3" s="16">
        <v>28</v>
      </c>
      <c r="L3" s="16">
        <v>27</v>
      </c>
      <c r="M3" s="17">
        <v>28</v>
      </c>
      <c r="N3" s="18">
        <f t="shared" ref="N3:N38" si="0">IF(L3=0,"",IFERROR(IF(AND(L3&gt;0,D3&lt;0),"na",IF(AND(L3&lt;0,D3&lt;0),-1,1)*(L3-D3)/D3),""))</f>
        <v>0.5</v>
      </c>
      <c r="O3" s="18">
        <f t="shared" ref="O3:O38" si="1">IF(L3=0,"",IFERROR(IF(AND(L3&gt;0,H3&lt;0),"na",IF(AND(L3&lt;0,H3&lt;0),-1,1)*(L3-H3)/H3),""))</f>
        <v>-6.8965517241379309E-2</v>
      </c>
    </row>
    <row r="4" spans="1:15" s="19" customFormat="1" ht="18" customHeight="1" x14ac:dyDescent="0.2">
      <c r="A4" s="141"/>
      <c r="B4" s="20" t="s">
        <v>20</v>
      </c>
      <c r="C4" s="21"/>
      <c r="D4" s="22">
        <v>6915</v>
      </c>
      <c r="E4" s="22">
        <v>12312.5498046875</v>
      </c>
      <c r="F4" s="22">
        <v>12920</v>
      </c>
      <c r="G4" s="22">
        <v>12507.400390625</v>
      </c>
      <c r="H4" s="22">
        <v>11887.1298828125</v>
      </c>
      <c r="I4" s="22">
        <v>10687.1298828125</v>
      </c>
      <c r="J4" s="22">
        <v>9176</v>
      </c>
      <c r="K4" s="22">
        <v>9414.849609375</v>
      </c>
      <c r="L4" s="22">
        <v>8203.849609375</v>
      </c>
      <c r="M4" s="23">
        <v>8934.849609375</v>
      </c>
      <c r="N4" s="24">
        <f t="shared" si="0"/>
        <v>0.18638461451554592</v>
      </c>
      <c r="O4" s="24">
        <f t="shared" si="1"/>
        <v>-0.30985446527030241</v>
      </c>
    </row>
    <row r="5" spans="1:15" s="19" customFormat="1" ht="18" customHeight="1" x14ac:dyDescent="0.2">
      <c r="A5" s="141"/>
      <c r="B5" s="20" t="s">
        <v>21</v>
      </c>
      <c r="C5" s="21"/>
      <c r="D5" s="22">
        <v>3150.9599609375</v>
      </c>
      <c r="E5" s="22">
        <v>5438.56005859375</v>
      </c>
      <c r="F5" s="22">
        <v>5642.669921875</v>
      </c>
      <c r="G5" s="22">
        <v>5042.06982421875</v>
      </c>
      <c r="H5" s="22">
        <v>4840.06982421875</v>
      </c>
      <c r="I5" s="22">
        <v>4198.009765625</v>
      </c>
      <c r="J5" s="22">
        <v>3754.419921875</v>
      </c>
      <c r="K5" s="22">
        <v>3754.06005859375</v>
      </c>
      <c r="L5" s="22">
        <v>3209.050048828125</v>
      </c>
      <c r="M5" s="23">
        <v>3892.35009765625</v>
      </c>
      <c r="N5" s="24">
        <f t="shared" si="0"/>
        <v>1.8435679478879051E-2</v>
      </c>
      <c r="O5" s="24">
        <f t="shared" si="1"/>
        <v>-0.33698269542090598</v>
      </c>
    </row>
    <row r="6" spans="1:15" s="19" customFormat="1" ht="18" customHeight="1" x14ac:dyDescent="0.2">
      <c r="A6" s="141"/>
      <c r="B6" s="20" t="s">
        <v>22</v>
      </c>
      <c r="C6" s="21"/>
      <c r="D6" s="22">
        <v>5720.33837890625</v>
      </c>
      <c r="E6" s="22">
        <v>9801.9208984375</v>
      </c>
      <c r="F6" s="22">
        <v>9622.1494140625</v>
      </c>
      <c r="G6" s="22">
        <v>10740.1396484375</v>
      </c>
      <c r="H6" s="22">
        <v>10170.51953125</v>
      </c>
      <c r="I6" s="22">
        <v>9044.2021484375</v>
      </c>
      <c r="J6" s="22">
        <v>7893.837890625</v>
      </c>
      <c r="K6" s="22">
        <v>8048.3349609375</v>
      </c>
      <c r="L6" s="22">
        <v>7011.935546875</v>
      </c>
      <c r="M6" s="23">
        <v>7853.82861328125</v>
      </c>
      <c r="N6" s="24">
        <f t="shared" si="0"/>
        <v>0.22579034358028802</v>
      </c>
      <c r="O6" s="24">
        <f t="shared" si="1"/>
        <v>-0.31056269787102969</v>
      </c>
    </row>
    <row r="7" spans="1:15" s="19" customFormat="1" ht="18" customHeight="1" x14ac:dyDescent="0.2">
      <c r="A7" s="141"/>
      <c r="B7" s="20" t="s">
        <v>23</v>
      </c>
      <c r="C7" s="21"/>
      <c r="D7" s="22">
        <v>4370.54150390625</v>
      </c>
      <c r="E7" s="22">
        <v>7365.47265625</v>
      </c>
      <c r="F7" s="22">
        <v>6689.26904296875</v>
      </c>
      <c r="G7" s="22">
        <v>6769.4033203125</v>
      </c>
      <c r="H7" s="22">
        <v>7466.79296875</v>
      </c>
      <c r="I7" s="22">
        <v>7189.283203125</v>
      </c>
      <c r="J7" s="22">
        <v>7046.9951171875</v>
      </c>
      <c r="K7" s="22">
        <v>7010.23095703125</v>
      </c>
      <c r="L7" s="22">
        <v>6748.30615234375</v>
      </c>
      <c r="M7" s="23">
        <v>8602.677734375</v>
      </c>
      <c r="N7" s="24">
        <f t="shared" si="0"/>
        <v>0.54404348896179799</v>
      </c>
      <c r="O7" s="24">
        <f t="shared" si="1"/>
        <v>-9.6224285233735413E-2</v>
      </c>
    </row>
    <row r="8" spans="1:15" s="19" customFormat="1" ht="18" customHeight="1" x14ac:dyDescent="0.2">
      <c r="A8" s="141"/>
      <c r="B8" s="20" t="s">
        <v>24</v>
      </c>
      <c r="C8" s="25"/>
      <c r="D8" s="26">
        <f ca="1">9.949015*OFFSET(D$108,MATCH($M$1,$C$109:$C$110,0),0)</f>
        <v>8.093125669397125</v>
      </c>
      <c r="E8" s="26">
        <f ca="1">12.481159*OFFSET(E$108,MATCH($M$1,$C$109:$C$110,0),0)</f>
        <v>10.425885753982941</v>
      </c>
      <c r="F8" s="26">
        <f ca="1">9.477439*OFFSET(F$108,MATCH($M$1,$C$109:$C$110,0),0)</f>
        <v>8.1441526706233454</v>
      </c>
      <c r="G8" s="26">
        <f ca="1">11.031896*OFFSET(G$108,MATCH($M$1,$C$109:$C$110,0),0)</f>
        <v>9.7551748059271723</v>
      </c>
      <c r="H8" s="26">
        <f ca="1">16.457265*OFFSET(H$108,MATCH($M$1,$C$109:$C$110,0),0)</f>
        <v>14.840832669555557</v>
      </c>
      <c r="I8" s="26">
        <f ca="1">15.869274*OFFSET(I$108,MATCH($M$1,$C$109:$C$110,0),0)</f>
        <v>14.764613644581726</v>
      </c>
      <c r="J8" s="26">
        <f ca="1">15.473103*OFFSET(J$108,MATCH($M$1,$C$109:$C$110,0),0)</f>
        <v>14.701923430440052</v>
      </c>
      <c r="K8" s="26">
        <f ca="1">17.176744*OFFSET(K$108,MATCH($M$1,$C$109:$C$110,0),0)</f>
        <v>16.591703937205178</v>
      </c>
      <c r="L8" s="26">
        <f ca="1">20.009676*OFFSET(L$108,MATCH($M$1,$C$109:$C$110,0),0)</f>
        <v>19.674113387413488</v>
      </c>
      <c r="M8" s="27">
        <f ca="1">22.070704*OFFSET(M$108,MATCH($M$1,$C$109:$C$110,0),0)</f>
        <v>22.070703914251933</v>
      </c>
      <c r="N8" s="24">
        <f t="shared" ca="1" si="0"/>
        <v>1.4309660063488248</v>
      </c>
      <c r="O8" s="24">
        <f t="shared" ca="1" si="1"/>
        <v>0.32567449721152847</v>
      </c>
    </row>
    <row r="9" spans="1:15" s="19" customFormat="1" ht="18" customHeight="1" x14ac:dyDescent="0.2">
      <c r="A9" s="141"/>
      <c r="B9" s="20" t="s">
        <v>25</v>
      </c>
      <c r="C9" s="25"/>
      <c r="D9" s="22">
        <v>4022.79931640625</v>
      </c>
      <c r="E9" s="22">
        <v>5734.00537109375</v>
      </c>
      <c r="F9" s="22">
        <v>6052.15771484375</v>
      </c>
      <c r="G9" s="22">
        <v>6094</v>
      </c>
      <c r="H9" s="22">
        <v>5613</v>
      </c>
      <c r="I9" s="22">
        <v>5202</v>
      </c>
      <c r="J9" s="22">
        <v>4329</v>
      </c>
      <c r="K9" s="22">
        <v>4406</v>
      </c>
      <c r="L9" s="22">
        <v>4786</v>
      </c>
      <c r="M9" s="23">
        <v>4528</v>
      </c>
      <c r="N9" s="24">
        <f t="shared" si="0"/>
        <v>0.18971880612616587</v>
      </c>
      <c r="O9" s="24">
        <f t="shared" si="1"/>
        <v>-0.14733654017459469</v>
      </c>
    </row>
    <row r="10" spans="1:15" s="19" customFormat="1" ht="18" customHeight="1" x14ac:dyDescent="0.2">
      <c r="A10" s="142" t="s">
        <v>7</v>
      </c>
      <c r="B10" s="28" t="s">
        <v>26</v>
      </c>
      <c r="C10" s="29"/>
      <c r="D10" s="30">
        <v>24.70111083984375</v>
      </c>
      <c r="E10" s="30">
        <v>28.556400299072266</v>
      </c>
      <c r="F10" s="30">
        <v>28.490739822387695</v>
      </c>
      <c r="G10" s="30">
        <v>24.520967483520508</v>
      </c>
      <c r="H10" s="30">
        <v>24.852413177490234</v>
      </c>
      <c r="I10" s="30">
        <v>22.588966369628906</v>
      </c>
      <c r="J10" s="30">
        <v>23.580415725708008</v>
      </c>
      <c r="K10" s="30">
        <v>21.450000762939453</v>
      </c>
      <c r="L10" s="30">
        <v>19.739999771118164</v>
      </c>
      <c r="M10" s="31">
        <v>21.410715103149414</v>
      </c>
      <c r="N10" s="32">
        <f t="shared" si="0"/>
        <v>-0.20084566645169422</v>
      </c>
      <c r="O10" s="32">
        <f t="shared" si="1"/>
        <v>-0.20571094524545308</v>
      </c>
    </row>
    <row r="11" spans="1:15" s="19" customFormat="1" ht="18" customHeight="1" x14ac:dyDescent="0.2">
      <c r="A11" s="143"/>
      <c r="B11" s="33" t="s">
        <v>20</v>
      </c>
      <c r="C11" s="21"/>
      <c r="D11" s="22">
        <v>384.16665649414062</v>
      </c>
      <c r="E11" s="22">
        <v>492.50201416015625</v>
      </c>
      <c r="F11" s="22">
        <v>478.51852416992187</v>
      </c>
      <c r="G11" s="22">
        <v>403.46450805664062</v>
      </c>
      <c r="H11" s="22">
        <v>409.90103149414062</v>
      </c>
      <c r="I11" s="22">
        <v>368.521728515625</v>
      </c>
      <c r="J11" s="22">
        <v>382.33334350585937</v>
      </c>
      <c r="K11" s="22">
        <v>336.24462890625</v>
      </c>
      <c r="L11" s="22">
        <v>303.84628295898437</v>
      </c>
      <c r="M11" s="23">
        <v>319.10177612304688</v>
      </c>
      <c r="N11" s="24">
        <f t="shared" si="0"/>
        <v>-0.20907689977092353</v>
      </c>
      <c r="O11" s="24">
        <f t="shared" si="1"/>
        <v>-0.25873257295443586</v>
      </c>
    </row>
    <row r="12" spans="1:15" s="19" customFormat="1" ht="18" customHeight="1" x14ac:dyDescent="0.2">
      <c r="A12" s="143"/>
      <c r="B12" s="33" t="s">
        <v>21</v>
      </c>
      <c r="C12" s="21"/>
      <c r="D12" s="22">
        <v>175.05332946777344</v>
      </c>
      <c r="E12" s="22">
        <v>217.54240417480469</v>
      </c>
      <c r="F12" s="22">
        <v>208.98777770996094</v>
      </c>
      <c r="G12" s="22">
        <v>162.64741516113281</v>
      </c>
      <c r="H12" s="22">
        <v>166.89897155761719</v>
      </c>
      <c r="I12" s="22">
        <v>144.75897216796875</v>
      </c>
      <c r="J12" s="22">
        <v>156.43417358398437</v>
      </c>
      <c r="K12" s="22">
        <v>134.07357788085937</v>
      </c>
      <c r="L12" s="22">
        <v>118.85370635986328</v>
      </c>
      <c r="M12" s="23">
        <v>139.01249694824219</v>
      </c>
      <c r="N12" s="24">
        <f t="shared" si="0"/>
        <v>-0.32104286892901551</v>
      </c>
      <c r="O12" s="24">
        <f t="shared" si="1"/>
        <v>-0.28787034904626496</v>
      </c>
    </row>
    <row r="13" spans="1:15" s="19" customFormat="1" ht="18" customHeight="1" x14ac:dyDescent="0.2">
      <c r="A13" s="143"/>
      <c r="B13" s="33" t="s">
        <v>22</v>
      </c>
      <c r="C13" s="21"/>
      <c r="D13" s="22">
        <v>317.79660034179687</v>
      </c>
      <c r="E13" s="22">
        <v>392.07684326171875</v>
      </c>
      <c r="F13" s="22">
        <v>356.37588500976562</v>
      </c>
      <c r="G13" s="22">
        <v>346.45611572265625</v>
      </c>
      <c r="H13" s="22">
        <v>350.70758056640625</v>
      </c>
      <c r="I13" s="22">
        <v>311.8690185546875</v>
      </c>
      <c r="J13" s="22">
        <v>328.909912109375</v>
      </c>
      <c r="K13" s="22">
        <v>287.44052124023437</v>
      </c>
      <c r="L13" s="22">
        <v>259.70132446289062</v>
      </c>
      <c r="M13" s="23">
        <v>280.493896484375</v>
      </c>
      <c r="N13" s="24">
        <f t="shared" si="0"/>
        <v>-0.18280647375215331</v>
      </c>
      <c r="O13" s="24">
        <f t="shared" si="1"/>
        <v>-0.2594932677432778</v>
      </c>
    </row>
    <row r="14" spans="1:15" s="19" customFormat="1" ht="18" customHeight="1" x14ac:dyDescent="0.2">
      <c r="A14" s="143"/>
      <c r="B14" s="33" t="s">
        <v>23</v>
      </c>
      <c r="C14" s="25"/>
      <c r="D14" s="26">
        <v>242.80787658691406</v>
      </c>
      <c r="E14" s="26">
        <v>294.618896484375</v>
      </c>
      <c r="F14" s="26">
        <v>247.75070190429687</v>
      </c>
      <c r="G14" s="26">
        <v>218.36784362792969</v>
      </c>
      <c r="H14" s="26">
        <v>257.47561645507812</v>
      </c>
      <c r="I14" s="26">
        <v>247.90631103515625</v>
      </c>
      <c r="J14" s="26">
        <v>293.62478637695312</v>
      </c>
      <c r="K14" s="26">
        <v>250.36540222167969</v>
      </c>
      <c r="L14" s="26">
        <v>249.93727111816406</v>
      </c>
      <c r="M14" s="27">
        <v>307.23849487304687</v>
      </c>
      <c r="N14" s="24">
        <f t="shared" si="0"/>
        <v>2.9362286888984034E-2</v>
      </c>
      <c r="O14" s="24">
        <f t="shared" si="1"/>
        <v>-2.9277899945252799E-2</v>
      </c>
    </row>
    <row r="15" spans="1:15" s="19" customFormat="1" ht="18" customHeight="1" x14ac:dyDescent="0.2">
      <c r="A15" s="143"/>
      <c r="B15" s="33" t="s">
        <v>27</v>
      </c>
      <c r="C15" s="25"/>
      <c r="D15" s="26">
        <f ca="1">552.7230625*OFFSET(D$108,MATCH($M$1,$C$109:$C$110,0),0)</f>
        <v>449.61809839331244</v>
      </c>
      <c r="E15" s="26">
        <f ca="1">499.24634375*OFFSET(E$108,MATCH($M$1,$C$109:$C$110,0),0)</f>
        <v>417.03541658520618</v>
      </c>
      <c r="F15" s="26">
        <f ca="1">351.01628125*OFFSET(F$108,MATCH($M$1,$C$109:$C$110,0),0)</f>
        <v>301.63530299424377</v>
      </c>
      <c r="G15" s="26">
        <f ca="1">355.867625*OFFSET(G$108,MATCH($M$1,$C$109:$C$110,0),0)</f>
        <v>314.68306895252988</v>
      </c>
      <c r="H15" s="26">
        <f ca="1">567.4919375*OFFSET(H$108,MATCH($M$1,$C$109:$C$110,0),0)</f>
        <v>511.75288760066627</v>
      </c>
      <c r="I15" s="26">
        <f ca="1">547.2163125*OFFSET(I$108,MATCH($M$1,$C$109:$C$110,0),0)</f>
        <v>509.12457835659001</v>
      </c>
      <c r="J15" s="26">
        <f ca="1">644.712625*OFFSET(J$108,MATCH($M$1,$C$109:$C$110,0),0)</f>
        <v>612.58014293500219</v>
      </c>
      <c r="K15" s="26">
        <f ca="1">613.455125*OFFSET(K$108,MATCH($M$1,$C$109:$C$110,0),0)</f>
        <v>592.56083765125652</v>
      </c>
      <c r="L15" s="26">
        <f ca="1">741.099125*OFFSET(L$108,MATCH($M$1,$C$109:$C$110,0),0)</f>
        <v>728.67087985647163</v>
      </c>
      <c r="M15" s="27">
        <f ca="1">788.2394375*OFFSET(M$108,MATCH($M$1,$C$109:$C$110,0),0)</f>
        <v>788.239434437569</v>
      </c>
      <c r="N15" s="24">
        <f t="shared" ca="1" si="0"/>
        <v>0.62064401424306581</v>
      </c>
      <c r="O15" s="24">
        <f t="shared" ca="1" si="1"/>
        <v>0.42387253205901199</v>
      </c>
    </row>
    <row r="16" spans="1:15" s="19" customFormat="1" ht="18" customHeight="1" x14ac:dyDescent="0.2">
      <c r="A16" s="143"/>
      <c r="B16" s="33" t="s">
        <v>25</v>
      </c>
      <c r="C16" s="21"/>
      <c r="D16" s="22">
        <v>223.48884582519531</v>
      </c>
      <c r="E16" s="22">
        <v>229.36021423339844</v>
      </c>
      <c r="F16" s="22">
        <v>224.15399169921875</v>
      </c>
      <c r="G16" s="22">
        <v>196.58064270019531</v>
      </c>
      <c r="H16" s="22">
        <v>193.55172729492187</v>
      </c>
      <c r="I16" s="22">
        <v>179.37931823730469</v>
      </c>
      <c r="J16" s="22">
        <v>180.375</v>
      </c>
      <c r="K16" s="22">
        <v>157.35714721679687</v>
      </c>
      <c r="L16" s="22">
        <v>177.25926208496094</v>
      </c>
      <c r="M16" s="23">
        <v>161.71427917480469</v>
      </c>
      <c r="N16" s="24">
        <f t="shared" si="0"/>
        <v>-0.20685409855484888</v>
      </c>
      <c r="O16" s="24">
        <f t="shared" si="1"/>
        <v>-8.4176284229876747E-2</v>
      </c>
    </row>
    <row r="17" spans="1:15" s="19" customFormat="1" ht="18" customHeight="1" x14ac:dyDescent="0.2">
      <c r="A17" s="143"/>
      <c r="B17" s="33" t="s">
        <v>28</v>
      </c>
      <c r="C17" s="21"/>
      <c r="D17" s="22">
        <v>26.166666030883789</v>
      </c>
      <c r="E17" s="22">
        <v>28.159999847412109</v>
      </c>
      <c r="F17" s="22">
        <v>32.074073791503906</v>
      </c>
      <c r="G17" s="22">
        <v>31.483871459960938</v>
      </c>
      <c r="H17" s="22">
        <v>31.689655303955078</v>
      </c>
      <c r="I17" s="22">
        <v>32.344825744628906</v>
      </c>
      <c r="J17" s="22">
        <v>32.875</v>
      </c>
      <c r="K17" s="22">
        <v>32.678569793701172</v>
      </c>
      <c r="L17" s="22">
        <v>32.074073791503906</v>
      </c>
      <c r="M17" s="23">
        <v>36.142856597900391</v>
      </c>
      <c r="N17" s="24">
        <f t="shared" si="0"/>
        <v>0.22576081162375702</v>
      </c>
      <c r="O17" s="24">
        <f t="shared" si="1"/>
        <v>1.2130724801567979E-2</v>
      </c>
    </row>
    <row r="18" spans="1:15" s="19" customFormat="1" ht="18" customHeight="1" x14ac:dyDescent="0.2">
      <c r="A18" s="143"/>
      <c r="B18" s="33" t="s">
        <v>29</v>
      </c>
      <c r="C18" s="21"/>
      <c r="D18" s="34">
        <v>1.0864429473876953</v>
      </c>
      <c r="E18" s="34">
        <v>1.2845247983932495</v>
      </c>
      <c r="F18" s="34">
        <v>1.1052700281143188</v>
      </c>
      <c r="G18" s="34">
        <v>1.1108309030532837</v>
      </c>
      <c r="H18" s="34">
        <v>1.3302677869796753</v>
      </c>
      <c r="I18" s="34">
        <v>1.3820228576660156</v>
      </c>
      <c r="J18" s="34">
        <v>1.6278574466705322</v>
      </c>
      <c r="K18" s="34">
        <v>1.5910646915435791</v>
      </c>
      <c r="L18" s="34">
        <v>1.4100096225738525</v>
      </c>
      <c r="M18" s="35">
        <v>1.899884819984436</v>
      </c>
      <c r="N18" s="24">
        <f t="shared" si="0"/>
        <v>0.29782205864022515</v>
      </c>
      <c r="O18" s="24">
        <f t="shared" si="1"/>
        <v>5.9944197983797076E-2</v>
      </c>
    </row>
    <row r="19" spans="1:15" s="19" customFormat="1" ht="18" customHeight="1" x14ac:dyDescent="0.2">
      <c r="A19" s="144"/>
      <c r="B19" s="36" t="s">
        <v>8</v>
      </c>
      <c r="C19" s="37"/>
      <c r="D19" s="38">
        <f ca="1">2276.38039613807*OFFSET(D$108,MATCH($M$1,$C$109:$C$110,0),0)</f>
        <v>1851.7443804534832</v>
      </c>
      <c r="E19" s="38">
        <f ca="1">1694.54963483016*OFFSET(E$108,MATCH($M$1,$C$109:$C$110,0),0)</f>
        <v>1415.5080387320406</v>
      </c>
      <c r="F19" s="38">
        <f ca="1">1416.8123511136*OFFSET(F$108,MATCH($M$1,$C$109:$C$110,0),0)</f>
        <v>1217.4951580373101</v>
      </c>
      <c r="G19" s="38">
        <f ca="1">1629.67036797724*OFFSET(G$108,MATCH($M$1,$C$109:$C$110,0),0)</f>
        <v>1441.0686354963493</v>
      </c>
      <c r="H19" s="38">
        <f ca="1">2204.06070837599*OFFSET(H$108,MATCH($M$1,$C$109:$C$110,0),0)</f>
        <v>1987.5778974544164</v>
      </c>
      <c r="I19" s="38">
        <f ca="1">2207.35135223245*OFFSET(I$108,MATCH($M$1,$C$109:$C$110,0),0)</f>
        <v>2053.6975978584246</v>
      </c>
      <c r="J19" s="38">
        <f ca="1">2195.70224509754*OFFSET(J$108,MATCH($M$1,$C$109:$C$110,0),0)</f>
        <v>2086.2684287352931</v>
      </c>
      <c r="K19" s="38">
        <f ca="1">2450.23938658851*OFFSET(K$108,MATCH($M$1,$C$109:$C$110,0),0)</f>
        <v>2366.7842099501386</v>
      </c>
      <c r="L19" s="38">
        <f ca="1">2965.14051797286*OFFSET(L$108,MATCH($M$1,$C$109:$C$110,0),0)</f>
        <v>2915.4150602044738</v>
      </c>
      <c r="M19" s="39">
        <f ca="1">2565.56210536736*OFFSET(M$108,MATCH($M$1,$C$109:$C$110,0),0)</f>
        <v>2565.5620953997582</v>
      </c>
      <c r="N19" s="40">
        <f ca="1">IF(L19=0,"",IFERROR(IF(AND(L19&gt;0,D19&lt;0),"na",IF(AND(L19&lt;0,D19&lt;0),-1,1)*(L19-D19)/D19),""))</f>
        <v>0.57441550301370581</v>
      </c>
      <c r="O19" s="40">
        <f ca="1">IF(L19=0,"",IFERROR(IF(AND(L19&gt;0,H19&lt;0),"na",IF(AND(L19&lt;0,H19&lt;0),-1,1)*(L19-H19)/H19),""))</f>
        <v>0.46681801198251482</v>
      </c>
    </row>
    <row r="20" spans="1:15" s="19" customFormat="1" ht="18" customHeight="1" x14ac:dyDescent="0.2">
      <c r="A20" s="145" t="s">
        <v>9</v>
      </c>
      <c r="B20" s="28" t="s">
        <v>30</v>
      </c>
      <c r="C20" s="41"/>
      <c r="D20" s="42">
        <v>2.4017703736388936</v>
      </c>
      <c r="E20" s="42">
        <v>2.420820123086155</v>
      </c>
      <c r="F20" s="42">
        <v>2.0644167446006954</v>
      </c>
      <c r="G20" s="42">
        <v>2.242228631417178</v>
      </c>
      <c r="H20" s="42">
        <v>2.8276736814873051</v>
      </c>
      <c r="I20" s="42">
        <v>3.1356309059868281</v>
      </c>
      <c r="J20" s="42">
        <v>3.5082270014429069</v>
      </c>
      <c r="K20" s="42">
        <v>3.7910090073482006</v>
      </c>
      <c r="L20" s="42">
        <v>3.7417045710456689</v>
      </c>
      <c r="M20" s="43">
        <v>4.6114925709189531</v>
      </c>
      <c r="N20" s="32">
        <f t="shared" si="0"/>
        <v>0.55789438162510807</v>
      </c>
      <c r="O20" s="32">
        <f t="shared" si="1"/>
        <v>0.32324482684918582</v>
      </c>
    </row>
    <row r="21" spans="1:15" s="19" customFormat="1" ht="18" customHeight="1" x14ac:dyDescent="0.2">
      <c r="A21" s="145"/>
      <c r="B21" s="33" t="s">
        <v>31</v>
      </c>
      <c r="C21" s="21"/>
      <c r="D21" s="34">
        <f ca="1">5.46734271968426*OFFSET(D$108,MATCH($M$1,$C$109:$C$110,0),0)</f>
        <v>4.4474645689114123</v>
      </c>
      <c r="E21" s="34">
        <f ca="1">4.10219985801652*OFFSET(E$108,MATCH($M$1,$C$109:$C$110,0),0)</f>
        <v>3.4266903466004459</v>
      </c>
      <c r="F21" s="34">
        <f ca="1">2.92489136486842*OFFSET(F$108,MATCH($M$1,$C$109:$C$110,0),0)</f>
        <v>2.5134175825849479</v>
      </c>
      <c r="G21" s="34">
        <f ca="1">3.65409377366482*OFFSET(G$108,MATCH($M$1,$C$109:$C$110,0),0)</f>
        <v>3.2312055443008525</v>
      </c>
      <c r="H21" s="34">
        <f ca="1">6.2323649835982*OFFSET(H$108,MATCH($M$1,$C$109:$C$110,0),0)</f>
        <v>5.6202221849850655</v>
      </c>
      <c r="I21" s="34">
        <f ca="1">6.92143888782168*OFFSET(I$108,MATCH($M$1,$C$109:$C$110,0),0)</f>
        <v>6.4396374429775767</v>
      </c>
      <c r="J21" s="34">
        <f ca="1">7.70302217024845*OFFSET(J$108,MATCH($M$1,$C$109:$C$110,0),0)</f>
        <v>7.3191034875147452</v>
      </c>
      <c r="K21" s="34">
        <f ca="1">9.28887890995322*OFFSET(K$108,MATCH($M$1,$C$109:$C$110,0),0)</f>
        <v>8.9724996065897589</v>
      </c>
      <c r="L21" s="34">
        <f ca="1">11.0946797618649*OFFSET(L$108,MATCH($M$1,$C$109:$C$110,0),0)</f>
        <v>10.908621790376403</v>
      </c>
      <c r="M21" s="35">
        <f ca="1">11.8310705552655*OFFSET(M$108,MATCH($M$1,$C$109:$C$110,0),0)</f>
        <v>11.831070509299979</v>
      </c>
      <c r="N21" s="24">
        <f t="shared" ca="1" si="0"/>
        <v>1.4527731747723538</v>
      </c>
      <c r="O21" s="24">
        <f t="shared" ca="1" si="1"/>
        <v>0.94095917053239952</v>
      </c>
    </row>
    <row r="22" spans="1:15" s="19" customFormat="1" ht="18" customHeight="1" x14ac:dyDescent="0.2">
      <c r="A22" s="145"/>
      <c r="B22" s="33" t="s">
        <v>10</v>
      </c>
      <c r="C22" s="21"/>
      <c r="D22" s="34">
        <f ca="1">5.50412034286852*OFFSET(D$108,MATCH($M$1,$C$109:$C$110,0),0)</f>
        <v>4.4773816939988658</v>
      </c>
      <c r="E22" s="34">
        <f ca="1">4.38668080980781*OFFSET(E$108,MATCH($M$1,$C$109:$C$110,0),0)</f>
        <v>3.664325801974448</v>
      </c>
      <c r="F22" s="34">
        <f ca="1">3.18410099599102*OFFSET(F$108,MATCH($M$1,$C$109:$C$110,0),0)</f>
        <v>2.7361615970342532</v>
      </c>
      <c r="G22" s="34">
        <f ca="1">4.23385148599042*OFFSET(G$108,MATCH($M$1,$C$109:$C$110,0),0)</f>
        <v>3.7438679034112599</v>
      </c>
      <c r="H22" s="34">
        <f ca="1">3.58485510360639*OFFSET(H$108,MATCH($M$1,$C$109:$C$110,0),0)</f>
        <v>3.2327506871417988</v>
      </c>
      <c r="I22" s="34">
        <f ca="1">7.5932750654755*OFFSET(I$108,MATCH($M$1,$C$109:$C$110,0),0)</f>
        <v>7.0647070961646863</v>
      </c>
      <c r="J22" s="34">
        <f ca="1">3.89151632730632*OFFSET(J$108,MATCH($M$1,$C$109:$C$110,0),0)</f>
        <v>3.6975631243690943</v>
      </c>
      <c r="K22" s="34">
        <f ca="1">10.7506555379978*OFFSET(K$108,MATCH($M$1,$C$109:$C$110,0),0)</f>
        <v>10.384488108883426</v>
      </c>
      <c r="L22" s="34">
        <f ca="1">10.0550951064232*OFFSET(L$108,MATCH($M$1,$C$109:$C$110,0),0)</f>
        <v>9.8864709875860335</v>
      </c>
      <c r="M22" s="35">
        <f ca="1">12.9283286383732*OFFSET(M$108,MATCH($M$1,$C$109:$C$110,0),0)</f>
        <v>12.928328588144662</v>
      </c>
      <c r="N22" s="24">
        <f t="shared" ca="1" si="0"/>
        <v>1.2080920643502631</v>
      </c>
      <c r="O22" s="24">
        <f t="shared" ca="1" si="1"/>
        <v>2.058222530710232</v>
      </c>
    </row>
    <row r="23" spans="1:15" s="19" customFormat="1" ht="18" customHeight="1" x14ac:dyDescent="0.2">
      <c r="A23" s="146"/>
      <c r="B23" s="33" t="s">
        <v>32</v>
      </c>
      <c r="C23" s="44"/>
      <c r="D23" s="34">
        <f ca="1">-0.0367776231842641*OFFSET(D$108,MATCH($M$1,$C$109:$C$110,0),0)</f>
        <v>-2.9917125087456663E-2</v>
      </c>
      <c r="E23" s="34">
        <f ca="1">-0.284480951791288*OFFSET(E$108,MATCH($M$1,$C$109:$C$110,0),0)</f>
        <v>-0.23763545537399991</v>
      </c>
      <c r="F23" s="34">
        <f ca="1">-0.259209631122609*OFFSET(F$108,MATCH($M$1,$C$109:$C$110,0),0)</f>
        <v>-0.22274401444931358</v>
      </c>
      <c r="G23" s="34">
        <f ca="1">-0.579757712325602*OFFSET(G$108,MATCH($M$1,$C$109:$C$110,0),0)</f>
        <v>-0.51266235911040914</v>
      </c>
      <c r="H23" s="34">
        <f ca="1">2.64750987999181*OFFSET(H$108,MATCH($M$1,$C$109:$C$110,0),0)</f>
        <v>2.3874714978432663</v>
      </c>
      <c r="I23" s="34">
        <f ca="1">-0.671836177653823*OFFSET(I$108,MATCH($M$1,$C$109:$C$110,0),0)</f>
        <v>-0.62506965318711283</v>
      </c>
      <c r="J23" s="34">
        <f ca="1">3.81150584294213*OFFSET(J$108,MATCH($M$1,$C$109:$C$110,0),0)</f>
        <v>3.6215403631456509</v>
      </c>
      <c r="K23" s="34">
        <f ca="1">-1.46177662804456*OFFSET(K$108,MATCH($M$1,$C$109:$C$110,0),0)</f>
        <v>-1.41198850229365</v>
      </c>
      <c r="L23" s="34">
        <f ca="1">1.0395846554417*OFFSET(L$108,MATCH($M$1,$C$109:$C$110,0),0)</f>
        <v>1.0221508027903696</v>
      </c>
      <c r="M23" s="35">
        <f ca="1">-1.09725808310777*OFFSET(M$108,MATCH($M$1,$C$109:$C$110,0),0)</f>
        <v>-1.0972580788447543</v>
      </c>
      <c r="N23" s="24" t="str">
        <f t="shared" ca="1" si="0"/>
        <v>na</v>
      </c>
      <c r="O23" s="24">
        <f t="shared" ca="1" si="1"/>
        <v>-0.57186889824078135</v>
      </c>
    </row>
    <row r="24" spans="1:15" s="19" customFormat="1" ht="18" customHeight="1" x14ac:dyDescent="0.2">
      <c r="A24" s="147" t="s">
        <v>11</v>
      </c>
      <c r="B24" s="28" t="s">
        <v>27</v>
      </c>
      <c r="C24" s="29"/>
      <c r="D24" s="30">
        <f ca="1">552.7*OFFSET(D$108,MATCH($M$1,$C$109:$C$110,0),0)</f>
        <v>449.59933797223056</v>
      </c>
      <c r="E24" s="30">
        <f ca="1">499.2*OFFSET(E$108,MATCH($M$1,$C$109:$C$110,0),0)</f>
        <v>416.99670426346495</v>
      </c>
      <c r="F24" s="30">
        <f ca="1">351*OFFSET(F$108,MATCH($M$1,$C$109:$C$110,0),0)</f>
        <v>301.62131219085603</v>
      </c>
      <c r="G24" s="30">
        <f ca="1">355.9*OFFSET(G$108,MATCH($M$1,$C$109:$C$110,0),0)</f>
        <v>314.71169719416139</v>
      </c>
      <c r="H24" s="30">
        <f ca="1">567.5*OFFSET(H$108,MATCH($M$1,$C$109:$C$110,0),0)</f>
        <v>511.76015820203287</v>
      </c>
      <c r="I24" s="30">
        <f ca="1">547.2*OFFSET(I$108,MATCH($M$1,$C$109:$C$110,0),0)</f>
        <v>509.10940136991275</v>
      </c>
      <c r="J24" s="30">
        <f ca="1">644.7*OFFSET(J$108,MATCH($M$1,$C$109:$C$110,0),0)</f>
        <v>612.56814716509689</v>
      </c>
      <c r="K24" s="30">
        <f ca="1">613.5*OFFSET(K$108,MATCH($M$1,$C$109:$C$110,0),0)</f>
        <v>592.60418420833298</v>
      </c>
      <c r="L24" s="30">
        <f ca="1">741.1*OFFSET(L$108,MATCH($M$1,$C$109:$C$110,0),0)</f>
        <v>728.67174018270646</v>
      </c>
      <c r="M24" s="31">
        <f ca="1">788.2*OFFSET(M$108,MATCH($M$1,$C$109:$C$110,0),0)</f>
        <v>788.19999693772229</v>
      </c>
      <c r="N24" s="32">
        <f t="shared" ca="1" si="0"/>
        <v>0.62071355235783898</v>
      </c>
      <c r="O24" s="32">
        <f t="shared" ca="1" si="1"/>
        <v>0.42385398414512987</v>
      </c>
    </row>
    <row r="25" spans="1:15" s="19" customFormat="1" ht="18" customHeight="1" x14ac:dyDescent="0.2">
      <c r="A25" s="148"/>
      <c r="B25" s="33" t="s">
        <v>33</v>
      </c>
      <c r="C25" s="25"/>
      <c r="D25" s="26">
        <f ca="1">2*OFFSET(D$108,MATCH($M$1,$C$109:$C$110,0),0)</f>
        <v>1.6269199854251151</v>
      </c>
      <c r="E25" s="26">
        <f ca="1">5.8*OFFSET(E$108,MATCH($M$1,$C$109:$C$110,0),0)</f>
        <v>4.8449136312662189</v>
      </c>
      <c r="F25" s="26">
        <f ca="1">3.3*OFFSET(F$108,MATCH($M$1,$C$109:$C$110,0),0)</f>
        <v>2.8357559265806973</v>
      </c>
      <c r="G25" s="26">
        <f ca="1">1.6*OFFSET(G$108,MATCH($M$1,$C$109:$C$110,0),0)</f>
        <v>1.4148320188554602</v>
      </c>
      <c r="H25" s="26">
        <f ca="1">42.4*OFFSET(H$108,MATCH($M$1,$C$109:$C$110,0),0)</f>
        <v>38.235472612803861</v>
      </c>
      <c r="I25" s="26">
        <f ca="1">6.9*OFFSET(I$108,MATCH($M$1,$C$109:$C$110,0),0)</f>
        <v>6.4196909163969256</v>
      </c>
      <c r="J25" s="26">
        <f ca="1">8.2*OFFSET(J$108,MATCH($M$1,$C$109:$C$110,0),0)</f>
        <v>7.7913119385044114</v>
      </c>
      <c r="K25" s="26">
        <f ca="1">37.1*OFFSET(K$108,MATCH($M$1,$C$109:$C$110,0),0)</f>
        <v>35.836373649762272</v>
      </c>
      <c r="L25" s="26">
        <f ca="1">15.2*OFFSET(L$108,MATCH($M$1,$C$109:$C$110,0),0)</f>
        <v>14.945095737116635</v>
      </c>
      <c r="M25" s="27">
        <f ca="1">10*OFFSET(M$108,MATCH($M$1,$C$109:$C$110,0),0)</f>
        <v>9.9999999611484682</v>
      </c>
      <c r="N25" s="24">
        <f t="shared" ca="1" si="0"/>
        <v>8.1861283105520855</v>
      </c>
      <c r="O25" s="24">
        <f t="shared" ca="1" si="1"/>
        <v>-0.60913009004857988</v>
      </c>
    </row>
    <row r="26" spans="1:15" s="19" customFormat="1" ht="18" customHeight="1" x14ac:dyDescent="0.2">
      <c r="A26" s="148"/>
      <c r="B26" s="45" t="s">
        <v>34</v>
      </c>
      <c r="C26" s="46"/>
      <c r="D26" s="47">
        <f ca="1">554.7*OFFSET(D$108,MATCH($M$1,$C$109:$C$110,0),0)</f>
        <v>451.22625795765572</v>
      </c>
      <c r="E26" s="47">
        <f ca="1">505*OFFSET(E$108,MATCH($M$1,$C$109:$C$110,0),0)</f>
        <v>421.8416178947312</v>
      </c>
      <c r="F26" s="47">
        <f ca="1">354.3*OFFSET(F$108,MATCH($M$1,$C$109:$C$110,0),0)</f>
        <v>304.45706811743673</v>
      </c>
      <c r="G26" s="47">
        <f ca="1">357.5*OFFSET(G$108,MATCH($M$1,$C$109:$C$110,0),0)</f>
        <v>316.12652921301685</v>
      </c>
      <c r="H26" s="47">
        <f ca="1">609.9*OFFSET(H$108,MATCH($M$1,$C$109:$C$110,0),0)</f>
        <v>549.99563081483666</v>
      </c>
      <c r="I26" s="47">
        <f ca="1">554.2*OFFSET(I$108,MATCH($M$1,$C$109:$C$110,0),0)</f>
        <v>515.62213128509802</v>
      </c>
      <c r="J26" s="47">
        <f ca="1">652.9*OFFSET(J$108,MATCH($M$1,$C$109:$C$110,0),0)</f>
        <v>620.35945910360124</v>
      </c>
      <c r="K26" s="47">
        <f ca="1">650.6*OFFSET(K$108,MATCH($M$1,$C$109:$C$110,0),0)</f>
        <v>628.44055785809519</v>
      </c>
      <c r="L26" s="47">
        <f ca="1">756.3*OFFSET(L$108,MATCH($M$1,$C$109:$C$110,0),0)</f>
        <v>743.61683591982307</v>
      </c>
      <c r="M26" s="48">
        <f ca="1">798.2*OFFSET(M$108,MATCH($M$1,$C$109:$C$110,0),0)</f>
        <v>798.19999689887072</v>
      </c>
      <c r="N26" s="49">
        <f t="shared" ca="1" si="0"/>
        <v>0.64799105283807767</v>
      </c>
      <c r="O26" s="49">
        <f t="shared" ca="1" si="1"/>
        <v>0.35204135134333742</v>
      </c>
    </row>
    <row r="27" spans="1:15" s="19" customFormat="1" ht="18" customHeight="1" x14ac:dyDescent="0.2">
      <c r="A27" s="148"/>
      <c r="B27" s="33" t="s">
        <v>35</v>
      </c>
      <c r="C27" s="25"/>
      <c r="D27" s="26">
        <f ca="1">98.7*OFFSET(D$108,MATCH($M$1,$C$109:$C$110,0),0)</f>
        <v>80.288501280729434</v>
      </c>
      <c r="E27" s="26">
        <f ca="1">119.9*OFFSET(E$108,MATCH($M$1,$C$109:$C$110,0),0)</f>
        <v>100.15605937738272</v>
      </c>
      <c r="F27" s="26">
        <f ca="1">130.9*OFFSET(F$108,MATCH($M$1,$C$109:$C$110,0),0)</f>
        <v>112.48498508770101</v>
      </c>
      <c r="G27" s="26">
        <f ca="1">144.5*OFFSET(G$108,MATCH($M$1,$C$109:$C$110,0),0)</f>
        <v>127.77701670288374</v>
      </c>
      <c r="H27" s="26">
        <f ca="1">104.5*OFFSET(H$108,MATCH($M$1,$C$109:$C$110,0),0)</f>
        <v>94.236011510330286</v>
      </c>
      <c r="I27" s="26">
        <f ca="1">104.4*OFFSET(I$108,MATCH($M$1,$C$109:$C$110,0),0)</f>
        <v>97.132714735049134</v>
      </c>
      <c r="J27" s="26">
        <f ca="1">142.3*OFFSET(J$108,MATCH($M$1,$C$109:$C$110,0),0)</f>
        <v>135.20776693282659</v>
      </c>
      <c r="K27" s="26">
        <f ca="1">119.5*OFFSET(K$108,MATCH($M$1,$C$109:$C$110,0),0)</f>
        <v>115.42982887187577</v>
      </c>
      <c r="L27" s="26">
        <f ca="1">122.7*OFFSET(L$108,MATCH($M$1,$C$109:$C$110,0),0)</f>
        <v>120.64231887790864</v>
      </c>
      <c r="M27" s="27">
        <f ca="1">106.8*OFFSET(M$108,MATCH($M$1,$C$109:$C$110,0),0)</f>
        <v>106.79999958506563</v>
      </c>
      <c r="N27" s="24">
        <f t="shared" ca="1" si="0"/>
        <v>0.50261017397848451</v>
      </c>
      <c r="O27" s="24">
        <f t="shared" ca="1" si="1"/>
        <v>0.28021461163690753</v>
      </c>
    </row>
    <row r="28" spans="1:15" s="19" customFormat="1" ht="18" customHeight="1" x14ac:dyDescent="0.2">
      <c r="A28" s="148"/>
      <c r="B28" s="33" t="s">
        <v>36</v>
      </c>
      <c r="C28" s="25"/>
      <c r="D28" s="26">
        <f ca="1">206.3*OFFSET(D$108,MATCH($M$1,$C$109:$C$110,0),0)</f>
        <v>167.81679649660063</v>
      </c>
      <c r="E28" s="26">
        <f ca="1">236*OFFSET(E$108,MATCH($M$1,$C$109:$C$110,0),0)</f>
        <v>197.13786499634961</v>
      </c>
      <c r="F28" s="26">
        <f ca="1">111.6*OFFSET(F$108,MATCH($M$1,$C$109:$C$110,0),0)</f>
        <v>95.900109517092673</v>
      </c>
      <c r="G28" s="26">
        <f ca="1">68.1*OFFSET(G$108,MATCH($M$1,$C$109:$C$110,0),0)</f>
        <v>60.218787802535516</v>
      </c>
      <c r="H28" s="26">
        <f ca="1">183*OFFSET(H$108,MATCH($M$1,$C$109:$C$110,0),0)</f>
        <v>165.02574264488462</v>
      </c>
      <c r="I28" s="26">
        <f ca="1">307.9*OFFSET(I$108,MATCH($M$1,$C$109:$C$110,0),0)</f>
        <v>286.46707726936421</v>
      </c>
      <c r="J28" s="26">
        <f ca="1">115*OFFSET(J$108,MATCH($M$1,$C$109:$C$110,0),0)</f>
        <v>109.26839913756187</v>
      </c>
      <c r="K28" s="26">
        <f ca="1">292.6*OFFSET(K$108,MATCH($M$1,$C$109:$C$110,0),0)</f>
        <v>282.63404123774774</v>
      </c>
      <c r="L28" s="26">
        <f ca="1">355.9*OFFSET(L$108,MATCH($M$1,$C$109:$C$110,0),0)</f>
        <v>349.93155084472437</v>
      </c>
      <c r="M28" s="27">
        <f ca="1">483.7*OFFSET(M$108,MATCH($M$1,$C$109:$C$110,0),0)</f>
        <v>483.69999812075139</v>
      </c>
      <c r="N28" s="24">
        <f t="shared" ca="1" si="0"/>
        <v>1.0851998021057012</v>
      </c>
      <c r="O28" s="24">
        <f t="shared" ca="1" si="1"/>
        <v>1.1204664510902074</v>
      </c>
    </row>
    <row r="29" spans="1:15" s="19" customFormat="1" ht="18" customHeight="1" x14ac:dyDescent="0.2">
      <c r="A29" s="148"/>
      <c r="B29" s="33" t="s">
        <v>37</v>
      </c>
      <c r="C29" s="25"/>
      <c r="D29" s="26">
        <f ca="1">165.1*OFFSET(D$108,MATCH($M$1,$C$109:$C$110,0),0)</f>
        <v>134.30224479684324</v>
      </c>
      <c r="E29" s="26">
        <f ca="1">101.4*OFFSET(E$108,MATCH($M$1,$C$109:$C$110,0),0)</f>
        <v>84.70245555351633</v>
      </c>
      <c r="F29" s="26">
        <f ca="1">76.3*OFFSET(F$108,MATCH($M$1,$C$109:$C$110,0),0)</f>
        <v>65.566114302456725</v>
      </c>
      <c r="G29" s="26">
        <f ca="1">101.3*OFFSET(G$108,MATCH($M$1,$C$109:$C$110,0),0)</f>
        <v>89.576552193786313</v>
      </c>
      <c r="H29" s="26">
        <f ca="1">47.3*OFFSET(H$108,MATCH($M$1,$C$109:$C$110,0),0)</f>
        <v>42.654194683623174</v>
      </c>
      <c r="I29" s="26">
        <f ca="1">108.8*OFFSET(I$108,MATCH($M$1,$C$109:$C$110,0),0)</f>
        <v>101.22643068173703</v>
      </c>
      <c r="J29" s="26">
        <f ca="1">42.7*OFFSET(J$108,MATCH($M$1,$C$109:$C$110,0),0)</f>
        <v>40.571831679772977</v>
      </c>
      <c r="K29" s="26">
        <f ca="1">171*OFFSET(K$108,MATCH($M$1,$C$109:$C$110,0),0)</f>
        <v>165.17573838569672</v>
      </c>
      <c r="L29" s="26">
        <f ca="1">100.5*OFFSET(L$108,MATCH($M$1,$C$109:$C$110,0),0)</f>
        <v>98.814613261856707</v>
      </c>
      <c r="M29" s="27">
        <f ca="1">156.7*OFFSET(M$108,MATCH($M$1,$C$109:$C$110,0),0)</f>
        <v>156.69999939119649</v>
      </c>
      <c r="N29" s="24">
        <f t="shared" ca="1" si="0"/>
        <v>-0.26423706907258387</v>
      </c>
      <c r="O29" s="24">
        <f t="shared" ca="1" si="1"/>
        <v>1.316644681602581</v>
      </c>
    </row>
    <row r="30" spans="1:15" s="19" customFormat="1" ht="18" customHeight="1" x14ac:dyDescent="0.2">
      <c r="A30" s="148"/>
      <c r="B30" s="33" t="s">
        <v>38</v>
      </c>
      <c r="C30" s="25"/>
      <c r="D30" s="26">
        <f ca="1">470.1*OFFSET(D$108,MATCH($M$1,$C$109:$C$110,0),0)</f>
        <v>382.40754257417331</v>
      </c>
      <c r="E30" s="26">
        <f ca="1">457.3*OFFSET(E$108,MATCH($M$1,$C$109:$C$110,0),0)</f>
        <v>381.99637992724865</v>
      </c>
      <c r="F30" s="26">
        <f ca="1">318.7*OFFSET(F$108,MATCH($M$1,$C$109:$C$110,0),0)</f>
        <v>273.86527690947526</v>
      </c>
      <c r="G30" s="26">
        <f ca="1">313.9*OFFSET(G$108,MATCH($M$1,$C$109:$C$110,0),0)</f>
        <v>277.57235669920556</v>
      </c>
      <c r="H30" s="26">
        <f ca="1">334.9*OFFSET(H$108,MATCH($M$1,$C$109:$C$110,0),0)</f>
        <v>302.00612684028334</v>
      </c>
      <c r="I30" s="26">
        <f ca="1">521.1*OFFSET(I$108,MATCH($M$1,$C$109:$C$110,0),0)</f>
        <v>484.82622268615046</v>
      </c>
      <c r="J30" s="26">
        <f ca="1">300*OFFSET(J$108,MATCH($M$1,$C$109:$C$110,0),0)</f>
        <v>285.04799775016141</v>
      </c>
      <c r="K30" s="26">
        <f ca="1">583*OFFSET(K$108,MATCH($M$1,$C$109:$C$110,0),0)</f>
        <v>563.14301449626419</v>
      </c>
      <c r="L30" s="26">
        <f ca="1">579.1*OFFSET(L$108,MATCH($M$1,$C$109:$C$110,0),0)</f>
        <v>569.38848298448977</v>
      </c>
      <c r="M30" s="27">
        <f ca="1">747.2*OFFSET(M$108,MATCH($M$1,$C$109:$C$110,0),0)</f>
        <v>747.19999709701358</v>
      </c>
      <c r="N30" s="24">
        <f t="shared" ca="1" si="0"/>
        <v>0.48895725003658602</v>
      </c>
      <c r="O30" s="24">
        <f t="shared" ca="1" si="1"/>
        <v>0.88535407854693038</v>
      </c>
    </row>
    <row r="31" spans="1:15" s="19" customFormat="1" ht="18" customHeight="1" x14ac:dyDescent="0.2">
      <c r="A31" s="148"/>
      <c r="B31" s="33" t="s">
        <v>39</v>
      </c>
      <c r="C31" s="25"/>
      <c r="D31" s="26">
        <f ca="1">88.4*OFFSET(D$108,MATCH($M$1,$C$109:$C$110,0),0)</f>
        <v>71.909863355790094</v>
      </c>
      <c r="E31" s="26">
        <f ca="1">82.4*OFFSET(E$108,MATCH($M$1,$C$109:$C$110,0),0)</f>
        <v>68.831186761437323</v>
      </c>
      <c r="F31" s="26">
        <f ca="1">66.7*OFFSET(F$108,MATCH($M$1,$C$109:$C$110,0),0)</f>
        <v>57.316642516040162</v>
      </c>
      <c r="G31" s="26">
        <f ca="1">100*OFFSET(G$108,MATCH($M$1,$C$109:$C$110,0),0)</f>
        <v>88.427001178466256</v>
      </c>
      <c r="H31" s="26">
        <f ca="1">34*OFFSET(H$108,MATCH($M$1,$C$109:$C$110,0),0)</f>
        <v>30.660520491399325</v>
      </c>
      <c r="I31" s="26">
        <f ca="1">86.2*OFFSET(I$108,MATCH($M$1,$C$109:$C$110,0),0)</f>
        <v>80.199616955567393</v>
      </c>
      <c r="J31" s="26">
        <f ca="1">33.8*OFFSET(J$108,MATCH($M$1,$C$109:$C$110,0),0)</f>
        <v>32.115407746518187</v>
      </c>
      <c r="K31" s="26">
        <f ca="1">164.1*OFFSET(K$108,MATCH($M$1,$C$109:$C$110,0),0)</f>
        <v>158.51075245083527</v>
      </c>
      <c r="L31" s="26">
        <f ca="1">107.8*OFFSET(L$108,MATCH($M$1,$C$109:$C$110,0),0)</f>
        <v>105.9921921356035</v>
      </c>
      <c r="M31" s="27">
        <f ca="1">124.1*OFFSET(M$108,MATCH($M$1,$C$109:$C$110,0),0)</f>
        <v>124.09999951785248</v>
      </c>
      <c r="N31" s="24">
        <f t="shared" ca="1" si="0"/>
        <v>0.47395902577624827</v>
      </c>
      <c r="O31" s="24">
        <f t="shared" ca="1" si="1"/>
        <v>2.4569599744836585</v>
      </c>
    </row>
    <row r="32" spans="1:15" s="19" customFormat="1" ht="18" customHeight="1" x14ac:dyDescent="0.2">
      <c r="A32" s="148"/>
      <c r="B32" s="33" t="s">
        <v>40</v>
      </c>
      <c r="C32" s="25"/>
      <c r="D32" s="26">
        <f ca="1">558.5*OFFSET(D$108,MATCH($M$1,$C$109:$C$110,0),0)</f>
        <v>454.3174059299634</v>
      </c>
      <c r="E32" s="26">
        <f ca="1">539.7*OFFSET(E$108,MATCH($M$1,$C$109:$C$110,0),0)</f>
        <v>450.82756668868603</v>
      </c>
      <c r="F32" s="26">
        <f ca="1">385.5*OFFSET(F$108,MATCH($M$1,$C$109:$C$110,0),0)</f>
        <v>331.26785142329055</v>
      </c>
      <c r="G32" s="26">
        <f ca="1">414*OFFSET(G$108,MATCH($M$1,$C$109:$C$110,0),0)</f>
        <v>366.0877848788503</v>
      </c>
      <c r="H32" s="26">
        <f ca="1">368.8*OFFSET(H$108,MATCH($M$1,$C$109:$C$110,0),0)</f>
        <v>332.57646933023739</v>
      </c>
      <c r="I32" s="26">
        <f ca="1">607.3*OFFSET(I$108,MATCH($M$1,$C$109:$C$110,0),0)</f>
        <v>565.02583964171777</v>
      </c>
      <c r="J32" s="26">
        <f ca="1">333.9*OFFSET(J$108,MATCH($M$1,$C$109:$C$110,0),0)</f>
        <v>317.25842149592961</v>
      </c>
      <c r="K32" s="26">
        <f ca="1">747.1*OFFSET(K$108,MATCH($M$1,$C$109:$C$110,0),0)</f>
        <v>721.65376694709948</v>
      </c>
      <c r="L32" s="26">
        <f ca="1">686.9*OFFSET(L$108,MATCH($M$1,$C$109:$C$110,0),0)</f>
        <v>675.3806751200932</v>
      </c>
      <c r="M32" s="27">
        <f ca="1">871.3*OFFSET(M$108,MATCH($M$1,$C$109:$C$110,0),0)</f>
        <v>871.29999661486602</v>
      </c>
      <c r="N32" s="24">
        <f t="shared" ca="1" si="0"/>
        <v>0.4865833144508851</v>
      </c>
      <c r="O32" s="24">
        <f t="shared" ca="1" si="1"/>
        <v>1.0307530369788809</v>
      </c>
    </row>
    <row r="33" spans="1:15" s="19" customFormat="1" ht="18" customHeight="1" x14ac:dyDescent="0.2">
      <c r="A33" s="148"/>
      <c r="B33" s="45" t="s">
        <v>41</v>
      </c>
      <c r="C33" s="46"/>
      <c r="D33" s="47">
        <f ca="1">202.6*OFFSET(D$108,MATCH($M$1,$C$109:$C$110,0),0)</f>
        <v>164.80699452356416</v>
      </c>
      <c r="E33" s="47">
        <f ca="1">201.4*OFFSET(E$108,MATCH($M$1,$C$109:$C$110,0),0)</f>
        <v>168.23544919603734</v>
      </c>
      <c r="F33" s="47">
        <f ca="1">80.5*OFFSET(F$108,MATCH($M$1,$C$109:$C$110,0),0)</f>
        <v>69.17525820901399</v>
      </c>
      <c r="G33" s="47">
        <f ca="1">11.6*OFFSET(G$108,MATCH($M$1,$C$109:$C$110,0),0)</f>
        <v>10.257532136702086</v>
      </c>
      <c r="H33" s="47">
        <f ca="1">424.1*OFFSET(H$108,MATCH($M$1,$C$109:$C$110,0),0)</f>
        <v>382.44490412948397</v>
      </c>
      <c r="I33" s="47">
        <f ca="1">254.8*OFFSET(I$108,MATCH($M$1,$C$109:$C$110,0),0)</f>
        <v>237.06336891274444</v>
      </c>
      <c r="J33" s="47">
        <f ca="1">434*OFFSET(J$108,MATCH($M$1,$C$109:$C$110,0),0)</f>
        <v>412.36943674523354</v>
      </c>
      <c r="K33" s="47">
        <f ca="1">196.1*OFFSET(K$108,MATCH($M$1,$C$109:$C$110,0),0)</f>
        <v>189.42083214874341</v>
      </c>
      <c r="L33" s="47">
        <f ca="1">425.3*OFFSET(L$108,MATCH($M$1,$C$109:$C$110,0),0)</f>
        <v>418.1677116444543</v>
      </c>
      <c r="M33" s="48">
        <f ca="1">410.6*OFFSET(M$108,MATCH($M$1,$C$109:$C$110,0),0)</f>
        <v>410.59999840475609</v>
      </c>
      <c r="N33" s="49">
        <f t="shared" ca="1" si="0"/>
        <v>1.5373177446341002</v>
      </c>
      <c r="O33" s="49">
        <f t="shared" ca="1" si="1"/>
        <v>9.3406415222820421E-2</v>
      </c>
    </row>
    <row r="34" spans="1:15" s="19" customFormat="1" ht="18" customHeight="1" x14ac:dyDescent="0.2">
      <c r="A34" s="148"/>
      <c r="B34" s="45" t="s">
        <v>42</v>
      </c>
      <c r="C34" s="46"/>
      <c r="D34" s="47">
        <f ca="1">-3.7*OFFSET(D$108,MATCH($M$1,$C$109:$C$110,0),0)</f>
        <v>-3.0098019730364629</v>
      </c>
      <c r="E34" s="47">
        <f ca="1">-34.6*OFFSET(E$108,MATCH($M$1,$C$109:$C$110,0),0)</f>
        <v>-28.902415800312276</v>
      </c>
      <c r="F34" s="47">
        <f ca="1">-31.1*OFFSET(F$108,MATCH($M$1,$C$109:$C$110,0),0)</f>
        <v>-26.724851308078698</v>
      </c>
      <c r="G34" s="47">
        <f ca="1">-56.5*OFFSET(G$108,MATCH($M$1,$C$109:$C$110,0),0)</f>
        <v>-49.961255665833434</v>
      </c>
      <c r="H34" s="47">
        <f ca="1">241.1*OFFSET(H$108,MATCH($M$1,$C$109:$C$110,0),0)</f>
        <v>217.41916148459933</v>
      </c>
      <c r="I34" s="47">
        <f ca="1">-53.1*OFFSET(I$108,MATCH($M$1,$C$109:$C$110,0),0)</f>
        <v>-49.403708356619816</v>
      </c>
      <c r="J34" s="47">
        <f ca="1">319*OFFSET(J$108,MATCH($M$1,$C$109:$C$110,0),0)</f>
        <v>303.10103760767163</v>
      </c>
      <c r="K34" s="47">
        <f ca="1">-96.5*OFFSET(K$108,MATCH($M$1,$C$109:$C$110,0),0)</f>
        <v>-93.21320908900428</v>
      </c>
      <c r="L34" s="47">
        <f ca="1">69.4*OFFSET(L$108,MATCH($M$1,$C$109:$C$110,0),0)</f>
        <v>68.236160799729902</v>
      </c>
      <c r="M34" s="48">
        <f ca="1">-73.1*OFFSET(M$108,MATCH($M$1,$C$109:$C$110,0),0)</f>
        <v>-73.099999715995295</v>
      </c>
      <c r="N34" s="49" t="str">
        <f t="shared" ca="1" si="0"/>
        <v>na</v>
      </c>
      <c r="O34" s="49">
        <f t="shared" ca="1" si="1"/>
        <v>-0.68615387745130574</v>
      </c>
    </row>
    <row r="35" spans="1:15" s="19" customFormat="1" ht="18" customHeight="1" x14ac:dyDescent="0.2">
      <c r="A35" s="148"/>
      <c r="B35" s="33" t="s">
        <v>43</v>
      </c>
      <c r="C35" s="25"/>
      <c r="D35" s="26"/>
      <c r="E35" s="26"/>
      <c r="F35" s="26">
        <f ca="1">18*OFFSET(F$108,MATCH($M$1,$C$109:$C$110,0),0)</f>
        <v>15.467759599531078</v>
      </c>
      <c r="G35" s="26">
        <f ca="1">19.4*OFFSET(G$108,MATCH($M$1,$C$109:$C$110,0),0)</f>
        <v>17.154838228622452</v>
      </c>
      <c r="H35" s="26">
        <f ca="1">52.6*OFFSET(H$108,MATCH($M$1,$C$109:$C$110,0),0)</f>
        <v>47.433628760223662</v>
      </c>
      <c r="I35" s="26">
        <f ca="1">31*OFFSET(I$108,MATCH($M$1,$C$109:$C$110,0),0)</f>
        <v>28.842089624391985</v>
      </c>
      <c r="J35" s="26">
        <f ca="1">61.2*OFFSET(J$108,MATCH($M$1,$C$109:$C$110,0),0)</f>
        <v>58.149791541032933</v>
      </c>
      <c r="K35" s="26">
        <f ca="1">5.1*OFFSET(K$108,MATCH($M$1,$C$109:$C$110,0),0)</f>
        <v>4.9262939518541122</v>
      </c>
      <c r="L35" s="26">
        <f ca="1">38.3*OFFSET(L$108,MATCH($M$1,$C$109:$C$110,0),0)</f>
        <v>37.657708337603097</v>
      </c>
      <c r="M35" s="27"/>
      <c r="N35" s="24" t="str">
        <f t="shared" ca="1" si="0"/>
        <v/>
      </c>
      <c r="O35" s="24">
        <f t="shared" ca="1" si="1"/>
        <v>-0.20609682788634426</v>
      </c>
    </row>
    <row r="36" spans="1:15" s="19" customFormat="1" ht="18" customHeight="1" x14ac:dyDescent="0.2">
      <c r="A36" s="148"/>
      <c r="B36" s="33" t="s">
        <v>44</v>
      </c>
      <c r="C36" s="25"/>
      <c r="D36" s="26">
        <f ca="1">36.2*OFFSET(D$108,MATCH($M$1,$C$109:$C$110,0),0)</f>
        <v>29.447251736194584</v>
      </c>
      <c r="E36" s="26"/>
      <c r="F36" s="26"/>
      <c r="G36" s="26"/>
      <c r="H36" s="26"/>
      <c r="I36" s="26">
        <f ca="1">3.4*OFFSET(I$108,MATCH($M$1,$C$109:$C$110,0),0)</f>
        <v>3.1633259588042821</v>
      </c>
      <c r="J36" s="26"/>
      <c r="K36" s="26"/>
      <c r="L36" s="26">
        <f ca="1">8.8*OFFSET(L$108,MATCH($M$1,$C$109:$C$110,0),0)</f>
        <v>8.6524238478043678</v>
      </c>
      <c r="M36" s="27"/>
      <c r="N36" s="24">
        <f t="shared" ca="1" si="0"/>
        <v>-0.70617210986893597</v>
      </c>
      <c r="O36" s="24" t="str">
        <f t="shared" ca="1" si="1"/>
        <v/>
      </c>
    </row>
    <row r="37" spans="1:15" s="19" customFormat="1" ht="18" customHeight="1" x14ac:dyDescent="0.2">
      <c r="A37" s="148"/>
      <c r="B37" s="33" t="s">
        <v>45</v>
      </c>
      <c r="C37" s="25"/>
      <c r="D37" s="26"/>
      <c r="E37" s="26"/>
      <c r="F37" s="26"/>
      <c r="G37" s="26"/>
      <c r="H37" s="26"/>
      <c r="I37" s="26">
        <f ca="1">0.2*OFFSET(I$108,MATCH($M$1,$C$109:$C$110,0),0)</f>
        <v>0.1860779975767225</v>
      </c>
      <c r="J37" s="26"/>
      <c r="K37" s="26">
        <f ca="1">1*OFFSET(K$108,MATCH($M$1,$C$109:$C$110,0),0)</f>
        <v>0.96593999055962987</v>
      </c>
      <c r="L37" s="26">
        <f ca="1">4.2*OFFSET(L$108,MATCH($M$1,$C$109:$C$110,0),0)</f>
        <v>4.1295659273611758</v>
      </c>
      <c r="M37" s="27"/>
      <c r="N37" s="24" t="str">
        <f t="shared" ca="1" si="0"/>
        <v/>
      </c>
      <c r="O37" s="24" t="str">
        <f t="shared" ca="1" si="1"/>
        <v/>
      </c>
    </row>
    <row r="38" spans="1:15" s="19" customFormat="1" ht="18" customHeight="1" thickBot="1" x14ac:dyDescent="0.25">
      <c r="A38" s="149"/>
      <c r="B38" s="50" t="s">
        <v>46</v>
      </c>
      <c r="C38" s="51"/>
      <c r="D38" s="52">
        <f ca="1">-39.9*OFFSET(D$108,MATCH($M$1,$C$109:$C$110,0),0)</f>
        <v>-32.457053709231047</v>
      </c>
      <c r="E38" s="52"/>
      <c r="F38" s="52">
        <f ca="1">-49.1*OFFSET(F$108,MATCH($M$1,$C$109:$C$110,0),0)</f>
        <v>-42.192610907609776</v>
      </c>
      <c r="G38" s="52">
        <f ca="1">-75.9*OFFSET(G$108,MATCH($M$1,$C$109:$C$110,0),0)</f>
        <v>-67.116093894455901</v>
      </c>
      <c r="H38" s="52">
        <f ca="1">188.4*OFFSET(H$108,MATCH($M$1,$C$109:$C$110,0),0)</f>
        <v>169.89535472293039</v>
      </c>
      <c r="I38" s="52">
        <f ca="1">-87.7*OFFSET(I$108,MATCH($M$1,$C$109:$C$110,0),0)</f>
        <v>-81.595201937392815</v>
      </c>
      <c r="J38" s="52">
        <f ca="1">257.8*OFFSET(J$108,MATCH($M$1,$C$109:$C$110,0),0)</f>
        <v>244.95124606663873</v>
      </c>
      <c r="K38" s="52">
        <f ca="1">-102.6*OFFSET(K$108,MATCH($M$1,$C$109:$C$110,0),0)</f>
        <v>-99.105443031418019</v>
      </c>
      <c r="L38" s="52">
        <f ca="1">18.1*OFFSET(L$108,MATCH($M$1,$C$109:$C$110,0),0)</f>
        <v>17.796462686961259</v>
      </c>
      <c r="M38" s="53"/>
      <c r="N38" s="54" t="str">
        <f t="shared" ca="1" si="0"/>
        <v>na</v>
      </c>
      <c r="O38" s="54">
        <f t="shared" ca="1" si="1"/>
        <v>-0.89525044568767531</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Longliners</v>
      </c>
      <c r="C45" s="61"/>
      <c r="D45" s="61"/>
      <c r="E45" s="61"/>
      <c r="F45" s="61" t="str">
        <f>$B21&amp;CHAR(10)&amp;$A$1</f>
        <v>Income per kW day at sea (£)
Longliners</v>
      </c>
      <c r="G45" s="61"/>
      <c r="K45" s="61" t="str">
        <f>$B23&amp;CHAR(10)&amp;$A$1</f>
        <v>Operating profit per kW day at sea (£)
Longliners</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Longliners</v>
      </c>
      <c r="F59" s="61" t="str">
        <f>$B19&amp;CHAR(10)&amp;$A$1</f>
        <v>Average price per tonne landed (£)
Longliners</v>
      </c>
      <c r="K59" s="61" t="str">
        <f>"Average annual operating profit per vessel (£'000)"&amp;CHAR(10)&amp;$A$1</f>
        <v>Average annual operating profit per vessel (£'000)
Longliners</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Longliners</v>
      </c>
      <c r="F73" s="61" t="str">
        <f>"Top 5 landed species by value in "&amp;A74&amp;CHAR(10)&amp;A1</f>
        <v>Top 5 landed species by value in 2013
Longliners</v>
      </c>
    </row>
    <row r="74" spans="1:9" s="61" customFormat="1" x14ac:dyDescent="0.2">
      <c r="A74" s="61">
        <v>2013</v>
      </c>
      <c r="B74" s="61" t="s">
        <v>156</v>
      </c>
      <c r="C74" s="62">
        <v>0.58410360643885539</v>
      </c>
      <c r="D74" s="63">
        <v>8211234</v>
      </c>
      <c r="G74" s="61" t="s">
        <v>157</v>
      </c>
      <c r="H74" s="62">
        <v>0.69963811507992435</v>
      </c>
      <c r="I74" s="63">
        <v>8211234</v>
      </c>
    </row>
    <row r="75" spans="1:9" s="61" customFormat="1" x14ac:dyDescent="0.2">
      <c r="B75" s="61" t="s">
        <v>158</v>
      </c>
      <c r="C75" s="62">
        <v>0.1674644411274791</v>
      </c>
      <c r="D75" s="63">
        <v>2171775</v>
      </c>
      <c r="G75" s="61" t="s">
        <v>159</v>
      </c>
      <c r="H75" s="62">
        <v>8.3657888813392076E-2</v>
      </c>
      <c r="I75" s="63">
        <v>2171775</v>
      </c>
    </row>
    <row r="76" spans="1:9" s="61" customFormat="1" x14ac:dyDescent="0.2">
      <c r="B76" s="61" t="s">
        <v>160</v>
      </c>
      <c r="C76" s="62">
        <v>8.2810403594478388E-2</v>
      </c>
      <c r="D76" s="63">
        <v>2783840</v>
      </c>
      <c r="G76" s="61" t="s">
        <v>161</v>
      </c>
      <c r="H76" s="62">
        <v>6.4839205792237717E-2</v>
      </c>
      <c r="I76" s="63">
        <v>2783840</v>
      </c>
    </row>
    <row r="77" spans="1:9" s="61" customFormat="1" x14ac:dyDescent="0.2">
      <c r="B77" s="61" t="s">
        <v>162</v>
      </c>
      <c r="C77" s="62">
        <v>3.962179528413199E-2</v>
      </c>
      <c r="D77" s="63">
        <v>6763595</v>
      </c>
      <c r="G77" s="61" t="s">
        <v>163</v>
      </c>
      <c r="H77" s="62">
        <v>5.4944930142796916E-2</v>
      </c>
      <c r="I77" s="63">
        <v>6763595</v>
      </c>
    </row>
    <row r="78" spans="1:9" s="61" customFormat="1" x14ac:dyDescent="0.2">
      <c r="B78" s="61" t="s">
        <v>164</v>
      </c>
      <c r="C78" s="62">
        <v>2.8648670861488607E-2</v>
      </c>
      <c r="D78" s="63">
        <v>3511670</v>
      </c>
      <c r="G78" s="61" t="s">
        <v>165</v>
      </c>
      <c r="H78" s="62">
        <v>2.1265391491096606E-2</v>
      </c>
      <c r="I78" s="63">
        <v>2764187</v>
      </c>
    </row>
    <row r="79" spans="1:9" s="61" customFormat="1" x14ac:dyDescent="0.2">
      <c r="B79" s="61" t="s">
        <v>166</v>
      </c>
      <c r="C79" s="62">
        <v>9.7351082693566626E-2</v>
      </c>
      <c r="D79" s="63">
        <v>32768</v>
      </c>
      <c r="G79" s="61" t="s">
        <v>167</v>
      </c>
      <c r="H79" s="62">
        <v>7.5654468680552367E-2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66</v>
      </c>
      <c r="D88" s="66">
        <v>0.38687297714134194</v>
      </c>
      <c r="E88" s="66">
        <v>0.3191375840036601</v>
      </c>
      <c r="F88" s="66">
        <v>0.37840813525973788</v>
      </c>
      <c r="G88" s="66">
        <v>0.54316703698293467</v>
      </c>
      <c r="H88" s="66">
        <v>0.66866933951753249</v>
      </c>
      <c r="I88" s="66">
        <v>0.51384662097137257</v>
      </c>
      <c r="J88" s="66">
        <v>0.57719140395385038</v>
      </c>
      <c r="K88" s="66">
        <v>0.6457139061786541</v>
      </c>
      <c r="L88" s="66">
        <v>0.71157115385221414</v>
      </c>
      <c r="M88" s="66">
        <v>0.79670933922180276</v>
      </c>
      <c r="N88" s="61"/>
      <c r="O88" s="61">
        <v>8211234</v>
      </c>
    </row>
    <row r="89" spans="1:15" s="65" customFormat="1" hidden="1" x14ac:dyDescent="0.2">
      <c r="A89" s="61"/>
      <c r="B89" s="61">
        <v>2</v>
      </c>
      <c r="C89" s="61" t="s">
        <v>168</v>
      </c>
      <c r="D89" s="66">
        <v>9.4103224143550962E-2</v>
      </c>
      <c r="E89" s="66">
        <v>8.8402579253463856E-2</v>
      </c>
      <c r="F89" s="66">
        <v>0.11457753802022137</v>
      </c>
      <c r="G89" s="66">
        <v>6.6125018259539162E-2</v>
      </c>
      <c r="H89" s="66">
        <v>7.2063348802590799E-2</v>
      </c>
      <c r="I89" s="66">
        <v>0.119532696183774</v>
      </c>
      <c r="J89" s="66">
        <v>0.12393992601783631</v>
      </c>
      <c r="K89" s="66">
        <v>0.12657078501400459</v>
      </c>
      <c r="L89" s="66">
        <v>8.508475909004086E-2</v>
      </c>
      <c r="M89" s="66">
        <v>8.091024758430905E-2</v>
      </c>
      <c r="N89" s="61"/>
      <c r="O89" s="61">
        <v>2171775</v>
      </c>
    </row>
    <row r="90" spans="1:15" s="65" customFormat="1" hidden="1" x14ac:dyDescent="0.2">
      <c r="A90" s="61"/>
      <c r="B90" s="61">
        <v>3</v>
      </c>
      <c r="C90" s="61" t="s">
        <v>169</v>
      </c>
      <c r="D90" s="66">
        <v>6.8996477689832081E-2</v>
      </c>
      <c r="E90" s="66">
        <v>0.23254222543218153</v>
      </c>
      <c r="F90" s="66">
        <v>0.19463956227246712</v>
      </c>
      <c r="G90" s="66">
        <v>9.7940977481183064E-2</v>
      </c>
      <c r="H90" s="66">
        <v>8.0876289087007447E-2</v>
      </c>
      <c r="I90" s="66">
        <v>0.10825371785904582</v>
      </c>
      <c r="J90" s="66">
        <v>9.5846745411926407E-2</v>
      </c>
      <c r="K90" s="66">
        <v>9.6583283428875052E-2</v>
      </c>
      <c r="L90" s="66">
        <v>6.5945104313210753E-2</v>
      </c>
      <c r="M90" s="66">
        <v>4.9995833843813953E-2</v>
      </c>
      <c r="N90" s="61"/>
      <c r="O90" s="61">
        <v>2783840</v>
      </c>
    </row>
    <row r="91" spans="1:15" s="65" customFormat="1" hidden="1" x14ac:dyDescent="0.2">
      <c r="A91" s="61"/>
      <c r="B91" s="61">
        <v>4</v>
      </c>
      <c r="C91" s="61" t="s">
        <v>170</v>
      </c>
      <c r="D91" s="66"/>
      <c r="E91" s="66"/>
      <c r="F91" s="66"/>
      <c r="G91" s="66">
        <v>6.9554979792776653E-2</v>
      </c>
      <c r="H91" s="66">
        <v>4.3693740102054915E-2</v>
      </c>
      <c r="I91" s="66">
        <v>5.7636889974698284E-2</v>
      </c>
      <c r="J91" s="66">
        <v>6.3374783582717961E-2</v>
      </c>
      <c r="K91" s="66">
        <v>6.3236075691803562E-2</v>
      </c>
      <c r="L91" s="66">
        <v>5.5882071741578811E-2</v>
      </c>
      <c r="M91" s="66">
        <v>2.5745633215868421E-2</v>
      </c>
      <c r="N91" s="61"/>
      <c r="O91" s="61">
        <v>6763595</v>
      </c>
    </row>
    <row r="92" spans="1:15" s="65" customFormat="1" hidden="1" x14ac:dyDescent="0.2">
      <c r="A92" s="61"/>
      <c r="B92" s="61">
        <v>5</v>
      </c>
      <c r="C92" s="61" t="s">
        <v>59</v>
      </c>
      <c r="D92" s="66"/>
      <c r="E92" s="66"/>
      <c r="F92" s="66"/>
      <c r="G92" s="66"/>
      <c r="H92" s="66"/>
      <c r="I92" s="66"/>
      <c r="J92" s="66"/>
      <c r="K92" s="66">
        <v>2.0846099502498355E-2</v>
      </c>
      <c r="L92" s="66">
        <v>2.1628094345188809E-2</v>
      </c>
      <c r="M92" s="66">
        <v>2.1908132438820258E-2</v>
      </c>
      <c r="N92" s="61"/>
      <c r="O92" s="61">
        <v>2764187</v>
      </c>
    </row>
    <row r="93" spans="1:15" s="65" customFormat="1" hidden="1" x14ac:dyDescent="0.2">
      <c r="A93" s="61"/>
      <c r="B93" s="61">
        <v>6</v>
      </c>
      <c r="C93" s="61" t="s">
        <v>171</v>
      </c>
      <c r="D93" s="66"/>
      <c r="E93" s="66"/>
      <c r="F93" s="66"/>
      <c r="G93" s="66"/>
      <c r="H93" s="66"/>
      <c r="I93" s="66"/>
      <c r="J93" s="66">
        <v>1.9826066363976085E-2</v>
      </c>
      <c r="K93" s="66"/>
      <c r="L93" s="66"/>
      <c r="M93" s="66"/>
      <c r="N93" s="61"/>
      <c r="O93" s="61">
        <v>3511670</v>
      </c>
    </row>
    <row r="94" spans="1:15" s="65" customFormat="1" hidden="1" x14ac:dyDescent="0.2">
      <c r="A94" s="61"/>
      <c r="B94" s="61">
        <v>7</v>
      </c>
      <c r="C94" s="61" t="s">
        <v>172</v>
      </c>
      <c r="D94" s="66"/>
      <c r="E94" s="66"/>
      <c r="F94" s="66"/>
      <c r="G94" s="66"/>
      <c r="H94" s="66">
        <v>6.2107981910449368E-2</v>
      </c>
      <c r="I94" s="66">
        <v>7.3653259655366524E-2</v>
      </c>
      <c r="J94" s="66"/>
      <c r="K94" s="66"/>
      <c r="L94" s="66"/>
      <c r="M94" s="66"/>
      <c r="N94" s="61"/>
      <c r="O94" s="61">
        <v>1464488</v>
      </c>
    </row>
    <row r="95" spans="1:15" s="65" customFormat="1" hidden="1" x14ac:dyDescent="0.2">
      <c r="A95" s="61"/>
      <c r="B95" s="61">
        <v>8</v>
      </c>
      <c r="C95" s="61" t="s">
        <v>173</v>
      </c>
      <c r="D95" s="66"/>
      <c r="E95" s="66"/>
      <c r="F95" s="66"/>
      <c r="G95" s="66">
        <v>4.1621120328441057E-2</v>
      </c>
      <c r="H95" s="66"/>
      <c r="I95" s="66"/>
      <c r="J95" s="66"/>
      <c r="K95" s="66"/>
      <c r="L95" s="66"/>
      <c r="M95" s="66"/>
      <c r="N95" s="61"/>
      <c r="O95" s="61">
        <v>8274269</v>
      </c>
    </row>
    <row r="96" spans="1:15" s="65" customFormat="1" hidden="1" x14ac:dyDescent="0.2">
      <c r="A96" s="61"/>
      <c r="B96" s="61">
        <v>9</v>
      </c>
      <c r="C96" s="61" t="s">
        <v>174</v>
      </c>
      <c r="D96" s="66">
        <v>0.14029978959922285</v>
      </c>
      <c r="E96" s="66">
        <v>4.7875471123074921E-2</v>
      </c>
      <c r="F96" s="66">
        <v>5.7542716535408898E-2</v>
      </c>
      <c r="G96" s="66"/>
      <c r="H96" s="66"/>
      <c r="I96" s="66"/>
      <c r="J96" s="66"/>
      <c r="K96" s="66"/>
      <c r="L96" s="66"/>
      <c r="M96" s="66"/>
      <c r="N96" s="61"/>
      <c r="O96" s="61">
        <v>10520359</v>
      </c>
    </row>
    <row r="97" spans="1:15" s="65" customFormat="1" hidden="1" x14ac:dyDescent="0.2">
      <c r="A97" s="61"/>
      <c r="B97" s="61">
        <v>10</v>
      </c>
      <c r="C97" s="61" t="s">
        <v>175</v>
      </c>
      <c r="D97" s="66"/>
      <c r="E97" s="66"/>
      <c r="F97" s="66">
        <v>5.4798439444838525E-2</v>
      </c>
      <c r="G97" s="66"/>
      <c r="H97" s="66"/>
      <c r="I97" s="66"/>
      <c r="J97" s="66"/>
      <c r="K97" s="66"/>
      <c r="L97" s="66"/>
      <c r="M97" s="66"/>
      <c r="N97" s="61"/>
      <c r="O97" s="61">
        <v>1928395</v>
      </c>
    </row>
    <row r="98" spans="1:15" s="65" customFormat="1" hidden="1" x14ac:dyDescent="0.2">
      <c r="A98" s="61"/>
      <c r="B98" s="61">
        <v>11</v>
      </c>
      <c r="C98" s="61" t="s">
        <v>176</v>
      </c>
      <c r="D98" s="66"/>
      <c r="E98" s="66">
        <v>3.6834912575766952E-2</v>
      </c>
      <c r="F98" s="66"/>
      <c r="G98" s="66"/>
      <c r="H98" s="66"/>
      <c r="I98" s="66"/>
      <c r="J98" s="66"/>
      <c r="K98" s="66"/>
      <c r="L98" s="66"/>
      <c r="M98" s="66"/>
      <c r="N98" s="61"/>
      <c r="O98" s="61">
        <v>10782840</v>
      </c>
    </row>
    <row r="99" spans="1:15" s="65" customFormat="1" hidden="1" x14ac:dyDescent="0.2">
      <c r="A99" s="61"/>
      <c r="B99" s="61">
        <v>12</v>
      </c>
      <c r="C99" s="61" t="s">
        <v>177</v>
      </c>
      <c r="D99" s="66">
        <v>0.11544139433885003</v>
      </c>
      <c r="E99" s="66"/>
      <c r="F99" s="66"/>
      <c r="G99" s="66"/>
      <c r="H99" s="66"/>
      <c r="I99" s="66"/>
      <c r="J99" s="66"/>
      <c r="K99" s="66"/>
      <c r="L99" s="66"/>
      <c r="M99" s="66"/>
      <c r="N99" s="61"/>
      <c r="O99" s="61">
        <v>7829670</v>
      </c>
    </row>
    <row r="100" spans="1:15" s="65" customFormat="1" hidden="1" x14ac:dyDescent="0.2">
      <c r="A100" s="61"/>
      <c r="B100" s="61">
        <v>13</v>
      </c>
      <c r="C100" s="61" t="s">
        <v>68</v>
      </c>
      <c r="D100" s="66">
        <v>0.19428613708720216</v>
      </c>
      <c r="E100" s="66">
        <v>0.27520722761185262</v>
      </c>
      <c r="F100" s="66">
        <v>0.20003360846732618</v>
      </c>
      <c r="G100" s="66">
        <v>0.18159086715512535</v>
      </c>
      <c r="H100" s="66">
        <v>7.2589300580365002E-2</v>
      </c>
      <c r="I100" s="66">
        <v>0.12707681535574281</v>
      </c>
      <c r="J100" s="66">
        <v>0.11982107466969284</v>
      </c>
      <c r="K100" s="66">
        <v>4.7049850184164327E-2</v>
      </c>
      <c r="L100" s="66">
        <v>5.9888816657766644E-2</v>
      </c>
      <c r="M100" s="66">
        <v>2.4730813695385521E-2</v>
      </c>
      <c r="N100" s="61"/>
      <c r="O100" s="61">
        <v>32768</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14</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Longliners!D3:L3</xm:f>
              <xm:sqref>C3</xm:sqref>
            </x14:sparkline>
            <x14:sparkline>
              <xm:f>Longliners!D4:L4</xm:f>
              <xm:sqref>C4</xm:sqref>
            </x14:sparkline>
            <x14:sparkline>
              <xm:f>Longliners!D5:L5</xm:f>
              <xm:sqref>C5</xm:sqref>
            </x14:sparkline>
            <x14:sparkline>
              <xm:f>Longliners!D6:L6</xm:f>
              <xm:sqref>C6</xm:sqref>
            </x14:sparkline>
            <x14:sparkline>
              <xm:f>Longliners!D7:L7</xm:f>
              <xm:sqref>C7</xm:sqref>
            </x14:sparkline>
            <x14:sparkline>
              <xm:f>Longliners!D8:L8</xm:f>
              <xm:sqref>C8</xm:sqref>
            </x14:sparkline>
            <x14:sparkline>
              <xm:f>Longliners!D9:L9</xm:f>
              <xm:sqref>C9</xm:sqref>
            </x14:sparkline>
            <x14:sparkline>
              <xm:f>Longliners!D10:L10</xm:f>
              <xm:sqref>C10</xm:sqref>
            </x14:sparkline>
            <x14:sparkline>
              <xm:f>Longliners!D11:L11</xm:f>
              <xm:sqref>C11</xm:sqref>
            </x14:sparkline>
            <x14:sparkline>
              <xm:f>Longliners!D12:L12</xm:f>
              <xm:sqref>C12</xm:sqref>
            </x14:sparkline>
            <x14:sparkline>
              <xm:f>Longliners!D13:L13</xm:f>
              <xm:sqref>C13</xm:sqref>
            </x14:sparkline>
            <x14:sparkline>
              <xm:f>Longliners!D14:L14</xm:f>
              <xm:sqref>C14</xm:sqref>
            </x14:sparkline>
            <x14:sparkline>
              <xm:f>Longliners!D15:L15</xm:f>
              <xm:sqref>C15</xm:sqref>
            </x14:sparkline>
            <x14:sparkline>
              <xm:f>Longliners!D16:L16</xm:f>
              <xm:sqref>C16</xm:sqref>
            </x14:sparkline>
            <x14:sparkline>
              <xm:f>Longliners!D17:L17</xm:f>
              <xm:sqref>C17</xm:sqref>
            </x14:sparkline>
            <x14:sparkline>
              <xm:f>Longliners!D18:L18</xm:f>
              <xm:sqref>C18</xm:sqref>
            </x14:sparkline>
            <x14:sparkline>
              <xm:f>Longliners!D19:L19</xm:f>
              <xm:sqref>C19</xm:sqref>
            </x14:sparkline>
            <x14:sparkline>
              <xm:f>Longliners!D20:L20</xm:f>
              <xm:sqref>C20</xm:sqref>
            </x14:sparkline>
            <x14:sparkline>
              <xm:f>Longliners!D21:L21</xm:f>
              <xm:sqref>C21</xm:sqref>
            </x14:sparkline>
            <x14:sparkline>
              <xm:f>Longliners!D22:L22</xm:f>
              <xm:sqref>C22</xm:sqref>
            </x14:sparkline>
            <x14:sparkline>
              <xm:f>Longliners!D23:L23</xm:f>
              <xm:sqref>C23</xm:sqref>
            </x14:sparkline>
            <x14:sparkline>
              <xm:f>Longliners!D24:L24</xm:f>
              <xm:sqref>C24</xm:sqref>
            </x14:sparkline>
            <x14:sparkline>
              <xm:f>Longliners!D25:L25</xm:f>
              <xm:sqref>C25</xm:sqref>
            </x14:sparkline>
            <x14:sparkline>
              <xm:f>Longliners!D26:L26</xm:f>
              <xm:sqref>C26</xm:sqref>
            </x14:sparkline>
            <x14:sparkline>
              <xm:f>Longliners!D27:L27</xm:f>
              <xm:sqref>C27</xm:sqref>
            </x14:sparkline>
            <x14:sparkline>
              <xm:f>Longliners!D28:L28</xm:f>
              <xm:sqref>C28</xm:sqref>
            </x14:sparkline>
            <x14:sparkline>
              <xm:f>Longliners!D29:L29</xm:f>
              <xm:sqref>C29</xm:sqref>
            </x14:sparkline>
            <x14:sparkline>
              <xm:f>Longliners!D30:L30</xm:f>
              <xm:sqref>C30</xm:sqref>
            </x14:sparkline>
            <x14:sparkline>
              <xm:f>Longliners!D31:L31</xm:f>
              <xm:sqref>C31</xm:sqref>
            </x14:sparkline>
            <x14:sparkline>
              <xm:f>Longliners!D32:L32</xm:f>
              <xm:sqref>C32</xm:sqref>
            </x14:sparkline>
            <x14:sparkline>
              <xm:f>Longliners!D33:L33</xm:f>
              <xm:sqref>C33</xm:sqref>
            </x14:sparkline>
            <x14:sparkline>
              <xm:f>Longliners!D34:L34</xm:f>
              <xm:sqref>C34</xm:sqref>
            </x14:sparkline>
            <x14:sparkline>
              <xm:f>Longliners!D35:L35</xm:f>
              <xm:sqref>C35</xm:sqref>
            </x14:sparkline>
            <x14:sparkline>
              <xm:f>Longliners!D36:L36</xm:f>
              <xm:sqref>C36</xm:sqref>
            </x14:sparkline>
            <x14:sparkline>
              <xm:f>Longliners!D37:L37</xm:f>
              <xm:sqref>C37</xm:sqref>
            </x14:sparkline>
            <x14:sparkline>
              <xm:f>Longliners!D38:L38</xm:f>
              <xm:sqref>C38</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178</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76</v>
      </c>
      <c r="E3" s="16">
        <v>74</v>
      </c>
      <c r="F3" s="16">
        <v>56</v>
      </c>
      <c r="G3" s="16">
        <v>70</v>
      </c>
      <c r="H3" s="16">
        <v>70</v>
      </c>
      <c r="I3" s="16">
        <v>79</v>
      </c>
      <c r="J3" s="16">
        <v>70</v>
      </c>
      <c r="K3" s="16">
        <v>62</v>
      </c>
      <c r="L3" s="16">
        <v>53</v>
      </c>
      <c r="M3" s="17">
        <v>55</v>
      </c>
      <c r="N3" s="18">
        <f t="shared" ref="N3:N38" si="0">IF(L3=0,"",IFERROR(IF(AND(L3&gt;0,D3&lt;0),"na",IF(AND(L3&lt;0,D3&lt;0),-1,1)*(L3-D3)/D3),""))</f>
        <v>-0.30263157894736842</v>
      </c>
      <c r="O3" s="18">
        <f t="shared" ref="O3:O38" si="1">IF(L3=0,"",IFERROR(IF(AND(L3&gt;0,H3&lt;0),"na",IF(AND(L3&lt;0,H3&lt;0),-1,1)*(L3-H3)/H3),""))</f>
        <v>-0.24285714285714285</v>
      </c>
    </row>
    <row r="4" spans="1:15" s="19" customFormat="1" ht="18" customHeight="1" x14ac:dyDescent="0.2">
      <c r="A4" s="141"/>
      <c r="B4" s="20" t="s">
        <v>20</v>
      </c>
      <c r="C4" s="21"/>
      <c r="D4" s="22">
        <v>9878.599609375</v>
      </c>
      <c r="E4" s="22">
        <v>11605.6298828125</v>
      </c>
      <c r="F4" s="22">
        <v>8089.81005859375</v>
      </c>
      <c r="G4" s="22">
        <v>10204.5302734375</v>
      </c>
      <c r="H4" s="22">
        <v>9149.8798828125</v>
      </c>
      <c r="I4" s="22">
        <v>10150.25</v>
      </c>
      <c r="J4" s="22">
        <v>9394.490234375</v>
      </c>
      <c r="K4" s="22">
        <v>9163.400390625</v>
      </c>
      <c r="L4" s="22">
        <v>7957.919921875</v>
      </c>
      <c r="M4" s="23">
        <v>8389.4296875</v>
      </c>
      <c r="N4" s="24">
        <f t="shared" si="0"/>
        <v>-0.19442833634812309</v>
      </c>
      <c r="O4" s="24">
        <f t="shared" si="1"/>
        <v>-0.13027055832465356</v>
      </c>
    </row>
    <row r="5" spans="1:15" s="19" customFormat="1" ht="18" customHeight="1" x14ac:dyDescent="0.2">
      <c r="A5" s="141"/>
      <c r="B5" s="20" t="s">
        <v>21</v>
      </c>
      <c r="C5" s="21"/>
      <c r="D5" s="22">
        <v>1837.219970703125</v>
      </c>
      <c r="E5" s="22">
        <v>2370.43994140625</v>
      </c>
      <c r="F5" s="22">
        <v>1756.43994140625</v>
      </c>
      <c r="G5" s="22">
        <v>1860.7900390625</v>
      </c>
      <c r="H5" s="22">
        <v>1642.719970703125</v>
      </c>
      <c r="I5" s="22">
        <v>1817.719970703125</v>
      </c>
      <c r="J5" s="22">
        <v>1695.280029296875</v>
      </c>
      <c r="K5" s="22">
        <v>2053.7099609375</v>
      </c>
      <c r="L5" s="22">
        <v>1564.93994140625</v>
      </c>
      <c r="M5" s="23">
        <v>1494.3399658203125</v>
      </c>
      <c r="N5" s="24">
        <f t="shared" si="0"/>
        <v>-0.14820219333489518</v>
      </c>
      <c r="O5" s="24">
        <f t="shared" si="1"/>
        <v>-4.7348319058654414E-2</v>
      </c>
    </row>
    <row r="6" spans="1:15" s="19" customFormat="1" ht="18" customHeight="1" x14ac:dyDescent="0.2">
      <c r="A6" s="141"/>
      <c r="B6" s="20" t="s">
        <v>22</v>
      </c>
      <c r="C6" s="21"/>
      <c r="D6" s="22">
        <v>8918.68359375</v>
      </c>
      <c r="E6" s="22">
        <v>10150.203125</v>
      </c>
      <c r="F6" s="22">
        <v>5819.26904296875</v>
      </c>
      <c r="G6" s="22">
        <v>8860.546875</v>
      </c>
      <c r="H6" s="22">
        <v>8094.55029296875</v>
      </c>
      <c r="I6" s="22">
        <v>9284.357421875</v>
      </c>
      <c r="J6" s="22">
        <v>8391.15625</v>
      </c>
      <c r="K6" s="22">
        <v>8293.96484375</v>
      </c>
      <c r="L6" s="22">
        <v>6861.95703125</v>
      </c>
      <c r="M6" s="23">
        <v>7277.986328125</v>
      </c>
      <c r="N6" s="24">
        <f t="shared" si="0"/>
        <v>-0.23060875978841819</v>
      </c>
      <c r="O6" s="24">
        <f t="shared" si="1"/>
        <v>-0.15227445838336809</v>
      </c>
    </row>
    <row r="7" spans="1:15" s="19" customFormat="1" ht="18" customHeight="1" x14ac:dyDescent="0.2">
      <c r="A7" s="141"/>
      <c r="B7" s="20" t="s">
        <v>23</v>
      </c>
      <c r="C7" s="21"/>
      <c r="D7" s="22">
        <v>1121.2276611328125</v>
      </c>
      <c r="E7" s="22">
        <v>5176.5830078125</v>
      </c>
      <c r="F7" s="22">
        <v>263.97698974609375</v>
      </c>
      <c r="G7" s="22">
        <v>4687.70458984375</v>
      </c>
      <c r="H7" s="22">
        <v>1552.47265625</v>
      </c>
      <c r="I7" s="22">
        <v>3625.877197265625</v>
      </c>
      <c r="J7" s="22">
        <v>7307.107421875</v>
      </c>
      <c r="K7" s="22">
        <v>7926.12158203125</v>
      </c>
      <c r="L7" s="22">
        <v>157.4822998046875</v>
      </c>
      <c r="M7" s="23">
        <v>2202.1376953125</v>
      </c>
      <c r="N7" s="24">
        <f t="shared" si="0"/>
        <v>-0.85954476038739713</v>
      </c>
      <c r="O7" s="24">
        <f t="shared" si="1"/>
        <v>-0.89856033910118183</v>
      </c>
    </row>
    <row r="8" spans="1:15" s="19" customFormat="1" ht="18" customHeight="1" x14ac:dyDescent="0.2">
      <c r="A8" s="141"/>
      <c r="B8" s="20" t="s">
        <v>24</v>
      </c>
      <c r="C8" s="25"/>
      <c r="D8" s="26">
        <f ca="1">0.36986496875*OFFSET(D$108,MATCH($M$1,$C$109:$C$110,0),0)</f>
        <v>0.30087035478400531</v>
      </c>
      <c r="E8" s="26">
        <f ca="1">0.3568370625*OFFSET(E$108,MATCH($M$1,$C$109:$C$110,0),0)</f>
        <v>0.29807668073228377</v>
      </c>
      <c r="F8" s="26">
        <f ca="1">0.29398025*OFFSET(F$108,MATCH($M$1,$C$109:$C$110,0),0)</f>
        <v>0.25262310188944698</v>
      </c>
      <c r="G8" s="26">
        <f ca="1">0.364653875*OFFSET(G$108,MATCH($M$1,$C$109:$C$110,0),0)</f>
        <v>0.32245248634357287</v>
      </c>
      <c r="H8" s="26">
        <f ca="1">0.3102678125*OFFSET(H$108,MATCH($M$1,$C$109:$C$110,0),0)</f>
        <v>0.2797933124405263</v>
      </c>
      <c r="I8" s="26">
        <f ca="1">0.37200828125*OFFSET(I$108,MATCH($M$1,$C$109:$C$110,0),0)</f>
        <v>0.34611278028479098</v>
      </c>
      <c r="J8" s="26">
        <f ca="1">0.3514071875*OFFSET(J$108,MATCH($M$1,$C$109:$C$110,0),0)</f>
        <v>0.33389305063963515</v>
      </c>
      <c r="K8" s="26">
        <f ca="1">0.26905075*OFFSET(K$108,MATCH($M$1,$C$109:$C$110,0),0)</f>
        <v>0.25988687891506135</v>
      </c>
      <c r="L8" s="26">
        <f ca="1">0.28508896875*OFFSET(L$108,MATCH($M$1,$C$109:$C$110,0),0)</f>
        <v>0.28030802181346071</v>
      </c>
      <c r="M8" s="27">
        <f ca="1">0.273235*OFFSET(M$108,MATCH($M$1,$C$109:$C$110,0),0)</f>
        <v>0.27323499893844017</v>
      </c>
      <c r="N8" s="24">
        <f t="shared" ca="1" si="0"/>
        <v>-6.8342834857579415E-2</v>
      </c>
      <c r="O8" s="24">
        <f t="shared" ca="1" si="1"/>
        <v>1.8396057019547808E-3</v>
      </c>
    </row>
    <row r="9" spans="1:15" s="19" customFormat="1" ht="18" customHeight="1" x14ac:dyDescent="0.2">
      <c r="A9" s="141"/>
      <c r="B9" s="20" t="s">
        <v>25</v>
      </c>
      <c r="C9" s="25"/>
      <c r="D9" s="22">
        <v>1899</v>
      </c>
      <c r="E9" s="22">
        <v>1322</v>
      </c>
      <c r="F9" s="22">
        <v>1300</v>
      </c>
      <c r="G9" s="22">
        <v>1509</v>
      </c>
      <c r="H9" s="22">
        <v>1405</v>
      </c>
      <c r="I9" s="22">
        <v>1446.25</v>
      </c>
      <c r="J9" s="22">
        <v>1447</v>
      </c>
      <c r="K9" s="22">
        <v>1174</v>
      </c>
      <c r="L9" s="22">
        <v>1054</v>
      </c>
      <c r="M9" s="23">
        <v>1535</v>
      </c>
      <c r="N9" s="24">
        <f t="shared" si="0"/>
        <v>-0.44497103738809901</v>
      </c>
      <c r="O9" s="24">
        <f t="shared" si="1"/>
        <v>-0.24982206405693949</v>
      </c>
    </row>
    <row r="10" spans="1:15" s="19" customFormat="1" ht="18" customHeight="1" x14ac:dyDescent="0.2">
      <c r="A10" s="142" t="s">
        <v>7</v>
      </c>
      <c r="B10" s="28" t="s">
        <v>26</v>
      </c>
      <c r="C10" s="29"/>
      <c r="D10" s="30">
        <v>12.835000038146973</v>
      </c>
      <c r="E10" s="30">
        <v>13.914459228515625</v>
      </c>
      <c r="F10" s="30">
        <v>13.189999580383301</v>
      </c>
      <c r="G10" s="30">
        <v>13.043143272399902</v>
      </c>
      <c r="H10" s="30">
        <v>12.381999969482422</v>
      </c>
      <c r="I10" s="30">
        <v>12.779747009277344</v>
      </c>
      <c r="J10" s="30">
        <v>12.681857109069824</v>
      </c>
      <c r="K10" s="30">
        <v>13.453064918518066</v>
      </c>
      <c r="L10" s="30">
        <v>13.072263717651367</v>
      </c>
      <c r="M10" s="31">
        <v>13.045272827148438</v>
      </c>
      <c r="N10" s="32">
        <f t="shared" si="0"/>
        <v>1.8485678130052346E-2</v>
      </c>
      <c r="O10" s="32">
        <f t="shared" si="1"/>
        <v>5.5747355021015958E-2</v>
      </c>
    </row>
    <row r="11" spans="1:15" s="19" customFormat="1" ht="18" customHeight="1" x14ac:dyDescent="0.2">
      <c r="A11" s="143"/>
      <c r="B11" s="33" t="s">
        <v>20</v>
      </c>
      <c r="C11" s="21"/>
      <c r="D11" s="22">
        <v>129.98158264160156</v>
      </c>
      <c r="E11" s="22">
        <v>156.83283996582031</v>
      </c>
      <c r="F11" s="22">
        <v>144.46089172363281</v>
      </c>
      <c r="G11" s="22">
        <v>145.77900695800781</v>
      </c>
      <c r="H11" s="22">
        <v>130.71257019042969</v>
      </c>
      <c r="I11" s="22">
        <v>128.48417663574219</v>
      </c>
      <c r="J11" s="22">
        <v>134.20700073242187</v>
      </c>
      <c r="K11" s="22">
        <v>147.79676818847656</v>
      </c>
      <c r="L11" s="22">
        <v>150.14942932128906</v>
      </c>
      <c r="M11" s="23">
        <v>152.53509521484375</v>
      </c>
      <c r="N11" s="24">
        <f t="shared" si="0"/>
        <v>0.15515926387276216</v>
      </c>
      <c r="O11" s="24">
        <f t="shared" si="1"/>
        <v>0.14869923453071596</v>
      </c>
    </row>
    <row r="12" spans="1:15" s="19" customFormat="1" ht="18" customHeight="1" x14ac:dyDescent="0.2">
      <c r="A12" s="143"/>
      <c r="B12" s="33" t="s">
        <v>21</v>
      </c>
      <c r="C12" s="21"/>
      <c r="D12" s="22">
        <v>24.173948287963867</v>
      </c>
      <c r="E12" s="22">
        <v>32.032974243164062</v>
      </c>
      <c r="F12" s="22">
        <v>31.364999771118164</v>
      </c>
      <c r="G12" s="22">
        <v>26.582714080810547</v>
      </c>
      <c r="H12" s="22">
        <v>23.467428207397461</v>
      </c>
      <c r="I12" s="22">
        <v>23.009113311767578</v>
      </c>
      <c r="J12" s="22">
        <v>24.218286514282227</v>
      </c>
      <c r="K12" s="22">
        <v>33.124355316162109</v>
      </c>
      <c r="L12" s="22">
        <v>29.527170181274414</v>
      </c>
      <c r="M12" s="23">
        <v>27.169818878173828</v>
      </c>
      <c r="N12" s="24">
        <f t="shared" si="0"/>
        <v>0.22144590654129509</v>
      </c>
      <c r="O12" s="24">
        <f t="shared" si="1"/>
        <v>0.25821926119568511</v>
      </c>
    </row>
    <row r="13" spans="1:15" s="19" customFormat="1" ht="18" customHeight="1" x14ac:dyDescent="0.2">
      <c r="A13" s="143"/>
      <c r="B13" s="33" t="s">
        <v>22</v>
      </c>
      <c r="C13" s="21"/>
      <c r="D13" s="22">
        <v>117.35109710693359</v>
      </c>
      <c r="E13" s="22">
        <v>139.04388427734375</v>
      </c>
      <c r="F13" s="22">
        <v>103.91551971435547</v>
      </c>
      <c r="G13" s="22">
        <v>126.57924652099609</v>
      </c>
      <c r="H13" s="22">
        <v>115.63642883300781</v>
      </c>
      <c r="I13" s="22">
        <v>117.52350616455078</v>
      </c>
      <c r="J13" s="22">
        <v>119.87366485595703</v>
      </c>
      <c r="K13" s="22">
        <v>133.77362060546875</v>
      </c>
      <c r="L13" s="22">
        <v>129.47088623046875</v>
      </c>
      <c r="M13" s="23">
        <v>132.3270263671875</v>
      </c>
      <c r="N13" s="24">
        <f t="shared" si="0"/>
        <v>0.10327802144441195</v>
      </c>
      <c r="O13" s="24">
        <f t="shared" si="1"/>
        <v>0.1196375358273946</v>
      </c>
    </row>
    <row r="14" spans="1:15" s="19" customFormat="1" ht="18" customHeight="1" x14ac:dyDescent="0.2">
      <c r="A14" s="143"/>
      <c r="B14" s="33" t="s">
        <v>23</v>
      </c>
      <c r="C14" s="25"/>
      <c r="D14" s="26">
        <v>14.752996444702148</v>
      </c>
      <c r="E14" s="26">
        <v>69.953819274902344</v>
      </c>
      <c r="F14" s="26">
        <v>4.7138748168945312</v>
      </c>
      <c r="G14" s="26">
        <v>66.967208862304687</v>
      </c>
      <c r="H14" s="26">
        <v>22.178180694580078</v>
      </c>
      <c r="I14" s="26">
        <v>45.897182464599609</v>
      </c>
      <c r="J14" s="26">
        <v>104.38724517822266</v>
      </c>
      <c r="K14" s="26">
        <v>127.84066772460937</v>
      </c>
      <c r="L14" s="26">
        <v>2.9713642597198486</v>
      </c>
      <c r="M14" s="27">
        <v>40.038867950439453</v>
      </c>
      <c r="N14" s="24">
        <f t="shared" si="0"/>
        <v>-0.79859249130457999</v>
      </c>
      <c r="O14" s="24">
        <f t="shared" si="1"/>
        <v>-0.8660230836496885</v>
      </c>
    </row>
    <row r="15" spans="1:15" s="19" customFormat="1" ht="18" customHeight="1" x14ac:dyDescent="0.2">
      <c r="A15" s="143"/>
      <c r="B15" s="33" t="s">
        <v>27</v>
      </c>
      <c r="C15" s="25"/>
      <c r="D15" s="26">
        <f ca="1">4.86664404296875*OFFSET(D$108,MATCH($M$1,$C$109:$C$110,0),0)</f>
        <v>3.9588202277279714</v>
      </c>
      <c r="E15" s="26">
        <f ca="1">4.82212255859375*OFFSET(E$108,MATCH($M$1,$C$109:$C$110,0),0)</f>
        <v>4.0280633303046898</v>
      </c>
      <c r="F15" s="26">
        <f ca="1">5.2496474609375*OFFSET(F$108,MATCH($M$1,$C$109:$C$110,0),0)</f>
        <v>4.5111269393372204</v>
      </c>
      <c r="G15" s="26">
        <f ca="1">5.2093408203125*OFFSET(G$108,MATCH($M$1,$C$109:$C$110,0),0)</f>
        <v>4.6064638685680581</v>
      </c>
      <c r="H15" s="26">
        <f ca="1">4.4323974609375*OFFSET(H$108,MATCH($M$1,$C$109:$C$110,0),0)</f>
        <v>3.9970474463853103</v>
      </c>
      <c r="I15" s="26">
        <f ca="1">4.70896533203125*OFFSET(I$108,MATCH($M$1,$C$109:$C$110,0),0)</f>
        <v>4.3811741982129053</v>
      </c>
      <c r="J15" s="26">
        <f ca="1">5.02010302734375*OFFSET(J$108,MATCH($M$1,$C$109:$C$110,0),0)</f>
        <v>4.7699010548128662</v>
      </c>
      <c r="K15" s="26">
        <f ca="1">4.3395283203125*OFFSET(K$108,MATCH($M$1,$C$109:$C$110,0),0)</f>
        <v>4.1917239447559025</v>
      </c>
      <c r="L15" s="26">
        <f ca="1">5.379037109375*OFFSET(L$108,MATCH($M$1,$C$109:$C$110,0),0)</f>
        <v>5.2888305640205591</v>
      </c>
      <c r="M15" s="27">
        <f ca="1">4.9679091796875*OFFSET(M$108,MATCH($M$1,$C$109:$C$110,0),0)</f>
        <v>4.9679091603864123</v>
      </c>
      <c r="N15" s="24">
        <f t="shared" ca="1" si="0"/>
        <v>0.33596128638958211</v>
      </c>
      <c r="O15" s="24">
        <f t="shared" ca="1" si="1"/>
        <v>0.32318433417733378</v>
      </c>
    </row>
    <row r="16" spans="1:15" s="19" customFormat="1" ht="18" customHeight="1" x14ac:dyDescent="0.2">
      <c r="A16" s="143"/>
      <c r="B16" s="33" t="s">
        <v>25</v>
      </c>
      <c r="C16" s="21"/>
      <c r="D16" s="22">
        <v>24.986841201782227</v>
      </c>
      <c r="E16" s="22">
        <v>17.864864349365234</v>
      </c>
      <c r="F16" s="22">
        <v>23.214284896850586</v>
      </c>
      <c r="G16" s="22">
        <v>21.55714225769043</v>
      </c>
      <c r="H16" s="22">
        <v>20.071428298950195</v>
      </c>
      <c r="I16" s="22">
        <v>18.306962966918945</v>
      </c>
      <c r="J16" s="22">
        <v>20.671428680419922</v>
      </c>
      <c r="K16" s="22">
        <v>18.935483932495117</v>
      </c>
      <c r="L16" s="22">
        <v>19.88679313659668</v>
      </c>
      <c r="M16" s="23">
        <v>27.909090042114258</v>
      </c>
      <c r="N16" s="24">
        <f t="shared" si="0"/>
        <v>-0.20410935596059968</v>
      </c>
      <c r="O16" s="24">
        <f t="shared" si="1"/>
        <v>-9.1989050108194186E-3</v>
      </c>
    </row>
    <row r="17" spans="1:15" s="19" customFormat="1" ht="18" customHeight="1" x14ac:dyDescent="0.2">
      <c r="A17" s="143"/>
      <c r="B17" s="33" t="s">
        <v>28</v>
      </c>
      <c r="C17" s="21"/>
      <c r="D17" s="22">
        <v>26.776315689086914</v>
      </c>
      <c r="E17" s="22">
        <v>30.689189910888672</v>
      </c>
      <c r="F17" s="22">
        <v>27.017856597900391</v>
      </c>
      <c r="G17" s="22">
        <v>27.071428298950195</v>
      </c>
      <c r="H17" s="22">
        <v>28.128570556640625</v>
      </c>
      <c r="I17" s="22">
        <v>30.392404556274414</v>
      </c>
      <c r="J17" s="22">
        <v>29.399999618530273</v>
      </c>
      <c r="K17" s="22">
        <v>32.370967864990234</v>
      </c>
      <c r="L17" s="22">
        <v>34.150943756103516</v>
      </c>
      <c r="M17" s="23">
        <v>32.690910339355469</v>
      </c>
      <c r="N17" s="24">
        <f t="shared" si="0"/>
        <v>0.27541608609067308</v>
      </c>
      <c r="O17" s="24">
        <f t="shared" si="1"/>
        <v>0.21410164399701861</v>
      </c>
    </row>
    <row r="18" spans="1:15" s="19" customFormat="1" ht="18" customHeight="1" x14ac:dyDescent="0.2">
      <c r="A18" s="143"/>
      <c r="B18" s="33" t="s">
        <v>29</v>
      </c>
      <c r="C18" s="21"/>
      <c r="D18" s="34">
        <v>0.5904306173324585</v>
      </c>
      <c r="E18" s="34">
        <v>3.9157207012176514</v>
      </c>
      <c r="F18" s="34">
        <v>0.20305922627449036</v>
      </c>
      <c r="G18" s="34">
        <v>3.1064975261688232</v>
      </c>
      <c r="H18" s="34">
        <v>1.1049627065658569</v>
      </c>
      <c r="I18" s="34">
        <v>2.5070888996124268</v>
      </c>
      <c r="J18" s="34">
        <v>5.0498323440551758</v>
      </c>
      <c r="K18" s="34">
        <v>6.7513809204101563</v>
      </c>
      <c r="L18" s="34">
        <v>0.14941394329071045</v>
      </c>
      <c r="M18" s="35">
        <v>1.4346175193786621</v>
      </c>
      <c r="N18" s="24">
        <f t="shared" si="0"/>
        <v>-0.7469407261334845</v>
      </c>
      <c r="O18" s="24">
        <f t="shared" si="1"/>
        <v>-0.86477919806445047</v>
      </c>
    </row>
    <row r="19" spans="1:15" s="19" customFormat="1" ht="18" customHeight="1" x14ac:dyDescent="0.2">
      <c r="A19" s="144"/>
      <c r="B19" s="36" t="s">
        <v>8</v>
      </c>
      <c r="C19" s="37"/>
      <c r="D19" s="38">
        <f ca="1">329.87499467888*OFFSET(D$108,MATCH($M$1,$C$109:$C$110,0),0)</f>
        <v>268.34011076753666</v>
      </c>
      <c r="E19" s="38">
        <f ca="1">68.9329354830129*OFFSET(E$108,MATCH($M$1,$C$109:$C$110,0),0)</f>
        <v>57.581744614628285</v>
      </c>
      <c r="F19" s="38">
        <f ca="1">1113.65861957425*OFFSET(F$108,MATCH($M$1,$C$109:$C$110,0),0)</f>
        <v>956.98910019556297</v>
      </c>
      <c r="G19" s="38">
        <f ca="1">77.7894314821051*OFFSET(G$108,MATCH($M$1,$C$109:$C$110,0),0)</f>
        <v>68.786861493403279</v>
      </c>
      <c r="H19" s="38">
        <f ca="1">199.853962806309*OFFSET(H$108,MATCH($M$1,$C$109:$C$110,0),0)</f>
        <v>180.22430946794694</v>
      </c>
      <c r="I19" s="38">
        <f ca="1">102.598146878924*OFFSET(I$108,MATCH($M$1,$C$109:$C$110,0),0)</f>
        <v>95.456288631563183</v>
      </c>
      <c r="J19" s="38">
        <f ca="1">48.0911484136672*OFFSET(J$108,MATCH($M$1,$C$109:$C$110,0),0)</f>
        <v>45.694285216072288</v>
      </c>
      <c r="K19" s="38">
        <f ca="1">33.9448174262108*OFFSET(K$108,MATCH($M$1,$C$109:$C$110,0),0)</f>
        <v>32.788656624222419</v>
      </c>
      <c r="L19" s="38">
        <f ca="1">1810.29213507532*OFFSET(L$108,MATCH($M$1,$C$109:$C$110,0),0)</f>
        <v>1779.93350466118</v>
      </c>
      <c r="M19" s="39">
        <f ca="1">124.077164012773*OFFSET(M$108,MATCH($M$1,$C$109:$C$110,0),0)</f>
        <v>124.0771635307142</v>
      </c>
      <c r="N19" s="40">
        <f ca="1">IF(L19=0,"",IFERROR(IF(AND(L19&gt;0,D19&lt;0),"na",IF(AND(L19&lt;0,D19&lt;0),-1,1)*(L19-D19)/D19),""))</f>
        <v>5.6331250276748159</v>
      </c>
      <c r="O19" s="40">
        <f ca="1">IF(L19=0,"",IFERROR(IF(AND(L19&gt;0,H19&lt;0),"na",IF(AND(L19&lt;0,H19&lt;0),-1,1)*(L19-H19)/H19),""))</f>
        <v>8.8762120932289807</v>
      </c>
    </row>
    <row r="20" spans="1:15" s="19" customFormat="1" ht="18" customHeight="1" x14ac:dyDescent="0.2">
      <c r="A20" s="145" t="s">
        <v>9</v>
      </c>
      <c r="B20" s="28" t="s">
        <v>30</v>
      </c>
      <c r="C20" s="41"/>
      <c r="D20" s="42">
        <v>5.6078166676441725</v>
      </c>
      <c r="E20" s="42">
        <v>33.965881507040848</v>
      </c>
      <c r="F20" s="42">
        <v>1.5597207572824616</v>
      </c>
      <c r="G20" s="42">
        <v>27.422175549590317</v>
      </c>
      <c r="H20" s="42">
        <v>8.7041275289034647</v>
      </c>
      <c r="I20" s="42">
        <v>22.100900821494136</v>
      </c>
      <c r="J20" s="42">
        <v>42.508608072009594</v>
      </c>
      <c r="K20" s="42">
        <v>49.196650701070674</v>
      </c>
      <c r="L20" s="42">
        <v>1.2477320695659355</v>
      </c>
      <c r="M20" s="43">
        <v>11.57110415434291</v>
      </c>
      <c r="N20" s="32">
        <f t="shared" si="0"/>
        <v>-0.77750127304177652</v>
      </c>
      <c r="O20" s="32">
        <f t="shared" si="1"/>
        <v>-0.85665052982936674</v>
      </c>
    </row>
    <row r="21" spans="1:15" s="19" customFormat="1" ht="18" customHeight="1" x14ac:dyDescent="0.2">
      <c r="A21" s="145"/>
      <c r="B21" s="33" t="s">
        <v>31</v>
      </c>
      <c r="C21" s="21"/>
      <c r="D21" s="34">
        <f ca="1">1.84987827265774*OFFSET(D$108,MATCH($M$1,$C$109:$C$110,0),0)</f>
        <v>1.5048019661952838</v>
      </c>
      <c r="E21" s="34">
        <f ca="1">2.34136813594089*OFFSET(E$108,MATCH($M$1,$C$109:$C$110,0),0)</f>
        <v>1.9558148961435169</v>
      </c>
      <c r="F21" s="34">
        <f ca="1">1.73699651163702*OFFSET(F$108,MATCH($M$1,$C$109:$C$110,0),0)</f>
        <v>1.4926358037347507</v>
      </c>
      <c r="G21" s="34">
        <f ca="1">2.13315532928932*OFFSET(G$108,MATCH($M$1,$C$109:$C$110,0),0)</f>
        <v>1.8862852881691829</v>
      </c>
      <c r="H21" s="34">
        <f ca="1">1.7395544427238*OFFSET(H$108,MATCH($M$1,$C$109:$C$110,0),0)</f>
        <v>1.568695430501112</v>
      </c>
      <c r="I21" s="34">
        <f ca="1">2.26751121063581*OFFSET(I$108,MATCH($M$1,$C$109:$C$110,0),0)</f>
        <v>2.1096697277894063</v>
      </c>
      <c r="J21" s="34">
        <f ca="1">2.04428799424801*OFFSET(J$108,MATCH($M$1,$C$109:$C$110,0),0)</f>
        <v>1.942400665283629</v>
      </c>
      <c r="K21" s="34">
        <f ca="1">1.66997140097635*OFFSET(K$108,MATCH($M$1,$C$109:$C$110,0),0)</f>
        <v>1.6130921592939473</v>
      </c>
      <c r="L21" s="34">
        <f ca="1">2.25875945125127*OFFSET(L$108,MATCH($M$1,$C$109:$C$110,0),0)</f>
        <v>2.220880016188636</v>
      </c>
      <c r="M21" s="35">
        <f ca="1">1.43570978626656*OFFSET(M$108,MATCH($M$1,$C$109:$C$110,0),0)</f>
        <v>1.4357097806886074</v>
      </c>
      <c r="N21" s="24">
        <f t="shared" ca="1" si="0"/>
        <v>0.47586198455327111</v>
      </c>
      <c r="O21" s="24">
        <f t="shared" ca="1" si="1"/>
        <v>0.41574965605604319</v>
      </c>
    </row>
    <row r="22" spans="1:15" s="19" customFormat="1" ht="18" customHeight="1" x14ac:dyDescent="0.2">
      <c r="A22" s="145"/>
      <c r="B22" s="33" t="s">
        <v>10</v>
      </c>
      <c r="C22" s="21"/>
      <c r="D22" s="34">
        <f ca="1">2.29125482264669*OFFSET(D$108,MATCH($M$1,$C$109:$C$110,0),0)</f>
        <v>1.8638441313327885</v>
      </c>
      <c r="E22" s="34">
        <f ca="1">2.45058890380013*OFFSET(E$108,MATCH($M$1,$C$109:$C$110,0),0)</f>
        <v>2.0470502732156883</v>
      </c>
      <c r="F22" s="34">
        <f ca="1">1.92263624289825*OFFSET(F$108,MATCH($M$1,$C$109:$C$110,0),0)</f>
        <v>1.6521597334719873</v>
      </c>
      <c r="G22" s="34">
        <f ca="1">17.0281557036856*OFFSET(G$108,MATCH($M$1,$C$109:$C$110,0),0)</f>
        <v>15.057487444769134</v>
      </c>
      <c r="H22" s="34">
        <f ca="1">2.16675734082182*OFFSET(H$108,MATCH($M$1,$C$109:$C$110,0),0)</f>
        <v>1.9539384661222743</v>
      </c>
      <c r="I22" s="34">
        <f ca="1">2.87039818447891*OFFSET(I$108,MATCH($M$1,$C$109:$C$110,0),0)</f>
        <v>2.6705897320784762</v>
      </c>
      <c r="J22" s="34">
        <f ca="1">2.74873059303349*OFFSET(J$108,MATCH($M$1,$C$109:$C$110,0),0)</f>
        <v>2.6117338396627003</v>
      </c>
      <c r="K22" s="34">
        <f ca="1">2.58734587155619*OFFSET(K$108,MATCH($M$1,$C$109:$C$110,0),0)</f>
        <v>2.4992208467454833</v>
      </c>
      <c r="L22" s="34">
        <f ca="1">3.45422104630344*OFFSET(L$108,MATCH($M$1,$C$109:$C$110,0),0)</f>
        <v>3.3962936996163231</v>
      </c>
      <c r="M22" s="35">
        <f ca="1">2.25952899168344*OFFSET(M$108,MATCH($M$1,$C$109:$C$110,0),0)</f>
        <v>2.2595289829048233</v>
      </c>
      <c r="N22" s="24">
        <f t="shared" ca="1" si="0"/>
        <v>0.8221983493800622</v>
      </c>
      <c r="O22" s="24">
        <f t="shared" ca="1" si="1"/>
        <v>0.73817843217780665</v>
      </c>
    </row>
    <row r="23" spans="1:15" s="19" customFormat="1" ht="18" customHeight="1" x14ac:dyDescent="0.2">
      <c r="A23" s="146"/>
      <c r="B23" s="33" t="s">
        <v>32</v>
      </c>
      <c r="C23" s="44"/>
      <c r="D23" s="34">
        <f ca="1">-0.441376549988947*OFFSET(D$108,MATCH($M$1,$C$109:$C$110,0),0)</f>
        <v>-0.35904216513750259</v>
      </c>
      <c r="E23" s="34">
        <f ca="1">-0.109220767859241*OFFSET(E$108,MATCH($M$1,$C$109:$C$110,0),0)</f>
        <v>-9.1235377072172427E-2</v>
      </c>
      <c r="F23" s="34">
        <f ca="1">-0.185639731261227*OFFSET(F$108,MATCH($M$1,$C$109:$C$110,0),0)</f>
        <v>-0.15952392973723406</v>
      </c>
      <c r="G23" s="34">
        <f ca="1">-14.8950003743963*OFFSET(G$108,MATCH($M$1,$C$109:$C$110,0),0)</f>
        <v>-13.17120215659997</v>
      </c>
      <c r="H23" s="34">
        <f ca="1">-0.427202898098027*OFFSET(H$108,MATCH($M$1,$C$109:$C$110,0),0)</f>
        <v>-0.38524303562116863</v>
      </c>
      <c r="I23" s="34">
        <f ca="1">-0.602886973843104*OFFSET(I$108,MATCH($M$1,$C$109:$C$110,0),0)</f>
        <v>-0.56092000428907318</v>
      </c>
      <c r="J23" s="34">
        <f ca="1">-0.704442598785477*OFFSET(J$108,MATCH($M$1,$C$109:$C$110,0),0)</f>
        <v>-0.66933317437906836</v>
      </c>
      <c r="K23" s="34">
        <f ca="1">-0.917374470579835*OFFSET(K$108,MATCH($M$1,$C$109:$C$110,0),0)</f>
        <v>-0.88612868745153128</v>
      </c>
      <c r="L23" s="34">
        <f ca="1">-1.19546159505217*OFFSET(L$108,MATCH($M$1,$C$109:$C$110,0),0)</f>
        <v>-1.1754136834276869</v>
      </c>
      <c r="M23" s="35">
        <f ca="1">-0.823819205416883*OFFSET(M$108,MATCH($M$1,$C$109:$C$110,0),0)</f>
        <v>-0.82381920221621918</v>
      </c>
      <c r="N23" s="24">
        <f t="shared" ca="1" si="0"/>
        <v>-2.273748315821174</v>
      </c>
      <c r="O23" s="24">
        <f t="shared" ca="1" si="1"/>
        <v>-2.0510965150413205</v>
      </c>
    </row>
    <row r="24" spans="1:15" s="19" customFormat="1" ht="18" customHeight="1" x14ac:dyDescent="0.2">
      <c r="A24" s="147" t="s">
        <v>11</v>
      </c>
      <c r="B24" s="28" t="s">
        <v>27</v>
      </c>
      <c r="C24" s="29"/>
      <c r="D24" s="30">
        <f ca="1">4.9*OFFSET(D$108,MATCH($M$1,$C$109:$C$110,0),0)</f>
        <v>3.9859539642915323</v>
      </c>
      <c r="E24" s="30">
        <f ca="1">4.8*OFFSET(E$108,MATCH($M$1,$C$109:$C$110,0),0)</f>
        <v>4.0095836948410088</v>
      </c>
      <c r="F24" s="30">
        <f ca="1">5.2*OFFSET(F$108,MATCH($M$1,$C$109:$C$110,0),0)</f>
        <v>4.4684638843089779</v>
      </c>
      <c r="G24" s="30">
        <f ca="1">5.2*OFFSET(G$108,MATCH($M$1,$C$109:$C$110,0),0)</f>
        <v>4.5982040612802457</v>
      </c>
      <c r="H24" s="30">
        <f ca="1">4.4*OFFSET(H$108,MATCH($M$1,$C$109:$C$110,0),0)</f>
        <v>3.9678320635928541</v>
      </c>
      <c r="I24" s="30">
        <f ca="1">4.7*OFFSET(I$108,MATCH($M$1,$C$109:$C$110,0),0)</f>
        <v>4.3728329430529786</v>
      </c>
      <c r="J24" s="30">
        <f ca="1">5*OFFSET(J$108,MATCH($M$1,$C$109:$C$110,0),0)</f>
        <v>4.7507999625026907</v>
      </c>
      <c r="K24" s="30">
        <f ca="1">4.3*OFFSET(K$108,MATCH($M$1,$C$109:$C$110,0),0)</f>
        <v>4.1535419594064082</v>
      </c>
      <c r="L24" s="30">
        <f ca="1">5.4*OFFSET(L$108,MATCH($M$1,$C$109:$C$110,0),0)</f>
        <v>5.3094419066072263</v>
      </c>
      <c r="M24" s="31">
        <f ca="1">5*OFFSET(M$108,MATCH($M$1,$C$109:$C$110,0),0)</f>
        <v>4.9999999805742341</v>
      </c>
      <c r="N24" s="32">
        <f t="shared" ca="1" si="0"/>
        <v>0.33203793976856233</v>
      </c>
      <c r="O24" s="32">
        <f t="shared" ca="1" si="1"/>
        <v>0.3381216295226846</v>
      </c>
    </row>
    <row r="25" spans="1:15" s="19" customFormat="1" ht="18" customHeight="1" x14ac:dyDescent="0.2">
      <c r="A25" s="148"/>
      <c r="B25" s="33" t="s">
        <v>33</v>
      </c>
      <c r="C25" s="25"/>
      <c r="D25" s="26">
        <f ca="1">0.2*OFFSET(D$108,MATCH($M$1,$C$109:$C$110,0),0)</f>
        <v>0.16269199854251151</v>
      </c>
      <c r="E25" s="26">
        <f ca="1">0.2*OFFSET(E$108,MATCH($M$1,$C$109:$C$110,0),0)</f>
        <v>0.16706598728504207</v>
      </c>
      <c r="F25" s="26">
        <f ca="1">0.1*OFFSET(F$108,MATCH($M$1,$C$109:$C$110,0),0)</f>
        <v>8.5931997775172658E-2</v>
      </c>
      <c r="G25" s="26">
        <f ca="1">0.1*OFFSET(G$108,MATCH($M$1,$C$109:$C$110,0),0)</f>
        <v>8.8427001178466261E-2</v>
      </c>
      <c r="H25" s="26">
        <f ca="1">0.1*OFFSET(H$108,MATCH($M$1,$C$109:$C$110,0),0)</f>
        <v>9.0178001445292144E-2</v>
      </c>
      <c r="I25" s="26">
        <f ca="1">0.1*OFFSET(I$108,MATCH($M$1,$C$109:$C$110,0),0)</f>
        <v>9.3038998788361249E-2</v>
      </c>
      <c r="J25" s="26">
        <f ca="1">0.1*OFFSET(J$108,MATCH($M$1,$C$109:$C$110,0),0)</f>
        <v>9.5015999250053815E-2</v>
      </c>
      <c r="K25" s="26">
        <f ca="1">0.2*OFFSET(K$108,MATCH($M$1,$C$109:$C$110,0),0)</f>
        <v>0.193187998111926</v>
      </c>
      <c r="L25" s="26">
        <f ca="1">0.3*OFFSET(L$108,MATCH($M$1,$C$109:$C$110,0),0)</f>
        <v>0.29496899481151251</v>
      </c>
      <c r="M25" s="27">
        <f ca="1">0.2*OFFSET(M$108,MATCH($M$1,$C$109:$C$110,0),0)</f>
        <v>0.19999999922296938</v>
      </c>
      <c r="N25" s="24">
        <f t="shared" ca="1" si="0"/>
        <v>0.81305164024054288</v>
      </c>
      <c r="O25" s="24">
        <f t="shared" ca="1" si="1"/>
        <v>2.2709639832776727</v>
      </c>
    </row>
    <row r="26" spans="1:15" s="19" customFormat="1" ht="18" customHeight="1" x14ac:dyDescent="0.2">
      <c r="A26" s="148"/>
      <c r="B26" s="45" t="s">
        <v>34</v>
      </c>
      <c r="C26" s="46"/>
      <c r="D26" s="47">
        <f ca="1">5.1*OFFSET(D$108,MATCH($M$1,$C$109:$C$110,0),0)</f>
        <v>4.1486459628340429</v>
      </c>
      <c r="E26" s="47">
        <f ca="1">5*OFFSET(E$108,MATCH($M$1,$C$109:$C$110,0),0)</f>
        <v>4.176649682126051</v>
      </c>
      <c r="F26" s="47">
        <f ca="1">5.4*OFFSET(F$108,MATCH($M$1,$C$109:$C$110,0),0)</f>
        <v>4.6403278798593233</v>
      </c>
      <c r="G26" s="47">
        <f ca="1">5.3*OFFSET(G$108,MATCH($M$1,$C$109:$C$110,0),0)</f>
        <v>4.6866310624587113</v>
      </c>
      <c r="H26" s="47">
        <f ca="1">4.6*OFFSET(H$108,MATCH($M$1,$C$109:$C$110,0),0)</f>
        <v>4.1481880664834376</v>
      </c>
      <c r="I26" s="47">
        <f ca="1">4.8*OFFSET(I$108,MATCH($M$1,$C$109:$C$110,0),0)</f>
        <v>4.4658719418413391</v>
      </c>
      <c r="J26" s="47">
        <f ca="1">5.1*OFFSET(J$108,MATCH($M$1,$C$109:$C$110,0),0)</f>
        <v>4.8458159617527441</v>
      </c>
      <c r="K26" s="47">
        <f ca="1">4.6*OFFSET(K$108,MATCH($M$1,$C$109:$C$110,0),0)</f>
        <v>4.4433239565742975</v>
      </c>
      <c r="L26" s="47">
        <f ca="1">5.7*OFFSET(L$108,MATCH($M$1,$C$109:$C$110,0),0)</f>
        <v>5.6044109014187384</v>
      </c>
      <c r="M26" s="48">
        <f ca="1">5.2*OFFSET(M$108,MATCH($M$1,$C$109:$C$110,0),0)</f>
        <v>5.1999999797972034</v>
      </c>
      <c r="N26" s="49">
        <f t="shared" ca="1" si="0"/>
        <v>0.35090122214001274</v>
      </c>
      <c r="O26" s="49">
        <f t="shared" ca="1" si="1"/>
        <v>0.35105034091903919</v>
      </c>
    </row>
    <row r="27" spans="1:15" s="19" customFormat="1" ht="18" customHeight="1" x14ac:dyDescent="0.2">
      <c r="A27" s="148"/>
      <c r="B27" s="33" t="s">
        <v>35</v>
      </c>
      <c r="C27" s="25"/>
      <c r="D27" s="26">
        <f ca="1">2.9*OFFSET(D$108,MATCH($M$1,$C$109:$C$110,0),0)</f>
        <v>2.359033978866417</v>
      </c>
      <c r="E27" s="26">
        <f ca="1">2.6*OFFSET(E$108,MATCH($M$1,$C$109:$C$110,0),0)</f>
        <v>2.1718578347055466</v>
      </c>
      <c r="F27" s="26">
        <f ca="1">3.5*OFFSET(F$108,MATCH($M$1,$C$109:$C$110,0),0)</f>
        <v>3.0076199221310427</v>
      </c>
      <c r="G27" s="26">
        <f ca="1">4.3*OFFSET(G$108,MATCH($M$1,$C$109:$C$110,0),0)</f>
        <v>3.8023610506740488</v>
      </c>
      <c r="H27" s="26">
        <f ca="1">3.1*OFFSET(H$108,MATCH($M$1,$C$109:$C$110,0),0)</f>
        <v>2.7955180448040564</v>
      </c>
      <c r="I27" s="26">
        <f ca="1">2.9*OFFSET(I$108,MATCH($M$1,$C$109:$C$110,0),0)</f>
        <v>2.6981309648624756</v>
      </c>
      <c r="J27" s="26">
        <f ca="1">4.3*OFFSET(J$108,MATCH($M$1,$C$109:$C$110,0),0)</f>
        <v>4.0856879677523139</v>
      </c>
      <c r="K27" s="26">
        <f ca="1">4.6*OFFSET(K$108,MATCH($M$1,$C$109:$C$110,0),0)</f>
        <v>4.4433239565742975</v>
      </c>
      <c r="L27" s="26">
        <f ca="1">4.7*OFFSET(L$108,MATCH($M$1,$C$109:$C$110,0),0)</f>
        <v>4.621180918713697</v>
      </c>
      <c r="M27" s="27">
        <f ca="1">5.4*OFFSET(M$108,MATCH($M$1,$C$109:$C$110,0),0)</f>
        <v>5.3999999790201727</v>
      </c>
      <c r="N27" s="24">
        <f t="shared" ca="1" si="0"/>
        <v>0.95892935842081684</v>
      </c>
      <c r="O27" s="24">
        <f t="shared" ca="1" si="1"/>
        <v>0.65306781950592097</v>
      </c>
    </row>
    <row r="28" spans="1:15" s="19" customFormat="1" ht="18" customHeight="1" x14ac:dyDescent="0.2">
      <c r="A28" s="148"/>
      <c r="B28" s="33" t="s">
        <v>36</v>
      </c>
      <c r="C28" s="25"/>
      <c r="D28" s="26">
        <f ca="1">1*OFFSET(D$108,MATCH($M$1,$C$109:$C$110,0),0)</f>
        <v>0.81345999271255753</v>
      </c>
      <c r="E28" s="26">
        <f ca="1">0.3*OFFSET(E$108,MATCH($M$1,$C$109:$C$110,0),0)</f>
        <v>0.25059898092756305</v>
      </c>
      <c r="F28" s="26">
        <f ca="1">0.6*OFFSET(F$108,MATCH($M$1,$C$109:$C$110,0),0)</f>
        <v>0.51559198665103589</v>
      </c>
      <c r="G28" s="26">
        <f ca="1">16.4*OFFSET(G$108,MATCH($M$1,$C$109:$C$110,0),0)</f>
        <v>14.502028193268465</v>
      </c>
      <c r="H28" s="26">
        <f ca="1">1*OFFSET(H$108,MATCH($M$1,$C$109:$C$110,0),0)</f>
        <v>0.90178001445292133</v>
      </c>
      <c r="I28" s="26">
        <f ca="1">1.3*OFFSET(I$108,MATCH($M$1,$C$109:$C$110,0),0)</f>
        <v>1.2095069842486961</v>
      </c>
      <c r="J28" s="26">
        <f ca="1">0.6*OFFSET(J$108,MATCH($M$1,$C$109:$C$110,0),0)</f>
        <v>0.57009599550032286</v>
      </c>
      <c r="K28" s="26">
        <f ca="1">0.9*OFFSET(K$108,MATCH($M$1,$C$109:$C$110,0),0)</f>
        <v>0.86934599150366687</v>
      </c>
      <c r="L28" s="26">
        <f ca="1">0.6*OFFSET(L$108,MATCH($M$1,$C$109:$C$110,0),0)</f>
        <v>0.58993798962302502</v>
      </c>
      <c r="M28" s="27">
        <f ca="1">1.1*OFFSET(M$108,MATCH($M$1,$C$109:$C$110,0),0)</f>
        <v>1.0999999957263316</v>
      </c>
      <c r="N28" s="24">
        <f t="shared" ca="1" si="0"/>
        <v>-0.27477934390378284</v>
      </c>
      <c r="O28" s="24">
        <f t="shared" ca="1" si="1"/>
        <v>-0.34580720334446541</v>
      </c>
    </row>
    <row r="29" spans="1:15" s="19" customFormat="1" ht="18" customHeight="1" x14ac:dyDescent="0.2">
      <c r="A29" s="148"/>
      <c r="B29" s="33" t="s">
        <v>37</v>
      </c>
      <c r="C29" s="25"/>
      <c r="D29" s="26">
        <f ca="1">1.3*OFFSET(D$108,MATCH($M$1,$C$109:$C$110,0),0)</f>
        <v>1.0574979905263249</v>
      </c>
      <c r="E29" s="26">
        <f ca="1">1.3*OFFSET(E$108,MATCH($M$1,$C$109:$C$110,0),0)</f>
        <v>1.0859289173527733</v>
      </c>
      <c r="F29" s="26">
        <f ca="1">0.1*OFFSET(F$108,MATCH($M$1,$C$109:$C$110,0),0)</f>
        <v>8.5931997775172658E-2</v>
      </c>
      <c r="G29" s="26">
        <f ca="1">3.1*OFFSET(G$108,MATCH($M$1,$C$109:$C$110,0),0)</f>
        <v>2.7412370365324539</v>
      </c>
      <c r="H29" s="26">
        <f ca="1">0.2*OFFSET(H$108,MATCH($M$1,$C$109:$C$110,0),0)</f>
        <v>0.18035600289058429</v>
      </c>
      <c r="I29" s="26">
        <f ca="1">1*OFFSET(I$108,MATCH($M$1,$C$109:$C$110,0),0)</f>
        <v>0.93038998788361238</v>
      </c>
      <c r="J29" s="26">
        <f ca="1">0.9*OFFSET(J$108,MATCH($M$1,$C$109:$C$110,0),0)</f>
        <v>0.85514399325048429</v>
      </c>
      <c r="K29" s="26">
        <f ca="1">0.6*OFFSET(K$108,MATCH($M$1,$C$109:$C$110,0),0)</f>
        <v>0.57956399433577788</v>
      </c>
      <c r="L29" s="26">
        <f ca="1">1.9*OFFSET(L$108,MATCH($M$1,$C$109:$C$110,0),0)</f>
        <v>1.8681369671395793</v>
      </c>
      <c r="M29" s="27">
        <f ca="1">0.6*OFFSET(M$108,MATCH($M$1,$C$109:$C$110,0),0)</f>
        <v>0.5999999976689081</v>
      </c>
      <c r="N29" s="24">
        <f t="shared" ca="1" si="0"/>
        <v>0.7665631366446316</v>
      </c>
      <c r="O29" s="24">
        <f t="shared" ca="1" si="1"/>
        <v>9.3580526137126299</v>
      </c>
    </row>
    <row r="30" spans="1:15" s="19" customFormat="1" ht="18" customHeight="1" x14ac:dyDescent="0.2">
      <c r="A30" s="148"/>
      <c r="B30" s="33" t="s">
        <v>38</v>
      </c>
      <c r="C30" s="25"/>
      <c r="D30" s="26">
        <f ca="1">5.2*OFFSET(D$108,MATCH($M$1,$C$109:$C$110,0),0)</f>
        <v>4.2299919621052995</v>
      </c>
      <c r="E30" s="26">
        <f ca="1">4.2*OFFSET(E$108,MATCH($M$1,$C$109:$C$110,0),0)</f>
        <v>3.5083857329858832</v>
      </c>
      <c r="F30" s="26">
        <f ca="1">4.1*OFFSET(F$108,MATCH($M$1,$C$109:$C$110,0),0)</f>
        <v>3.5232119087820783</v>
      </c>
      <c r="G30" s="26">
        <f ca="1">23.8*OFFSET(G$108,MATCH($M$1,$C$109:$C$110,0),0)</f>
        <v>21.04562628047497</v>
      </c>
      <c r="H30" s="26">
        <f ca="1">4.3*OFFSET(H$108,MATCH($M$1,$C$109:$C$110,0),0)</f>
        <v>3.8776540621475615</v>
      </c>
      <c r="I30" s="26">
        <f ca="1">5.2*OFFSET(I$108,MATCH($M$1,$C$109:$C$110,0),0)</f>
        <v>4.8380279369947843</v>
      </c>
      <c r="J30" s="26">
        <f ca="1">5.8*OFFSET(J$108,MATCH($M$1,$C$109:$C$110,0),0)</f>
        <v>5.5109279565031208</v>
      </c>
      <c r="K30" s="26">
        <f ca="1">6.1*OFFSET(K$108,MATCH($M$1,$C$109:$C$110,0),0)</f>
        <v>5.8922339424137418</v>
      </c>
      <c r="L30" s="26">
        <f ca="1">7.3*OFFSET(L$108,MATCH($M$1,$C$109:$C$110,0),0)</f>
        <v>7.1775788737468051</v>
      </c>
      <c r="M30" s="27">
        <f ca="1">7.1*OFFSET(M$108,MATCH($M$1,$C$109:$C$110,0),0)</f>
        <v>7.0999999724154117</v>
      </c>
      <c r="N30" s="24">
        <f t="shared" ca="1" si="0"/>
        <v>0.69683038125076457</v>
      </c>
      <c r="O30" s="24">
        <f t="shared" ca="1" si="1"/>
        <v>0.85101062619589274</v>
      </c>
    </row>
    <row r="31" spans="1:15" s="19" customFormat="1" ht="18" customHeight="1" x14ac:dyDescent="0.2">
      <c r="A31" s="148"/>
      <c r="B31" s="33" t="s">
        <v>39</v>
      </c>
      <c r="C31" s="25"/>
      <c r="D31" s="26">
        <f ca="1">1.1*OFFSET(D$108,MATCH($M$1,$C$109:$C$110,0),0)</f>
        <v>0.89480599198381339</v>
      </c>
      <c r="E31" s="26">
        <f ca="1">1*OFFSET(E$108,MATCH($M$1,$C$109:$C$110,0),0)</f>
        <v>0.83532993642521025</v>
      </c>
      <c r="F31" s="26">
        <f ca="1">1.8*OFFSET(F$108,MATCH($M$1,$C$109:$C$110,0),0)</f>
        <v>1.5467759599531077</v>
      </c>
      <c r="G31" s="26">
        <f ca="1">17.9*OFFSET(G$108,MATCH($M$1,$C$109:$C$110,0),0)</f>
        <v>15.828433210945459</v>
      </c>
      <c r="H31" s="26">
        <f ca="1">1.4*OFFSET(H$108,MATCH($M$1,$C$109:$C$110,0),0)</f>
        <v>1.2624920202340897</v>
      </c>
      <c r="I31" s="26">
        <f ca="1">0.8*OFFSET(I$108,MATCH($M$1,$C$109:$C$110,0),0)</f>
        <v>0.74431199030688999</v>
      </c>
      <c r="J31" s="26">
        <f ca="1">1*OFFSET(J$108,MATCH($M$1,$C$109:$C$110,0),0)</f>
        <v>0.95015999250053806</v>
      </c>
      <c r="K31" s="26">
        <f ca="1">0.9*OFFSET(K$108,MATCH($M$1,$C$109:$C$110,0),0)</f>
        <v>0.86934599150366687</v>
      </c>
      <c r="L31" s="26">
        <f ca="1">1.2*OFFSET(L$108,MATCH($M$1,$C$109:$C$110,0),0)</f>
        <v>1.17987597924605</v>
      </c>
      <c r="M31" s="27">
        <f ca="1">0.9*OFFSET(M$108,MATCH($M$1,$C$109:$C$110,0),0)</f>
        <v>0.89999999650336215</v>
      </c>
      <c r="N31" s="24">
        <f t="shared" ca="1" si="0"/>
        <v>0.31858301108403109</v>
      </c>
      <c r="O31" s="24">
        <f t="shared" ca="1" si="1"/>
        <v>-6.5438861920664726E-2</v>
      </c>
    </row>
    <row r="32" spans="1:15" s="19" customFormat="1" ht="18" customHeight="1" x14ac:dyDescent="0.2">
      <c r="A32" s="148"/>
      <c r="B32" s="33" t="s">
        <v>40</v>
      </c>
      <c r="C32" s="25"/>
      <c r="D32" s="26">
        <f ca="1">6.3*OFFSET(D$108,MATCH($M$1,$C$109:$C$110,0),0)</f>
        <v>5.1247979540891127</v>
      </c>
      <c r="E32" s="26">
        <f ca="1">5.2*OFFSET(E$108,MATCH($M$1,$C$109:$C$110,0),0)</f>
        <v>4.3437156694110932</v>
      </c>
      <c r="F32" s="26">
        <f ca="1">5.9*OFFSET(F$108,MATCH($M$1,$C$109:$C$110,0),0)</f>
        <v>5.0699878687351871</v>
      </c>
      <c r="G32" s="26">
        <f ca="1">41.7*OFFSET(G$108,MATCH($M$1,$C$109:$C$110,0),0)</f>
        <v>36.874059491420432</v>
      </c>
      <c r="H32" s="26">
        <f ca="1">5.7*OFFSET(H$108,MATCH($M$1,$C$109:$C$110,0),0)</f>
        <v>5.1401460823816514</v>
      </c>
      <c r="I32" s="26">
        <f ca="1">6*OFFSET(I$108,MATCH($M$1,$C$109:$C$110,0),0)</f>
        <v>5.5823399273016747</v>
      </c>
      <c r="J32" s="26">
        <f ca="1">6.9*OFFSET(J$108,MATCH($M$1,$C$109:$C$110,0),0)</f>
        <v>6.5561039482537131</v>
      </c>
      <c r="K32" s="26">
        <f ca="1">6.9*OFFSET(K$108,MATCH($M$1,$C$109:$C$110,0),0)</f>
        <v>6.6649859348614466</v>
      </c>
      <c r="L32" s="26">
        <f ca="1">8.5*OFFSET(L$108,MATCH($M$1,$C$109:$C$110,0),0)</f>
        <v>8.3574548529928556</v>
      </c>
      <c r="M32" s="27">
        <f ca="1">8.1*OFFSET(M$108,MATCH($M$1,$C$109:$C$110,0),0)</f>
        <v>8.0999999685302591</v>
      </c>
      <c r="N32" s="24">
        <f t="shared" ca="1" si="0"/>
        <v>0.63078718963435099</v>
      </c>
      <c r="O32" s="24">
        <f t="shared" ca="1" si="1"/>
        <v>0.62591776946551025</v>
      </c>
    </row>
    <row r="33" spans="1:15" s="19" customFormat="1" ht="18" customHeight="1" x14ac:dyDescent="0.2">
      <c r="A33" s="148"/>
      <c r="B33" s="45" t="s">
        <v>41</v>
      </c>
      <c r="C33" s="46"/>
      <c r="D33" s="47">
        <f ca="1">-0.2*OFFSET(D$108,MATCH($M$1,$C$109:$C$110,0),0)</f>
        <v>-0.16269199854251151</v>
      </c>
      <c r="E33" s="47">
        <f ca="1">0.1*OFFSET(E$108,MATCH($M$1,$C$109:$C$110,0),0)</f>
        <v>8.3532993642521036E-2</v>
      </c>
      <c r="F33" s="47"/>
      <c r="G33" s="47">
        <f ca="1">-20*OFFSET(G$108,MATCH($M$1,$C$109:$C$110,0),0)</f>
        <v>-17.685400235693251</v>
      </c>
      <c r="H33" s="47">
        <f ca="1">-0.1*OFFSET(H$108,MATCH($M$1,$C$109:$C$110,0),0)</f>
        <v>-9.0178001445292144E-2</v>
      </c>
      <c r="I33" s="47"/>
      <c r="J33" s="47">
        <f ca="1">-1.1*OFFSET(J$108,MATCH($M$1,$C$109:$C$110,0),0)</f>
        <v>-1.0451759917505921</v>
      </c>
      <c r="K33" s="47">
        <f ca="1">-1.5*OFFSET(K$108,MATCH($M$1,$C$109:$C$110,0),0)</f>
        <v>-1.4489099858394447</v>
      </c>
      <c r="L33" s="47">
        <f ca="1">-2.2*OFFSET(L$108,MATCH($M$1,$C$109:$C$110,0),0)</f>
        <v>-2.1631059619510919</v>
      </c>
      <c r="M33" s="48">
        <f ca="1">-1.8*OFFSET(M$108,MATCH($M$1,$C$109:$C$110,0),0)</f>
        <v>-1.7999999930067243</v>
      </c>
      <c r="N33" s="49">
        <f t="shared" ca="1" si="0"/>
        <v>-12.29571202843065</v>
      </c>
      <c r="O33" s="49">
        <f t="shared" ca="1" si="1"/>
        <v>-22.987069210702934</v>
      </c>
    </row>
    <row r="34" spans="1:15" s="19" customFormat="1" ht="18" customHeight="1" x14ac:dyDescent="0.2">
      <c r="A34" s="148"/>
      <c r="B34" s="45" t="s">
        <v>42</v>
      </c>
      <c r="C34" s="46"/>
      <c r="D34" s="47">
        <f ca="1">-1.2*OFFSET(D$108,MATCH($M$1,$C$109:$C$110,0),0)</f>
        <v>-0.97615199125506902</v>
      </c>
      <c r="E34" s="47">
        <f ca="1">-0.2*OFFSET(E$108,MATCH($M$1,$C$109:$C$110,0),0)</f>
        <v>-0.16706598728504207</v>
      </c>
      <c r="F34" s="47">
        <f ca="1">-0.6*OFFSET(F$108,MATCH($M$1,$C$109:$C$110,0),0)</f>
        <v>-0.51559198665103589</v>
      </c>
      <c r="G34" s="47">
        <f ca="1">-36.4*OFFSET(G$108,MATCH($M$1,$C$109:$C$110,0),0)</f>
        <v>-32.187428428961717</v>
      </c>
      <c r="H34" s="47">
        <f ca="1">-1.1*OFFSET(H$108,MATCH($M$1,$C$109:$C$110,0),0)</f>
        <v>-0.99195801589821353</v>
      </c>
      <c r="I34" s="47">
        <f ca="1">-1.3*OFFSET(I$108,MATCH($M$1,$C$109:$C$110,0),0)</f>
        <v>-1.2095069842486961</v>
      </c>
      <c r="J34" s="47">
        <f ca="1">-1.7*OFFSET(J$108,MATCH($M$1,$C$109:$C$110,0),0)</f>
        <v>-1.6152719872509147</v>
      </c>
      <c r="K34" s="47">
        <f ca="1">-2.4*OFFSET(K$108,MATCH($M$1,$C$109:$C$110,0),0)</f>
        <v>-2.3182559773431115</v>
      </c>
      <c r="L34" s="47">
        <f ca="1">-2.8*OFFSET(L$108,MATCH($M$1,$C$109:$C$110,0),0)</f>
        <v>-2.7530439515741167</v>
      </c>
      <c r="M34" s="48">
        <f ca="1">-2.9*OFFSET(M$108,MATCH($M$1,$C$109:$C$110,0),0)</f>
        <v>-2.8999999887330556</v>
      </c>
      <c r="N34" s="49">
        <f t="shared" ca="1" si="0"/>
        <v>-1.8203025514852893</v>
      </c>
      <c r="O34" s="49">
        <f t="shared" ca="1" si="1"/>
        <v>-1.7753633797507526</v>
      </c>
    </row>
    <row r="35" spans="1:15" s="19" customFormat="1" ht="18" customHeight="1" x14ac:dyDescent="0.2">
      <c r="A35" s="148"/>
      <c r="B35" s="33" t="s">
        <v>43</v>
      </c>
      <c r="C35" s="25"/>
      <c r="D35" s="26"/>
      <c r="E35" s="26">
        <f ca="1">1*OFFSET(E$108,MATCH($M$1,$C$109:$C$110,0),0)</f>
        <v>0.83532993642521025</v>
      </c>
      <c r="F35" s="26">
        <f ca="1">0.7*OFFSET(F$108,MATCH($M$1,$C$109:$C$110,0),0)</f>
        <v>0.60152398442620858</v>
      </c>
      <c r="G35" s="26"/>
      <c r="H35" s="26">
        <f ca="1">0.9*OFFSET(H$108,MATCH($M$1,$C$109:$C$110,0),0)</f>
        <v>0.81160201300762924</v>
      </c>
      <c r="I35" s="26">
        <f ca="1">0.4*OFFSET(I$108,MATCH($M$1,$C$109:$C$110,0),0)</f>
        <v>0.372155995153445</v>
      </c>
      <c r="J35" s="26">
        <f ca="1">0.2*OFFSET(J$108,MATCH($M$1,$C$109:$C$110,0),0)</f>
        <v>0.19003199850010763</v>
      </c>
      <c r="K35" s="26">
        <f ca="1">0.3*OFFSET(K$108,MATCH($M$1,$C$109:$C$110,0),0)</f>
        <v>0.28978199716788894</v>
      </c>
      <c r="L35" s="26">
        <f ca="1">0.8*OFFSET(L$108,MATCH($M$1,$C$109:$C$110,0),0)</f>
        <v>0.78658398616403347</v>
      </c>
      <c r="M35" s="27"/>
      <c r="N35" s="24" t="str">
        <f t="shared" ca="1" si="0"/>
        <v/>
      </c>
      <c r="O35" s="24">
        <f t="shared" ca="1" si="1"/>
        <v>-3.0825486436244953E-2</v>
      </c>
    </row>
    <row r="36" spans="1:15" s="19" customFormat="1" ht="18" customHeight="1" x14ac:dyDescent="0.2">
      <c r="A36" s="148"/>
      <c r="B36" s="33" t="s">
        <v>44</v>
      </c>
      <c r="C36" s="25"/>
      <c r="D36" s="26"/>
      <c r="E36" s="26"/>
      <c r="F36" s="26">
        <f ca="1">0.3*OFFSET(F$108,MATCH($M$1,$C$109:$C$110,0),0)</f>
        <v>0.25779599332551795</v>
      </c>
      <c r="G36" s="26"/>
      <c r="H36" s="26">
        <f ca="1">0.1*OFFSET(H$108,MATCH($M$1,$C$109:$C$110,0),0)</f>
        <v>9.0178001445292144E-2</v>
      </c>
      <c r="I36" s="26"/>
      <c r="J36" s="26">
        <f ca="1">0.1*OFFSET(J$108,MATCH($M$1,$C$109:$C$110,0),0)</f>
        <v>9.5015999250053815E-2</v>
      </c>
      <c r="K36" s="26">
        <f ca="1">0.1*OFFSET(K$108,MATCH($M$1,$C$109:$C$110,0),0)</f>
        <v>9.6593999055962998E-2</v>
      </c>
      <c r="L36" s="26"/>
      <c r="M36" s="27"/>
      <c r="N36" s="24" t="str">
        <f t="shared" si="0"/>
        <v/>
      </c>
      <c r="O36" s="24" t="str">
        <f t="shared" si="1"/>
        <v/>
      </c>
    </row>
    <row r="37" spans="1:15" s="19" customFormat="1" ht="18" customHeight="1" x14ac:dyDescent="0.2">
      <c r="A37" s="148"/>
      <c r="B37" s="33" t="s">
        <v>45</v>
      </c>
      <c r="C37" s="25"/>
      <c r="D37" s="26"/>
      <c r="E37" s="26"/>
      <c r="F37" s="26"/>
      <c r="G37" s="26"/>
      <c r="H37" s="26"/>
      <c r="I37" s="26">
        <f ca="1">0.1*OFFSET(I$108,MATCH($M$1,$C$109:$C$110,0),0)</f>
        <v>9.3038998788361249E-2</v>
      </c>
      <c r="J37" s="26"/>
      <c r="K37" s="26"/>
      <c r="L37" s="26"/>
      <c r="M37" s="27"/>
      <c r="N37" s="24" t="str">
        <f t="shared" si="0"/>
        <v/>
      </c>
      <c r="O37" s="24" t="str">
        <f t="shared" si="1"/>
        <v/>
      </c>
    </row>
    <row r="38" spans="1:15" s="19" customFormat="1" ht="18" customHeight="1" thickBot="1" x14ac:dyDescent="0.25">
      <c r="A38" s="149"/>
      <c r="B38" s="50" t="s">
        <v>46</v>
      </c>
      <c r="C38" s="51"/>
      <c r="D38" s="52"/>
      <c r="E38" s="52">
        <f ca="1">-1.2*OFFSET(E$108,MATCH($M$1,$C$109:$C$110,0),0)</f>
        <v>-1.0023959237102522</v>
      </c>
      <c r="F38" s="52">
        <f ca="1">-1.5*OFFSET(F$108,MATCH($M$1,$C$109:$C$110,0),0)</f>
        <v>-1.2889799666275898</v>
      </c>
      <c r="G38" s="52"/>
      <c r="H38" s="52">
        <f ca="1">-2.1*OFFSET(H$108,MATCH($M$1,$C$109:$C$110,0),0)</f>
        <v>-1.8937380303511349</v>
      </c>
      <c r="I38" s="52">
        <f ca="1">-1.7*OFFSET(I$108,MATCH($M$1,$C$109:$C$110,0),0)</f>
        <v>-1.5816629794021411</v>
      </c>
      <c r="J38" s="52">
        <f ca="1">-2.1*OFFSET(J$108,MATCH($M$1,$C$109:$C$110,0),0)</f>
        <v>-1.99533598425113</v>
      </c>
      <c r="K38" s="52">
        <f ca="1">-2.9*OFFSET(K$108,MATCH($M$1,$C$109:$C$110,0),0)</f>
        <v>-2.8012259726229267</v>
      </c>
      <c r="L38" s="52">
        <f ca="1">-3.7*OFFSET(L$108,MATCH($M$1,$C$109:$C$110,0),0)</f>
        <v>-3.637950936008655</v>
      </c>
      <c r="M38" s="53"/>
      <c r="N38" s="54" t="str">
        <f t="shared" ca="1" si="0"/>
        <v/>
      </c>
      <c r="O38" s="54">
        <f t="shared" ca="1" si="1"/>
        <v>-0.92104233938530033</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Low activity over 10m</v>
      </c>
      <c r="C45" s="61"/>
      <c r="D45" s="61"/>
      <c r="E45" s="61"/>
      <c r="F45" s="61" t="str">
        <f>$B21&amp;CHAR(10)&amp;$A$1</f>
        <v>Income per kW day at sea (£)
Low activity over 10m</v>
      </c>
      <c r="G45" s="61"/>
      <c r="K45" s="61" t="str">
        <f>$B23&amp;CHAR(10)&amp;$A$1</f>
        <v>Operating profit per kW day at sea (£)
Low activity over 10m</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Low activity over 10m</v>
      </c>
      <c r="F59" s="61" t="str">
        <f>$B19&amp;CHAR(10)&amp;$A$1</f>
        <v>Average price per tonne landed (£)
Low activity over 10m</v>
      </c>
      <c r="K59" s="61" t="str">
        <f>"Average annual operating profit per vessel (£'000)"&amp;CHAR(10)&amp;$A$1</f>
        <v>Average annual operating profit per vessel (£'000)
Low activity over 10m</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Low activity over 10m</v>
      </c>
      <c r="F73" s="61" t="str">
        <f>"Top 5 landed species by value in "&amp;A74&amp;CHAR(10)&amp;A1</f>
        <v>Top 5 landed species by value in 2013
Low activity over 10m</v>
      </c>
    </row>
    <row r="74" spans="1:9" s="61" customFormat="1" x14ac:dyDescent="0.2">
      <c r="A74" s="61">
        <v>2013</v>
      </c>
      <c r="B74" s="61" t="s">
        <v>179</v>
      </c>
      <c r="C74" s="62">
        <v>0.13341181996287096</v>
      </c>
      <c r="D74" s="63">
        <v>3511670</v>
      </c>
      <c r="G74" s="61" t="s">
        <v>180</v>
      </c>
      <c r="H74" s="62">
        <v>0.18344304963132671</v>
      </c>
      <c r="I74" s="63">
        <v>8211234</v>
      </c>
    </row>
    <row r="75" spans="1:9" s="61" customFormat="1" x14ac:dyDescent="0.2">
      <c r="B75" s="61" t="s">
        <v>181</v>
      </c>
      <c r="C75" s="62">
        <v>0.11042510435278022</v>
      </c>
      <c r="D75" s="63">
        <v>8211234</v>
      </c>
      <c r="G75" s="61" t="s">
        <v>182</v>
      </c>
      <c r="H75" s="62">
        <v>0.12799926930704855</v>
      </c>
      <c r="I75" s="63">
        <v>2171775</v>
      </c>
    </row>
    <row r="76" spans="1:9" s="61" customFormat="1" x14ac:dyDescent="0.2">
      <c r="B76" s="61" t="s">
        <v>183</v>
      </c>
      <c r="C76" s="62">
        <v>9.392293421220918E-2</v>
      </c>
      <c r="D76" s="63">
        <v>1464488</v>
      </c>
      <c r="G76" s="61" t="s">
        <v>184</v>
      </c>
      <c r="H76" s="62">
        <v>0.10771131807866557</v>
      </c>
      <c r="I76" s="63">
        <v>2783840</v>
      </c>
    </row>
    <row r="77" spans="1:9" s="61" customFormat="1" x14ac:dyDescent="0.2">
      <c r="B77" s="61" t="s">
        <v>185</v>
      </c>
      <c r="C77" s="62">
        <v>9.0613360837767762E-2</v>
      </c>
      <c r="D77" s="63">
        <v>2783840</v>
      </c>
      <c r="G77" s="61" t="s">
        <v>186</v>
      </c>
      <c r="H77" s="62">
        <v>7.610897809642099E-2</v>
      </c>
      <c r="I77" s="63">
        <v>6763595</v>
      </c>
    </row>
    <row r="78" spans="1:9" s="61" customFormat="1" x14ac:dyDescent="0.2">
      <c r="B78" s="61" t="s">
        <v>187</v>
      </c>
      <c r="C78" s="62">
        <v>7.6707032718520723E-2</v>
      </c>
      <c r="D78" s="63">
        <v>8274269</v>
      </c>
      <c r="G78" s="61" t="s">
        <v>188</v>
      </c>
      <c r="H78" s="62">
        <v>6.3671139338410482E-2</v>
      </c>
      <c r="I78" s="63">
        <v>2764187</v>
      </c>
    </row>
    <row r="79" spans="1:9" s="61" customFormat="1" x14ac:dyDescent="0.2">
      <c r="B79" s="61" t="s">
        <v>189</v>
      </c>
      <c r="C79" s="62">
        <v>0.49491974791585114</v>
      </c>
      <c r="D79" s="63">
        <v>32768</v>
      </c>
      <c r="G79" s="61" t="s">
        <v>190</v>
      </c>
      <c r="H79" s="62">
        <v>0.44106624554812768</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60</v>
      </c>
      <c r="D88" s="66">
        <v>0.19809782837312293</v>
      </c>
      <c r="E88" s="66">
        <v>0.24106162801644795</v>
      </c>
      <c r="F88" s="66">
        <v>0.18276273282352001</v>
      </c>
      <c r="G88" s="66">
        <v>0.13293730112742391</v>
      </c>
      <c r="H88" s="66">
        <v>0.22949915261109038</v>
      </c>
      <c r="I88" s="66">
        <v>0.15363309818900253</v>
      </c>
      <c r="J88" s="66">
        <v>0.16262170110976773</v>
      </c>
      <c r="K88" s="66">
        <v>0.20494047590417946</v>
      </c>
      <c r="L88" s="66">
        <v>0.18657185671967791</v>
      </c>
      <c r="M88" s="66">
        <v>0.13165906929673935</v>
      </c>
      <c r="N88" s="61"/>
      <c r="O88" s="61">
        <v>8211234</v>
      </c>
    </row>
    <row r="89" spans="1:15" s="65" customFormat="1" hidden="1" x14ac:dyDescent="0.2">
      <c r="A89" s="61"/>
      <c r="B89" s="61">
        <v>2</v>
      </c>
      <c r="C89" s="61" t="s">
        <v>191</v>
      </c>
      <c r="D89" s="66">
        <v>0.1089980515901212</v>
      </c>
      <c r="E89" s="66">
        <v>0.10554377444185399</v>
      </c>
      <c r="F89" s="66"/>
      <c r="G89" s="66">
        <v>0.13655562752998771</v>
      </c>
      <c r="H89" s="66">
        <v>0.11154984410367207</v>
      </c>
      <c r="I89" s="66">
        <v>0.10853341111987612</v>
      </c>
      <c r="J89" s="66">
        <v>0.1330052178944269</v>
      </c>
      <c r="K89" s="66">
        <v>8.2183676972432715E-2</v>
      </c>
      <c r="L89" s="66">
        <v>0.13018242654258591</v>
      </c>
      <c r="M89" s="66">
        <v>7.5962607269105809E-2</v>
      </c>
      <c r="N89" s="61"/>
      <c r="O89" s="61">
        <v>2171775</v>
      </c>
    </row>
    <row r="90" spans="1:15" s="65" customFormat="1" hidden="1" x14ac:dyDescent="0.2">
      <c r="A90" s="61"/>
      <c r="B90" s="61">
        <v>3</v>
      </c>
      <c r="C90" s="61" t="s">
        <v>59</v>
      </c>
      <c r="D90" s="66">
        <v>8.0412246201151227E-2</v>
      </c>
      <c r="E90" s="66">
        <v>9.725902646277898E-2</v>
      </c>
      <c r="F90" s="66">
        <v>0.11534079392850478</v>
      </c>
      <c r="G90" s="66">
        <v>9.2741048608036128E-2</v>
      </c>
      <c r="H90" s="66"/>
      <c r="I90" s="66"/>
      <c r="J90" s="66">
        <v>0.17490689618251651</v>
      </c>
      <c r="K90" s="66"/>
      <c r="L90" s="66">
        <v>0.10954844374888027</v>
      </c>
      <c r="M90" s="66"/>
      <c r="N90" s="61"/>
      <c r="O90" s="61">
        <v>2783840</v>
      </c>
    </row>
    <row r="91" spans="1:15" s="65" customFormat="1" hidden="1" x14ac:dyDescent="0.2">
      <c r="A91" s="61"/>
      <c r="B91" s="61">
        <v>4</v>
      </c>
      <c r="C91" s="61" t="s">
        <v>84</v>
      </c>
      <c r="D91" s="66">
        <v>8.4519594507642459E-2</v>
      </c>
      <c r="E91" s="66"/>
      <c r="F91" s="66">
        <v>0.15739368163257531</v>
      </c>
      <c r="G91" s="66">
        <v>8.2454200614257192E-2</v>
      </c>
      <c r="H91" s="66">
        <v>6.3227497116733269E-2</v>
      </c>
      <c r="I91" s="66">
        <v>8.4701352539621078E-2</v>
      </c>
      <c r="J91" s="66">
        <v>7.0900905024044933E-2</v>
      </c>
      <c r="K91" s="66">
        <v>0.118001454659359</v>
      </c>
      <c r="L91" s="66">
        <v>7.7407093836612997E-2</v>
      </c>
      <c r="M91" s="66">
        <v>8.6767386070206592E-2</v>
      </c>
      <c r="N91" s="61"/>
      <c r="O91" s="61">
        <v>6763595</v>
      </c>
    </row>
    <row r="92" spans="1:15" s="65" customFormat="1" hidden="1" x14ac:dyDescent="0.2">
      <c r="A92" s="61"/>
      <c r="B92" s="61">
        <v>5</v>
      </c>
      <c r="C92" s="61" t="s">
        <v>192</v>
      </c>
      <c r="D92" s="66">
        <v>0.134202819507697</v>
      </c>
      <c r="E92" s="66">
        <v>0.10840415019037676</v>
      </c>
      <c r="F92" s="66">
        <v>0.13248985844092476</v>
      </c>
      <c r="G92" s="66"/>
      <c r="H92" s="66">
        <v>0.14774124281026196</v>
      </c>
      <c r="I92" s="66">
        <v>0.18337251251827327</v>
      </c>
      <c r="J92" s="66"/>
      <c r="K92" s="66"/>
      <c r="L92" s="66">
        <v>6.475711513572624E-2</v>
      </c>
      <c r="M92" s="66"/>
      <c r="N92" s="61"/>
      <c r="O92" s="61">
        <v>2764187</v>
      </c>
    </row>
    <row r="93" spans="1:15" s="65" customFormat="1" hidden="1" x14ac:dyDescent="0.2">
      <c r="A93" s="61"/>
      <c r="B93" s="61">
        <v>6</v>
      </c>
      <c r="C93" s="61" t="s">
        <v>151</v>
      </c>
      <c r="D93" s="66"/>
      <c r="E93" s="66"/>
      <c r="F93" s="66"/>
      <c r="G93" s="66"/>
      <c r="H93" s="66"/>
      <c r="I93" s="66"/>
      <c r="J93" s="66"/>
      <c r="K93" s="66"/>
      <c r="L93" s="66"/>
      <c r="M93" s="66">
        <v>0.44221804527872799</v>
      </c>
      <c r="N93" s="61"/>
      <c r="O93" s="61">
        <v>3511670</v>
      </c>
    </row>
    <row r="94" spans="1:15" s="65" customFormat="1" hidden="1" x14ac:dyDescent="0.2">
      <c r="A94" s="61"/>
      <c r="B94" s="61">
        <v>7</v>
      </c>
      <c r="C94" s="61" t="s">
        <v>136</v>
      </c>
      <c r="D94" s="66"/>
      <c r="E94" s="66"/>
      <c r="F94" s="66"/>
      <c r="G94" s="66"/>
      <c r="H94" s="66"/>
      <c r="I94" s="66"/>
      <c r="J94" s="66"/>
      <c r="K94" s="66"/>
      <c r="L94" s="66"/>
      <c r="M94" s="66">
        <v>0.26339289208522026</v>
      </c>
      <c r="N94" s="61"/>
      <c r="O94" s="61">
        <v>1464488</v>
      </c>
    </row>
    <row r="95" spans="1:15" s="65" customFormat="1" hidden="1" x14ac:dyDescent="0.2">
      <c r="A95" s="61"/>
      <c r="B95" s="61">
        <v>8</v>
      </c>
      <c r="C95" s="61" t="s">
        <v>193</v>
      </c>
      <c r="D95" s="66"/>
      <c r="E95" s="66"/>
      <c r="F95" s="66"/>
      <c r="G95" s="66"/>
      <c r="H95" s="66"/>
      <c r="I95" s="66"/>
      <c r="J95" s="66">
        <v>7.8018301237540694E-2</v>
      </c>
      <c r="K95" s="66">
        <v>7.6291344611477588E-2</v>
      </c>
      <c r="L95" s="66"/>
      <c r="M95" s="66"/>
      <c r="N95" s="61"/>
      <c r="O95" s="61">
        <v>8274269</v>
      </c>
    </row>
    <row r="96" spans="1:15" s="65" customFormat="1" hidden="1" x14ac:dyDescent="0.2">
      <c r="A96" s="61"/>
      <c r="B96" s="61">
        <v>9</v>
      </c>
      <c r="C96" s="61" t="s">
        <v>194</v>
      </c>
      <c r="D96" s="66"/>
      <c r="E96" s="66"/>
      <c r="F96" s="66"/>
      <c r="G96" s="66"/>
      <c r="H96" s="66"/>
      <c r="I96" s="66"/>
      <c r="J96" s="66"/>
      <c r="K96" s="66">
        <v>7.2281524533510971E-2</v>
      </c>
      <c r="L96" s="66"/>
      <c r="M96" s="66"/>
      <c r="N96" s="61"/>
      <c r="O96" s="61">
        <v>10520359</v>
      </c>
    </row>
    <row r="97" spans="1:15" s="65" customFormat="1" hidden="1" x14ac:dyDescent="0.2">
      <c r="A97" s="61"/>
      <c r="B97" s="61">
        <v>10</v>
      </c>
      <c r="C97" s="61" t="s">
        <v>195</v>
      </c>
      <c r="D97" s="66"/>
      <c r="E97" s="66">
        <v>8.737304939563581E-2</v>
      </c>
      <c r="F97" s="66"/>
      <c r="G97" s="66"/>
      <c r="H97" s="66"/>
      <c r="I97" s="66">
        <v>0.10792965199475713</v>
      </c>
      <c r="J97" s="66"/>
      <c r="K97" s="66"/>
      <c r="L97" s="66"/>
      <c r="M97" s="66"/>
      <c r="N97" s="61"/>
      <c r="O97" s="61">
        <v>1928395</v>
      </c>
    </row>
    <row r="98" spans="1:15" s="65" customFormat="1" hidden="1" x14ac:dyDescent="0.2">
      <c r="A98" s="61"/>
      <c r="B98" s="61">
        <v>11</v>
      </c>
      <c r="C98" s="61" t="s">
        <v>63</v>
      </c>
      <c r="D98" s="66"/>
      <c r="E98" s="66"/>
      <c r="F98" s="66"/>
      <c r="G98" s="66"/>
      <c r="H98" s="66">
        <v>3.985806668560922E-2</v>
      </c>
      <c r="I98" s="66"/>
      <c r="J98" s="66"/>
      <c r="K98" s="66"/>
      <c r="L98" s="66"/>
      <c r="M98" s="66"/>
      <c r="N98" s="61"/>
      <c r="O98" s="61">
        <v>10782840</v>
      </c>
    </row>
    <row r="99" spans="1:15" s="65" customFormat="1" hidden="1" x14ac:dyDescent="0.2">
      <c r="A99" s="61"/>
      <c r="B99" s="61">
        <v>12</v>
      </c>
      <c r="C99" s="61" t="s">
        <v>61</v>
      </c>
      <c r="D99" s="66"/>
      <c r="E99" s="66"/>
      <c r="F99" s="66">
        <v>0.14898166296271761</v>
      </c>
      <c r="G99" s="66">
        <v>6.2751296726969163E-2</v>
      </c>
      <c r="H99" s="66"/>
      <c r="I99" s="66"/>
      <c r="J99" s="66"/>
      <c r="K99" s="66"/>
      <c r="L99" s="66"/>
      <c r="M99" s="66"/>
      <c r="N99" s="61"/>
      <c r="O99" s="61">
        <v>7829670</v>
      </c>
    </row>
    <row r="100" spans="1:15" s="65" customFormat="1" hidden="1" x14ac:dyDescent="0.2">
      <c r="A100" s="61"/>
      <c r="B100" s="61">
        <v>13</v>
      </c>
      <c r="C100" s="61" t="s">
        <v>68</v>
      </c>
      <c r="D100" s="66">
        <v>0.39376945982026518</v>
      </c>
      <c r="E100" s="66">
        <v>0.3603583714929065</v>
      </c>
      <c r="F100" s="66">
        <v>0.26303127021175754</v>
      </c>
      <c r="G100" s="66">
        <v>0.4925605253933259</v>
      </c>
      <c r="H100" s="66">
        <v>0.40812419667263311</v>
      </c>
      <c r="I100" s="66">
        <v>0.36182997363846992</v>
      </c>
      <c r="J100" s="66">
        <v>0.38054697855170322</v>
      </c>
      <c r="K100" s="66">
        <v>0.44630152331904027</v>
      </c>
      <c r="L100" s="66">
        <v>0.43153306401651664</v>
      </c>
      <c r="M100" s="66">
        <v>0</v>
      </c>
      <c r="N100" s="61"/>
      <c r="O100" s="61">
        <v>32768</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14</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'Low activity over 10m'!D3:L3</xm:f>
              <xm:sqref>C3</xm:sqref>
            </x14:sparkline>
            <x14:sparkline>
              <xm:f>'Low activity over 10m'!D4:L4</xm:f>
              <xm:sqref>C4</xm:sqref>
            </x14:sparkline>
            <x14:sparkline>
              <xm:f>'Low activity over 10m'!D5:L5</xm:f>
              <xm:sqref>C5</xm:sqref>
            </x14:sparkline>
            <x14:sparkline>
              <xm:f>'Low activity over 10m'!D6:L6</xm:f>
              <xm:sqref>C6</xm:sqref>
            </x14:sparkline>
            <x14:sparkline>
              <xm:f>'Low activity over 10m'!D7:L7</xm:f>
              <xm:sqref>C7</xm:sqref>
            </x14:sparkline>
            <x14:sparkline>
              <xm:f>'Low activity over 10m'!D8:L8</xm:f>
              <xm:sqref>C8</xm:sqref>
            </x14:sparkline>
            <x14:sparkline>
              <xm:f>'Low activity over 10m'!D9:L9</xm:f>
              <xm:sqref>C9</xm:sqref>
            </x14:sparkline>
            <x14:sparkline>
              <xm:f>'Low activity over 10m'!D10:L10</xm:f>
              <xm:sqref>C10</xm:sqref>
            </x14:sparkline>
            <x14:sparkline>
              <xm:f>'Low activity over 10m'!D11:L11</xm:f>
              <xm:sqref>C11</xm:sqref>
            </x14:sparkline>
            <x14:sparkline>
              <xm:f>'Low activity over 10m'!D12:L12</xm:f>
              <xm:sqref>C12</xm:sqref>
            </x14:sparkline>
            <x14:sparkline>
              <xm:f>'Low activity over 10m'!D13:L13</xm:f>
              <xm:sqref>C13</xm:sqref>
            </x14:sparkline>
            <x14:sparkline>
              <xm:f>'Low activity over 10m'!D14:L14</xm:f>
              <xm:sqref>C14</xm:sqref>
            </x14:sparkline>
            <x14:sparkline>
              <xm:f>'Low activity over 10m'!D15:L15</xm:f>
              <xm:sqref>C15</xm:sqref>
            </x14:sparkline>
            <x14:sparkline>
              <xm:f>'Low activity over 10m'!D16:L16</xm:f>
              <xm:sqref>C16</xm:sqref>
            </x14:sparkline>
            <x14:sparkline>
              <xm:f>'Low activity over 10m'!D17:L17</xm:f>
              <xm:sqref>C17</xm:sqref>
            </x14:sparkline>
            <x14:sparkline>
              <xm:f>'Low activity over 10m'!D18:L18</xm:f>
              <xm:sqref>C18</xm:sqref>
            </x14:sparkline>
            <x14:sparkline>
              <xm:f>'Low activity over 10m'!D19:L19</xm:f>
              <xm:sqref>C19</xm:sqref>
            </x14:sparkline>
            <x14:sparkline>
              <xm:f>'Low activity over 10m'!D20:L20</xm:f>
              <xm:sqref>C20</xm:sqref>
            </x14:sparkline>
            <x14:sparkline>
              <xm:f>'Low activity over 10m'!D21:L21</xm:f>
              <xm:sqref>C21</xm:sqref>
            </x14:sparkline>
            <x14:sparkline>
              <xm:f>'Low activity over 10m'!D22:L22</xm:f>
              <xm:sqref>C22</xm:sqref>
            </x14:sparkline>
            <x14:sparkline>
              <xm:f>'Low activity over 10m'!D23:L23</xm:f>
              <xm:sqref>C23</xm:sqref>
            </x14:sparkline>
            <x14:sparkline>
              <xm:f>'Low activity over 10m'!D24:L24</xm:f>
              <xm:sqref>C24</xm:sqref>
            </x14:sparkline>
            <x14:sparkline>
              <xm:f>'Low activity over 10m'!D25:L25</xm:f>
              <xm:sqref>C25</xm:sqref>
            </x14:sparkline>
            <x14:sparkline>
              <xm:f>'Low activity over 10m'!D26:L26</xm:f>
              <xm:sqref>C26</xm:sqref>
            </x14:sparkline>
            <x14:sparkline>
              <xm:f>'Low activity over 10m'!D27:L27</xm:f>
              <xm:sqref>C27</xm:sqref>
            </x14:sparkline>
            <x14:sparkline>
              <xm:f>'Low activity over 10m'!D28:L28</xm:f>
              <xm:sqref>C28</xm:sqref>
            </x14:sparkline>
            <x14:sparkline>
              <xm:f>'Low activity over 10m'!D29:L29</xm:f>
              <xm:sqref>C29</xm:sqref>
            </x14:sparkline>
            <x14:sparkline>
              <xm:f>'Low activity over 10m'!D30:L30</xm:f>
              <xm:sqref>C30</xm:sqref>
            </x14:sparkline>
            <x14:sparkline>
              <xm:f>'Low activity over 10m'!D31:L31</xm:f>
              <xm:sqref>C31</xm:sqref>
            </x14:sparkline>
            <x14:sparkline>
              <xm:f>'Low activity over 10m'!D32:L32</xm:f>
              <xm:sqref>C32</xm:sqref>
            </x14:sparkline>
            <x14:sparkline>
              <xm:f>'Low activity over 10m'!D33:L33</xm:f>
              <xm:sqref>C33</xm:sqref>
            </x14:sparkline>
            <x14:sparkline>
              <xm:f>'Low activity over 10m'!D34:L34</xm:f>
              <xm:sqref>C34</xm:sqref>
            </x14:sparkline>
            <x14:sparkline>
              <xm:f>'Low activity over 10m'!D35:L35</xm:f>
              <xm:sqref>C35</xm:sqref>
            </x14:sparkline>
            <x14:sparkline>
              <xm:f>'Low activity over 10m'!D36:L36</xm:f>
              <xm:sqref>C36</xm:sqref>
            </x14:sparkline>
            <x14:sparkline>
              <xm:f>'Low activity over 10m'!D37:L37</xm:f>
              <xm:sqref>C37</xm:sqref>
            </x14:sparkline>
            <x14:sparkline>
              <xm:f>'Low activity over 10m'!D38:L38</xm:f>
              <xm:sqref>C38</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196</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871</v>
      </c>
      <c r="E3" s="16">
        <v>1647</v>
      </c>
      <c r="F3" s="16">
        <v>1711</v>
      </c>
      <c r="G3" s="16">
        <v>1816</v>
      </c>
      <c r="H3" s="16">
        <v>1844</v>
      </c>
      <c r="I3" s="16">
        <v>1750</v>
      </c>
      <c r="J3" s="16">
        <v>1700</v>
      </c>
      <c r="K3" s="16">
        <v>1728</v>
      </c>
      <c r="L3" s="16">
        <v>1682</v>
      </c>
      <c r="M3" s="17">
        <v>1497</v>
      </c>
      <c r="N3" s="18">
        <f t="shared" ref="N3:N38" si="0">IF(L3=0,"",IFERROR(IF(AND(L3&gt;0,D3&lt;0),"na",IF(AND(L3&lt;0,D3&lt;0),-1,1)*(L3-D3)/D3),""))</f>
        <v>0.93111366245694605</v>
      </c>
      <c r="O3" s="18">
        <f t="shared" ref="O3:O38" si="1">IF(L3=0,"",IFERROR(IF(AND(L3&gt;0,H3&lt;0),"na",IF(AND(L3&lt;0,H3&lt;0),-1,1)*(L3-H3)/H3),""))</f>
        <v>-8.7852494577006501E-2</v>
      </c>
    </row>
    <row r="4" spans="1:15" s="19" customFormat="1" ht="18" customHeight="1" x14ac:dyDescent="0.2">
      <c r="A4" s="141"/>
      <c r="B4" s="20" t="s">
        <v>20</v>
      </c>
      <c r="C4" s="21"/>
      <c r="D4" s="22">
        <v>39638.890625</v>
      </c>
      <c r="E4" s="22">
        <v>67571.71875</v>
      </c>
      <c r="F4" s="22">
        <v>65335.1015625</v>
      </c>
      <c r="G4" s="22">
        <v>69781.609375</v>
      </c>
      <c r="H4" s="22">
        <v>73102.359375</v>
      </c>
      <c r="I4" s="22">
        <v>64433.328125</v>
      </c>
      <c r="J4" s="22">
        <v>64588.23046875</v>
      </c>
      <c r="K4" s="22">
        <v>63972.87109375</v>
      </c>
      <c r="L4" s="22">
        <v>64160.109375</v>
      </c>
      <c r="M4" s="23">
        <v>57305.5</v>
      </c>
      <c r="N4" s="24">
        <f t="shared" si="0"/>
        <v>0.61861516211391199</v>
      </c>
      <c r="O4" s="24">
        <f t="shared" si="1"/>
        <v>-0.12232505320557582</v>
      </c>
    </row>
    <row r="5" spans="1:15" s="19" customFormat="1" ht="18" customHeight="1" x14ac:dyDescent="0.2">
      <c r="A5" s="141"/>
      <c r="B5" s="20" t="s">
        <v>21</v>
      </c>
      <c r="C5" s="21"/>
      <c r="D5" s="22">
        <v>2944.469970703125</v>
      </c>
      <c r="E5" s="22">
        <v>4672.5400390625</v>
      </c>
      <c r="F5" s="22">
        <v>4261.31005859375</v>
      </c>
      <c r="G5" s="22">
        <v>4521.43994140625</v>
      </c>
      <c r="H5" s="22">
        <v>4723.580078125</v>
      </c>
      <c r="I5" s="22">
        <v>4129.509765625</v>
      </c>
      <c r="J5" s="22">
        <v>3997.68994140625</v>
      </c>
      <c r="K5" s="22">
        <v>3890.800048828125</v>
      </c>
      <c r="L5" s="22">
        <v>3890.409912109375</v>
      </c>
      <c r="M5" s="23">
        <v>3515.760009765625</v>
      </c>
      <c r="N5" s="24">
        <f t="shared" si="0"/>
        <v>0.32125983651324663</v>
      </c>
      <c r="O5" s="24">
        <f t="shared" si="1"/>
        <v>-0.17638531627187898</v>
      </c>
    </row>
    <row r="6" spans="1:15" s="19" customFormat="1" ht="18" customHeight="1" x14ac:dyDescent="0.2">
      <c r="A6" s="141"/>
      <c r="B6" s="20" t="s">
        <v>22</v>
      </c>
      <c r="C6" s="21"/>
      <c r="D6" s="22">
        <v>59654.546875</v>
      </c>
      <c r="E6" s="22">
        <v>60461.0703125</v>
      </c>
      <c r="F6" s="22">
        <v>52247.421875</v>
      </c>
      <c r="G6" s="22">
        <v>62356.72265625</v>
      </c>
      <c r="H6" s="22">
        <v>64699.85546875</v>
      </c>
      <c r="I6" s="22">
        <v>57787.875</v>
      </c>
      <c r="J6" s="22">
        <v>56995.0546875</v>
      </c>
      <c r="K6" s="22">
        <v>56523.41015625</v>
      </c>
      <c r="L6" s="22">
        <v>56494.5546875</v>
      </c>
      <c r="M6" s="23">
        <v>50708.640625</v>
      </c>
      <c r="N6" s="24">
        <f t="shared" si="0"/>
        <v>-5.2971522759554947E-2</v>
      </c>
      <c r="O6" s="24">
        <f t="shared" si="1"/>
        <v>-0.12682100635005525</v>
      </c>
    </row>
    <row r="7" spans="1:15" s="19" customFormat="1" ht="18" customHeight="1" x14ac:dyDescent="0.2">
      <c r="A7" s="141"/>
      <c r="B7" s="20" t="s">
        <v>23</v>
      </c>
      <c r="C7" s="21"/>
      <c r="D7" s="22">
        <v>1708.5726318359375</v>
      </c>
      <c r="E7" s="22">
        <v>2456.742919921875</v>
      </c>
      <c r="F7" s="22">
        <v>2482.83349609375</v>
      </c>
      <c r="G7" s="22">
        <v>2655.809814453125</v>
      </c>
      <c r="H7" s="22">
        <v>2717.214599609375</v>
      </c>
      <c r="I7" s="22">
        <v>2590.617919921875</v>
      </c>
      <c r="J7" s="22">
        <v>3134.309326171875</v>
      </c>
      <c r="K7" s="22">
        <v>2279.43505859375</v>
      </c>
      <c r="L7" s="22">
        <v>2343.3505859375</v>
      </c>
      <c r="M7" s="23">
        <v>2178.640380859375</v>
      </c>
      <c r="N7" s="24">
        <f t="shared" si="0"/>
        <v>0.37152529677328688</v>
      </c>
      <c r="O7" s="24">
        <f t="shared" si="1"/>
        <v>-0.13759090420227443</v>
      </c>
    </row>
    <row r="8" spans="1:15" s="19" customFormat="1" ht="18" customHeight="1" x14ac:dyDescent="0.2">
      <c r="A8" s="141"/>
      <c r="B8" s="20" t="s">
        <v>24</v>
      </c>
      <c r="C8" s="25"/>
      <c r="D8" s="26">
        <f ca="1">3.1591615*OFFSET(D$108,MATCH($M$1,$C$109:$C$110,0),0)</f>
        <v>2.5698514907677925</v>
      </c>
      <c r="E8" s="26">
        <f ca="1">6.309217*OFFSET(E$108,MATCH($M$1,$C$109:$C$110,0),0)</f>
        <v>5.2702778355028563</v>
      </c>
      <c r="F8" s="26">
        <f ca="1">6.5475555*OFFSET(F$108,MATCH($M$1,$C$109:$C$110,0),0)</f>
        <v>5.6264452465881947</v>
      </c>
      <c r="G8" s="26">
        <f ca="1">6.6726475*OFFSET(G$108,MATCH($M$1,$C$109:$C$110,0),0)</f>
        <v>5.9004220834598993</v>
      </c>
      <c r="H8" s="26">
        <f ca="1">6.489094*OFFSET(H$108,MATCH($M$1,$C$109:$C$110,0),0)</f>
        <v>5.8517352811063645</v>
      </c>
      <c r="I8" s="26">
        <f ca="1">5.964715*OFFSET(I$108,MATCH($M$1,$C$109:$C$110,0),0)</f>
        <v>5.5495111165792013</v>
      </c>
      <c r="J8" s="26">
        <f ca="1">6.035522*OFFSET(J$108,MATCH($M$1,$C$109:$C$110,0),0)</f>
        <v>5.7347115382568328</v>
      </c>
      <c r="K8" s="26">
        <f ca="1">5.923587*OFFSET(K$108,MATCH($M$1,$C$109:$C$110,0),0)</f>
        <v>5.7218295708591462</v>
      </c>
      <c r="L8" s="26">
        <f ca="1">5.7521185*OFFSET(L$108,MATCH($M$1,$C$109:$C$110,0),0)</f>
        <v>5.6556553732723511</v>
      </c>
      <c r="M8" s="27">
        <f ca="1">4.711356*OFFSET(M$108,MATCH($M$1,$C$109:$C$110,0),0)</f>
        <v>4.7113559816956601</v>
      </c>
      <c r="N8" s="24">
        <f t="shared" ca="1" si="0"/>
        <v>1.2007712872087466</v>
      </c>
      <c r="O8" s="24">
        <f t="shared" ca="1" si="1"/>
        <v>-3.3507993512129852E-2</v>
      </c>
    </row>
    <row r="9" spans="1:15" s="19" customFormat="1" ht="18" customHeight="1" x14ac:dyDescent="0.2">
      <c r="A9" s="141"/>
      <c r="B9" s="20" t="s">
        <v>25</v>
      </c>
      <c r="C9" s="25"/>
      <c r="D9" s="22">
        <v>26830.849609375</v>
      </c>
      <c r="E9" s="22">
        <v>51461.63671875</v>
      </c>
      <c r="F9" s="22">
        <v>49249</v>
      </c>
      <c r="G9" s="22">
        <v>52156.91796875</v>
      </c>
      <c r="H9" s="22">
        <v>45995</v>
      </c>
      <c r="I9" s="22">
        <v>43270</v>
      </c>
      <c r="J9" s="22">
        <v>42421</v>
      </c>
      <c r="K9" s="22">
        <v>40718</v>
      </c>
      <c r="L9" s="22">
        <v>42801</v>
      </c>
      <c r="M9" s="23">
        <v>40740</v>
      </c>
      <c r="N9" s="24">
        <f t="shared" si="0"/>
        <v>0.59521597799291637</v>
      </c>
      <c r="O9" s="24">
        <f t="shared" si="1"/>
        <v>-6.9442330688118267E-2</v>
      </c>
    </row>
    <row r="10" spans="1:15" s="19" customFormat="1" ht="18" customHeight="1" x14ac:dyDescent="0.2">
      <c r="A10" s="142" t="s">
        <v>7</v>
      </c>
      <c r="B10" s="28" t="s">
        <v>26</v>
      </c>
      <c r="C10" s="29"/>
      <c r="D10" s="30">
        <v>7.0444431304931641</v>
      </c>
      <c r="E10" s="30">
        <v>6.7412447929382324</v>
      </c>
      <c r="F10" s="30">
        <v>6.5920515060424805</v>
      </c>
      <c r="G10" s="30">
        <v>6.571800708770752</v>
      </c>
      <c r="H10" s="30">
        <v>6.6101574897766113</v>
      </c>
      <c r="I10" s="30">
        <v>6.4712972640991211</v>
      </c>
      <c r="J10" s="30">
        <v>6.4737353324890137</v>
      </c>
      <c r="K10" s="30">
        <v>6.4333219528198242</v>
      </c>
      <c r="L10" s="30">
        <v>6.4723663330078125</v>
      </c>
      <c r="M10" s="31">
        <v>6.5120038986206055</v>
      </c>
      <c r="N10" s="32">
        <f t="shared" si="0"/>
        <v>-8.1209655169052639E-2</v>
      </c>
      <c r="O10" s="32">
        <f t="shared" si="1"/>
        <v>-2.0845366692383519E-2</v>
      </c>
    </row>
    <row r="11" spans="1:15" s="19" customFormat="1" ht="18" customHeight="1" x14ac:dyDescent="0.2">
      <c r="A11" s="143"/>
      <c r="B11" s="33" t="s">
        <v>20</v>
      </c>
      <c r="C11" s="21"/>
      <c r="D11" s="22">
        <v>45.509632110595703</v>
      </c>
      <c r="E11" s="22">
        <v>41.027153015136719</v>
      </c>
      <c r="F11" s="22">
        <v>38.185329437255859</v>
      </c>
      <c r="G11" s="22">
        <v>38.425994873046875</v>
      </c>
      <c r="H11" s="22">
        <v>39.643363952636719</v>
      </c>
      <c r="I11" s="22">
        <v>36.819046020507812</v>
      </c>
      <c r="J11" s="22">
        <v>37.993076324462891</v>
      </c>
      <c r="K11" s="22">
        <v>37.021335601806641</v>
      </c>
      <c r="L11" s="22">
        <v>38.145130157470703</v>
      </c>
      <c r="M11" s="23">
        <v>38.280227661132813</v>
      </c>
      <c r="N11" s="24">
        <f t="shared" si="0"/>
        <v>-0.16182292872040976</v>
      </c>
      <c r="O11" s="24">
        <f t="shared" si="1"/>
        <v>-3.7792801765158139E-2</v>
      </c>
    </row>
    <row r="12" spans="1:15" s="19" customFormat="1" ht="18" customHeight="1" x14ac:dyDescent="0.2">
      <c r="A12" s="143"/>
      <c r="B12" s="33" t="s">
        <v>21</v>
      </c>
      <c r="C12" s="21"/>
      <c r="D12" s="22">
        <v>3.3805625438690186</v>
      </c>
      <c r="E12" s="22">
        <v>2.8370006084442139</v>
      </c>
      <c r="F12" s="22">
        <v>2.4905376434326172</v>
      </c>
      <c r="G12" s="22">
        <v>2.4897797107696533</v>
      </c>
      <c r="H12" s="22">
        <v>2.5615942478179932</v>
      </c>
      <c r="I12" s="22">
        <v>2.35971999168396</v>
      </c>
      <c r="J12" s="22">
        <v>2.3515822887420654</v>
      </c>
      <c r="K12" s="22">
        <v>2.2516202926635742</v>
      </c>
      <c r="L12" s="22">
        <v>2.3129668235778809</v>
      </c>
      <c r="M12" s="23">
        <v>2.3485369682312012</v>
      </c>
      <c r="N12" s="24">
        <f t="shared" si="0"/>
        <v>-0.3158041617148386</v>
      </c>
      <c r="O12" s="24">
        <f t="shared" si="1"/>
        <v>-9.7059643404452958E-2</v>
      </c>
    </row>
    <row r="13" spans="1:15" s="19" customFormat="1" ht="18" customHeight="1" x14ac:dyDescent="0.2">
      <c r="A13" s="143"/>
      <c r="B13" s="33" t="s">
        <v>22</v>
      </c>
      <c r="C13" s="21"/>
      <c r="D13" s="22">
        <v>68.489723205566406</v>
      </c>
      <c r="E13" s="22">
        <v>36.709815979003906</v>
      </c>
      <c r="F13" s="22">
        <v>30.536190032958984</v>
      </c>
      <c r="G13" s="22">
        <v>34.33740234375</v>
      </c>
      <c r="H13" s="22">
        <v>35.086688995361328</v>
      </c>
      <c r="I13" s="22">
        <v>33.097293853759766</v>
      </c>
      <c r="J13" s="22">
        <v>33.744850158691406</v>
      </c>
      <c r="K13" s="22">
        <v>33.190494537353516</v>
      </c>
      <c r="L13" s="22">
        <v>33.849342346191406</v>
      </c>
      <c r="M13" s="23">
        <v>34.124252319335938</v>
      </c>
      <c r="N13" s="24">
        <f t="shared" si="0"/>
        <v>-0.50577487012766398</v>
      </c>
      <c r="O13" s="24">
        <f t="shared" si="1"/>
        <v>-3.5265415022018937E-2</v>
      </c>
    </row>
    <row r="14" spans="1:15" s="19" customFormat="1" ht="18" customHeight="1" x14ac:dyDescent="0.2">
      <c r="A14" s="143"/>
      <c r="B14" s="33" t="s">
        <v>23</v>
      </c>
      <c r="C14" s="25"/>
      <c r="D14" s="26">
        <v>1.9616217613220215</v>
      </c>
      <c r="E14" s="26">
        <v>1.4916471242904663</v>
      </c>
      <c r="F14" s="26">
        <v>1.4511008262634277</v>
      </c>
      <c r="G14" s="26">
        <v>1.462450385093689</v>
      </c>
      <c r="H14" s="26">
        <v>1.4735437631607056</v>
      </c>
      <c r="I14" s="26">
        <v>1.4803529977798462</v>
      </c>
      <c r="J14" s="26">
        <v>1.8437113761901855</v>
      </c>
      <c r="K14" s="26">
        <v>1.3191174268722534</v>
      </c>
      <c r="L14" s="26">
        <v>1.3931930065155029</v>
      </c>
      <c r="M14" s="27">
        <v>1.4553375244140625</v>
      </c>
      <c r="N14" s="24">
        <f t="shared" si="0"/>
        <v>-0.28977490259051258</v>
      </c>
      <c r="O14" s="24">
        <f t="shared" si="1"/>
        <v>-5.4528924524679716E-2</v>
      </c>
    </row>
    <row r="15" spans="1:15" s="19" customFormat="1" ht="18" customHeight="1" x14ac:dyDescent="0.2">
      <c r="A15" s="143"/>
      <c r="B15" s="33" t="s">
        <v>27</v>
      </c>
      <c r="C15" s="25"/>
      <c r="D15" s="26">
        <f ca="1">3.62705126953125*OFFSET(D$108,MATCH($M$1,$C$109:$C$110,0),0)</f>
        <v>2.9504610992809632</v>
      </c>
      <c r="E15" s="26">
        <f ca="1">3.83073266601563*OFFSET(E$108,MATCH($M$1,$C$109:$C$110,0),0)</f>
        <v>3.1999256743648123</v>
      </c>
      <c r="F15" s="26">
        <f ca="1">3.82674194335938*OFFSET(F$108,MATCH($M$1,$C$109:$C$110,0),0)</f>
        <v>3.2883958016291812</v>
      </c>
      <c r="G15" s="26">
        <f ca="1">3.674365234375*OFFSET(G$108,MATCH($M$1,$C$109:$C$110,0),0)</f>
        <v>3.249130989101936</v>
      </c>
      <c r="H15" s="26">
        <f ca="1">3.51903149414062*OFFSET(H$108,MATCH($M$1,$C$109:$C$110,0),0)</f>
        <v>3.1733922716464136</v>
      </c>
      <c r="I15" s="26">
        <f ca="1">3.40840869140625*OFFSET(I$108,MATCH($M$1,$C$109:$C$110,0),0)</f>
        <v>3.1711493210998603</v>
      </c>
      <c r="J15" s="26">
        <f ca="1">3.55030688476563*OFFSET(J$108,MATCH($M$1,$C$109:$C$110,0),0)</f>
        <v>3.3733595630035196</v>
      </c>
      <c r="K15" s="26">
        <f ca="1">3.42800170898438*OFFSET(K$108,MATCH($M$1,$C$109:$C$110,0),0)</f>
        <v>3.3112439384147674</v>
      </c>
      <c r="L15" s="26">
        <f ca="1">3.41980883789063*OFFSET(L$108,MATCH($M$1,$C$109:$C$110,0),0)</f>
        <v>3.3624585845337531</v>
      </c>
      <c r="M15" s="27">
        <f ca="1">3.14719848632813*OFFSET(M$108,MATCH($M$1,$C$109:$C$110,0),0)</f>
        <v>3.1471984741007817</v>
      </c>
      <c r="N15" s="24">
        <f t="shared" ca="1" si="0"/>
        <v>0.13963833834419814</v>
      </c>
      <c r="O15" s="24">
        <f t="shared" ca="1" si="1"/>
        <v>5.9578613894225092E-2</v>
      </c>
    </row>
    <row r="16" spans="1:15" s="19" customFormat="1" ht="18" customHeight="1" x14ac:dyDescent="0.2">
      <c r="A16" s="143"/>
      <c r="B16" s="33" t="s">
        <v>25</v>
      </c>
      <c r="C16" s="21"/>
      <c r="D16" s="22">
        <v>30.804649353027344</v>
      </c>
      <c r="E16" s="22">
        <v>31.245681762695313</v>
      </c>
      <c r="F16" s="22">
        <v>28.78375244140625</v>
      </c>
      <c r="G16" s="22">
        <v>28.720769882202148</v>
      </c>
      <c r="H16" s="22">
        <v>24.943058013916016</v>
      </c>
      <c r="I16" s="22">
        <v>24.725713729858398</v>
      </c>
      <c r="J16" s="22">
        <v>24.953529357910156</v>
      </c>
      <c r="K16" s="22">
        <v>23.563657760620117</v>
      </c>
      <c r="L16" s="22">
        <v>25.446493148803711</v>
      </c>
      <c r="M16" s="23">
        <v>27.214427947998047</v>
      </c>
      <c r="N16" s="24">
        <f t="shared" si="0"/>
        <v>-0.17393985378045074</v>
      </c>
      <c r="O16" s="24">
        <f t="shared" si="1"/>
        <v>2.0183376657618449E-2</v>
      </c>
    </row>
    <row r="17" spans="1:15" s="19" customFormat="1" ht="18" customHeight="1" x14ac:dyDescent="0.2">
      <c r="A17" s="143"/>
      <c r="B17" s="33" t="s">
        <v>28</v>
      </c>
      <c r="C17" s="21"/>
      <c r="D17" s="22">
        <v>19.802526473999023</v>
      </c>
      <c r="E17" s="22">
        <v>20.377048492431641</v>
      </c>
      <c r="F17" s="22">
        <v>20.837522506713867</v>
      </c>
      <c r="G17" s="22">
        <v>21.296806335449219</v>
      </c>
      <c r="H17" s="22">
        <v>21.610086441040039</v>
      </c>
      <c r="I17" s="22">
        <v>21.822450637817383</v>
      </c>
      <c r="J17" s="22">
        <v>22.343399047851562</v>
      </c>
      <c r="K17" s="22">
        <v>22.789783477783203</v>
      </c>
      <c r="L17" s="22">
        <v>23.446374893188477</v>
      </c>
      <c r="M17" s="23">
        <v>24.447509765625</v>
      </c>
      <c r="N17" s="24">
        <f t="shared" si="0"/>
        <v>0.18400926891696742</v>
      </c>
      <c r="O17" s="24">
        <f t="shared" si="1"/>
        <v>8.4973674545841454E-2</v>
      </c>
    </row>
    <row r="18" spans="1:15" s="19" customFormat="1" ht="18" customHeight="1" x14ac:dyDescent="0.2">
      <c r="A18" s="143"/>
      <c r="B18" s="33" t="s">
        <v>29</v>
      </c>
      <c r="C18" s="21"/>
      <c r="D18" s="34">
        <v>6.3679404556751251E-2</v>
      </c>
      <c r="E18" s="34">
        <v>4.7739304602146149E-2</v>
      </c>
      <c r="F18" s="34">
        <v>5.0413887947797775E-2</v>
      </c>
      <c r="G18" s="34">
        <v>5.0919611006975174E-2</v>
      </c>
      <c r="H18" s="34">
        <v>5.9076309204101563E-2</v>
      </c>
      <c r="I18" s="34">
        <v>5.9870991855859756E-2</v>
      </c>
      <c r="J18" s="34">
        <v>7.3885798454284668E-2</v>
      </c>
      <c r="K18" s="34">
        <v>5.5981013923883438E-2</v>
      </c>
      <c r="L18" s="34">
        <v>5.4749902337789536E-2</v>
      </c>
      <c r="M18" s="35">
        <v>5.3476691246032715E-2</v>
      </c>
      <c r="N18" s="24">
        <f t="shared" si="0"/>
        <v>-0.14022590633685528</v>
      </c>
      <c r="O18" s="24">
        <f t="shared" si="1"/>
        <v>-7.3234210542246478E-2</v>
      </c>
    </row>
    <row r="19" spans="1:15" s="19" customFormat="1" ht="18" customHeight="1" x14ac:dyDescent="0.2">
      <c r="A19" s="144"/>
      <c r="B19" s="36" t="s">
        <v>8</v>
      </c>
      <c r="C19" s="37"/>
      <c r="D19" s="38">
        <f ca="1">1849.00626472364*OFFSET(D$108,MATCH($M$1,$C$109:$C$110,0),0)</f>
        <v>1504.0926226275653</v>
      </c>
      <c r="E19" s="38">
        <f ca="1">2568.12259387752*OFFSET(E$108,MATCH($M$1,$C$109:$C$110,0),0)</f>
        <v>2145.2296830758551</v>
      </c>
      <c r="F19" s="38">
        <f ca="1">2637.13032319779*OFFSET(F$108,MATCH($M$1,$C$109:$C$110,0),0)</f>
        <v>2266.1387706587284</v>
      </c>
      <c r="G19" s="38">
        <f ca="1">2512.47188849402*OFFSET(G$108,MATCH($M$1,$C$109:$C$110,0),0)</f>
        <v>2221.7035464472406</v>
      </c>
      <c r="H19" s="38">
        <f ca="1">2388.14188652338*OFFSET(H$108,MATCH($M$1,$C$109:$C$110,0),0)</f>
        <v>2153.5786249446805</v>
      </c>
      <c r="I19" s="38">
        <f ca="1">2302.42945288508*OFFSET(I$108,MATCH($M$1,$C$109:$C$110,0),0)</f>
        <v>2142.1573107726217</v>
      </c>
      <c r="J19" s="38">
        <f ca="1">1925.63061648148*OFFSET(J$108,MATCH($M$1,$C$109:$C$110,0),0)</f>
        <v>1829.6571721148496</v>
      </c>
      <c r="K19" s="38">
        <f ca="1">2598.70838507434*OFFSET(K$108,MATCH($M$1,$C$109:$C$110,0),0)</f>
        <v>2510.196352945939</v>
      </c>
      <c r="L19" s="38">
        <f ca="1">2454.65554088176*OFFSET(L$108,MATCH($M$1,$C$109:$C$110,0),0)</f>
        <v>2413.4909250080077</v>
      </c>
      <c r="M19" s="39">
        <f ca="1">2162.52119504991*OFFSET(M$108,MATCH($M$1,$C$109:$C$110,0),0)</f>
        <v>2162.5211866481841</v>
      </c>
      <c r="N19" s="40">
        <f ca="1">IF(L19=0,"",IFERROR(IF(AND(L19&gt;0,D19&lt;0),"na",IF(AND(L19&lt;0,D19&lt;0),-1,1)*(L19-D19)/D19),""))</f>
        <v>0.6046158918004495</v>
      </c>
      <c r="O19" s="40">
        <f ca="1">IF(L19=0,"",IFERROR(IF(AND(L19&gt;0,H19&lt;0),"na",IF(AND(L19&lt;0,H19&lt;0),-1,1)*(L19-H19)/H19),""))</f>
        <v>0.12068855859395596</v>
      </c>
    </row>
    <row r="20" spans="1:15" s="19" customFormat="1" ht="18" customHeight="1" x14ac:dyDescent="0.2">
      <c r="A20" s="145" t="s">
        <v>9</v>
      </c>
      <c r="B20" s="28" t="s">
        <v>30</v>
      </c>
      <c r="C20" s="41"/>
      <c r="D20" s="42">
        <v>1.7961222109264809</v>
      </c>
      <c r="E20" s="42">
        <v>1.3104896825563013</v>
      </c>
      <c r="F20" s="42">
        <v>1.5154195843342713</v>
      </c>
      <c r="G20" s="42">
        <v>1.5509480447126351</v>
      </c>
      <c r="H20" s="42">
        <v>1.7639601410073402</v>
      </c>
      <c r="I20" s="42">
        <v>1.8110880255382931</v>
      </c>
      <c r="J20" s="42">
        <v>2.0788121665292256</v>
      </c>
      <c r="K20" s="42">
        <v>1.5782157819734923</v>
      </c>
      <c r="L20" s="42">
        <v>1.5204185579417067</v>
      </c>
      <c r="M20" s="43">
        <v>1.4942879680309453</v>
      </c>
      <c r="N20" s="32">
        <f t="shared" si="0"/>
        <v>-0.15349938401049004</v>
      </c>
      <c r="O20" s="32">
        <f t="shared" si="1"/>
        <v>-0.13806524161399411</v>
      </c>
    </row>
    <row r="21" spans="1:15" s="19" customFormat="1" ht="18" customHeight="1" x14ac:dyDescent="0.2">
      <c r="A21" s="145"/>
      <c r="B21" s="33" t="s">
        <v>31</v>
      </c>
      <c r="C21" s="21"/>
      <c r="D21" s="34">
        <f ca="1">3.32104153503256*OFFSET(D$108,MATCH($M$1,$C$109:$C$110,0),0)</f>
        <v>2.7015344228856875</v>
      </c>
      <c r="E21" s="34">
        <f ca="1">3.36549814878824*OFFSET(E$108,MATCH($M$1,$C$109:$C$110,0),0)</f>
        <v>2.8113013546664432</v>
      </c>
      <c r="F21" s="34">
        <f ca="1">3.99635888850871*OFFSET(F$108,MATCH($M$1,$C$109:$C$110,0),0)</f>
        <v>3.4341510311612193</v>
      </c>
      <c r="G21" s="34">
        <f ca="1">3.89671310144919*OFFSET(G$108,MATCH($M$1,$C$109:$C$110,0),0)</f>
        <v>3.4457465401399245</v>
      </c>
      <c r="H21" s="34">
        <f ca="1">4.21258699320801*OFFSET(H$108,MATCH($M$1,$C$109:$C$110,0),0)</f>
        <v>3.7988267596193075</v>
      </c>
      <c r="I21" s="34">
        <f ca="1">4.16990283831244*OFFSET(I$108,MATCH($M$1,$C$109:$C$110,0),0)</f>
        <v>3.8796358512133522</v>
      </c>
      <c r="J21" s="34">
        <f ca="1">4.00302414047801*OFFSET(J$108,MATCH($M$1,$C$109:$C$110,0),0)</f>
        <v>3.8035133872960585</v>
      </c>
      <c r="K21" s="34">
        <f ca="1">4.10132281443597*OFFSET(K$108,MATCH($M$1,$C$109:$C$110,0),0)</f>
        <v>3.9616317206582754</v>
      </c>
      <c r="L21" s="34">
        <f ca="1">3.73210373395892*OFFSET(L$108,MATCH($M$1,$C$109:$C$110,0),0)</f>
        <v>3.6695162897938505</v>
      </c>
      <c r="M21" s="35">
        <f ca="1">3.23142965273209*OFFSET(M$108,MATCH($M$1,$C$109:$C$110,0),0)</f>
        <v>3.2314296401774909</v>
      </c>
      <c r="N21" s="24">
        <f t="shared" ca="1" si="0"/>
        <v>0.3583081743130993</v>
      </c>
      <c r="O21" s="24">
        <f t="shared" ca="1" si="1"/>
        <v>-3.4039580641054459E-2</v>
      </c>
    </row>
    <row r="22" spans="1:15" s="19" customFormat="1" ht="18" customHeight="1" x14ac:dyDescent="0.2">
      <c r="A22" s="145"/>
      <c r="B22" s="33" t="s">
        <v>10</v>
      </c>
      <c r="C22" s="21"/>
      <c r="D22" s="34">
        <f ca="1">3.08317216829687*OFFSET(D$108,MATCH($M$1,$C$109:$C$110,0),0)</f>
        <v>2.508037209554332</v>
      </c>
      <c r="E22" s="34">
        <f ca="1">2.65720886192222*OFFSET(E$108,MATCH($M$1,$C$109:$C$110,0),0)</f>
        <v>2.2196461096979934</v>
      </c>
      <c r="F22" s="34">
        <f ca="1">2.72688719004914*OFFSET(F$108,MATCH($M$1,$C$109:$C$110,0),0)</f>
        <v>2.3432686394844953</v>
      </c>
      <c r="G22" s="34">
        <f ca="1">2.74257095370397*OFFSET(G$108,MATCH($M$1,$C$109:$C$110,0),0)</f>
        <v>2.425173249552083</v>
      </c>
      <c r="H22" s="34">
        <f ca="1">2.91579788839516*OFFSET(H$108,MATCH($M$1,$C$109:$C$110,0),0)</f>
        <v>2.6294082619387851</v>
      </c>
      <c r="I22" s="34">
        <f ca="1">3.84531511968296*OFFSET(I$108,MATCH($M$1,$C$109:$C$110,0),0)</f>
        <v>3.5776426876105005</v>
      </c>
      <c r="J22" s="34">
        <f ca="1">3.3264574923624*OFFSET(J$108,MATCH($M$1,$C$109:$C$110,0),0)</f>
        <v>3.160666825996417</v>
      </c>
      <c r="K22" s="34">
        <f ca="1">3.2226283062237*OFFSET(K$108,MATCH($M$1,$C$109:$C$110,0),0)</f>
        <v>3.1128655556909166</v>
      </c>
      <c r="L22" s="34">
        <f ca="1">4.08563856572495*OFFSET(L$108,MATCH($M$1,$C$109:$C$110,0),0)</f>
        <v>4.0171223363167945</v>
      </c>
      <c r="M22" s="35">
        <f ca="1">3.55277819400234*OFFSET(M$108,MATCH($M$1,$C$109:$C$110,0),0)</f>
        <v>3.5527781801992524</v>
      </c>
      <c r="N22" s="24">
        <f t="shared" ca="1" si="0"/>
        <v>0.60169965621467825</v>
      </c>
      <c r="O22" s="24">
        <f t="shared" ca="1" si="1"/>
        <v>0.52776668213356237</v>
      </c>
    </row>
    <row r="23" spans="1:15" s="19" customFormat="1" ht="18" customHeight="1" x14ac:dyDescent="0.2">
      <c r="A23" s="146"/>
      <c r="B23" s="33" t="s">
        <v>32</v>
      </c>
      <c r="C23" s="44"/>
      <c r="D23" s="34">
        <f ca="1">0.237869366735693*OFFSET(D$108,MATCH($M$1,$C$109:$C$110,0),0)</f>
        <v>0.1934972133313575</v>
      </c>
      <c r="E23" s="34">
        <f ca="1">0.708289286866022*OFFSET(E$108,MATCH($M$1,$C$109:$C$110,0),0)</f>
        <v>0.59165524496845168</v>
      </c>
      <c r="F23" s="34">
        <f ca="1">1.26947169845957*OFFSET(F$108,MATCH($M$1,$C$109:$C$110,0),0)</f>
        <v>1.0908823916767241</v>
      </c>
      <c r="G23" s="34">
        <f ca="1">1.15414214774521*OFFSET(G$108,MATCH($M$1,$C$109:$C$110,0),0)</f>
        <v>1.0205732905878326</v>
      </c>
      <c r="H23" s="34">
        <f ca="1">1.29678910481285*OFFSET(H$108,MATCH($M$1,$C$109:$C$110,0),0)</f>
        <v>1.1694184976805226</v>
      </c>
      <c r="I23" s="34">
        <f ca="1">0.324587718629478*OFFSET(I$108,MATCH($M$1,$C$109:$C$110,0),0)</f>
        <v>0.30199316360284939</v>
      </c>
      <c r="J23" s="34">
        <f ca="1">0.676566648115614*OFFSET(J$108,MATCH($M$1,$C$109:$C$110,0),0)</f>
        <v>0.6428465612996459</v>
      </c>
      <c r="K23" s="34">
        <f ca="1">0.878694508212266*OFFSET(K$108,MATCH($M$1,$C$109:$C$110,0),0)</f>
        <v>0.84876616496735491</v>
      </c>
      <c r="L23" s="34">
        <f ca="1">-0.353534831766027*OFFSET(L$108,MATCH($M$1,$C$109:$C$110,0),0)</f>
        <v>-0.34760604652294058</v>
      </c>
      <c r="M23" s="35">
        <f ca="1">-0.321348541270248*OFFSET(M$108,MATCH($M$1,$C$109:$C$110,0),0)</f>
        <v>-0.32134854002175967</v>
      </c>
      <c r="N23" s="24">
        <f t="shared" ca="1" si="0"/>
        <v>-2.7964395483446931</v>
      </c>
      <c r="O23" s="24">
        <f t="shared" ca="1" si="1"/>
        <v>-1.2972469199113903</v>
      </c>
    </row>
    <row r="24" spans="1:15" s="19" customFormat="1" ht="18" customHeight="1" x14ac:dyDescent="0.2">
      <c r="A24" s="147" t="s">
        <v>11</v>
      </c>
      <c r="B24" s="28" t="s">
        <v>27</v>
      </c>
      <c r="C24" s="29"/>
      <c r="D24" s="30">
        <f ca="1">3.6*OFFSET(D$108,MATCH($M$1,$C$109:$C$110,0),0)</f>
        <v>2.9284559737652072</v>
      </c>
      <c r="E24" s="30">
        <f ca="1">3.8*OFFSET(E$108,MATCH($M$1,$C$109:$C$110,0),0)</f>
        <v>3.1742537584157988</v>
      </c>
      <c r="F24" s="30">
        <f ca="1">3.8*OFFSET(F$108,MATCH($M$1,$C$109:$C$110,0),0)</f>
        <v>3.2654159154565607</v>
      </c>
      <c r="G24" s="30">
        <f ca="1">3.7*OFFSET(G$108,MATCH($M$1,$C$109:$C$110,0),0)</f>
        <v>3.2717990436032518</v>
      </c>
      <c r="H24" s="30">
        <f ca="1">3.5*OFFSET(H$108,MATCH($M$1,$C$109:$C$110,0),0)</f>
        <v>3.1562300505852248</v>
      </c>
      <c r="I24" s="30">
        <f ca="1">3.4*OFFSET(I$108,MATCH($M$1,$C$109:$C$110,0),0)</f>
        <v>3.1633259588042821</v>
      </c>
      <c r="J24" s="30">
        <f ca="1">3.6*OFFSET(J$108,MATCH($M$1,$C$109:$C$110,0),0)</f>
        <v>3.4205759730019372</v>
      </c>
      <c r="K24" s="30">
        <f ca="1">3.4*OFFSET(K$108,MATCH($M$1,$C$109:$C$110,0),0)</f>
        <v>3.2841959679027415</v>
      </c>
      <c r="L24" s="30">
        <f ca="1">3.4*OFFSET(L$108,MATCH($M$1,$C$109:$C$110,0),0)</f>
        <v>3.342981941197142</v>
      </c>
      <c r="M24" s="31">
        <f ca="1">3.1*OFFSET(M$108,MATCH($M$1,$C$109:$C$110,0),0)</f>
        <v>3.0999999879560254</v>
      </c>
      <c r="N24" s="32">
        <f t="shared" ca="1" si="0"/>
        <v>0.14155103274404562</v>
      </c>
      <c r="O24" s="32">
        <f t="shared" ca="1" si="1"/>
        <v>5.9169289823246526E-2</v>
      </c>
    </row>
    <row r="25" spans="1:15" s="19" customFormat="1" ht="18" customHeight="1" x14ac:dyDescent="0.2">
      <c r="A25" s="148"/>
      <c r="B25" s="33" t="s">
        <v>33</v>
      </c>
      <c r="C25" s="25"/>
      <c r="D25" s="26">
        <f ca="1">0.2*OFFSET(D$108,MATCH($M$1,$C$109:$C$110,0),0)</f>
        <v>0.16269199854251151</v>
      </c>
      <c r="E25" s="26"/>
      <c r="F25" s="26">
        <f ca="1">1.1*OFFSET(F$108,MATCH($M$1,$C$109:$C$110,0),0)</f>
        <v>0.94525197552689921</v>
      </c>
      <c r="G25" s="26">
        <f ca="1">1.1*OFFSET(G$108,MATCH($M$1,$C$109:$C$110,0),0)</f>
        <v>0.97269701296312894</v>
      </c>
      <c r="H25" s="26">
        <f ca="1">0.3*OFFSET(H$108,MATCH($M$1,$C$109:$C$110,0),0)</f>
        <v>0.27053400433587638</v>
      </c>
      <c r="I25" s="26"/>
      <c r="J25" s="26">
        <f ca="1">0.1*OFFSET(J$108,MATCH($M$1,$C$109:$C$110,0),0)</f>
        <v>9.5015999250053815E-2</v>
      </c>
      <c r="K25" s="26">
        <f ca="1">0.6*OFFSET(K$108,MATCH($M$1,$C$109:$C$110,0),0)</f>
        <v>0.57956399433577788</v>
      </c>
      <c r="L25" s="26">
        <f ca="1">0.1*OFFSET(L$108,MATCH($M$1,$C$109:$C$110,0),0)</f>
        <v>9.8322998270504183E-2</v>
      </c>
      <c r="M25" s="27">
        <f ca="1">0.1*OFFSET(M$108,MATCH($M$1,$C$109:$C$110,0),0)</f>
        <v>9.9999999611484688E-2</v>
      </c>
      <c r="N25" s="24">
        <f t="shared" ca="1" si="0"/>
        <v>-0.39564945325315232</v>
      </c>
      <c r="O25" s="24">
        <f t="shared" ca="1" si="1"/>
        <v>-0.63655955741359183</v>
      </c>
    </row>
    <row r="26" spans="1:15" s="19" customFormat="1" ht="18" customHeight="1" x14ac:dyDescent="0.2">
      <c r="A26" s="148"/>
      <c r="B26" s="45" t="s">
        <v>34</v>
      </c>
      <c r="C26" s="46"/>
      <c r="D26" s="47">
        <f ca="1">3.8*OFFSET(D$108,MATCH($M$1,$C$109:$C$110,0),0)</f>
        <v>3.0911479723077186</v>
      </c>
      <c r="E26" s="47">
        <f ca="1">3.8*OFFSET(E$108,MATCH($M$1,$C$109:$C$110,0),0)</f>
        <v>3.1742537584157988</v>
      </c>
      <c r="F26" s="47">
        <f ca="1">5*OFFSET(F$108,MATCH($M$1,$C$109:$C$110,0),0)</f>
        <v>4.2965998887586325</v>
      </c>
      <c r="G26" s="47">
        <f ca="1">4.8*OFFSET(G$108,MATCH($M$1,$C$109:$C$110,0),0)</f>
        <v>4.2444960565663798</v>
      </c>
      <c r="H26" s="47">
        <f ca="1">3.8*OFFSET(H$108,MATCH($M$1,$C$109:$C$110,0),0)</f>
        <v>3.4267640549211009</v>
      </c>
      <c r="I26" s="47">
        <f ca="1">3.4*OFFSET(I$108,MATCH($M$1,$C$109:$C$110,0),0)</f>
        <v>3.1633259588042821</v>
      </c>
      <c r="J26" s="47">
        <f ca="1">3.6*OFFSET(J$108,MATCH($M$1,$C$109:$C$110,0),0)</f>
        <v>3.4205759730019372</v>
      </c>
      <c r="K26" s="47">
        <f ca="1">4.1*OFFSET(K$108,MATCH($M$1,$C$109:$C$110,0),0)</f>
        <v>3.9603539612944823</v>
      </c>
      <c r="L26" s="47">
        <f ca="1">3.5*OFFSET(L$108,MATCH($M$1,$C$109:$C$110,0),0)</f>
        <v>3.4413049394676465</v>
      </c>
      <c r="M26" s="48">
        <f ca="1">3.3*OFFSET(M$108,MATCH($M$1,$C$109:$C$110,0),0)</f>
        <v>3.2999999871789942</v>
      </c>
      <c r="N26" s="49">
        <f t="shared" ca="1" si="0"/>
        <v>0.11327732295471953</v>
      </c>
      <c r="O26" s="49">
        <f t="shared" ca="1" si="1"/>
        <v>4.2433281992857712E-3</v>
      </c>
    </row>
    <row r="27" spans="1:15" s="19" customFormat="1" ht="18" customHeight="1" x14ac:dyDescent="0.2">
      <c r="A27" s="148"/>
      <c r="B27" s="33" t="s">
        <v>35</v>
      </c>
      <c r="C27" s="25"/>
      <c r="D27" s="26">
        <f ca="1">0.7*OFFSET(D$108,MATCH($M$1,$C$109:$C$110,0),0)</f>
        <v>0.5694219948987902</v>
      </c>
      <c r="E27" s="26">
        <f ca="1">0.7*OFFSET(E$108,MATCH($M$1,$C$109:$C$110,0),0)</f>
        <v>0.58473095549764709</v>
      </c>
      <c r="F27" s="26">
        <f ca="1">0.6*OFFSET(F$108,MATCH($M$1,$C$109:$C$110,0),0)</f>
        <v>0.51559198665103589</v>
      </c>
      <c r="G27" s="26">
        <f ca="1">0.8*OFFSET(G$108,MATCH($M$1,$C$109:$C$110,0),0)</f>
        <v>0.70741600942773009</v>
      </c>
      <c r="H27" s="26">
        <f ca="1">0.6*OFFSET(H$108,MATCH($M$1,$C$109:$C$110,0),0)</f>
        <v>0.54106800867175275</v>
      </c>
      <c r="I27" s="26">
        <f ca="1">0.6*OFFSET(I$108,MATCH($M$1,$C$109:$C$110,0),0)</f>
        <v>0.55823399273016738</v>
      </c>
      <c r="J27" s="26">
        <f ca="1">0.8*OFFSET(J$108,MATCH($M$1,$C$109:$C$110,0),0)</f>
        <v>0.76012799400043052</v>
      </c>
      <c r="K27" s="26">
        <f ca="1">0.8*OFFSET(K$108,MATCH($M$1,$C$109:$C$110,0),0)</f>
        <v>0.77275199244770398</v>
      </c>
      <c r="L27" s="26">
        <f ca="1">0.8*OFFSET(L$108,MATCH($M$1,$C$109:$C$110,0),0)</f>
        <v>0.78658398616403347</v>
      </c>
      <c r="M27" s="27">
        <f ca="1">0.8*OFFSET(M$108,MATCH($M$1,$C$109:$C$110,0),0)</f>
        <v>0.79999999689187751</v>
      </c>
      <c r="N27" s="24">
        <f t="shared" ca="1" si="0"/>
        <v>0.38137267827850929</v>
      </c>
      <c r="O27" s="24">
        <f t="shared" ca="1" si="1"/>
        <v>0.45376177034563275</v>
      </c>
    </row>
    <row r="28" spans="1:15" s="19" customFormat="1" ht="18" customHeight="1" x14ac:dyDescent="0.2">
      <c r="A28" s="148"/>
      <c r="B28" s="33" t="s">
        <v>36</v>
      </c>
      <c r="C28" s="25"/>
      <c r="D28" s="26">
        <f ca="1">1.2*OFFSET(D$108,MATCH($M$1,$C$109:$C$110,0),0)</f>
        <v>0.97615199125506902</v>
      </c>
      <c r="E28" s="26">
        <f ca="1">1.1*OFFSET(E$108,MATCH($M$1,$C$109:$C$110,0),0)</f>
        <v>0.91886293006773134</v>
      </c>
      <c r="F28" s="26">
        <f ca="1">1.5*OFFSET(F$108,MATCH($M$1,$C$109:$C$110,0),0)</f>
        <v>1.2889799666275898</v>
      </c>
      <c r="G28" s="26">
        <f ca="1">1.3*OFFSET(G$108,MATCH($M$1,$C$109:$C$110,0),0)</f>
        <v>1.1495510153200614</v>
      </c>
      <c r="H28" s="26">
        <f ca="1">0.9*OFFSET(H$108,MATCH($M$1,$C$109:$C$110,0),0)</f>
        <v>0.81160201300762924</v>
      </c>
      <c r="I28" s="26">
        <f ca="1">0.8*OFFSET(I$108,MATCH($M$1,$C$109:$C$110,0),0)</f>
        <v>0.74431199030688999</v>
      </c>
      <c r="J28" s="26">
        <f ca="1">0.5*OFFSET(J$108,MATCH($M$1,$C$109:$C$110,0),0)</f>
        <v>0.47507999625026903</v>
      </c>
      <c r="K28" s="26">
        <f ca="1">0.9*OFFSET(K$108,MATCH($M$1,$C$109:$C$110,0),0)</f>
        <v>0.86934599150366687</v>
      </c>
      <c r="L28" s="26">
        <f ca="1">1.1*OFFSET(L$108,MATCH($M$1,$C$109:$C$110,0),0)</f>
        <v>1.081552980975546</v>
      </c>
      <c r="M28" s="27">
        <f ca="1">1*OFFSET(M$108,MATCH($M$1,$C$109:$C$110,0),0)</f>
        <v>0.9999999961148468</v>
      </c>
      <c r="N28" s="24">
        <f t="shared" ca="1" si="0"/>
        <v>0.10797600236922082</v>
      </c>
      <c r="O28" s="24">
        <f t="shared" ca="1" si="1"/>
        <v>0.33261495615016312</v>
      </c>
    </row>
    <row r="29" spans="1:15" s="19" customFormat="1" ht="18" customHeight="1" x14ac:dyDescent="0.2">
      <c r="A29" s="148"/>
      <c r="B29" s="33" t="s">
        <v>37</v>
      </c>
      <c r="C29" s="25"/>
      <c r="D29" s="26">
        <f ca="1">0.6*OFFSET(D$108,MATCH($M$1,$C$109:$C$110,0),0)</f>
        <v>0.48807599562753451</v>
      </c>
      <c r="E29" s="26">
        <f ca="1">0.5*OFFSET(E$108,MATCH($M$1,$C$109:$C$110,0),0)</f>
        <v>0.41766496821260513</v>
      </c>
      <c r="F29" s="26">
        <f ca="1">0.8*OFFSET(F$108,MATCH($M$1,$C$109:$C$110,0),0)</f>
        <v>0.68745598220138127</v>
      </c>
      <c r="G29" s="26">
        <f ca="1">0.7*OFFSET(G$108,MATCH($M$1,$C$109:$C$110,0),0)</f>
        <v>0.61898900824926373</v>
      </c>
      <c r="H29" s="26">
        <f ca="1">0.5*OFFSET(H$108,MATCH($M$1,$C$109:$C$110,0),0)</f>
        <v>0.45089000722646067</v>
      </c>
      <c r="I29" s="26">
        <f ca="1">0.5*OFFSET(I$108,MATCH($M$1,$C$109:$C$110,0),0)</f>
        <v>0.46519499394180619</v>
      </c>
      <c r="J29" s="26">
        <f ca="1">0.5*OFFSET(J$108,MATCH($M$1,$C$109:$C$110,0),0)</f>
        <v>0.47507999625026903</v>
      </c>
      <c r="K29" s="26">
        <f ca="1">0.6*OFFSET(K$108,MATCH($M$1,$C$109:$C$110,0),0)</f>
        <v>0.57956399433577788</v>
      </c>
      <c r="L29" s="26">
        <f ca="1">0.6*OFFSET(L$108,MATCH($M$1,$C$109:$C$110,0),0)</f>
        <v>0.58993798962302502</v>
      </c>
      <c r="M29" s="27">
        <f ca="1">0.6*OFFSET(M$108,MATCH($M$1,$C$109:$C$110,0),0)</f>
        <v>0.5999999976689081</v>
      </c>
      <c r="N29" s="24">
        <f t="shared" ca="1" si="0"/>
        <v>0.20870109349369531</v>
      </c>
      <c r="O29" s="24">
        <f t="shared" ca="1" si="1"/>
        <v>0.30838559331106918</v>
      </c>
    </row>
    <row r="30" spans="1:15" s="19" customFormat="1" ht="18" customHeight="1" x14ac:dyDescent="0.2">
      <c r="A30" s="148"/>
      <c r="B30" s="33" t="s">
        <v>38</v>
      </c>
      <c r="C30" s="25"/>
      <c r="D30" s="26">
        <f ca="1">2.5*OFFSET(D$108,MATCH($M$1,$C$109:$C$110,0),0)</f>
        <v>2.033649981781394</v>
      </c>
      <c r="E30" s="26">
        <f ca="1">2.3*OFFSET(E$108,MATCH($M$1,$C$109:$C$110,0),0)</f>
        <v>1.9212588537779833</v>
      </c>
      <c r="F30" s="26">
        <f ca="1">2.9*OFFSET(F$108,MATCH($M$1,$C$109:$C$110,0),0)</f>
        <v>2.492027935480007</v>
      </c>
      <c r="G30" s="26">
        <f ca="1">2.8*OFFSET(G$108,MATCH($M$1,$C$109:$C$110,0),0)</f>
        <v>2.4759560329970549</v>
      </c>
      <c r="H30" s="26">
        <f ca="1">2*OFFSET(H$108,MATCH($M$1,$C$109:$C$110,0),0)</f>
        <v>1.8035600289058427</v>
      </c>
      <c r="I30" s="26">
        <f ca="1">1.9*OFFSET(I$108,MATCH($M$1,$C$109:$C$110,0),0)</f>
        <v>1.7677409769788635</v>
      </c>
      <c r="J30" s="26">
        <f ca="1">1.8*OFFSET(J$108,MATCH($M$1,$C$109:$C$110,0),0)</f>
        <v>1.7102879865009686</v>
      </c>
      <c r="K30" s="26">
        <f ca="1">2.2*OFFSET(K$108,MATCH($M$1,$C$109:$C$110,0),0)</f>
        <v>2.125067979231186</v>
      </c>
      <c r="L30" s="26">
        <f ca="1">2.6*OFFSET(L$108,MATCH($M$1,$C$109:$C$110,0),0)</f>
        <v>2.5563979550331086</v>
      </c>
      <c r="M30" s="27">
        <f ca="1">2.4*OFFSET(M$108,MATCH($M$1,$C$109:$C$110,0),0)</f>
        <v>2.3999999906756324</v>
      </c>
      <c r="N30" s="24">
        <f t="shared" ca="1" si="0"/>
        <v>0.25704913723344314</v>
      </c>
      <c r="O30" s="24">
        <f t="shared" ca="1" si="1"/>
        <v>0.41741772608699174</v>
      </c>
    </row>
    <row r="31" spans="1:15" s="19" customFormat="1" ht="18" customHeight="1" x14ac:dyDescent="0.2">
      <c r="A31" s="148"/>
      <c r="B31" s="33" t="s">
        <v>39</v>
      </c>
      <c r="C31" s="25"/>
      <c r="D31" s="26">
        <f ca="1">1*OFFSET(D$108,MATCH($M$1,$C$109:$C$110,0),0)</f>
        <v>0.81345999271255753</v>
      </c>
      <c r="E31" s="26">
        <f ca="1">0.8*OFFSET(E$108,MATCH($M$1,$C$109:$C$110,0),0)</f>
        <v>0.66826394914016829</v>
      </c>
      <c r="F31" s="26">
        <f ca="1">0.9*OFFSET(F$108,MATCH($M$1,$C$109:$C$110,0),0)</f>
        <v>0.77338797997655384</v>
      </c>
      <c r="G31" s="26">
        <f ca="1">0.8*OFFSET(G$108,MATCH($M$1,$C$109:$C$110,0),0)</f>
        <v>0.70741600942773009</v>
      </c>
      <c r="H31" s="26">
        <f ca="1">0.7*OFFSET(H$108,MATCH($M$1,$C$109:$C$110,0),0)</f>
        <v>0.63124601011704484</v>
      </c>
      <c r="I31" s="26">
        <f ca="1">1.2*OFFSET(I$108,MATCH($M$1,$C$109:$C$110,0),0)</f>
        <v>1.1164679854603348</v>
      </c>
      <c r="J31" s="26">
        <f ca="1">1.2*OFFSET(J$108,MATCH($M$1,$C$109:$C$110,0),0)</f>
        <v>1.1401919910006457</v>
      </c>
      <c r="K31" s="26">
        <f ca="1">1.1*OFFSET(K$108,MATCH($M$1,$C$109:$C$110,0),0)</f>
        <v>1.062533989615593</v>
      </c>
      <c r="L31" s="26">
        <f ca="1">1.3*OFFSET(L$108,MATCH($M$1,$C$109:$C$110,0),0)</f>
        <v>1.2781989775165543</v>
      </c>
      <c r="M31" s="27">
        <f ca="1">1.2*OFFSET(M$108,MATCH($M$1,$C$109:$C$110,0),0)</f>
        <v>1.1999999953378162</v>
      </c>
      <c r="N31" s="24">
        <f t="shared" ca="1" si="0"/>
        <v>0.57131142154180403</v>
      </c>
      <c r="O31" s="24">
        <f t="shared" ca="1" si="1"/>
        <v>1.02488246583856</v>
      </c>
    </row>
    <row r="32" spans="1:15" s="19" customFormat="1" ht="18" customHeight="1" x14ac:dyDescent="0.2">
      <c r="A32" s="148"/>
      <c r="B32" s="33" t="s">
        <v>40</v>
      </c>
      <c r="C32" s="25"/>
      <c r="D32" s="26">
        <f ca="1">3.6*OFFSET(D$108,MATCH($M$1,$C$109:$C$110,0),0)</f>
        <v>2.9284559737652072</v>
      </c>
      <c r="E32" s="26">
        <f ca="1">3*OFFSET(E$108,MATCH($M$1,$C$109:$C$110,0),0)</f>
        <v>2.505989809275631</v>
      </c>
      <c r="F32" s="26">
        <f ca="1">3.8*OFFSET(F$108,MATCH($M$1,$C$109:$C$110,0),0)</f>
        <v>3.2654159154565607</v>
      </c>
      <c r="G32" s="26">
        <f ca="1">3.7*OFFSET(G$108,MATCH($M$1,$C$109:$C$110,0),0)</f>
        <v>3.2717990436032518</v>
      </c>
      <c r="H32" s="26">
        <f ca="1">2.8*OFFSET(H$108,MATCH($M$1,$C$109:$C$110,0),0)</f>
        <v>2.5249840404681794</v>
      </c>
      <c r="I32" s="26">
        <f ca="1">3.1*OFFSET(I$108,MATCH($M$1,$C$109:$C$110,0),0)</f>
        <v>2.8842089624391987</v>
      </c>
      <c r="J32" s="26">
        <f ca="1">3*OFFSET(J$108,MATCH($M$1,$C$109:$C$110,0),0)</f>
        <v>2.8504799775016143</v>
      </c>
      <c r="K32" s="26">
        <f ca="1">3.3*OFFSET(K$108,MATCH($M$1,$C$109:$C$110,0),0)</f>
        <v>3.1876019688467783</v>
      </c>
      <c r="L32" s="26">
        <f ca="1">3.9*OFFSET(L$108,MATCH($M$1,$C$109:$C$110,0),0)</f>
        <v>3.8345969325496632</v>
      </c>
      <c r="M32" s="27">
        <f ca="1">3.6*OFFSET(M$108,MATCH($M$1,$C$109:$C$110,0),0)</f>
        <v>3.5999999860134486</v>
      </c>
      <c r="N32" s="24">
        <f t="shared" ca="1" si="0"/>
        <v>0.30942618461817006</v>
      </c>
      <c r="O32" s="24">
        <f t="shared" ca="1" si="1"/>
        <v>0.51866184937892001</v>
      </c>
    </row>
    <row r="33" spans="1:15" s="19" customFormat="1" ht="18" customHeight="1" x14ac:dyDescent="0.2">
      <c r="A33" s="148"/>
      <c r="B33" s="45" t="s">
        <v>41</v>
      </c>
      <c r="C33" s="46"/>
      <c r="D33" s="47">
        <f ca="1">1.5*OFFSET(D$108,MATCH($M$1,$C$109:$C$110,0),0)</f>
        <v>1.2201899890688364</v>
      </c>
      <c r="E33" s="47">
        <f ca="1">1.9*OFFSET(E$108,MATCH($M$1,$C$109:$C$110,0),0)</f>
        <v>1.5871268792078994</v>
      </c>
      <c r="F33" s="47">
        <f ca="1">2.7*OFFSET(F$108,MATCH($M$1,$C$109:$C$110,0),0)</f>
        <v>2.3201639399296616</v>
      </c>
      <c r="G33" s="47">
        <f ca="1">2.4*OFFSET(G$108,MATCH($M$1,$C$109:$C$110,0),0)</f>
        <v>2.1222480282831899</v>
      </c>
      <c r="H33" s="47">
        <f ca="1">2*OFFSET(H$108,MATCH($M$1,$C$109:$C$110,0),0)</f>
        <v>1.8035600289058427</v>
      </c>
      <c r="I33" s="47">
        <f ca="1">1.1*OFFSET(I$108,MATCH($M$1,$C$109:$C$110,0),0)</f>
        <v>1.0234289866719737</v>
      </c>
      <c r="J33" s="47">
        <f ca="1">1.1*OFFSET(J$108,MATCH($M$1,$C$109:$C$110,0),0)</f>
        <v>1.0451759917505921</v>
      </c>
      <c r="K33" s="47">
        <f ca="1">1.6*OFFSET(K$108,MATCH($M$1,$C$109:$C$110,0),0)</f>
        <v>1.545503984895408</v>
      </c>
      <c r="L33" s="47">
        <f ca="1">0.8*OFFSET(L$108,MATCH($M$1,$C$109:$C$110,0),0)</f>
        <v>0.78658398616403347</v>
      </c>
      <c r="M33" s="48">
        <f ca="1">0.7*OFFSET(M$108,MATCH($M$1,$C$109:$C$110,0),0)</f>
        <v>0.69999999728039275</v>
      </c>
      <c r="N33" s="49">
        <f t="shared" ca="1" si="0"/>
        <v>-0.35535941680336247</v>
      </c>
      <c r="O33" s="49">
        <f t="shared" ca="1" si="1"/>
        <v>-0.56387146889631024</v>
      </c>
    </row>
    <row r="34" spans="1:15" s="19" customFormat="1" ht="18" customHeight="1" x14ac:dyDescent="0.2">
      <c r="A34" s="148"/>
      <c r="B34" s="45" t="s">
        <v>42</v>
      </c>
      <c r="C34" s="46"/>
      <c r="D34" s="47">
        <f ca="1">0.3*OFFSET(D$108,MATCH($M$1,$C$109:$C$110,0),0)</f>
        <v>0.24403799781376725</v>
      </c>
      <c r="E34" s="47">
        <f ca="1">0.8*OFFSET(E$108,MATCH($M$1,$C$109:$C$110,0),0)</f>
        <v>0.66826394914016829</v>
      </c>
      <c r="F34" s="47">
        <f ca="1">1.2*OFFSET(F$108,MATCH($M$1,$C$109:$C$110,0),0)</f>
        <v>1.0311839733020718</v>
      </c>
      <c r="G34" s="47">
        <f ca="1">1.1*OFFSET(G$108,MATCH($M$1,$C$109:$C$110,0),0)</f>
        <v>0.97269701296312894</v>
      </c>
      <c r="H34" s="47">
        <f ca="1">1.1*OFFSET(H$108,MATCH($M$1,$C$109:$C$110,0),0)</f>
        <v>0.99195801589821353</v>
      </c>
      <c r="I34" s="47">
        <f ca="1">0.3*OFFSET(I$108,MATCH($M$1,$C$109:$C$110,0),0)</f>
        <v>0.27911699636508369</v>
      </c>
      <c r="J34" s="47">
        <f ca="1">0.6*OFFSET(J$108,MATCH($M$1,$C$109:$C$110,0),0)</f>
        <v>0.57009599550032286</v>
      </c>
      <c r="K34" s="47">
        <f ca="1">0.7*OFFSET(K$108,MATCH($M$1,$C$109:$C$110,0),0)</f>
        <v>0.67615799339174087</v>
      </c>
      <c r="L34" s="47">
        <f ca="1">-0.3*OFFSET(L$108,MATCH($M$1,$C$109:$C$110,0),0)</f>
        <v>-0.29496899481151251</v>
      </c>
      <c r="M34" s="48">
        <f ca="1">-0.3*OFFSET(M$108,MATCH($M$1,$C$109:$C$110,0),0)</f>
        <v>-0.29999999883445405</v>
      </c>
      <c r="N34" s="49">
        <f t="shared" ca="1" si="0"/>
        <v>-2.208701093493695</v>
      </c>
      <c r="O34" s="49">
        <f t="shared" ca="1" si="1"/>
        <v>-1.297360362116152</v>
      </c>
    </row>
    <row r="35" spans="1:15" s="19" customFormat="1" ht="18" customHeight="1" x14ac:dyDescent="0.2">
      <c r="A35" s="148"/>
      <c r="B35" s="33" t="s">
        <v>43</v>
      </c>
      <c r="C35" s="25"/>
      <c r="D35" s="26">
        <f ca="1">0.1*OFFSET(D$108,MATCH($M$1,$C$109:$C$110,0),0)</f>
        <v>8.1345999271255756E-2</v>
      </c>
      <c r="E35" s="26">
        <f ca="1">0.2*OFFSET(E$108,MATCH($M$1,$C$109:$C$110,0),0)</f>
        <v>0.16706598728504207</v>
      </c>
      <c r="F35" s="26">
        <f ca="1">0.6*OFFSET(F$108,MATCH($M$1,$C$109:$C$110,0),0)</f>
        <v>0.51559198665103589</v>
      </c>
      <c r="G35" s="26"/>
      <c r="H35" s="26">
        <f ca="1">0.4*OFFSET(H$108,MATCH($M$1,$C$109:$C$110,0),0)</f>
        <v>0.36071200578116858</v>
      </c>
      <c r="I35" s="26"/>
      <c r="J35" s="26">
        <f ca="1">0.2*OFFSET(J$108,MATCH($M$1,$C$109:$C$110,0),0)</f>
        <v>0.19003199850010763</v>
      </c>
      <c r="K35" s="26">
        <f ca="1">0.8*OFFSET(K$108,MATCH($M$1,$C$109:$C$110,0),0)</f>
        <v>0.77275199244770398</v>
      </c>
      <c r="L35" s="26">
        <f ca="1">0.1*OFFSET(L$108,MATCH($M$1,$C$109:$C$110,0),0)</f>
        <v>9.8322998270504183E-2</v>
      </c>
      <c r="M35" s="27"/>
      <c r="N35" s="24">
        <f t="shared" ca="1" si="0"/>
        <v>0.20870109349369542</v>
      </c>
      <c r="O35" s="24">
        <f t="shared" ca="1" si="1"/>
        <v>-0.72741966806019398</v>
      </c>
    </row>
    <row r="36" spans="1:15" s="19" customFormat="1" ht="18" customHeight="1" x14ac:dyDescent="0.2">
      <c r="A36" s="148"/>
      <c r="B36" s="33" t="s">
        <v>44</v>
      </c>
      <c r="C36" s="25"/>
      <c r="D36" s="26">
        <f ca="1">0.3*OFFSET(D$108,MATCH($M$1,$C$109:$C$110,0),0)</f>
        <v>0.24403799781376725</v>
      </c>
      <c r="E36" s="26"/>
      <c r="F36" s="26">
        <f ca="1">0.1*OFFSET(F$108,MATCH($M$1,$C$109:$C$110,0),0)</f>
        <v>8.5931997775172658E-2</v>
      </c>
      <c r="G36" s="26"/>
      <c r="H36" s="26"/>
      <c r="I36" s="26"/>
      <c r="J36" s="26"/>
      <c r="K36" s="26"/>
      <c r="L36" s="26"/>
      <c r="M36" s="27"/>
      <c r="N36" s="24" t="str">
        <f t="shared" si="0"/>
        <v/>
      </c>
      <c r="O36" s="24" t="str">
        <f t="shared" si="1"/>
        <v/>
      </c>
    </row>
    <row r="37" spans="1:15" s="19" customFormat="1" ht="18" customHeight="1" x14ac:dyDescent="0.2">
      <c r="A37" s="148"/>
      <c r="B37" s="33" t="s">
        <v>45</v>
      </c>
      <c r="C37" s="25"/>
      <c r="D37" s="26"/>
      <c r="E37" s="26"/>
      <c r="F37" s="26"/>
      <c r="G37" s="26"/>
      <c r="H37" s="26"/>
      <c r="I37" s="26"/>
      <c r="J37" s="26">
        <f ca="1">0.1*OFFSET(J$108,MATCH($M$1,$C$109:$C$110,0),0)</f>
        <v>9.5015999250053815E-2</v>
      </c>
      <c r="K37" s="26">
        <f ca="1">0.1*OFFSET(K$108,MATCH($M$1,$C$109:$C$110,0),0)</f>
        <v>9.6593999055962998E-2</v>
      </c>
      <c r="L37" s="26"/>
      <c r="M37" s="27"/>
      <c r="N37" s="24" t="str">
        <f t="shared" si="0"/>
        <v/>
      </c>
      <c r="O37" s="24" t="str">
        <f t="shared" si="1"/>
        <v/>
      </c>
    </row>
    <row r="38" spans="1:15" s="19" customFormat="1" ht="18" customHeight="1" thickBot="1" x14ac:dyDescent="0.25">
      <c r="A38" s="149"/>
      <c r="B38" s="50" t="s">
        <v>46</v>
      </c>
      <c r="C38" s="51"/>
      <c r="D38" s="52">
        <f ca="1">-0.1*OFFSET(D$108,MATCH($M$1,$C$109:$C$110,0),0)</f>
        <v>-8.1345999271255756E-2</v>
      </c>
      <c r="E38" s="52">
        <f ca="1">0.6*OFFSET(E$108,MATCH($M$1,$C$109:$C$110,0),0)</f>
        <v>0.50119796185512611</v>
      </c>
      <c r="F38" s="52">
        <f ca="1">0.5*OFFSET(F$108,MATCH($M$1,$C$109:$C$110,0),0)</f>
        <v>0.42965998887586326</v>
      </c>
      <c r="G38" s="52"/>
      <c r="H38" s="52">
        <f ca="1">0.7*OFFSET(H$108,MATCH($M$1,$C$109:$C$110,0),0)</f>
        <v>0.63124601011704484</v>
      </c>
      <c r="I38" s="52"/>
      <c r="J38" s="52">
        <f ca="1">0.3*OFFSET(J$108,MATCH($M$1,$C$109:$C$110,0),0)</f>
        <v>0.28504799775016143</v>
      </c>
      <c r="K38" s="52">
        <f ca="1">-0.2*OFFSET(K$108,MATCH($M$1,$C$109:$C$110,0),0)</f>
        <v>-0.193187998111926</v>
      </c>
      <c r="L38" s="52">
        <f ca="1">-0.5*OFFSET(L$108,MATCH($M$1,$C$109:$C$110,0),0)</f>
        <v>-0.4916149913525209</v>
      </c>
      <c r="M38" s="53"/>
      <c r="N38" s="54">
        <f t="shared" ca="1" si="0"/>
        <v>-5.0435054674684769</v>
      </c>
      <c r="O38" s="54">
        <f t="shared" ca="1" si="1"/>
        <v>-1.778800948399446</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Low activity under 10m</v>
      </c>
      <c r="C45" s="61"/>
      <c r="D45" s="61"/>
      <c r="E45" s="61"/>
      <c r="F45" s="61" t="str">
        <f>$B21&amp;CHAR(10)&amp;$A$1</f>
        <v>Income per kW day at sea (£)
Low activity under 10m</v>
      </c>
      <c r="G45" s="61"/>
      <c r="K45" s="61" t="str">
        <f>$B23&amp;CHAR(10)&amp;$A$1</f>
        <v>Operating profit per kW day at sea (£)
Low activity under 10m</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Low activity under 10m</v>
      </c>
      <c r="F59" s="61" t="str">
        <f>$B19&amp;CHAR(10)&amp;$A$1</f>
        <v>Average price per tonne landed (£)
Low activity under 10m</v>
      </c>
      <c r="K59" s="61" t="str">
        <f>"Average annual operating profit per vessel (£'000)"&amp;CHAR(10)&amp;$A$1</f>
        <v>Average annual operating profit per vessel (£'000)
Low activity under 10m</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Low activity under 10m</v>
      </c>
      <c r="F73" s="61" t="str">
        <f>"Top 5 landed species by value in "&amp;A74&amp;CHAR(10)&amp;A1</f>
        <v>Top 5 landed species by value in 2013
Low activity under 10m</v>
      </c>
    </row>
    <row r="74" spans="1:9" s="61" customFormat="1" x14ac:dyDescent="0.2">
      <c r="A74" s="61">
        <v>2013</v>
      </c>
      <c r="B74" s="61" t="s">
        <v>197</v>
      </c>
      <c r="C74" s="62">
        <v>0.18642708278202411</v>
      </c>
      <c r="D74" s="63">
        <v>6763595</v>
      </c>
      <c r="G74" s="61" t="s">
        <v>198</v>
      </c>
      <c r="H74" s="62">
        <v>0.28683762339040825</v>
      </c>
      <c r="I74" s="63">
        <v>8211234</v>
      </c>
    </row>
    <row r="75" spans="1:9" s="61" customFormat="1" x14ac:dyDescent="0.2">
      <c r="B75" s="61" t="s">
        <v>199</v>
      </c>
      <c r="C75" s="62">
        <v>0.18098448860660005</v>
      </c>
      <c r="D75" s="63">
        <v>2764187</v>
      </c>
      <c r="G75" s="61" t="s">
        <v>200</v>
      </c>
      <c r="H75" s="62">
        <v>0.13849253974861608</v>
      </c>
      <c r="I75" s="63">
        <v>2171775</v>
      </c>
    </row>
    <row r="76" spans="1:9" s="61" customFormat="1" x14ac:dyDescent="0.2">
      <c r="B76" s="61" t="s">
        <v>201</v>
      </c>
      <c r="C76" s="62">
        <v>7.3305890983088373E-2</v>
      </c>
      <c r="D76" s="63">
        <v>3511670</v>
      </c>
      <c r="G76" s="61" t="s">
        <v>202</v>
      </c>
      <c r="H76" s="62">
        <v>0.11389936160042601</v>
      </c>
      <c r="I76" s="63">
        <v>2783840</v>
      </c>
    </row>
    <row r="77" spans="1:9" s="61" customFormat="1" x14ac:dyDescent="0.2">
      <c r="B77" s="61" t="s">
        <v>203</v>
      </c>
      <c r="C77" s="62">
        <v>6.6764313949752269E-2</v>
      </c>
      <c r="D77" s="63">
        <v>8211234</v>
      </c>
      <c r="G77" s="61" t="s">
        <v>204</v>
      </c>
      <c r="H77" s="62">
        <v>9.0119758702815314E-2</v>
      </c>
      <c r="I77" s="63">
        <v>6763595</v>
      </c>
    </row>
    <row r="78" spans="1:9" s="61" customFormat="1" x14ac:dyDescent="0.2">
      <c r="B78" s="61" t="s">
        <v>205</v>
      </c>
      <c r="C78" s="62">
        <v>6.3891422017335456E-2</v>
      </c>
      <c r="D78" s="63">
        <v>1464488</v>
      </c>
      <c r="G78" s="61" t="s">
        <v>206</v>
      </c>
      <c r="H78" s="62">
        <v>8.7540035249621506E-2</v>
      </c>
      <c r="I78" s="63">
        <v>2764187</v>
      </c>
    </row>
    <row r="79" spans="1:9" s="61" customFormat="1" x14ac:dyDescent="0.2">
      <c r="B79" s="61" t="s">
        <v>207</v>
      </c>
      <c r="C79" s="62">
        <v>0.42862680166119982</v>
      </c>
      <c r="D79" s="63">
        <v>32768</v>
      </c>
      <c r="G79" s="61" t="s">
        <v>208</v>
      </c>
      <c r="H79" s="62">
        <v>0.2831106813081129</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191</v>
      </c>
      <c r="D88" s="66">
        <v>0.19993339109283162</v>
      </c>
      <c r="E88" s="66">
        <v>0.34920591475440194</v>
      </c>
      <c r="F88" s="66">
        <v>0.34131717795897959</v>
      </c>
      <c r="G88" s="66">
        <v>0.32481358960426898</v>
      </c>
      <c r="H88" s="66">
        <v>0.29981828039034575</v>
      </c>
      <c r="I88" s="66">
        <v>0.2986942409255301</v>
      </c>
      <c r="J88" s="66">
        <v>0.29995731258297059</v>
      </c>
      <c r="K88" s="66">
        <v>0.29168662313338767</v>
      </c>
      <c r="L88" s="66">
        <v>0.29172995877577396</v>
      </c>
      <c r="M88" s="66">
        <v>0.32052624552252046</v>
      </c>
      <c r="N88" s="61"/>
      <c r="O88" s="61">
        <v>8211234</v>
      </c>
    </row>
    <row r="89" spans="1:15" s="65" customFormat="1" hidden="1" x14ac:dyDescent="0.2">
      <c r="A89" s="61"/>
      <c r="B89" s="61">
        <v>2</v>
      </c>
      <c r="C89" s="61" t="s">
        <v>135</v>
      </c>
      <c r="D89" s="66"/>
      <c r="E89" s="66"/>
      <c r="F89" s="66">
        <v>0.10262999303912212</v>
      </c>
      <c r="G89" s="66">
        <v>9.9916158539168895E-2</v>
      </c>
      <c r="H89" s="66">
        <v>0.10993852677881004</v>
      </c>
      <c r="I89" s="66">
        <v>0.10807230510289059</v>
      </c>
      <c r="J89" s="66">
        <v>0.11176820854616737</v>
      </c>
      <c r="K89" s="66">
        <v>0.129258024028853</v>
      </c>
      <c r="L89" s="66">
        <v>0.14085468438226872</v>
      </c>
      <c r="M89" s="66">
        <v>0.14734843588554972</v>
      </c>
      <c r="N89" s="61"/>
      <c r="O89" s="61">
        <v>2171775</v>
      </c>
    </row>
    <row r="90" spans="1:15" s="65" customFormat="1" hidden="1" x14ac:dyDescent="0.2">
      <c r="A90" s="61"/>
      <c r="B90" s="61">
        <v>3</v>
      </c>
      <c r="C90" s="61" t="s">
        <v>84</v>
      </c>
      <c r="D90" s="66"/>
      <c r="E90" s="66">
        <v>6.1121651220296162E-2</v>
      </c>
      <c r="F90" s="66">
        <v>6.8775342931874123E-2</v>
      </c>
      <c r="G90" s="66"/>
      <c r="H90" s="66">
        <v>6.6298531546626766E-2</v>
      </c>
      <c r="I90" s="66">
        <v>6.7370034506640808E-2</v>
      </c>
      <c r="J90" s="66"/>
      <c r="K90" s="66">
        <v>7.1711782699921414E-2</v>
      </c>
      <c r="L90" s="66">
        <v>0.11584204216841373</v>
      </c>
      <c r="M90" s="66">
        <v>8.003365299714138E-2</v>
      </c>
      <c r="N90" s="61"/>
      <c r="O90" s="61">
        <v>2783840</v>
      </c>
    </row>
    <row r="91" spans="1:15" s="65" customFormat="1" hidden="1" x14ac:dyDescent="0.2">
      <c r="A91" s="61"/>
      <c r="B91" s="61">
        <v>4</v>
      </c>
      <c r="C91" s="61" t="s">
        <v>209</v>
      </c>
      <c r="D91" s="66">
        <v>0.11098366238282641</v>
      </c>
      <c r="E91" s="66"/>
      <c r="F91" s="66"/>
      <c r="G91" s="66">
        <v>7.8648490099521698E-2</v>
      </c>
      <c r="H91" s="66">
        <v>8.361242968965614E-2</v>
      </c>
      <c r="I91" s="66">
        <v>9.3690662006917183E-2</v>
      </c>
      <c r="J91" s="66">
        <v>0.10962366935317229</v>
      </c>
      <c r="K91" s="66">
        <v>9.7330528199066402E-2</v>
      </c>
      <c r="L91" s="66">
        <v>9.1656851637873946E-2</v>
      </c>
      <c r="M91" s="66">
        <v>8.0611936616549459E-2</v>
      </c>
      <c r="N91" s="61"/>
      <c r="O91" s="61">
        <v>6763595</v>
      </c>
    </row>
    <row r="92" spans="1:15" s="65" customFormat="1" hidden="1" x14ac:dyDescent="0.2">
      <c r="A92" s="61"/>
      <c r="B92" s="61">
        <v>5</v>
      </c>
      <c r="C92" s="61" t="s">
        <v>61</v>
      </c>
      <c r="D92" s="66">
        <v>6.9162465467362613E-2</v>
      </c>
      <c r="E92" s="66">
        <v>0.1019060095122117</v>
      </c>
      <c r="F92" s="66">
        <v>7.1290690987764832E-2</v>
      </c>
      <c r="G92" s="66">
        <v>6.6190943630811488E-2</v>
      </c>
      <c r="H92" s="66"/>
      <c r="I92" s="66"/>
      <c r="J92" s="66">
        <v>6.6720613732758283E-2</v>
      </c>
      <c r="K92" s="66">
        <v>8.8894972316109738E-2</v>
      </c>
      <c r="L92" s="66">
        <v>8.9033128125743169E-2</v>
      </c>
      <c r="M92" s="66">
        <v>7.3619887777531562E-2</v>
      </c>
      <c r="N92" s="61"/>
      <c r="O92" s="61">
        <v>2764187</v>
      </c>
    </row>
    <row r="93" spans="1:15" s="65" customFormat="1" hidden="1" x14ac:dyDescent="0.2">
      <c r="A93" s="61"/>
      <c r="B93" s="61">
        <v>6</v>
      </c>
      <c r="C93" s="61" t="s">
        <v>194</v>
      </c>
      <c r="D93" s="66">
        <v>0.13697756465694613</v>
      </c>
      <c r="E93" s="66">
        <v>9.8632362230227699E-2</v>
      </c>
      <c r="F93" s="66">
        <v>8.6435143644419912E-2</v>
      </c>
      <c r="G93" s="66">
        <v>8.7431881990813545E-2</v>
      </c>
      <c r="H93" s="66">
        <v>7.5400410092049619E-2</v>
      </c>
      <c r="I93" s="66">
        <v>7.5686706838971315E-2</v>
      </c>
      <c r="J93" s="66">
        <v>7.8714336040647911E-2</v>
      </c>
      <c r="K93" s="66"/>
      <c r="L93" s="66"/>
      <c r="M93" s="66"/>
      <c r="N93" s="61"/>
      <c r="O93" s="61">
        <v>3511670</v>
      </c>
    </row>
    <row r="94" spans="1:15" s="65" customFormat="1" hidden="1" x14ac:dyDescent="0.2">
      <c r="A94" s="61"/>
      <c r="B94" s="61">
        <v>7</v>
      </c>
      <c r="C94" s="61" t="s">
        <v>60</v>
      </c>
      <c r="D94" s="66">
        <v>0.16412440319995145</v>
      </c>
      <c r="E94" s="66">
        <v>6.2023341083715128E-2</v>
      </c>
      <c r="F94" s="66"/>
      <c r="G94" s="66"/>
      <c r="H94" s="66"/>
      <c r="I94" s="66"/>
      <c r="J94" s="66"/>
      <c r="K94" s="66"/>
      <c r="L94" s="66"/>
      <c r="M94" s="66"/>
      <c r="N94" s="61"/>
      <c r="O94" s="61">
        <v>1464488</v>
      </c>
    </row>
    <row r="95" spans="1:15" s="65" customFormat="1" hidden="1" x14ac:dyDescent="0.2">
      <c r="A95" s="61"/>
      <c r="B95" s="61">
        <v>8</v>
      </c>
      <c r="C95" s="61" t="s">
        <v>68</v>
      </c>
      <c r="D95" s="66">
        <v>0.31881851320008181</v>
      </c>
      <c r="E95" s="66">
        <v>0.32711072119914736</v>
      </c>
      <c r="F95" s="66">
        <v>0.32955165143783938</v>
      </c>
      <c r="G95" s="66">
        <v>0.34299893613541538</v>
      </c>
      <c r="H95" s="66">
        <v>0.36493182150251163</v>
      </c>
      <c r="I95" s="66">
        <v>0.35648605061904998</v>
      </c>
      <c r="J95" s="66">
        <v>0.33321585974428353</v>
      </c>
      <c r="K95" s="66">
        <v>0.32111806962266176</v>
      </c>
      <c r="L95" s="66">
        <v>0.27088333490992644</v>
      </c>
      <c r="M95" s="66">
        <v>0.29785984120070741</v>
      </c>
      <c r="N95" s="61"/>
      <c r="O95" s="61">
        <v>32768</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9</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'Low activity under 10m'!D3:L3</xm:f>
              <xm:sqref>C3</xm:sqref>
            </x14:sparkline>
            <x14:sparkline>
              <xm:f>'Low activity under 10m'!D4:L4</xm:f>
              <xm:sqref>C4</xm:sqref>
            </x14:sparkline>
            <x14:sparkline>
              <xm:f>'Low activity under 10m'!D5:L5</xm:f>
              <xm:sqref>C5</xm:sqref>
            </x14:sparkline>
            <x14:sparkline>
              <xm:f>'Low activity under 10m'!D6:L6</xm:f>
              <xm:sqref>C6</xm:sqref>
            </x14:sparkline>
            <x14:sparkline>
              <xm:f>'Low activity under 10m'!D7:L7</xm:f>
              <xm:sqref>C7</xm:sqref>
            </x14:sparkline>
            <x14:sparkline>
              <xm:f>'Low activity under 10m'!D8:L8</xm:f>
              <xm:sqref>C8</xm:sqref>
            </x14:sparkline>
            <x14:sparkline>
              <xm:f>'Low activity under 10m'!D9:L9</xm:f>
              <xm:sqref>C9</xm:sqref>
            </x14:sparkline>
            <x14:sparkline>
              <xm:f>'Low activity under 10m'!D10:L10</xm:f>
              <xm:sqref>C10</xm:sqref>
            </x14:sparkline>
            <x14:sparkline>
              <xm:f>'Low activity under 10m'!D11:L11</xm:f>
              <xm:sqref>C11</xm:sqref>
            </x14:sparkline>
            <x14:sparkline>
              <xm:f>'Low activity under 10m'!D12:L12</xm:f>
              <xm:sqref>C12</xm:sqref>
            </x14:sparkline>
            <x14:sparkline>
              <xm:f>'Low activity under 10m'!D13:L13</xm:f>
              <xm:sqref>C13</xm:sqref>
            </x14:sparkline>
            <x14:sparkline>
              <xm:f>'Low activity under 10m'!D14:L14</xm:f>
              <xm:sqref>C14</xm:sqref>
            </x14:sparkline>
            <x14:sparkline>
              <xm:f>'Low activity under 10m'!D15:L15</xm:f>
              <xm:sqref>C15</xm:sqref>
            </x14:sparkline>
            <x14:sparkline>
              <xm:f>'Low activity under 10m'!D16:L16</xm:f>
              <xm:sqref>C16</xm:sqref>
            </x14:sparkline>
            <x14:sparkline>
              <xm:f>'Low activity under 10m'!D17:L17</xm:f>
              <xm:sqref>C17</xm:sqref>
            </x14:sparkline>
            <x14:sparkline>
              <xm:f>'Low activity under 10m'!D18:L18</xm:f>
              <xm:sqref>C18</xm:sqref>
            </x14:sparkline>
            <x14:sparkline>
              <xm:f>'Low activity under 10m'!D19:L19</xm:f>
              <xm:sqref>C19</xm:sqref>
            </x14:sparkline>
            <x14:sparkline>
              <xm:f>'Low activity under 10m'!D20:L20</xm:f>
              <xm:sqref>C20</xm:sqref>
            </x14:sparkline>
            <x14:sparkline>
              <xm:f>'Low activity under 10m'!D21:L21</xm:f>
              <xm:sqref>C21</xm:sqref>
            </x14:sparkline>
            <x14:sparkline>
              <xm:f>'Low activity under 10m'!D22:L22</xm:f>
              <xm:sqref>C22</xm:sqref>
            </x14:sparkline>
            <x14:sparkline>
              <xm:f>'Low activity under 10m'!D23:L23</xm:f>
              <xm:sqref>C23</xm:sqref>
            </x14:sparkline>
            <x14:sparkline>
              <xm:f>'Low activity under 10m'!D24:L24</xm:f>
              <xm:sqref>C24</xm:sqref>
            </x14:sparkline>
            <x14:sparkline>
              <xm:f>'Low activity under 10m'!D25:L25</xm:f>
              <xm:sqref>C25</xm:sqref>
            </x14:sparkline>
            <x14:sparkline>
              <xm:f>'Low activity under 10m'!D26:L26</xm:f>
              <xm:sqref>C26</xm:sqref>
            </x14:sparkline>
            <x14:sparkline>
              <xm:f>'Low activity under 10m'!D27:L27</xm:f>
              <xm:sqref>C27</xm:sqref>
            </x14:sparkline>
            <x14:sparkline>
              <xm:f>'Low activity under 10m'!D28:L28</xm:f>
              <xm:sqref>C28</xm:sqref>
            </x14:sparkline>
            <x14:sparkline>
              <xm:f>'Low activity under 10m'!D29:L29</xm:f>
              <xm:sqref>C29</xm:sqref>
            </x14:sparkline>
            <x14:sparkline>
              <xm:f>'Low activity under 10m'!D30:L30</xm:f>
              <xm:sqref>C30</xm:sqref>
            </x14:sparkline>
            <x14:sparkline>
              <xm:f>'Low activity under 10m'!D31:L31</xm:f>
              <xm:sqref>C31</xm:sqref>
            </x14:sparkline>
            <x14:sparkline>
              <xm:f>'Low activity under 10m'!D32:L32</xm:f>
              <xm:sqref>C32</xm:sqref>
            </x14:sparkline>
            <x14:sparkline>
              <xm:f>'Low activity under 10m'!D33:L33</xm:f>
              <xm:sqref>C33</xm:sqref>
            </x14:sparkline>
            <x14:sparkline>
              <xm:f>'Low activity under 10m'!D34:L34</xm:f>
              <xm:sqref>C34</xm:sqref>
            </x14:sparkline>
            <x14:sparkline>
              <xm:f>'Low activity under 10m'!D35:L35</xm:f>
              <xm:sqref>C35</xm:sqref>
            </x14:sparkline>
            <x14:sparkline>
              <xm:f>'Low activity under 10m'!D36:L36</xm:f>
              <xm:sqref>C36</xm:sqref>
            </x14:sparkline>
            <x14:sparkline>
              <xm:f>'Low activity under 10m'!D37:L37</xm:f>
              <xm:sqref>C37</xm:sqref>
            </x14:sparkline>
            <x14:sparkline>
              <xm:f>'Low activity under 10m'!D38:L38</xm:f>
              <xm:sqref>C38</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210</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54</v>
      </c>
      <c r="E3" s="16">
        <v>13</v>
      </c>
      <c r="F3" s="16">
        <v>16</v>
      </c>
      <c r="G3" s="16">
        <v>11</v>
      </c>
      <c r="H3" s="16">
        <v>19</v>
      </c>
      <c r="I3" s="16">
        <v>25</v>
      </c>
      <c r="J3" s="16">
        <v>23</v>
      </c>
      <c r="K3" s="16">
        <v>13</v>
      </c>
      <c r="L3" s="16">
        <v>13</v>
      </c>
      <c r="M3" s="17">
        <v>117</v>
      </c>
      <c r="N3" s="18">
        <f t="shared" ref="N3:N38" si="0">IF(L3=0,"",IFERROR(IF(AND(L3&gt;0,D3&lt;0),"na",IF(AND(L3&lt;0,D3&lt;0),-1,1)*(L3-D3)/D3),""))</f>
        <v>-0.7592592592592593</v>
      </c>
      <c r="O3" s="18">
        <f t="shared" ref="O3:O38" si="1">IF(L3=0,"",IFERROR(IF(AND(L3&gt;0,H3&lt;0),"na",IF(AND(L3&lt;0,H3&lt;0),-1,1)*(L3-H3)/H3),""))</f>
        <v>-0.31578947368421051</v>
      </c>
    </row>
    <row r="4" spans="1:15" s="19" customFormat="1" ht="18" customHeight="1" x14ac:dyDescent="0.2">
      <c r="A4" s="141"/>
      <c r="B4" s="20" t="s">
        <v>20</v>
      </c>
      <c r="C4" s="21"/>
      <c r="D4" s="22">
        <v>19184.080078125</v>
      </c>
      <c r="E4" s="22">
        <v>15516.830078125</v>
      </c>
      <c r="F4" s="22">
        <v>14784.5400390625</v>
      </c>
      <c r="G4" s="22">
        <v>12351.7998046875</v>
      </c>
      <c r="H4" s="22">
        <v>9739.01953125</v>
      </c>
      <c r="I4" s="22">
        <v>8411.759765625</v>
      </c>
      <c r="J4" s="22">
        <v>10046.91015625</v>
      </c>
      <c r="K4" s="22">
        <v>14069.400390625</v>
      </c>
      <c r="L4" s="22">
        <v>6300.60009765625</v>
      </c>
      <c r="M4" s="23">
        <v>6525.3798828125</v>
      </c>
      <c r="N4" s="24">
        <f t="shared" si="0"/>
        <v>-0.67157142422270089</v>
      </c>
      <c r="O4" s="24">
        <f t="shared" si="1"/>
        <v>-0.35305601580947132</v>
      </c>
    </row>
    <row r="5" spans="1:15" s="19" customFormat="1" ht="18" customHeight="1" x14ac:dyDescent="0.2">
      <c r="A5" s="141"/>
      <c r="B5" s="20" t="s">
        <v>21</v>
      </c>
      <c r="C5" s="21"/>
      <c r="D5" s="22">
        <v>11684.5</v>
      </c>
      <c r="E5" s="22">
        <v>9860.740234375</v>
      </c>
      <c r="F5" s="22">
        <v>9375.3701171875</v>
      </c>
      <c r="G5" s="22">
        <v>8577.009765625</v>
      </c>
      <c r="H5" s="22">
        <v>7228.6298828125</v>
      </c>
      <c r="I5" s="22">
        <v>6542.52001953125</v>
      </c>
      <c r="J5" s="22">
        <v>7066.8798828125</v>
      </c>
      <c r="K5" s="22">
        <v>9530.91015625</v>
      </c>
      <c r="L5" s="22">
        <v>4098.58984375</v>
      </c>
      <c r="M5" s="23">
        <v>4125.97021484375</v>
      </c>
      <c r="N5" s="24">
        <f t="shared" si="0"/>
        <v>-0.64922847843296672</v>
      </c>
      <c r="O5" s="24">
        <f t="shared" si="1"/>
        <v>-0.43300599004311874</v>
      </c>
    </row>
    <row r="6" spans="1:15" s="19" customFormat="1" ht="18" customHeight="1" x14ac:dyDescent="0.2">
      <c r="A6" s="141"/>
      <c r="B6" s="20" t="s">
        <v>22</v>
      </c>
      <c r="C6" s="21"/>
      <c r="D6" s="22">
        <v>14623.359375</v>
      </c>
      <c r="E6" s="22">
        <v>11994.7392578125</v>
      </c>
      <c r="F6" s="22">
        <v>5151</v>
      </c>
      <c r="G6" s="22">
        <v>9879.4443359375</v>
      </c>
      <c r="H6" s="22">
        <v>7682.1767578125</v>
      </c>
      <c r="I6" s="22">
        <v>6635.06494140625</v>
      </c>
      <c r="J6" s="22">
        <v>7839.18603515625</v>
      </c>
      <c r="K6" s="22">
        <v>10681.8134765625</v>
      </c>
      <c r="L6" s="22">
        <v>4752.44482421875</v>
      </c>
      <c r="M6" s="23">
        <v>4962.84521484375</v>
      </c>
      <c r="N6" s="24">
        <f t="shared" si="0"/>
        <v>-0.67501005053985752</v>
      </c>
      <c r="O6" s="24">
        <f t="shared" si="1"/>
        <v>-0.38136742045336525</v>
      </c>
    </row>
    <row r="7" spans="1:15" s="19" customFormat="1" ht="18" customHeight="1" x14ac:dyDescent="0.2">
      <c r="A7" s="141"/>
      <c r="B7" s="20" t="s">
        <v>23</v>
      </c>
      <c r="C7" s="21"/>
      <c r="D7" s="22">
        <v>33059.90234375</v>
      </c>
      <c r="E7" s="22">
        <v>17147.34765625</v>
      </c>
      <c r="F7" s="22">
        <v>15511.52734375</v>
      </c>
      <c r="G7" s="22">
        <v>15190.1005859375</v>
      </c>
      <c r="H7" s="22">
        <v>16123.9248046875</v>
      </c>
      <c r="I7" s="22">
        <v>17729.677734375</v>
      </c>
      <c r="J7" s="22">
        <v>16082.861328125</v>
      </c>
      <c r="K7" s="22">
        <v>23097.39453125</v>
      </c>
      <c r="L7" s="22">
        <v>16896.50390625</v>
      </c>
      <c r="M7" s="23">
        <v>45957.47265625</v>
      </c>
      <c r="N7" s="24">
        <f t="shared" si="0"/>
        <v>-0.48891246772105795</v>
      </c>
      <c r="O7" s="24">
        <f t="shared" si="1"/>
        <v>4.7915077186287673E-2</v>
      </c>
    </row>
    <row r="8" spans="1:15" s="19" customFormat="1" ht="18" customHeight="1" x14ac:dyDescent="0.2">
      <c r="A8" s="141"/>
      <c r="B8" s="20" t="s">
        <v>24</v>
      </c>
      <c r="C8" s="25"/>
      <c r="D8" s="26">
        <f ca="1">47.999696*OFFSET(D$108,MATCH($M$1,$C$109:$C$110,0),0)</f>
        <v>39.045832358364976</v>
      </c>
      <c r="E8" s="26">
        <f ca="1">23.002086*OFFSET(E$108,MATCH($M$1,$C$109:$C$110,0),0)</f>
        <v>19.214331036027218</v>
      </c>
      <c r="F8" s="26">
        <f ca="1">21.351148*OFFSET(F$108,MATCH($M$1,$C$109:$C$110,0),0)</f>
        <v>18.347468024333818</v>
      </c>
      <c r="G8" s="26">
        <f ca="1">19.761586*OFFSET(G$108,MATCH($M$1,$C$109:$C$110,0),0)</f>
        <v>17.474577885103624</v>
      </c>
      <c r="H8" s="26">
        <f ca="1">20.06033*OFFSET(H$108,MATCH($M$1,$C$109:$C$110,0),0)</f>
        <v>18.09000467733037</v>
      </c>
      <c r="I8" s="26">
        <f ca="1">27.381122*OFFSET(I$108,MATCH($M$1,$C$109:$C$110,0),0)</f>
        <v>25.475121765819715</v>
      </c>
      <c r="J8" s="26">
        <f ca="1">28.978126*OFFSET(J$108,MATCH($M$1,$C$109:$C$110,0),0)</f>
        <v>27.533855982839647</v>
      </c>
      <c r="K8" s="26">
        <f ca="1">20.777518*OFFSET(K$108,MATCH($M$1,$C$109:$C$110,0),0)</f>
        <v>20.069835540772541</v>
      </c>
      <c r="L8" s="26">
        <f ca="1">19.495556*OFFSET(L$108,MATCH($M$1,$C$109:$C$110,0),0)</f>
        <v>19.168615188705175</v>
      </c>
      <c r="M8" s="27">
        <f ca="1">38.290088*OFFSET(M$108,MATCH($M$1,$C$109:$C$110,0),0)</f>
        <v>38.290087851237139</v>
      </c>
      <c r="N8" s="24">
        <f t="shared" ca="1" si="0"/>
        <v>-0.50907397714628078</v>
      </c>
      <c r="O8" s="24">
        <f t="shared" ca="1" si="1"/>
        <v>5.9624667357133086E-2</v>
      </c>
    </row>
    <row r="9" spans="1:15" s="19" customFormat="1" ht="18" customHeight="1" x14ac:dyDescent="0.2">
      <c r="A9" s="141"/>
      <c r="B9" s="20" t="s">
        <v>25</v>
      </c>
      <c r="C9" s="25"/>
      <c r="D9" s="22">
        <v>4902</v>
      </c>
      <c r="E9" s="22">
        <v>1912</v>
      </c>
      <c r="F9" s="22">
        <v>2378</v>
      </c>
      <c r="G9" s="22">
        <v>1493</v>
      </c>
      <c r="H9" s="22">
        <v>1910</v>
      </c>
      <c r="I9" s="22">
        <v>1645</v>
      </c>
      <c r="J9" s="22">
        <v>2065.5</v>
      </c>
      <c r="K9" s="22">
        <v>2229.666748046875</v>
      </c>
      <c r="L9" s="22">
        <v>1028</v>
      </c>
      <c r="M9" s="23">
        <v>6438</v>
      </c>
      <c r="N9" s="24">
        <f t="shared" si="0"/>
        <v>-0.79028967768257852</v>
      </c>
      <c r="O9" s="24">
        <f t="shared" si="1"/>
        <v>-0.46178010471204189</v>
      </c>
    </row>
    <row r="10" spans="1:15" s="19" customFormat="1" ht="18" customHeight="1" x14ac:dyDescent="0.2">
      <c r="A10" s="142" t="s">
        <v>7</v>
      </c>
      <c r="B10" s="28" t="s">
        <v>26</v>
      </c>
      <c r="C10" s="29"/>
      <c r="D10" s="30">
        <v>42.112144470214844</v>
      </c>
      <c r="E10" s="30">
        <v>38.794166564941406</v>
      </c>
      <c r="F10" s="30">
        <v>29.618125915527344</v>
      </c>
      <c r="G10" s="30">
        <v>35.69818115234375</v>
      </c>
      <c r="H10" s="30">
        <v>21.773571014404297</v>
      </c>
      <c r="I10" s="30">
        <v>19.853570938110352</v>
      </c>
      <c r="J10" s="30">
        <v>21.282499313354492</v>
      </c>
      <c r="K10" s="30">
        <v>31.379230499267578</v>
      </c>
      <c r="L10" s="30">
        <v>29.833333969116211</v>
      </c>
      <c r="M10" s="31">
        <v>23.10444450378418</v>
      </c>
      <c r="N10" s="32">
        <f t="shared" si="0"/>
        <v>-0.29157409710595983</v>
      </c>
      <c r="O10" s="32">
        <f t="shared" si="1"/>
        <v>0.37016265955547584</v>
      </c>
    </row>
    <row r="11" spans="1:15" s="19" customFormat="1" ht="18" customHeight="1" x14ac:dyDescent="0.2">
      <c r="A11" s="143"/>
      <c r="B11" s="33" t="s">
        <v>20</v>
      </c>
      <c r="C11" s="21"/>
      <c r="D11" s="22">
        <v>1370.2913818359375</v>
      </c>
      <c r="E11" s="22">
        <v>1293.0692138671875</v>
      </c>
      <c r="F11" s="22">
        <v>924.03375244140625</v>
      </c>
      <c r="G11" s="22">
        <v>1122.890869140625</v>
      </c>
      <c r="H11" s="22">
        <v>695.644287109375</v>
      </c>
      <c r="I11" s="22">
        <v>600.84002685546875</v>
      </c>
      <c r="J11" s="22">
        <v>627.931884765625</v>
      </c>
      <c r="K11" s="22">
        <v>1082.2615966796875</v>
      </c>
      <c r="L11" s="22">
        <v>1050.0999755859375</v>
      </c>
      <c r="M11" s="23">
        <v>725.042236328125</v>
      </c>
      <c r="N11" s="24">
        <f t="shared" si="0"/>
        <v>-0.23366665695656832</v>
      </c>
      <c r="O11" s="24">
        <f t="shared" si="1"/>
        <v>0.5095358289355606</v>
      </c>
    </row>
    <row r="12" spans="1:15" s="19" customFormat="1" ht="18" customHeight="1" x14ac:dyDescent="0.2">
      <c r="A12" s="143"/>
      <c r="B12" s="33" t="s">
        <v>21</v>
      </c>
      <c r="C12" s="21"/>
      <c r="D12" s="22">
        <v>834.60711669921875</v>
      </c>
      <c r="E12" s="22">
        <v>821.72833251953125</v>
      </c>
      <c r="F12" s="22">
        <v>585.96063232421875</v>
      </c>
      <c r="G12" s="22">
        <v>779.72821044921875</v>
      </c>
      <c r="H12" s="22">
        <v>516.3306884765625</v>
      </c>
      <c r="I12" s="22">
        <v>467.32284545898437</v>
      </c>
      <c r="J12" s="22">
        <v>441.67999267578125</v>
      </c>
      <c r="K12" s="22">
        <v>733.14691162109375</v>
      </c>
      <c r="L12" s="22">
        <v>683.09832763671875</v>
      </c>
      <c r="M12" s="23">
        <v>458.44110107421875</v>
      </c>
      <c r="N12" s="24">
        <f t="shared" si="0"/>
        <v>-0.18153306631472416</v>
      </c>
      <c r="O12" s="24">
        <f t="shared" si="1"/>
        <v>0.32298610731855859</v>
      </c>
    </row>
    <row r="13" spans="1:15" s="19" customFormat="1" ht="18" customHeight="1" x14ac:dyDescent="0.2">
      <c r="A13" s="143"/>
      <c r="B13" s="33" t="s">
        <v>22</v>
      </c>
      <c r="C13" s="21"/>
      <c r="D13" s="22">
        <v>1044.525634765625</v>
      </c>
      <c r="E13" s="22">
        <v>999.56158447265625</v>
      </c>
      <c r="F13" s="22">
        <v>321.9375</v>
      </c>
      <c r="G13" s="22">
        <v>898.13134765625</v>
      </c>
      <c r="H13" s="22">
        <v>548.7269287109375</v>
      </c>
      <c r="I13" s="22">
        <v>473.9332275390625</v>
      </c>
      <c r="J13" s="22">
        <v>489.94912719726562</v>
      </c>
      <c r="K13" s="22">
        <v>821.677978515625</v>
      </c>
      <c r="L13" s="22">
        <v>792.0740966796875</v>
      </c>
      <c r="M13" s="23">
        <v>551.42724609375</v>
      </c>
      <c r="N13" s="24">
        <f t="shared" si="0"/>
        <v>-0.24169013156157113</v>
      </c>
      <c r="O13" s="24">
        <f t="shared" si="1"/>
        <v>0.44347589891463529</v>
      </c>
    </row>
    <row r="14" spans="1:15" s="19" customFormat="1" ht="18" customHeight="1" x14ac:dyDescent="0.2">
      <c r="A14" s="143"/>
      <c r="B14" s="33" t="s">
        <v>23</v>
      </c>
      <c r="C14" s="25"/>
      <c r="D14" s="26">
        <v>612.22039794921875</v>
      </c>
      <c r="E14" s="26">
        <v>1319.0267333984375</v>
      </c>
      <c r="F14" s="26">
        <v>969.470458984375</v>
      </c>
      <c r="G14" s="26">
        <v>1380.918212890625</v>
      </c>
      <c r="H14" s="26">
        <v>848.62762451171875</v>
      </c>
      <c r="I14" s="26">
        <v>709.1871337890625</v>
      </c>
      <c r="J14" s="26">
        <v>699.25482177734375</v>
      </c>
      <c r="K14" s="26">
        <v>1776.72265625</v>
      </c>
      <c r="L14" s="26">
        <v>1299.7310791015625</v>
      </c>
      <c r="M14" s="27">
        <v>392.79891967773437</v>
      </c>
      <c r="N14" s="24">
        <f t="shared" si="0"/>
        <v>1.1229790504454411</v>
      </c>
      <c r="O14" s="24">
        <f t="shared" si="1"/>
        <v>0.53156819500119212</v>
      </c>
    </row>
    <row r="15" spans="1:15" s="19" customFormat="1" ht="18" customHeight="1" x14ac:dyDescent="0.2">
      <c r="A15" s="143"/>
      <c r="B15" s="33" t="s">
        <v>27</v>
      </c>
      <c r="C15" s="25"/>
      <c r="D15" s="26">
        <f ca="1">888.88325*OFFSET(D$108,MATCH($M$1,$C$109:$C$110,0),0)</f>
        <v>723.07096206731444</v>
      </c>
      <c r="E15" s="26">
        <f ca="1">1769.39125*OFFSET(E$108,MATCH($M$1,$C$109:$C$110,0),0)</f>
        <v>1478.0254803738233</v>
      </c>
      <c r="F15" s="26">
        <f ca="1">1334.44675*OFFSET(F$108,MATCH($M$1,$C$109:$C$110,0),0)</f>
        <v>1146.7167515208639</v>
      </c>
      <c r="G15" s="26">
        <f ca="1">1796.507875*OFFSET(G$108,MATCH($M$1,$C$109:$C$110,0),0)</f>
        <v>1588.598039797489</v>
      </c>
      <c r="H15" s="26">
        <f ca="1">1055.80675*OFFSET(H$108,MATCH($M$1,$C$109:$C$110,0),0)</f>
        <v>952.10542627449183</v>
      </c>
      <c r="I15" s="26">
        <f ca="1">1095.244875*OFFSET(I$108,MATCH($M$1,$C$109:$C$110,0),0)</f>
        <v>1019.0048659808386</v>
      </c>
      <c r="J15" s="26">
        <f ca="1">1259.9185*OFFSET(J$108,MATCH($M$1,$C$109:$C$110,0),0)</f>
        <v>1197.1241525112891</v>
      </c>
      <c r="K15" s="26">
        <f ca="1">1598.270625*OFFSET(K$108,MATCH($M$1,$C$109:$C$110,0),0)</f>
        <v>1543.8335124242337</v>
      </c>
      <c r="L15" s="26">
        <f ca="1">1499.658125*OFFSET(L$108,MATCH($M$1,$C$109:$C$110,0),0)</f>
        <v>1474.5088323072252</v>
      </c>
      <c r="M15" s="27">
        <f ca="1">327.26571875*OFFSET(M$108,MATCH($M$1,$C$109:$C$110,0),0)</f>
        <v>327.26571747852256</v>
      </c>
      <c r="N15" s="24">
        <f t="shared" ca="1" si="0"/>
        <v>1.0392311538711128</v>
      </c>
      <c r="O15" s="24">
        <f t="shared" ca="1" si="1"/>
        <v>0.54868231145037571</v>
      </c>
    </row>
    <row r="16" spans="1:15" s="19" customFormat="1" ht="18" customHeight="1" x14ac:dyDescent="0.2">
      <c r="A16" s="143"/>
      <c r="B16" s="33" t="s">
        <v>25</v>
      </c>
      <c r="C16" s="21"/>
      <c r="D16" s="22">
        <v>90.777778625488281</v>
      </c>
      <c r="E16" s="22">
        <v>147.07691955566406</v>
      </c>
      <c r="F16" s="22">
        <v>148.625</v>
      </c>
      <c r="G16" s="22">
        <v>135.72726440429687</v>
      </c>
      <c r="H16" s="22">
        <v>100.52631378173828</v>
      </c>
      <c r="I16" s="22">
        <v>65.800003051757812</v>
      </c>
      <c r="J16" s="22">
        <v>89.804344177246094</v>
      </c>
      <c r="K16" s="22">
        <v>171.5128173828125</v>
      </c>
      <c r="L16" s="22">
        <v>79.076919555664063</v>
      </c>
      <c r="M16" s="23">
        <v>55.025642395019531</v>
      </c>
      <c r="N16" s="24">
        <f t="shared" si="0"/>
        <v>-0.12889563114445821</v>
      </c>
      <c r="O16" s="24">
        <f t="shared" si="1"/>
        <v>-0.21337094158893488</v>
      </c>
    </row>
    <row r="17" spans="1:15" s="19" customFormat="1" ht="18" customHeight="1" x14ac:dyDescent="0.2">
      <c r="A17" s="143"/>
      <c r="B17" s="33" t="s">
        <v>28</v>
      </c>
      <c r="C17" s="21"/>
      <c r="D17" s="22">
        <v>23.928571701049805</v>
      </c>
      <c r="E17" s="22">
        <v>19.25</v>
      </c>
      <c r="F17" s="22">
        <v>18.125</v>
      </c>
      <c r="G17" s="22">
        <v>26.181818008422852</v>
      </c>
      <c r="H17" s="22">
        <v>14.142857551574707</v>
      </c>
      <c r="I17" s="22">
        <v>13.785714149475098</v>
      </c>
      <c r="J17" s="22">
        <v>17.1875</v>
      </c>
      <c r="K17" s="22">
        <v>20.538461685180664</v>
      </c>
      <c r="L17" s="22">
        <v>26.333333969116211</v>
      </c>
      <c r="M17" s="23">
        <v>27.333333969116211</v>
      </c>
      <c r="N17" s="24">
        <f t="shared" si="0"/>
        <v>0.10049752647630462</v>
      </c>
      <c r="O17" s="24">
        <f t="shared" si="1"/>
        <v>0.86195285309821856</v>
      </c>
    </row>
    <row r="18" spans="1:15" s="19" customFormat="1" ht="18" customHeight="1" x14ac:dyDescent="0.2">
      <c r="A18" s="143"/>
      <c r="B18" s="33" t="s">
        <v>29</v>
      </c>
      <c r="C18" s="21"/>
      <c r="D18" s="34">
        <v>6.7441658973693848</v>
      </c>
      <c r="E18" s="34">
        <v>8.9682779312133789</v>
      </c>
      <c r="F18" s="34">
        <v>6.5229301452636719</v>
      </c>
      <c r="G18" s="34">
        <v>10.174213409423828</v>
      </c>
      <c r="H18" s="34">
        <v>8.4418458938598633</v>
      </c>
      <c r="I18" s="34">
        <v>10.777919769287109</v>
      </c>
      <c r="J18" s="34">
        <v>7.7864251136779785</v>
      </c>
      <c r="K18" s="34">
        <v>10.359125137329102</v>
      </c>
      <c r="L18" s="34">
        <v>16.436288833618164</v>
      </c>
      <c r="M18" s="35">
        <v>7.1384701728820801</v>
      </c>
      <c r="N18" s="24">
        <f t="shared" si="0"/>
        <v>1.4371121772121989</v>
      </c>
      <c r="O18" s="24">
        <f t="shared" si="1"/>
        <v>0.94700176244309564</v>
      </c>
    </row>
    <row r="19" spans="1:15" s="19" customFormat="1" ht="18" customHeight="1" x14ac:dyDescent="0.2">
      <c r="A19" s="144"/>
      <c r="B19" s="36" t="s">
        <v>8</v>
      </c>
      <c r="C19" s="37"/>
      <c r="D19" s="38">
        <f ca="1">1451.90071951542*OFFSET(D$108,MATCH($M$1,$C$109:$C$110,0),0)</f>
        <v>1181.0631487163705</v>
      </c>
      <c r="E19" s="38">
        <f ca="1">1341.43696512831*OFFSET(E$108,MATCH($M$1,$C$109:$C$110,0),0)</f>
        <v>1120.5424547990581</v>
      </c>
      <c r="F19" s="38">
        <f ca="1">1376.4697393647*OFFSET(F$108,MATCH($M$1,$C$109:$C$110,0),0)</f>
        <v>1182.8279458067989</v>
      </c>
      <c r="G19" s="38">
        <f ca="1">1300.95162228844*OFFSET(G$108,MATCH($M$1,$C$109:$C$110,0),0)</f>
        <v>1150.3925063722747</v>
      </c>
      <c r="H19" s="38">
        <f ca="1">1244.13443023302*OFFSET(H$108,MATCH($M$1,$C$109:$C$110,0),0)</f>
        <v>1121.93556447691</v>
      </c>
      <c r="I19" s="38">
        <f ca="1">1544.36659313397*OFFSET(I$108,MATCH($M$1,$C$109:$C$110,0),0)</f>
        <v>1436.8632158737701</v>
      </c>
      <c r="J19" s="38">
        <f ca="1">1801.80164516648*OFFSET(J$108,MATCH($M$1,$C$109:$C$110,0),0)</f>
        <v>1711.9998376588399</v>
      </c>
      <c r="K19" s="38">
        <f ca="1">899.561115947027*OFFSET(K$108,MATCH($M$1,$C$109:$C$110,0),0)</f>
        <v>868.92205584568137</v>
      </c>
      <c r="L19" s="38">
        <f ca="1">1153.82188576825*OFFSET(L$108,MATCH($M$1,$C$109:$C$110,0),0)</f>
        <v>1134.4722727886151</v>
      </c>
      <c r="M19" s="39">
        <f ca="1">833.163483257662*OFFSET(M$108,MATCH($M$1,$C$109:$C$110,0),0)</f>
        <v>833.16348002069424</v>
      </c>
      <c r="N19" s="40">
        <f ca="1">IF(L19=0,"",IFERROR(IF(AND(L19&gt;0,D19&lt;0),"na",IF(AND(L19&lt;0,D19&lt;0),-1,1)*(L19-D19)/D19),""))</f>
        <v>-3.9448251330500277E-2</v>
      </c>
      <c r="O19" s="40">
        <f ca="1">IF(L19=0,"",IFERROR(IF(AND(L19&gt;0,H19&lt;0),"na",IF(AND(L19&lt;0,H19&lt;0),-1,1)*(L19-H19)/H19),""))</f>
        <v>1.11741785434444E-2</v>
      </c>
    </row>
    <row r="20" spans="1:15" s="19" customFormat="1" ht="18" customHeight="1" x14ac:dyDescent="0.2">
      <c r="A20" s="145" t="s">
        <v>9</v>
      </c>
      <c r="B20" s="28" t="s">
        <v>30</v>
      </c>
      <c r="C20" s="41"/>
      <c r="D20" s="42">
        <v>2.0066506533529802</v>
      </c>
      <c r="E20" s="42">
        <v>5.1005667835281185</v>
      </c>
      <c r="F20" s="42">
        <v>6.0349409856644387</v>
      </c>
      <c r="G20" s="42">
        <v>7.0219481152781942</v>
      </c>
      <c r="H20" s="42">
        <v>5.1581010216877576</v>
      </c>
      <c r="I20" s="42">
        <v>5.7436220285886694</v>
      </c>
      <c r="J20" s="42">
        <v>4.873239541151813</v>
      </c>
      <c r="K20" s="42">
        <v>7.4173561185454107</v>
      </c>
      <c r="L20" s="42">
        <v>4.6088743322398296</v>
      </c>
      <c r="M20" s="43">
        <v>2.7038365109036997</v>
      </c>
      <c r="N20" s="32">
        <f t="shared" si="0"/>
        <v>1.2967995572815358</v>
      </c>
      <c r="O20" s="32">
        <f t="shared" si="1"/>
        <v>-0.10647846700532791</v>
      </c>
    </row>
    <row r="21" spans="1:15" s="19" customFormat="1" ht="18" customHeight="1" x14ac:dyDescent="0.2">
      <c r="A21" s="145"/>
      <c r="B21" s="33" t="s">
        <v>31</v>
      </c>
      <c r="C21" s="21"/>
      <c r="D21" s="34">
        <f ca="1">2.91345757237407*OFFSET(D$108,MATCH($M$1,$C$109:$C$110,0),0)</f>
        <v>2.3699811755917568</v>
      </c>
      <c r="E21" s="34">
        <f ca="1">6.84208894960217*OFFSET(E$108,MATCH($M$1,$C$109:$C$110,0),0)</f>
        <v>5.7154017272868138</v>
      </c>
      <c r="F21" s="34">
        <f ca="1">8.30691364561888*OFFSET(F$108,MATCH($M$1,$C$109:$C$110,0),0)</f>
        <v>7.1382968491387304</v>
      </c>
      <c r="G21" s="34">
        <f ca="1">9.1352152279404*OFFSET(G$108,MATCH($M$1,$C$109:$C$110,0),0)</f>
        <v>8.0779968772662869</v>
      </c>
      <c r="H21" s="34">
        <f ca="1">6.41737049157846*OFFSET(H$108,MATCH($M$1,$C$109:$C$110,0),0)</f>
        <v>5.7870564546453744</v>
      </c>
      <c r="I21" s="34">
        <f ca="1">8.870257638684*OFFSET(I$108,MATCH($M$1,$C$109:$C$110,0),0)</f>
        <v>8.2527988969797281</v>
      </c>
      <c r="J21" s="34">
        <f ca="1">8.78061110429316*OFFSET(J$108,MATCH($M$1,$C$109:$C$110,0),0)</f>
        <v>8.3429853810053292</v>
      </c>
      <c r="K21" s="34">
        <f ca="1">6.67236518751695*OFFSET(K$108,MATCH($M$1,$C$109:$C$110,0),0)</f>
        <v>6.4451043662405256</v>
      </c>
      <c r="L21" s="34">
        <f ca="1">5.3178199325857*OFFSET(L$108,MATCH($M$1,$C$109:$C$110,0),0)</f>
        <v>5.2286400003447646</v>
      </c>
      <c r="M21" s="35">
        <f ca="1">2.25273786355974*OFFSET(M$108,MATCH($M$1,$C$109:$C$110,0),0)</f>
        <v>2.2527378548075081</v>
      </c>
      <c r="N21" s="24">
        <f t="shared" ca="1" si="0"/>
        <v>1.2061947386730756</v>
      </c>
      <c r="O21" s="24">
        <f t="shared" ca="1" si="1"/>
        <v>-9.6494039530642367E-2</v>
      </c>
    </row>
    <row r="22" spans="1:15" s="19" customFormat="1" ht="18" customHeight="1" x14ac:dyDescent="0.2">
      <c r="A22" s="145"/>
      <c r="B22" s="33" t="s">
        <v>10</v>
      </c>
      <c r="C22" s="21"/>
      <c r="D22" s="34">
        <f ca="1">3.26074404328724*OFFSET(D$108,MATCH($M$1,$C$109:$C$110,0),0)</f>
        <v>2.6524848256899536</v>
      </c>
      <c r="E22" s="34">
        <f ca="1">6.01194424171663*OFFSET(E$108,MATCH($M$1,$C$109:$C$110,0),0)</f>
        <v>5.0219570012250614</v>
      </c>
      <c r="F22" s="34">
        <f ca="1">9.41575647306244*OFFSET(F$108,MATCH($M$1,$C$109:$C$110,0),0)</f>
        <v>8.091147642947691</v>
      </c>
      <c r="G22" s="34">
        <f ca="1">8.6013721513657*OFFSET(G$108,MATCH($M$1,$C$109:$C$110,0),0)</f>
        <v>7.6059354536524157</v>
      </c>
      <c r="H22" s="34">
        <f ca="1">5.31943667921587*OFFSET(H$108,MATCH($M$1,$C$109:$C$110,0),0)</f>
        <v>4.7969616854646873</v>
      </c>
      <c r="I22" s="34">
        <f ca="1">4.21695205835902*OFFSET(I$108,MATCH($M$1,$C$109:$C$110,0),0)</f>
        <v>3.9234099744824227</v>
      </c>
      <c r="J22" s="34">
        <f ca="1">10.3532665953559*OFFSET(J$108,MATCH($M$1,$C$109:$C$110,0),0)</f>
        <v>9.837259710599433</v>
      </c>
      <c r="K22" s="34">
        <f ca="1">7.71698050931052*OFFSET(K$108,MATCH($M$1,$C$109:$C$110,0),0)</f>
        <v>7.4541400803122517</v>
      </c>
      <c r="L22" s="34">
        <f ca="1">2.77316122718052*OFFSET(L$108,MATCH($M$1,$C$109:$C$110,0),0)</f>
        <v>2.7266552654389953</v>
      </c>
      <c r="M22" s="35">
        <f ca="1">3.86932392500499*OFFSET(M$108,MATCH($M$1,$C$109:$C$110,0),0)</f>
        <v>3.8693239099720738</v>
      </c>
      <c r="N22" s="24">
        <f t="shared" ca="1" si="0"/>
        <v>2.796262547128758E-2</v>
      </c>
      <c r="O22" s="24">
        <f t="shared" ca="1" si="1"/>
        <v>-0.4315870244073336</v>
      </c>
    </row>
    <row r="23" spans="1:15" s="19" customFormat="1" ht="18" customHeight="1" x14ac:dyDescent="0.2">
      <c r="A23" s="146"/>
      <c r="B23" s="33" t="s">
        <v>32</v>
      </c>
      <c r="C23" s="44"/>
      <c r="D23" s="34">
        <f ca="1">-0.34728647091317*OFFSET(D$108,MATCH($M$1,$C$109:$C$110,0),0)</f>
        <v>-0.28250365009819711</v>
      </c>
      <c r="E23" s="34">
        <f ca="1">0.830144707885544*OFFSET(E$108,MATCH($M$1,$C$109:$C$110,0),0)</f>
        <v>0.69344472606175611</v>
      </c>
      <c r="F23" s="34">
        <f ca="1">-1.10884282744356*OFFSET(F$108,MATCH($M$1,$C$109:$C$110,0),0)</f>
        <v>-0.95285079380896154</v>
      </c>
      <c r="G23" s="34">
        <f ca="1">0.533843076574707*OFFSET(G$108,MATCH($M$1,$C$109:$C$110,0),0)</f>
        <v>0.47206142361387665</v>
      </c>
      <c r="H23" s="34">
        <f ca="1">1.09793381236259*OFFSET(H$108,MATCH($M$1,$C$109:$C$110,0),0)</f>
        <v>0.9900947691806874</v>
      </c>
      <c r="I23" s="34">
        <f ca="1">4.65330558032498*OFFSET(I$108,MATCH($M$1,$C$109:$C$110,0),0)</f>
        <v>4.3293889224973041</v>
      </c>
      <c r="J23" s="34">
        <f ca="1">-1.57265549106272*OFFSET(J$108,MATCH($M$1,$C$109:$C$110,0),0)</f>
        <v>-1.4942743295940839</v>
      </c>
      <c r="K23" s="34">
        <f ca="1">-1.04461532179357*OFFSET(K$108,MATCH($M$1,$C$109:$C$110,0),0)</f>
        <v>-1.0090357140717259</v>
      </c>
      <c r="L23" s="34">
        <f ca="1">2.54465870540518*OFFSET(L$108,MATCH($M$1,$C$109:$C$110,0),0)</f>
        <v>2.5019847349057693</v>
      </c>
      <c r="M23" s="35">
        <f ca="1">-1.61658606144525*OFFSET(M$108,MATCH($M$1,$C$109:$C$110,0),0)</f>
        <v>-1.6165860551645657</v>
      </c>
      <c r="N23" s="24" t="str">
        <f t="shared" ca="1" si="0"/>
        <v>na</v>
      </c>
      <c r="O23" s="24">
        <f t="shared" ca="1" si="1"/>
        <v>1.5270154057840188</v>
      </c>
    </row>
    <row r="24" spans="1:15" s="19" customFormat="1" ht="18" customHeight="1" x14ac:dyDescent="0.2">
      <c r="A24" s="147" t="s">
        <v>11</v>
      </c>
      <c r="B24" s="28" t="s">
        <v>27</v>
      </c>
      <c r="C24" s="29"/>
      <c r="D24" s="30">
        <f ca="1">888.9*OFFSET(D$108,MATCH($M$1,$C$109:$C$110,0),0)</f>
        <v>723.08458752219235</v>
      </c>
      <c r="E24" s="30">
        <f ca="1">1769.4*OFFSET(E$108,MATCH($M$1,$C$109:$C$110,0),0)</f>
        <v>1478.0327895107671</v>
      </c>
      <c r="F24" s="30">
        <f ca="1">1334.4*OFFSET(F$108,MATCH($M$1,$C$109:$C$110,0),0)</f>
        <v>1146.676578311904</v>
      </c>
      <c r="G24" s="30">
        <f ca="1">1796.5*OFFSET(G$108,MATCH($M$1,$C$109:$C$110,0),0)</f>
        <v>1588.5910761711464</v>
      </c>
      <c r="H24" s="30">
        <f ca="1">1055.8*OFFSET(H$108,MATCH($M$1,$C$109:$C$110,0),0)</f>
        <v>952.09933925939436</v>
      </c>
      <c r="I24" s="30">
        <f ca="1">1095.2*OFFSET(I$108,MATCH($M$1,$C$109:$C$110,0),0)</f>
        <v>1018.9631147301324</v>
      </c>
      <c r="J24" s="30">
        <f ca="1">1259.9*OFFSET(J$108,MATCH($M$1,$C$109:$C$110,0),0)</f>
        <v>1197.1065745514279</v>
      </c>
      <c r="K24" s="30">
        <f ca="1">1598.3*OFFSET(K$108,MATCH($M$1,$C$109:$C$110,0),0)</f>
        <v>1543.8618869114564</v>
      </c>
      <c r="L24" s="30">
        <f ca="1">1499.7*OFFSET(L$108,MATCH($M$1,$C$109:$C$110,0),0)</f>
        <v>1474.5500050627513</v>
      </c>
      <c r="M24" s="31">
        <f ca="1">327.3*OFFSET(M$108,MATCH($M$1,$C$109:$C$110,0),0)</f>
        <v>327.29999872838937</v>
      </c>
      <c r="N24" s="32">
        <f t="shared" ca="1" si="0"/>
        <v>1.0392496680307068</v>
      </c>
      <c r="O24" s="32">
        <f t="shared" ca="1" si="1"/>
        <v>0.54873545675365509</v>
      </c>
    </row>
    <row r="25" spans="1:15" s="19" customFormat="1" ht="18" customHeight="1" x14ac:dyDescent="0.2">
      <c r="A25" s="148"/>
      <c r="B25" s="33" t="s">
        <v>33</v>
      </c>
      <c r="C25" s="25"/>
      <c r="D25" s="26">
        <f ca="1">18.8*OFFSET(D$108,MATCH($M$1,$C$109:$C$110,0),0)</f>
        <v>15.293047862996083</v>
      </c>
      <c r="E25" s="26">
        <f ca="1">22.2*OFFSET(E$108,MATCH($M$1,$C$109:$C$110,0),0)</f>
        <v>18.544324588639668</v>
      </c>
      <c r="F25" s="26">
        <f ca="1">4.9*OFFSET(F$108,MATCH($M$1,$C$109:$C$110,0),0)</f>
        <v>4.2106678909834603</v>
      </c>
      <c r="G25" s="26">
        <f ca="1">209.7*OFFSET(G$108,MATCH($M$1,$C$109:$C$110,0),0)</f>
        <v>185.43142147124374</v>
      </c>
      <c r="H25" s="26">
        <f ca="1">5.1*OFFSET(H$108,MATCH($M$1,$C$109:$C$110,0),0)</f>
        <v>4.5990780737098982</v>
      </c>
      <c r="I25" s="26">
        <f ca="1">0.4*OFFSET(I$108,MATCH($M$1,$C$109:$C$110,0),0)</f>
        <v>0.372155995153445</v>
      </c>
      <c r="J25" s="26"/>
      <c r="K25" s="26"/>
      <c r="L25" s="26"/>
      <c r="M25" s="27"/>
      <c r="N25" s="24" t="str">
        <f t="shared" si="0"/>
        <v/>
      </c>
      <c r="O25" s="24" t="str">
        <f t="shared" si="1"/>
        <v/>
      </c>
    </row>
    <row r="26" spans="1:15" s="19" customFormat="1" ht="18" customHeight="1" x14ac:dyDescent="0.2">
      <c r="A26" s="148"/>
      <c r="B26" s="45" t="s">
        <v>34</v>
      </c>
      <c r="C26" s="46"/>
      <c r="D26" s="47">
        <f ca="1">907.7*OFFSET(D$108,MATCH($M$1,$C$109:$C$110,0),0)</f>
        <v>738.37763538518846</v>
      </c>
      <c r="E26" s="47">
        <f ca="1">1791.6*OFFSET(E$108,MATCH($M$1,$C$109:$C$110,0),0)</f>
        <v>1496.5771140994066</v>
      </c>
      <c r="F26" s="47">
        <f ca="1">1339.3*OFFSET(F$108,MATCH($M$1,$C$109:$C$110,0),0)</f>
        <v>1150.8872462028874</v>
      </c>
      <c r="G26" s="47">
        <f ca="1">2006.2*OFFSET(G$108,MATCH($M$1,$C$109:$C$110,0),0)</f>
        <v>1774.0224976423901</v>
      </c>
      <c r="H26" s="47">
        <f ca="1">1060.9*OFFSET(H$108,MATCH($M$1,$C$109:$C$110,0),0)</f>
        <v>956.69841733310432</v>
      </c>
      <c r="I26" s="47">
        <f ca="1">1095.6*OFFSET(I$108,MATCH($M$1,$C$109:$C$110,0),0)</f>
        <v>1019.3352707252857</v>
      </c>
      <c r="J26" s="47">
        <f ca="1">1259.9*OFFSET(J$108,MATCH($M$1,$C$109:$C$110,0),0)</f>
        <v>1197.1065745514279</v>
      </c>
      <c r="K26" s="47">
        <f ca="1">1598.3*OFFSET(K$108,MATCH($M$1,$C$109:$C$110,0),0)</f>
        <v>1543.8618869114564</v>
      </c>
      <c r="L26" s="47">
        <f ca="1">1499.7*OFFSET(L$108,MATCH($M$1,$C$109:$C$110,0),0)</f>
        <v>1474.5500050627513</v>
      </c>
      <c r="M26" s="48">
        <f ca="1">327.3*OFFSET(M$108,MATCH($M$1,$C$109:$C$110,0),0)</f>
        <v>327.29999872838937</v>
      </c>
      <c r="N26" s="49">
        <f t="shared" ca="1" si="0"/>
        <v>0.99701336334966972</v>
      </c>
      <c r="O26" s="49">
        <f t="shared" ca="1" si="1"/>
        <v>0.54129031505373637</v>
      </c>
    </row>
    <row r="27" spans="1:15" s="19" customFormat="1" ht="18" customHeight="1" x14ac:dyDescent="0.2">
      <c r="A27" s="148"/>
      <c r="B27" s="33" t="s">
        <v>35</v>
      </c>
      <c r="C27" s="25"/>
      <c r="D27" s="26">
        <f ca="1">271.8*OFFSET(D$108,MATCH($M$1,$C$109:$C$110,0),0)</f>
        <v>221.09842601927315</v>
      </c>
      <c r="E27" s="26">
        <f ca="1">316.8*OFFSET(E$108,MATCH($M$1,$C$109:$C$110,0),0)</f>
        <v>264.63252385950659</v>
      </c>
      <c r="F27" s="26">
        <f ca="1">64.7*OFFSET(F$108,MATCH($M$1,$C$109:$C$110,0),0)</f>
        <v>55.598002560536706</v>
      </c>
      <c r="G27" s="26">
        <f ca="1">452*OFFSET(G$108,MATCH($M$1,$C$109:$C$110,0),0)</f>
        <v>399.69004532666747</v>
      </c>
      <c r="H27" s="26">
        <f ca="1">214.5*OFFSET(H$108,MATCH($M$1,$C$109:$C$110,0),0)</f>
        <v>193.43181310015163</v>
      </c>
      <c r="I27" s="26">
        <f ca="1">158.7*OFFSET(I$108,MATCH($M$1,$C$109:$C$110,0),0)</f>
        <v>147.65289107712928</v>
      </c>
      <c r="J27" s="26">
        <f ca="1">256.5*OFFSET(J$108,MATCH($M$1,$C$109:$C$110,0),0)</f>
        <v>243.716038076388</v>
      </c>
      <c r="K27" s="26">
        <f ca="1">573.8*OFFSET(K$108,MATCH($M$1,$C$109:$C$110,0),0)</f>
        <v>554.25636658311555</v>
      </c>
      <c r="L27" s="26">
        <f ca="1">316.1*OFFSET(L$108,MATCH($M$1,$C$109:$C$110,0),0)</f>
        <v>310.79899753306375</v>
      </c>
      <c r="M27" s="27">
        <f ca="1">301.1*OFFSET(M$108,MATCH($M$1,$C$109:$C$110,0),0)</f>
        <v>301.09999883018037</v>
      </c>
      <c r="N27" s="24">
        <f t="shared" ca="1" si="0"/>
        <v>0.40570425185193948</v>
      </c>
      <c r="O27" s="24">
        <f t="shared" ca="1" si="1"/>
        <v>0.60676257204984096</v>
      </c>
    </row>
    <row r="28" spans="1:15" s="19" customFormat="1" ht="18" customHeight="1" x14ac:dyDescent="0.2">
      <c r="A28" s="148"/>
      <c r="B28" s="33" t="s">
        <v>36</v>
      </c>
      <c r="C28" s="25"/>
      <c r="D28" s="26">
        <f ca="1">286.8*OFFSET(D$108,MATCH($M$1,$C$109:$C$110,0),0)</f>
        <v>233.30032590996151</v>
      </c>
      <c r="E28" s="26">
        <f ca="1">539*OFFSET(E$108,MATCH($M$1,$C$109:$C$110,0),0)</f>
        <v>450.24283573318831</v>
      </c>
      <c r="F28" s="26">
        <f ca="1">751.8*OFFSET(F$108,MATCH($M$1,$C$109:$C$110,0),0)</f>
        <v>646.03675927374798</v>
      </c>
      <c r="G28" s="26">
        <f ca="1">617.6*OFFSET(G$108,MATCH($M$1,$C$109:$C$110,0),0)</f>
        <v>546.12515927820766</v>
      </c>
      <c r="H28" s="26">
        <f ca="1">295*OFFSET(H$108,MATCH($M$1,$C$109:$C$110,0),0)</f>
        <v>266.02510426361181</v>
      </c>
      <c r="I28" s="26">
        <f ca="1">172.2*OFFSET(I$108,MATCH($M$1,$C$109:$C$110,0),0)</f>
        <v>160.21315591355804</v>
      </c>
      <c r="J28" s="26">
        <f ca="1">86*OFFSET(J$108,MATCH($M$1,$C$109:$C$110,0),0)</f>
        <v>81.713759355046278</v>
      </c>
      <c r="K28" s="26">
        <f ca="1">443*OFFSET(K$108,MATCH($M$1,$C$109:$C$110,0),0)</f>
        <v>427.91141581791601</v>
      </c>
      <c r="L28" s="26">
        <f ca="1">205.8*OFFSET(L$108,MATCH($M$1,$C$109:$C$110,0),0)</f>
        <v>202.34873044069761</v>
      </c>
      <c r="M28" s="27">
        <f ca="1">90.7*OFFSET(M$108,MATCH($M$1,$C$109:$C$110,0),0)</f>
        <v>90.699999647616607</v>
      </c>
      <c r="N28" s="24">
        <f t="shared" ca="1" si="0"/>
        <v>-0.13266846220013073</v>
      </c>
      <c r="O28" s="24">
        <f t="shared" ca="1" si="1"/>
        <v>-0.23936227371915803</v>
      </c>
    </row>
    <row r="29" spans="1:15" s="19" customFormat="1" ht="18" customHeight="1" x14ac:dyDescent="0.2">
      <c r="A29" s="148"/>
      <c r="B29" s="33" t="s">
        <v>37</v>
      </c>
      <c r="C29" s="25"/>
      <c r="D29" s="26">
        <f ca="1">263.6*OFFSET(D$108,MATCH($M$1,$C$109:$C$110,0),0)</f>
        <v>214.42805407903018</v>
      </c>
      <c r="E29" s="26">
        <f ca="1">279.4*OFFSET(E$108,MATCH($M$1,$C$109:$C$110,0),0)</f>
        <v>233.39118423720373</v>
      </c>
      <c r="F29" s="26">
        <f ca="1">455.1*OFFSET(F$108,MATCH($M$1,$C$109:$C$110,0),0)</f>
        <v>391.07652187481074</v>
      </c>
      <c r="G29" s="26">
        <f ca="1">378.1*OFFSET(G$108,MATCH($M$1,$C$109:$C$110,0),0)</f>
        <v>334.34249145578093</v>
      </c>
      <c r="H29" s="26">
        <f ca="1">241.3*OFFSET(H$108,MATCH($M$1,$C$109:$C$110,0),0)</f>
        <v>217.59951748748992</v>
      </c>
      <c r="I29" s="26">
        <f ca="1">122.7*OFFSET(I$108,MATCH($M$1,$C$109:$C$110,0),0)</f>
        <v>114.15885151331923</v>
      </c>
      <c r="J29" s="26">
        <f ca="1">797.5*OFFSET(J$108,MATCH($M$1,$C$109:$C$110,0),0)</f>
        <v>757.75259401917913</v>
      </c>
      <c r="K29" s="26">
        <f ca="1">536.3*OFFSET(K$108,MATCH($M$1,$C$109:$C$110,0),0)</f>
        <v>518.03361693712941</v>
      </c>
      <c r="L29" s="26">
        <f ca="1">167.7*OFFSET(L$108,MATCH($M$1,$C$109:$C$110,0),0)</f>
        <v>164.8876680996355</v>
      </c>
      <c r="M29" s="27">
        <f ca="1">109.8*OFFSET(M$108,MATCH($M$1,$C$109:$C$110,0),0)</f>
        <v>109.79999957341018</v>
      </c>
      <c r="N29" s="24">
        <f t="shared" ca="1" si="0"/>
        <v>-0.23103500235624921</v>
      </c>
      <c r="O29" s="24">
        <f t="shared" ca="1" si="1"/>
        <v>-0.24224249206290124</v>
      </c>
    </row>
    <row r="30" spans="1:15" s="19" customFormat="1" ht="18" customHeight="1" x14ac:dyDescent="0.2">
      <c r="A30" s="148"/>
      <c r="B30" s="33" t="s">
        <v>38</v>
      </c>
      <c r="C30" s="25"/>
      <c r="D30" s="26">
        <f ca="1">822.1*OFFSET(D$108,MATCH($M$1,$C$109:$C$110,0),0)</f>
        <v>668.74546000899352</v>
      </c>
      <c r="E30" s="26">
        <f ca="1">1135.2*OFFSET(E$108,MATCH($M$1,$C$109:$C$110,0),0)</f>
        <v>948.26654382989875</v>
      </c>
      <c r="F30" s="26">
        <f ca="1">1271.5*OFFSET(F$108,MATCH($M$1,$C$109:$C$110,0),0)</f>
        <v>1092.6253517113203</v>
      </c>
      <c r="G30" s="26">
        <f ca="1">1447.8*OFFSET(G$108,MATCH($M$1,$C$109:$C$110,0),0)</f>
        <v>1280.2461230618344</v>
      </c>
      <c r="H30" s="26">
        <f ca="1">750.7*OFFSET(H$108,MATCH($M$1,$C$109:$C$110,0),0)</f>
        <v>676.96625684980813</v>
      </c>
      <c r="I30" s="26">
        <f ca="1">453.6*OFFSET(I$108,MATCH($M$1,$C$109:$C$110,0),0)</f>
        <v>422.02489850400661</v>
      </c>
      <c r="J30" s="26">
        <f ca="1">1140*OFFSET(J$108,MATCH($M$1,$C$109:$C$110,0),0)</f>
        <v>1083.1823914506133</v>
      </c>
      <c r="K30" s="26">
        <f ca="1">1553.1*OFFSET(K$108,MATCH($M$1,$C$109:$C$110,0),0)</f>
        <v>1500.2013993381611</v>
      </c>
      <c r="L30" s="26">
        <f ca="1">689.7*OFFSET(L$108,MATCH($M$1,$C$109:$C$110,0),0)</f>
        <v>678.13371907166743</v>
      </c>
      <c r="M30" s="27">
        <f ca="1">501.6*OFFSET(M$108,MATCH($M$1,$C$109:$C$110,0),0)</f>
        <v>501.59999805120719</v>
      </c>
      <c r="N30" s="24">
        <f t="shared" ca="1" si="0"/>
        <v>1.4038613529499928E-2</v>
      </c>
      <c r="O30" s="24">
        <f t="shared" ca="1" si="1"/>
        <v>1.724550093961787E-3</v>
      </c>
    </row>
    <row r="31" spans="1:15" s="19" customFormat="1" ht="18" customHeight="1" x14ac:dyDescent="0.2">
      <c r="A31" s="148"/>
      <c r="B31" s="33" t="s">
        <v>39</v>
      </c>
      <c r="C31" s="25"/>
      <c r="D31" s="26">
        <f ca="1">191.6*OFFSET(D$108,MATCH($M$1,$C$109:$C$110,0),0)</f>
        <v>155.85893460372603</v>
      </c>
      <c r="E31" s="26">
        <f ca="1">441.7*OFFSET(E$108,MATCH($M$1,$C$109:$C$110,0),0)</f>
        <v>368.96523291901536</v>
      </c>
      <c r="F31" s="26">
        <f ca="1">245.9*OFFSET(F$108,MATCH($M$1,$C$109:$C$110,0),0)</f>
        <v>211.30678252914956</v>
      </c>
      <c r="G31" s="26">
        <f ca="1">453.4*OFFSET(G$108,MATCH($M$1,$C$109:$C$110,0),0)</f>
        <v>400.92802334316599</v>
      </c>
      <c r="H31" s="26">
        <f ca="1">129.6*OFFSET(H$108,MATCH($M$1,$C$109:$C$110,0),0)</f>
        <v>116.8706898730986</v>
      </c>
      <c r="I31" s="26">
        <f ca="1">67.5*OFFSET(I$108,MATCH($M$1,$C$109:$C$110,0),0)</f>
        <v>62.801324182143837</v>
      </c>
      <c r="J31" s="26">
        <f ca="1">345.6*OFFSET(J$108,MATCH($M$1,$C$109:$C$110,0),0)</f>
        <v>328.375293408186</v>
      </c>
      <c r="K31" s="26">
        <f ca="1">295.4*OFFSET(K$108,MATCH($M$1,$C$109:$C$110,0),0)</f>
        <v>285.33867321131464</v>
      </c>
      <c r="L31" s="26">
        <f ca="1">92.4*OFFSET(L$108,MATCH($M$1,$C$109:$C$110,0),0)</f>
        <v>90.850450401945864</v>
      </c>
      <c r="M31" s="27">
        <f ca="1">60.5*OFFSET(M$108,MATCH($M$1,$C$109:$C$110,0),0)</f>
        <v>60.499999764948228</v>
      </c>
      <c r="N31" s="24">
        <f t="shared" ca="1" si="0"/>
        <v>-0.41709822004792557</v>
      </c>
      <c r="O31" s="24">
        <f t="shared" ca="1" si="1"/>
        <v>-0.2226412755790714</v>
      </c>
    </row>
    <row r="32" spans="1:15" s="19" customFormat="1" ht="18" customHeight="1" x14ac:dyDescent="0.2">
      <c r="A32" s="148"/>
      <c r="B32" s="33" t="s">
        <v>40</v>
      </c>
      <c r="C32" s="25"/>
      <c r="D32" s="26">
        <f ca="1">1013.7*OFFSET(D$108,MATCH($M$1,$C$109:$C$110,0),0)</f>
        <v>824.6043946127196</v>
      </c>
      <c r="E32" s="26">
        <f ca="1">1576.9*OFFSET(E$108,MATCH($M$1,$C$109:$C$110,0),0)</f>
        <v>1317.2317767489142</v>
      </c>
      <c r="F32" s="26">
        <f ca="1">1517.5*OFFSET(F$108,MATCH($M$1,$C$109:$C$110,0),0)</f>
        <v>1304.018066238245</v>
      </c>
      <c r="G32" s="26">
        <f ca="1">1901.2*OFFSET(G$108,MATCH($M$1,$C$109:$C$110,0),0)</f>
        <v>1681.1741464050006</v>
      </c>
      <c r="H32" s="26">
        <f ca="1">880.3*OFFSET(H$108,MATCH($M$1,$C$109:$C$110,0),0)</f>
        <v>793.83694672290665</v>
      </c>
      <c r="I32" s="26">
        <f ca="1">521.1*OFFSET(I$108,MATCH($M$1,$C$109:$C$110,0),0)</f>
        <v>484.82622268615046</v>
      </c>
      <c r="J32" s="26">
        <f ca="1">1485.6*OFFSET(J$108,MATCH($M$1,$C$109:$C$110,0),0)</f>
        <v>1411.5576848587993</v>
      </c>
      <c r="K32" s="26">
        <f ca="1">1848.5*OFFSET(K$108,MATCH($M$1,$C$109:$C$110,0),0)</f>
        <v>1785.5400725494758</v>
      </c>
      <c r="L32" s="26">
        <f ca="1">782*OFFSET(L$108,MATCH($M$1,$C$109:$C$110,0),0)</f>
        <v>768.88584647534265</v>
      </c>
      <c r="M32" s="27">
        <f ca="1">562.1*OFFSET(M$108,MATCH($M$1,$C$109:$C$110,0),0)</f>
        <v>562.09999781615545</v>
      </c>
      <c r="N32" s="24">
        <f t="shared" ca="1" si="0"/>
        <v>-6.75700354029104E-2</v>
      </c>
      <c r="O32" s="24">
        <f t="shared" ca="1" si="1"/>
        <v>-3.1431014077344679E-2</v>
      </c>
    </row>
    <row r="33" spans="1:15" s="19" customFormat="1" ht="18" customHeight="1" x14ac:dyDescent="0.2">
      <c r="A33" s="148"/>
      <c r="B33" s="45" t="s">
        <v>41</v>
      </c>
      <c r="C33" s="46"/>
      <c r="D33" s="47">
        <f ca="1">180.8*OFFSET(D$108,MATCH($M$1,$C$109:$C$110,0),0)</f>
        <v>147.07356668243042</v>
      </c>
      <c r="E33" s="47">
        <f ca="1">753.7*OFFSET(E$108,MATCH($M$1,$C$109:$C$110,0),0)</f>
        <v>629.588173083681</v>
      </c>
      <c r="F33" s="47">
        <f ca="1">573.7*OFFSET(F$108,MATCH($M$1,$C$109:$C$110,0),0)</f>
        <v>492.99187123616554</v>
      </c>
      <c r="G33" s="47">
        <f ca="1">722.6*OFFSET(G$108,MATCH($M$1,$C$109:$C$110,0),0)</f>
        <v>638.97351051559724</v>
      </c>
      <c r="H33" s="47">
        <f ca="1">475.6*OFFSET(H$108,MATCH($M$1,$C$109:$C$110,0),0)</f>
        <v>428.88657487380942</v>
      </c>
      <c r="I33" s="47">
        <f ca="1">746.8*OFFSET(I$108,MATCH($M$1,$C$109:$C$110,0),0)</f>
        <v>694.81524295148165</v>
      </c>
      <c r="J33" s="47">
        <f ca="1">-139.7*OFFSET(J$108,MATCH($M$1,$C$109:$C$110,0),0)</f>
        <v>-132.73735095232516</v>
      </c>
      <c r="K33" s="47">
        <f ca="1">192.8*OFFSET(K$108,MATCH($M$1,$C$109:$C$110,0),0)</f>
        <v>186.23323017989665</v>
      </c>
      <c r="L33" s="47">
        <f ca="1">923.4*OFFSET(L$108,MATCH($M$1,$C$109:$C$110,0),0)</f>
        <v>907.91456602983556</v>
      </c>
      <c r="M33" s="48">
        <f ca="1">-144.1*OFFSET(M$108,MATCH($M$1,$C$109:$C$110,0),0)</f>
        <v>-144.09999944014942</v>
      </c>
      <c r="N33" s="49">
        <f t="shared" ca="1" si="0"/>
        <v>5.1732001644473353</v>
      </c>
      <c r="O33" s="49">
        <f t="shared" ca="1" si="1"/>
        <v>1.1169106687402601</v>
      </c>
    </row>
    <row r="34" spans="1:15" s="19" customFormat="1" ht="18" customHeight="1" x14ac:dyDescent="0.2">
      <c r="A34" s="148"/>
      <c r="B34" s="45" t="s">
        <v>42</v>
      </c>
      <c r="C34" s="46"/>
      <c r="D34" s="47">
        <f ca="1">-106*OFFSET(D$108,MATCH($M$1,$C$109:$C$110,0),0)</f>
        <v>-86.226759227531105</v>
      </c>
      <c r="E34" s="47">
        <f ca="1">214.7*OFFSET(E$108,MATCH($M$1,$C$109:$C$110,0),0)</f>
        <v>179.34533735049263</v>
      </c>
      <c r="F34" s="47">
        <f ca="1">-178.1*OFFSET(F$108,MATCH($M$1,$C$109:$C$110,0),0)</f>
        <v>-153.0448880375825</v>
      </c>
      <c r="G34" s="47">
        <f ca="1">105*OFFSET(G$108,MATCH($M$1,$C$109:$C$110,0),0)</f>
        <v>92.848351237389565</v>
      </c>
      <c r="H34" s="47">
        <f ca="1">180.6*OFFSET(H$108,MATCH($M$1,$C$109:$C$110,0),0)</f>
        <v>162.86147061019759</v>
      </c>
      <c r="I34" s="47">
        <f ca="1">574.6*OFFSET(I$108,MATCH($M$1,$C$109:$C$110,0),0)</f>
        <v>534.60208703792364</v>
      </c>
      <c r="J34" s="47">
        <f ca="1">-225.7*OFFSET(J$108,MATCH($M$1,$C$109:$C$110,0),0)</f>
        <v>-214.45111030737144</v>
      </c>
      <c r="K34" s="47">
        <f ca="1">-250.2*OFFSET(K$108,MATCH($M$1,$C$109:$C$110,0),0)</f>
        <v>-241.67818563801939</v>
      </c>
      <c r="L34" s="47">
        <f ca="1">717.6*OFFSET(L$108,MATCH($M$1,$C$109:$C$110,0),0)</f>
        <v>705.56583558913803</v>
      </c>
      <c r="M34" s="48">
        <f ca="1">-234.8*OFFSET(M$108,MATCH($M$1,$C$109:$C$110,0),0)</f>
        <v>-234.79999908776605</v>
      </c>
      <c r="N34" s="49" t="str">
        <f t="shared" ca="1" si="0"/>
        <v>na</v>
      </c>
      <c r="O34" s="49">
        <f t="shared" ca="1" si="1"/>
        <v>3.332306671096454</v>
      </c>
    </row>
    <row r="35" spans="1:15" s="19" customFormat="1" ht="18" customHeight="1" x14ac:dyDescent="0.2">
      <c r="A35" s="148"/>
      <c r="B35" s="33" t="s">
        <v>43</v>
      </c>
      <c r="C35" s="25"/>
      <c r="D35" s="26"/>
      <c r="E35" s="26">
        <f ca="1">123.6*OFFSET(E$108,MATCH($M$1,$C$109:$C$110,0),0)</f>
        <v>103.24678014215598</v>
      </c>
      <c r="F35" s="26"/>
      <c r="G35" s="26">
        <f ca="1">88.2*OFFSET(G$108,MATCH($M$1,$C$109:$C$110,0),0)</f>
        <v>77.992615039407241</v>
      </c>
      <c r="H35" s="26">
        <f ca="1">56.6*OFFSET(H$108,MATCH($M$1,$C$109:$C$110,0),0)</f>
        <v>51.040748818035347</v>
      </c>
      <c r="I35" s="26">
        <f ca="1">58.9*OFFSET(I$108,MATCH($M$1,$C$109:$C$110,0),0)</f>
        <v>54.799970286344767</v>
      </c>
      <c r="J35" s="26">
        <f ca="1">63.7*OFFSET(J$108,MATCH($M$1,$C$109:$C$110,0),0)</f>
        <v>60.525191522284274</v>
      </c>
      <c r="K35" s="26">
        <f ca="1">86*OFFSET(K$108,MATCH($M$1,$C$109:$C$110,0),0)</f>
        <v>83.070839188128176</v>
      </c>
      <c r="L35" s="26">
        <f ca="1">69.6*OFFSET(L$108,MATCH($M$1,$C$109:$C$110,0),0)</f>
        <v>68.43280679627091</v>
      </c>
      <c r="M35" s="27"/>
      <c r="N35" s="24" t="str">
        <f t="shared" ca="1" si="0"/>
        <v/>
      </c>
      <c r="O35" s="24">
        <f t="shared" ca="1" si="1"/>
        <v>0.3407484878452654</v>
      </c>
    </row>
    <row r="36" spans="1:15" s="19" customFormat="1" ht="18" customHeight="1" x14ac:dyDescent="0.2">
      <c r="A36" s="148"/>
      <c r="B36" s="33" t="s">
        <v>44</v>
      </c>
      <c r="C36" s="25"/>
      <c r="D36" s="26">
        <f ca="1">21.2*OFFSET(D$108,MATCH($M$1,$C$109:$C$110,0),0)</f>
        <v>17.245351845506221</v>
      </c>
      <c r="E36" s="26"/>
      <c r="F36" s="26"/>
      <c r="G36" s="26">
        <f ca="1">1.9*OFFSET(G$108,MATCH($M$1,$C$109:$C$110,0),0)</f>
        <v>1.6801130223908589</v>
      </c>
      <c r="H36" s="26"/>
      <c r="I36" s="26">
        <f ca="1">0.2*OFFSET(I$108,MATCH($M$1,$C$109:$C$110,0),0)</f>
        <v>0.1860779975767225</v>
      </c>
      <c r="J36" s="26"/>
      <c r="K36" s="26">
        <f ca="1">9.1*OFFSET(K$108,MATCH($M$1,$C$109:$C$110,0),0)</f>
        <v>8.7900539140926313</v>
      </c>
      <c r="L36" s="26">
        <f ca="1">94.4*OFFSET(L$108,MATCH($M$1,$C$109:$C$110,0),0)</f>
        <v>92.816910367355959</v>
      </c>
      <c r="M36" s="27"/>
      <c r="N36" s="24">
        <f t="shared" ca="1" si="0"/>
        <v>4.3821407181983423</v>
      </c>
      <c r="O36" s="24" t="str">
        <f t="shared" ca="1" si="1"/>
        <v/>
      </c>
    </row>
    <row r="37" spans="1:15" s="19" customFormat="1" ht="18" customHeight="1" x14ac:dyDescent="0.2">
      <c r="A37" s="148"/>
      <c r="B37" s="33" t="s">
        <v>45</v>
      </c>
      <c r="C37" s="25"/>
      <c r="D37" s="26"/>
      <c r="E37" s="26"/>
      <c r="F37" s="26"/>
      <c r="G37" s="26"/>
      <c r="H37" s="26"/>
      <c r="I37" s="26"/>
      <c r="J37" s="26"/>
      <c r="K37" s="26">
        <f ca="1">1.8*OFFSET(K$108,MATCH($M$1,$C$109:$C$110,0),0)</f>
        <v>1.7386919830073337</v>
      </c>
      <c r="L37" s="26"/>
      <c r="M37" s="27"/>
      <c r="N37" s="24" t="str">
        <f t="shared" si="0"/>
        <v/>
      </c>
      <c r="O37" s="24" t="str">
        <f t="shared" si="1"/>
        <v/>
      </c>
    </row>
    <row r="38" spans="1:15" s="19" customFormat="1" ht="18" customHeight="1" thickBot="1" x14ac:dyDescent="0.25">
      <c r="A38" s="149"/>
      <c r="B38" s="50" t="s">
        <v>46</v>
      </c>
      <c r="C38" s="51"/>
      <c r="D38" s="52">
        <f ca="1">-127.2*OFFSET(D$108,MATCH($M$1,$C$109:$C$110,0),0)</f>
        <v>-103.47211107303733</v>
      </c>
      <c r="E38" s="52">
        <f ca="1">91.1*OFFSET(E$108,MATCH($M$1,$C$109:$C$110,0),0)</f>
        <v>76.098557208336643</v>
      </c>
      <c r="F38" s="52"/>
      <c r="G38" s="52">
        <f ca="1">14.8*OFFSET(G$108,MATCH($M$1,$C$109:$C$110,0),0)</f>
        <v>13.087196174413007</v>
      </c>
      <c r="H38" s="52">
        <f ca="1">124*OFFSET(H$108,MATCH($M$1,$C$109:$C$110,0),0)</f>
        <v>111.82072179216225</v>
      </c>
      <c r="I38" s="52">
        <f ca="1">515.5*OFFSET(I$108,MATCH($M$1,$C$109:$C$110,0),0)</f>
        <v>479.6160387540022</v>
      </c>
      <c r="J38" s="52">
        <f ca="1">-289.4*OFFSET(J$108,MATCH($M$1,$C$109:$C$110,0),0)</f>
        <v>-274.97630182965571</v>
      </c>
      <c r="K38" s="52">
        <f ca="1">-347*OFFSET(K$108,MATCH($M$1,$C$109:$C$110,0),0)</f>
        <v>-335.18117672419157</v>
      </c>
      <c r="L38" s="52">
        <f ca="1">553.6*OFFSET(L$108,MATCH($M$1,$C$109:$C$110,0),0)</f>
        <v>544.31611842551115</v>
      </c>
      <c r="M38" s="53"/>
      <c r="N38" s="54" t="str">
        <f t="shared" ca="1" si="0"/>
        <v>na</v>
      </c>
      <c r="O38" s="54">
        <f t="shared" ca="1" si="1"/>
        <v>3.8677571536089244</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Miscellaneous</v>
      </c>
      <c r="C45" s="61"/>
      <c r="D45" s="61"/>
      <c r="E45" s="61"/>
      <c r="F45" s="61" t="str">
        <f>$B21&amp;CHAR(10)&amp;$A$1</f>
        <v>Income per kW day at sea (£)
Miscellaneous</v>
      </c>
      <c r="G45" s="61"/>
      <c r="K45" s="61" t="str">
        <f>$B23&amp;CHAR(10)&amp;$A$1</f>
        <v>Operating profit per kW day at sea (£)
Miscellaneous</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Miscellaneous</v>
      </c>
      <c r="F59" s="61" t="str">
        <f>$B19&amp;CHAR(10)&amp;$A$1</f>
        <v>Average price per tonne landed (£)
Miscellaneous</v>
      </c>
      <c r="K59" s="61" t="str">
        <f>"Average annual operating profit per vessel (£'000)"&amp;CHAR(10)&amp;$A$1</f>
        <v>Average annual operating profit per vessel (£'000)
Miscellaneous</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Miscellaneous</v>
      </c>
      <c r="F73" s="61" t="str">
        <f>"Top 5 landed species by value in "&amp;A74&amp;CHAR(10)&amp;A1</f>
        <v>Top 5 landed species by value in 2013
Miscellaneous</v>
      </c>
    </row>
    <row r="74" spans="1:9" s="61" customFormat="1" x14ac:dyDescent="0.2">
      <c r="A74" s="61">
        <v>2013</v>
      </c>
      <c r="B74" s="61" t="s">
        <v>211</v>
      </c>
      <c r="C74" s="62">
        <v>0.93609543856728872</v>
      </c>
      <c r="D74" s="63">
        <v>8211234</v>
      </c>
      <c r="G74" s="61" t="s">
        <v>212</v>
      </c>
      <c r="H74" s="62">
        <v>0.92757344289129273</v>
      </c>
      <c r="I74" s="63">
        <v>8211234</v>
      </c>
    </row>
    <row r="75" spans="1:9" s="61" customFormat="1" x14ac:dyDescent="0.2">
      <c r="B75" s="61" t="s">
        <v>213</v>
      </c>
      <c r="C75" s="62">
        <v>3.9318190881758315E-2</v>
      </c>
      <c r="D75" s="63">
        <v>2171775</v>
      </c>
      <c r="G75" s="61" t="s">
        <v>214</v>
      </c>
      <c r="H75" s="62">
        <v>3.001831225023795E-2</v>
      </c>
      <c r="I75" s="63">
        <v>2171775</v>
      </c>
    </row>
    <row r="76" spans="1:9" s="61" customFormat="1" x14ac:dyDescent="0.2">
      <c r="B76" s="61" t="s">
        <v>215</v>
      </c>
      <c r="C76" s="62">
        <v>6.9203665417390571E-3</v>
      </c>
      <c r="D76" s="63">
        <v>6763595</v>
      </c>
      <c r="G76" s="61" t="s">
        <v>216</v>
      </c>
      <c r="H76" s="62">
        <v>1.1188312608268264E-2</v>
      </c>
      <c r="I76" s="63">
        <v>2783840</v>
      </c>
    </row>
    <row r="77" spans="1:9" s="61" customFormat="1" x14ac:dyDescent="0.2">
      <c r="B77" s="61" t="s">
        <v>217</v>
      </c>
      <c r="C77" s="62">
        <v>4.4364206643212759E-3</v>
      </c>
      <c r="D77" s="63">
        <v>3511670</v>
      </c>
      <c r="G77" s="61" t="s">
        <v>218</v>
      </c>
      <c r="H77" s="62">
        <v>5.7199914720308569E-3</v>
      </c>
      <c r="I77" s="63">
        <v>6763595</v>
      </c>
    </row>
    <row r="78" spans="1:9" s="61" customFormat="1" x14ac:dyDescent="0.2">
      <c r="B78" s="61" t="s">
        <v>219</v>
      </c>
      <c r="C78" s="62">
        <v>3.1030559852982483E-3</v>
      </c>
      <c r="D78" s="63">
        <v>1464488</v>
      </c>
      <c r="G78" s="61" t="s">
        <v>220</v>
      </c>
      <c r="H78" s="62">
        <v>5.1839843013453939E-3</v>
      </c>
      <c r="I78" s="63">
        <v>2764187</v>
      </c>
    </row>
    <row r="79" spans="1:9" s="61" customFormat="1" x14ac:dyDescent="0.2">
      <c r="B79" s="61" t="s">
        <v>221</v>
      </c>
      <c r="C79" s="62">
        <v>1.0126527359594295E-2</v>
      </c>
      <c r="D79" s="63">
        <v>32768</v>
      </c>
      <c r="G79" s="61" t="s">
        <v>222</v>
      </c>
      <c r="H79" s="62">
        <v>2.0315956476824826E-2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65</v>
      </c>
      <c r="D88" s="66">
        <v>0.3599010004448106</v>
      </c>
      <c r="E88" s="66">
        <v>0.52866375994752246</v>
      </c>
      <c r="F88" s="66">
        <v>0.55518810551951914</v>
      </c>
      <c r="G88" s="66">
        <v>0.64908108224416061</v>
      </c>
      <c r="H88" s="66">
        <v>0.4963389726171426</v>
      </c>
      <c r="I88" s="66">
        <v>0.58485808232832015</v>
      </c>
      <c r="J88" s="66">
        <v>0.634896833919666</v>
      </c>
      <c r="K88" s="66">
        <v>0.62596350522894317</v>
      </c>
      <c r="L88" s="66">
        <v>0.94339423810193057</v>
      </c>
      <c r="M88" s="66">
        <v>0.54807473934246376</v>
      </c>
      <c r="N88" s="61"/>
      <c r="O88" s="61">
        <v>8211234</v>
      </c>
    </row>
    <row r="89" spans="1:15" s="65" customFormat="1" hidden="1" x14ac:dyDescent="0.2">
      <c r="A89" s="61"/>
      <c r="B89" s="61">
        <v>2</v>
      </c>
      <c r="C89" s="61" t="s">
        <v>64</v>
      </c>
      <c r="D89" s="66">
        <v>6.4931021318741525E-2</v>
      </c>
      <c r="E89" s="66">
        <v>4.9570250477612231E-2</v>
      </c>
      <c r="F89" s="66">
        <v>5.0377847095849956E-2</v>
      </c>
      <c r="G89" s="66">
        <v>6.9544440500937985E-2</v>
      </c>
      <c r="H89" s="66">
        <v>6.4212623999419793E-2</v>
      </c>
      <c r="I89" s="66">
        <v>6.84074594421962E-2</v>
      </c>
      <c r="J89" s="66">
        <v>6.1427815450186128E-2</v>
      </c>
      <c r="K89" s="66">
        <v>3.818827772588429E-2</v>
      </c>
      <c r="L89" s="66">
        <v>3.0530307903325719E-2</v>
      </c>
      <c r="M89" s="66">
        <v>3.2382192488040244E-2</v>
      </c>
      <c r="N89" s="61"/>
      <c r="O89" s="61">
        <v>2171775</v>
      </c>
    </row>
    <row r="90" spans="1:15" s="65" customFormat="1" hidden="1" x14ac:dyDescent="0.2">
      <c r="A90" s="61"/>
      <c r="B90" s="61">
        <v>3</v>
      </c>
      <c r="C90" s="61" t="s">
        <v>100</v>
      </c>
      <c r="D90" s="66">
        <v>0.23757396179955903</v>
      </c>
      <c r="E90" s="66">
        <v>0.30242047967111219</v>
      </c>
      <c r="F90" s="66">
        <v>0.26946587398326571</v>
      </c>
      <c r="G90" s="66"/>
      <c r="H90" s="66">
        <v>2.268419723677231E-2</v>
      </c>
      <c r="I90" s="66"/>
      <c r="J90" s="66"/>
      <c r="K90" s="66"/>
      <c r="L90" s="66">
        <v>1.1379141705289699E-2</v>
      </c>
      <c r="M90" s="66"/>
      <c r="N90" s="61"/>
      <c r="O90" s="61">
        <v>2783840</v>
      </c>
    </row>
    <row r="91" spans="1:15" s="65" customFormat="1" hidden="1" x14ac:dyDescent="0.2">
      <c r="A91" s="61"/>
      <c r="B91" s="61">
        <v>4</v>
      </c>
      <c r="C91" s="61" t="s">
        <v>223</v>
      </c>
      <c r="D91" s="66">
        <v>3.830587154603339E-2</v>
      </c>
      <c r="E91" s="66"/>
      <c r="F91" s="66"/>
      <c r="G91" s="66"/>
      <c r="H91" s="66"/>
      <c r="I91" s="66"/>
      <c r="J91" s="66">
        <v>2.8582379634730419E-2</v>
      </c>
      <c r="K91" s="66"/>
      <c r="L91" s="66">
        <v>5.8175522790797499E-3</v>
      </c>
      <c r="M91" s="66"/>
      <c r="N91" s="61"/>
      <c r="O91" s="61">
        <v>6763595</v>
      </c>
    </row>
    <row r="92" spans="1:15" s="65" customFormat="1" hidden="1" x14ac:dyDescent="0.2">
      <c r="A92" s="61"/>
      <c r="B92" s="61">
        <v>5</v>
      </c>
      <c r="C92" s="61" t="s">
        <v>60</v>
      </c>
      <c r="D92" s="66"/>
      <c r="E92" s="66"/>
      <c r="F92" s="66">
        <v>3.4628245434192885E-2</v>
      </c>
      <c r="G92" s="66"/>
      <c r="H92" s="66"/>
      <c r="I92" s="66"/>
      <c r="J92" s="66"/>
      <c r="K92" s="66">
        <v>5.816028218899371E-2</v>
      </c>
      <c r="L92" s="66">
        <v>5.2724029108207823E-3</v>
      </c>
      <c r="M92" s="66"/>
      <c r="N92" s="61"/>
      <c r="O92" s="61">
        <v>2764187</v>
      </c>
    </row>
    <row r="93" spans="1:15" s="65" customFormat="1" hidden="1" x14ac:dyDescent="0.2">
      <c r="A93" s="61"/>
      <c r="B93" s="61">
        <v>6</v>
      </c>
      <c r="C93" s="61" t="s">
        <v>209</v>
      </c>
      <c r="D93" s="66">
        <v>9.3670631733497184E-2</v>
      </c>
      <c r="E93" s="66"/>
      <c r="F93" s="66"/>
      <c r="G93" s="66"/>
      <c r="H93" s="66"/>
      <c r="I93" s="66"/>
      <c r="J93" s="66"/>
      <c r="K93" s="66"/>
      <c r="L93" s="66"/>
      <c r="M93" s="66">
        <v>0.1525625639721695</v>
      </c>
      <c r="N93" s="61"/>
      <c r="O93" s="61">
        <v>3511670</v>
      </c>
    </row>
    <row r="94" spans="1:15" s="65" customFormat="1" hidden="1" x14ac:dyDescent="0.2">
      <c r="A94" s="61"/>
      <c r="B94" s="61">
        <v>7</v>
      </c>
      <c r="C94" s="61" t="s">
        <v>224</v>
      </c>
      <c r="D94" s="66"/>
      <c r="E94" s="66"/>
      <c r="F94" s="66"/>
      <c r="G94" s="66"/>
      <c r="H94" s="66"/>
      <c r="I94" s="66"/>
      <c r="J94" s="66"/>
      <c r="K94" s="66"/>
      <c r="L94" s="66"/>
      <c r="M94" s="66">
        <v>0.1111021473755819</v>
      </c>
      <c r="N94" s="61"/>
      <c r="O94" s="61">
        <v>1464488</v>
      </c>
    </row>
    <row r="95" spans="1:15" s="65" customFormat="1" hidden="1" x14ac:dyDescent="0.2">
      <c r="A95" s="61"/>
      <c r="B95" s="61">
        <v>8</v>
      </c>
      <c r="C95" s="61" t="s">
        <v>225</v>
      </c>
      <c r="D95" s="66"/>
      <c r="E95" s="66"/>
      <c r="F95" s="66"/>
      <c r="G95" s="66"/>
      <c r="H95" s="66"/>
      <c r="I95" s="66"/>
      <c r="J95" s="66"/>
      <c r="K95" s="66"/>
      <c r="L95" s="66"/>
      <c r="M95" s="66">
        <v>4.2956263903075907E-2</v>
      </c>
      <c r="N95" s="61"/>
      <c r="O95" s="61">
        <v>8274269</v>
      </c>
    </row>
    <row r="96" spans="1:15" s="65" customFormat="1" hidden="1" x14ac:dyDescent="0.2">
      <c r="A96" s="61"/>
      <c r="B96" s="61">
        <v>9</v>
      </c>
      <c r="C96" s="61" t="s">
        <v>226</v>
      </c>
      <c r="D96" s="66"/>
      <c r="E96" s="66"/>
      <c r="F96" s="66"/>
      <c r="G96" s="66">
        <v>0.12103508307897336</v>
      </c>
      <c r="H96" s="66">
        <v>0.22952421679950982</v>
      </c>
      <c r="I96" s="66">
        <v>0.28408643146046564</v>
      </c>
      <c r="J96" s="66">
        <v>0.14539648932572322</v>
      </c>
      <c r="K96" s="66">
        <v>0.24190927809006038</v>
      </c>
      <c r="L96" s="66"/>
      <c r="M96" s="66"/>
      <c r="N96" s="61"/>
      <c r="O96" s="61">
        <v>10520359</v>
      </c>
    </row>
    <row r="97" spans="1:15" s="65" customFormat="1" hidden="1" x14ac:dyDescent="0.2">
      <c r="A97" s="61"/>
      <c r="B97" s="61">
        <v>10</v>
      </c>
      <c r="C97" s="61" t="s">
        <v>61</v>
      </c>
      <c r="D97" s="66"/>
      <c r="E97" s="66"/>
      <c r="F97" s="66"/>
      <c r="G97" s="66"/>
      <c r="H97" s="66"/>
      <c r="I97" s="66"/>
      <c r="J97" s="66"/>
      <c r="K97" s="66">
        <v>3.5778656766118494E-2</v>
      </c>
      <c r="L97" s="66"/>
      <c r="M97" s="66"/>
      <c r="N97" s="61"/>
      <c r="O97" s="61">
        <v>1928395</v>
      </c>
    </row>
    <row r="98" spans="1:15" s="65" customFormat="1" hidden="1" x14ac:dyDescent="0.2">
      <c r="A98" s="61"/>
      <c r="B98" s="61">
        <v>11</v>
      </c>
      <c r="C98" s="61" t="s">
        <v>227</v>
      </c>
      <c r="D98" s="66"/>
      <c r="E98" s="66"/>
      <c r="F98" s="66">
        <v>4.1991686536801701E-2</v>
      </c>
      <c r="G98" s="66"/>
      <c r="H98" s="66">
        <v>4.3917745264180151E-2</v>
      </c>
      <c r="I98" s="66">
        <v>1.4831086971830793E-2</v>
      </c>
      <c r="J98" s="66">
        <v>2.0291468619578746E-2</v>
      </c>
      <c r="K98" s="66"/>
      <c r="L98" s="66"/>
      <c r="M98" s="66"/>
      <c r="N98" s="61"/>
      <c r="O98" s="61">
        <v>10782840</v>
      </c>
    </row>
    <row r="99" spans="1:15" s="65" customFormat="1" hidden="1" x14ac:dyDescent="0.2">
      <c r="A99" s="61"/>
      <c r="B99" s="61">
        <v>12</v>
      </c>
      <c r="C99" s="61" t="s">
        <v>228</v>
      </c>
      <c r="D99" s="66"/>
      <c r="E99" s="66"/>
      <c r="F99" s="66"/>
      <c r="G99" s="66">
        <v>2.6383584198714269E-2</v>
      </c>
      <c r="H99" s="66"/>
      <c r="I99" s="66">
        <v>1.1546259719580539E-2</v>
      </c>
      <c r="J99" s="66"/>
      <c r="K99" s="66"/>
      <c r="L99" s="66"/>
      <c r="M99" s="66"/>
      <c r="N99" s="61"/>
      <c r="O99" s="61">
        <v>7829670</v>
      </c>
    </row>
    <row r="100" spans="1:15" s="65" customFormat="1" hidden="1" x14ac:dyDescent="0.2">
      <c r="A100" s="61"/>
      <c r="B100" s="61">
        <v>13</v>
      </c>
      <c r="C100" s="61" t="s">
        <v>229</v>
      </c>
      <c r="D100" s="66"/>
      <c r="E100" s="66"/>
      <c r="F100" s="66"/>
      <c r="G100" s="66">
        <v>3.0706778727360398E-2</v>
      </c>
      <c r="H100" s="66"/>
      <c r="I100" s="66"/>
      <c r="J100" s="66"/>
      <c r="K100" s="66"/>
      <c r="L100" s="66"/>
      <c r="M100" s="66"/>
      <c r="N100" s="61"/>
      <c r="O100" s="61">
        <v>8037267</v>
      </c>
    </row>
    <row r="101" spans="1:15" s="65" customFormat="1" hidden="1" x14ac:dyDescent="0.2">
      <c r="A101" s="61"/>
      <c r="B101" s="61">
        <v>14</v>
      </c>
      <c r="C101" s="61" t="s">
        <v>230</v>
      </c>
      <c r="D101" s="66"/>
      <c r="E101" s="66">
        <v>5.0945701625224341E-2</v>
      </c>
      <c r="F101" s="66"/>
      <c r="G101" s="66"/>
      <c r="H101" s="66"/>
      <c r="I101" s="66"/>
      <c r="J101" s="66"/>
      <c r="K101" s="66"/>
      <c r="L101" s="66"/>
      <c r="M101" s="66"/>
      <c r="N101" s="61"/>
      <c r="O101" s="61">
        <v>9928328</v>
      </c>
    </row>
    <row r="102" spans="1:15" s="65" customFormat="1" hidden="1" x14ac:dyDescent="0.2">
      <c r="A102" s="61"/>
      <c r="B102" s="61">
        <v>15</v>
      </c>
      <c r="C102" s="61" t="s">
        <v>82</v>
      </c>
      <c r="D102" s="66"/>
      <c r="E102" s="66">
        <v>5.0901073479941952E-2</v>
      </c>
      <c r="F102" s="66"/>
      <c r="G102" s="66"/>
      <c r="H102" s="66"/>
      <c r="I102" s="66"/>
      <c r="J102" s="66"/>
      <c r="K102" s="66"/>
      <c r="L102" s="66"/>
      <c r="M102" s="66"/>
      <c r="N102" s="61"/>
      <c r="O102" s="61">
        <v>9985324</v>
      </c>
    </row>
    <row r="103" spans="1:15" s="65" customFormat="1" hidden="1" x14ac:dyDescent="0.2">
      <c r="A103" s="61"/>
      <c r="B103" s="61">
        <v>16</v>
      </c>
      <c r="C103" s="61" t="s">
        <v>68</v>
      </c>
      <c r="D103" s="66">
        <v>0.20561751315735827</v>
      </c>
      <c r="E103" s="66">
        <v>1.7498734798586806E-2</v>
      </c>
      <c r="F103" s="66">
        <v>4.8348241430370663E-2</v>
      </c>
      <c r="G103" s="66">
        <v>0.10324903124985337</v>
      </c>
      <c r="H103" s="66">
        <v>0.14332224408297534</v>
      </c>
      <c r="I103" s="66">
        <v>3.6270680077606691E-2</v>
      </c>
      <c r="J103" s="66">
        <v>0.10940501305011546</v>
      </c>
      <c r="K103" s="66">
        <v>0</v>
      </c>
      <c r="L103" s="66">
        <v>3.606357099553468E-3</v>
      </c>
      <c r="M103" s="66">
        <v>0.11292209291866867</v>
      </c>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17</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Miscellaneous!D3:L3</xm:f>
              <xm:sqref>C3</xm:sqref>
            </x14:sparkline>
            <x14:sparkline>
              <xm:f>Miscellaneous!D4:L4</xm:f>
              <xm:sqref>C4</xm:sqref>
            </x14:sparkline>
            <x14:sparkline>
              <xm:f>Miscellaneous!D5:L5</xm:f>
              <xm:sqref>C5</xm:sqref>
            </x14:sparkline>
            <x14:sparkline>
              <xm:f>Miscellaneous!D6:L6</xm:f>
              <xm:sqref>C6</xm:sqref>
            </x14:sparkline>
            <x14:sparkline>
              <xm:f>Miscellaneous!D7:L7</xm:f>
              <xm:sqref>C7</xm:sqref>
            </x14:sparkline>
            <x14:sparkline>
              <xm:f>Miscellaneous!D8:L8</xm:f>
              <xm:sqref>C8</xm:sqref>
            </x14:sparkline>
            <x14:sparkline>
              <xm:f>Miscellaneous!D9:L9</xm:f>
              <xm:sqref>C9</xm:sqref>
            </x14:sparkline>
            <x14:sparkline>
              <xm:f>Miscellaneous!D10:L10</xm:f>
              <xm:sqref>C10</xm:sqref>
            </x14:sparkline>
            <x14:sparkline>
              <xm:f>Miscellaneous!D11:L11</xm:f>
              <xm:sqref>C11</xm:sqref>
            </x14:sparkline>
            <x14:sparkline>
              <xm:f>Miscellaneous!D12:L12</xm:f>
              <xm:sqref>C12</xm:sqref>
            </x14:sparkline>
            <x14:sparkline>
              <xm:f>Miscellaneous!D13:L13</xm:f>
              <xm:sqref>C13</xm:sqref>
            </x14:sparkline>
            <x14:sparkline>
              <xm:f>Miscellaneous!D14:L14</xm:f>
              <xm:sqref>C14</xm:sqref>
            </x14:sparkline>
            <x14:sparkline>
              <xm:f>Miscellaneous!D15:L15</xm:f>
              <xm:sqref>C15</xm:sqref>
            </x14:sparkline>
            <x14:sparkline>
              <xm:f>Miscellaneous!D16:L16</xm:f>
              <xm:sqref>C16</xm:sqref>
            </x14:sparkline>
            <x14:sparkline>
              <xm:f>Miscellaneous!D17:L17</xm:f>
              <xm:sqref>C17</xm:sqref>
            </x14:sparkline>
            <x14:sparkline>
              <xm:f>Miscellaneous!D18:L18</xm:f>
              <xm:sqref>C18</xm:sqref>
            </x14:sparkline>
            <x14:sparkline>
              <xm:f>Miscellaneous!D19:L19</xm:f>
              <xm:sqref>C19</xm:sqref>
            </x14:sparkline>
            <x14:sparkline>
              <xm:f>Miscellaneous!D20:L20</xm:f>
              <xm:sqref>C20</xm:sqref>
            </x14:sparkline>
            <x14:sparkline>
              <xm:f>Miscellaneous!D21:L21</xm:f>
              <xm:sqref>C21</xm:sqref>
            </x14:sparkline>
            <x14:sparkline>
              <xm:f>Miscellaneous!D22:L22</xm:f>
              <xm:sqref>C22</xm:sqref>
            </x14:sparkline>
            <x14:sparkline>
              <xm:f>Miscellaneous!D23:L23</xm:f>
              <xm:sqref>C23</xm:sqref>
            </x14:sparkline>
            <x14:sparkline>
              <xm:f>Miscellaneous!D24:L24</xm:f>
              <xm:sqref>C24</xm:sqref>
            </x14:sparkline>
            <x14:sparkline>
              <xm:f>Miscellaneous!D25:L25</xm:f>
              <xm:sqref>C25</xm:sqref>
            </x14:sparkline>
            <x14:sparkline>
              <xm:f>Miscellaneous!D26:L26</xm:f>
              <xm:sqref>C26</xm:sqref>
            </x14:sparkline>
            <x14:sparkline>
              <xm:f>Miscellaneous!D27:L27</xm:f>
              <xm:sqref>C27</xm:sqref>
            </x14:sparkline>
            <x14:sparkline>
              <xm:f>Miscellaneous!D28:L28</xm:f>
              <xm:sqref>C28</xm:sqref>
            </x14:sparkline>
            <x14:sparkline>
              <xm:f>Miscellaneous!D29:L29</xm:f>
              <xm:sqref>C29</xm:sqref>
            </x14:sparkline>
            <x14:sparkline>
              <xm:f>Miscellaneous!D30:L30</xm:f>
              <xm:sqref>C30</xm:sqref>
            </x14:sparkline>
            <x14:sparkline>
              <xm:f>Miscellaneous!D31:L31</xm:f>
              <xm:sqref>C31</xm:sqref>
            </x14:sparkline>
            <x14:sparkline>
              <xm:f>Miscellaneous!D32:L32</xm:f>
              <xm:sqref>C32</xm:sqref>
            </x14:sparkline>
            <x14:sparkline>
              <xm:f>Miscellaneous!D33:L33</xm:f>
              <xm:sqref>C33</xm:sqref>
            </x14:sparkline>
            <x14:sparkline>
              <xm:f>Miscellaneous!D34:L34</xm:f>
              <xm:sqref>C34</xm:sqref>
            </x14:sparkline>
            <x14:sparkline>
              <xm:f>Miscellaneous!D35:L35</xm:f>
              <xm:sqref>C35</xm:sqref>
            </x14:sparkline>
            <x14:sparkline>
              <xm:f>Miscellaneous!D36:L36</xm:f>
              <xm:sqref>C36</xm:sqref>
            </x14:sparkline>
            <x14:sparkline>
              <xm:f>Miscellaneous!D37:L37</xm:f>
              <xm:sqref>C37</xm:sqref>
            </x14:sparkline>
            <x14:sparkline>
              <xm:f>Miscellaneous!D38:L38</xm:f>
              <xm:sqref>C38</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231</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30</v>
      </c>
      <c r="E3" s="16">
        <v>25</v>
      </c>
      <c r="F3" s="16">
        <v>20</v>
      </c>
      <c r="G3" s="16">
        <v>14</v>
      </c>
      <c r="H3" s="16">
        <v>9</v>
      </c>
      <c r="I3" s="16">
        <v>10</v>
      </c>
      <c r="J3" s="16">
        <v>9</v>
      </c>
      <c r="K3" s="16">
        <v>8</v>
      </c>
      <c r="L3" s="16">
        <v>11</v>
      </c>
      <c r="M3" s="17">
        <v>11</v>
      </c>
      <c r="N3" s="18">
        <f t="shared" ref="N3:N38" si="0">IF(L3=0,"",IFERROR(IF(AND(L3&gt;0,D3&lt;0),"na",IF(AND(L3&lt;0,D3&lt;0),-1,1)*(L3-D3)/D3),""))</f>
        <v>-0.6333333333333333</v>
      </c>
      <c r="O3" s="18">
        <f t="shared" ref="O3:O38" si="1">IF(L3=0,"",IFERROR(IF(AND(L3&gt;0,H3&lt;0),"na",IF(AND(L3&lt;0,H3&lt;0),-1,1)*(L3-H3)/H3),""))</f>
        <v>0.22222222222222221</v>
      </c>
    </row>
    <row r="4" spans="1:15" s="19" customFormat="1" ht="18" customHeight="1" x14ac:dyDescent="0.2">
      <c r="A4" s="141"/>
      <c r="B4" s="20" t="s">
        <v>20</v>
      </c>
      <c r="C4" s="21"/>
      <c r="D4" s="22">
        <v>45793</v>
      </c>
      <c r="E4" s="22">
        <v>37145</v>
      </c>
      <c r="F4" s="22">
        <v>29430</v>
      </c>
      <c r="G4" s="22">
        <v>20586</v>
      </c>
      <c r="H4" s="22">
        <v>12687</v>
      </c>
      <c r="I4" s="22">
        <v>14179</v>
      </c>
      <c r="J4" s="22">
        <v>13060</v>
      </c>
      <c r="K4" s="22">
        <v>11568</v>
      </c>
      <c r="L4" s="22">
        <v>16004</v>
      </c>
      <c r="M4" s="23">
        <v>16004</v>
      </c>
      <c r="N4" s="24">
        <f t="shared" si="0"/>
        <v>-0.6505142707400694</v>
      </c>
      <c r="O4" s="24">
        <f t="shared" si="1"/>
        <v>0.26144872704343031</v>
      </c>
    </row>
    <row r="5" spans="1:15" s="19" customFormat="1" ht="18" customHeight="1" x14ac:dyDescent="0.2">
      <c r="A5" s="141"/>
      <c r="B5" s="20" t="s">
        <v>21</v>
      </c>
      <c r="C5" s="21"/>
      <c r="D5" s="22">
        <v>12892</v>
      </c>
      <c r="E5" s="22">
        <v>10598</v>
      </c>
      <c r="F5" s="22">
        <v>8404</v>
      </c>
      <c r="G5" s="22">
        <v>5967</v>
      </c>
      <c r="H5" s="22">
        <v>3922</v>
      </c>
      <c r="I5" s="22">
        <v>4295</v>
      </c>
      <c r="J5" s="22">
        <v>3992</v>
      </c>
      <c r="K5" s="22">
        <v>3619</v>
      </c>
      <c r="L5" s="22">
        <v>4932</v>
      </c>
      <c r="M5" s="23">
        <v>4932</v>
      </c>
      <c r="N5" s="24">
        <f t="shared" si="0"/>
        <v>-0.61743717033819423</v>
      </c>
      <c r="O5" s="24">
        <f t="shared" si="1"/>
        <v>0.25752167261601222</v>
      </c>
    </row>
    <row r="6" spans="1:15" s="19" customFormat="1" ht="18" customHeight="1" x14ac:dyDescent="0.2">
      <c r="A6" s="141"/>
      <c r="B6" s="20" t="s">
        <v>22</v>
      </c>
      <c r="C6" s="21"/>
      <c r="D6" s="22">
        <v>25404.556640625</v>
      </c>
      <c r="E6" s="22">
        <v>25503.205078125</v>
      </c>
      <c r="F6" s="22">
        <v>13763.91015625</v>
      </c>
      <c r="G6" s="22">
        <v>14208.419921875</v>
      </c>
      <c r="H6" s="22">
        <v>8883.2197265625</v>
      </c>
      <c r="I6" s="22">
        <v>9875.4951171875</v>
      </c>
      <c r="J6" s="22">
        <v>9081.544921875</v>
      </c>
      <c r="K6" s="22">
        <v>8097.3701171875</v>
      </c>
      <c r="L6" s="22">
        <v>11120.625</v>
      </c>
      <c r="M6" s="23">
        <v>11120.625</v>
      </c>
      <c r="N6" s="24">
        <f t="shared" si="0"/>
        <v>-0.5622586468516928</v>
      </c>
      <c r="O6" s="24">
        <f t="shared" si="1"/>
        <v>0.25186873029237777</v>
      </c>
    </row>
    <row r="7" spans="1:15" s="19" customFormat="1" ht="18" customHeight="1" x14ac:dyDescent="0.2">
      <c r="A7" s="141"/>
      <c r="B7" s="20" t="s">
        <v>23</v>
      </c>
      <c r="C7" s="21"/>
      <c r="D7" s="22">
        <v>14736.50390625</v>
      </c>
      <c r="E7" s="22">
        <v>12712.25</v>
      </c>
      <c r="F7" s="22">
        <v>10215.6748046875</v>
      </c>
      <c r="G7" s="22">
        <v>7488.625</v>
      </c>
      <c r="H7" s="22">
        <v>7635.8310546875</v>
      </c>
      <c r="I7" s="22">
        <v>9768.8037109375</v>
      </c>
      <c r="J7" s="22">
        <v>9147.2626953125</v>
      </c>
      <c r="K7" s="22">
        <v>9343.6103515625</v>
      </c>
      <c r="L7" s="22">
        <v>11574.9765625</v>
      </c>
      <c r="M7" s="23">
        <v>10940.7958984375</v>
      </c>
      <c r="N7" s="24">
        <f t="shared" si="0"/>
        <v>-0.21453713607127284</v>
      </c>
      <c r="O7" s="24">
        <f t="shared" si="1"/>
        <v>0.51587646185470915</v>
      </c>
    </row>
    <row r="8" spans="1:15" s="19" customFormat="1" ht="18" customHeight="1" x14ac:dyDescent="0.2">
      <c r="A8" s="141"/>
      <c r="B8" s="20" t="s">
        <v>24</v>
      </c>
      <c r="C8" s="25"/>
      <c r="D8" s="26">
        <f ca="1">31.193314*OFFSET(D$108,MATCH($M$1,$C$109:$C$110,0),0)</f>
        <v>25.374512979120521</v>
      </c>
      <c r="E8" s="26">
        <f ca="1">25.784876*OFFSET(E$108,MATCH($M$1,$C$109:$C$110,0),0)</f>
        <v>21.538878829811932</v>
      </c>
      <c r="F8" s="26">
        <f ca="1">20.897156*OFFSET(F$108,MATCH($M$1,$C$109:$C$110,0),0)</f>
        <v>17.957343628994359</v>
      </c>
      <c r="G8" s="26">
        <f ca="1">14.919856*OFFSET(G$108,MATCH($M$1,$C$109:$C$110,0),0)</f>
        <v>13.193181240945469</v>
      </c>
      <c r="H8" s="26">
        <f ca="1">14.608438*OFFSET(H$108,MATCH($M$1,$C$109:$C$110,0),0)</f>
        <v>13.173597430774604</v>
      </c>
      <c r="I8" s="26">
        <f ca="1">18.858452*OFFSET(I$108,MATCH($M$1,$C$109:$C$110,0),0)</f>
        <v>17.545714927783685</v>
      </c>
      <c r="J8" s="26">
        <f ca="1">17.391954*OFFSET(J$108,MATCH($M$1,$C$109:$C$110,0),0)</f>
        <v>16.525138882209703</v>
      </c>
      <c r="K8" s="26">
        <f ca="1">15.494108*OFFSET(K$108,MATCH($M$1,$C$109:$C$110,0),0)</f>
        <v>14.966378535249886</v>
      </c>
      <c r="L8" s="26">
        <f ca="1">17.706754*OFFSET(L$108,MATCH($M$1,$C$109:$C$110,0),0)</f>
        <v>17.40981142918243</v>
      </c>
      <c r="M8" s="27">
        <f ca="1">17.440664*OFFSET(M$108,MATCH($M$1,$C$109:$C$110,0),0)</f>
        <v>17.440663932240351</v>
      </c>
      <c r="N8" s="24">
        <f t="shared" ca="1" si="0"/>
        <v>-0.31388588843032633</v>
      </c>
      <c r="O8" s="24">
        <f t="shared" ca="1" si="1"/>
        <v>0.32156850250423485</v>
      </c>
    </row>
    <row r="9" spans="1:15" s="19" customFormat="1" ht="18" customHeight="1" x14ac:dyDescent="0.2">
      <c r="A9" s="141"/>
      <c r="B9" s="20" t="s">
        <v>25</v>
      </c>
      <c r="C9" s="25"/>
      <c r="D9" s="22">
        <v>6240</v>
      </c>
      <c r="E9" s="22">
        <v>5103</v>
      </c>
      <c r="F9" s="22">
        <v>3781</v>
      </c>
      <c r="G9" s="22">
        <v>2285</v>
      </c>
      <c r="H9" s="22">
        <v>2066</v>
      </c>
      <c r="I9" s="22">
        <v>2355</v>
      </c>
      <c r="J9" s="22">
        <v>1883</v>
      </c>
      <c r="K9" s="22">
        <v>1735</v>
      </c>
      <c r="L9" s="22">
        <v>2599</v>
      </c>
      <c r="M9" s="23">
        <v>2415</v>
      </c>
      <c r="N9" s="24">
        <f t="shared" si="0"/>
        <v>-0.58349358974358978</v>
      </c>
      <c r="O9" s="24">
        <f t="shared" si="1"/>
        <v>0.25798644724104552</v>
      </c>
    </row>
    <row r="10" spans="1:15" s="19" customFormat="1" ht="18" customHeight="1" x14ac:dyDescent="0.2">
      <c r="A10" s="142" t="s">
        <v>7</v>
      </c>
      <c r="B10" s="28" t="s">
        <v>26</v>
      </c>
      <c r="C10" s="29"/>
      <c r="D10" s="30">
        <v>40.480667114257812</v>
      </c>
      <c r="E10" s="30">
        <v>40.430400848388672</v>
      </c>
      <c r="F10" s="30">
        <v>40.402000427246094</v>
      </c>
      <c r="G10" s="30">
        <v>40.52642822265625</v>
      </c>
      <c r="H10" s="30">
        <v>40.691112518310547</v>
      </c>
      <c r="I10" s="30">
        <v>40.396999359130859</v>
      </c>
      <c r="J10" s="30">
        <v>40.852222442626953</v>
      </c>
      <c r="K10" s="30">
        <v>41.240001678466797</v>
      </c>
      <c r="L10" s="30">
        <v>40.977272033691406</v>
      </c>
      <c r="M10" s="31">
        <v>40.977272033691406</v>
      </c>
      <c r="N10" s="32">
        <f t="shared" si="0"/>
        <v>1.2267705915811923E-2</v>
      </c>
      <c r="O10" s="32">
        <f t="shared" si="1"/>
        <v>7.0324819763060249E-3</v>
      </c>
    </row>
    <row r="11" spans="1:15" s="19" customFormat="1" ht="18" customHeight="1" x14ac:dyDescent="0.2">
      <c r="A11" s="143"/>
      <c r="B11" s="33" t="s">
        <v>20</v>
      </c>
      <c r="C11" s="21"/>
      <c r="D11" s="22">
        <v>1526.433349609375</v>
      </c>
      <c r="E11" s="22">
        <v>1485.800048828125</v>
      </c>
      <c r="F11" s="22">
        <v>1471.5</v>
      </c>
      <c r="G11" s="22">
        <v>1470.4285888671875</v>
      </c>
      <c r="H11" s="22">
        <v>1409.6666259765625</v>
      </c>
      <c r="I11" s="22">
        <v>1417.9000244140625</v>
      </c>
      <c r="J11" s="22">
        <v>1451.111083984375</v>
      </c>
      <c r="K11" s="22">
        <v>1446</v>
      </c>
      <c r="L11" s="22">
        <v>1454.9090576171875</v>
      </c>
      <c r="M11" s="23">
        <v>1454.9090576171875</v>
      </c>
      <c r="N11" s="24">
        <f t="shared" si="0"/>
        <v>-4.685713399179274E-2</v>
      </c>
      <c r="O11" s="24">
        <f t="shared" si="1"/>
        <v>3.2094419210132605E-2</v>
      </c>
    </row>
    <row r="12" spans="1:15" s="19" customFormat="1" ht="18" customHeight="1" x14ac:dyDescent="0.2">
      <c r="A12" s="143"/>
      <c r="B12" s="33" t="s">
        <v>21</v>
      </c>
      <c r="C12" s="21"/>
      <c r="D12" s="22">
        <v>429.73333740234375</v>
      </c>
      <c r="E12" s="22">
        <v>423.92001342773437</v>
      </c>
      <c r="F12" s="22">
        <v>420.20001220703125</v>
      </c>
      <c r="G12" s="22">
        <v>426.21429443359375</v>
      </c>
      <c r="H12" s="22">
        <v>435.77777099609375</v>
      </c>
      <c r="I12" s="22">
        <v>429.5</v>
      </c>
      <c r="J12" s="22">
        <v>443.5555419921875</v>
      </c>
      <c r="K12" s="22">
        <v>452.375</v>
      </c>
      <c r="L12" s="22">
        <v>448.3636474609375</v>
      </c>
      <c r="M12" s="23">
        <v>448.3636474609375</v>
      </c>
      <c r="N12" s="24">
        <f t="shared" si="0"/>
        <v>4.3353187749431844E-2</v>
      </c>
      <c r="O12" s="24">
        <f t="shared" si="1"/>
        <v>2.8881409981227721E-2</v>
      </c>
    </row>
    <row r="13" spans="1:15" s="19" customFormat="1" ht="18" customHeight="1" x14ac:dyDescent="0.2">
      <c r="A13" s="143"/>
      <c r="B13" s="33" t="s">
        <v>22</v>
      </c>
      <c r="C13" s="21"/>
      <c r="D13" s="22">
        <v>846.818603515625</v>
      </c>
      <c r="E13" s="22">
        <v>1020.128173828125</v>
      </c>
      <c r="F13" s="22">
        <v>688.19549560546875</v>
      </c>
      <c r="G13" s="22">
        <v>1014.8871459960937</v>
      </c>
      <c r="H13" s="22">
        <v>987.0244140625</v>
      </c>
      <c r="I13" s="22">
        <v>987.54949951171875</v>
      </c>
      <c r="J13" s="22">
        <v>1009.060546875</v>
      </c>
      <c r="K13" s="22">
        <v>1012.1712646484375</v>
      </c>
      <c r="L13" s="22">
        <v>1010.9658813476562</v>
      </c>
      <c r="M13" s="23">
        <v>1010.9658813476562</v>
      </c>
      <c r="N13" s="24">
        <f t="shared" si="0"/>
        <v>0.19383995244148236</v>
      </c>
      <c r="O13" s="24">
        <f t="shared" si="1"/>
        <v>2.4256205767611578E-2</v>
      </c>
    </row>
    <row r="14" spans="1:15" s="19" customFormat="1" ht="18" customHeight="1" x14ac:dyDescent="0.2">
      <c r="A14" s="143"/>
      <c r="B14" s="33" t="s">
        <v>23</v>
      </c>
      <c r="C14" s="25"/>
      <c r="D14" s="26">
        <v>491.216796875</v>
      </c>
      <c r="E14" s="26">
        <v>508.489990234375</v>
      </c>
      <c r="F14" s="26">
        <v>510.78375244140625</v>
      </c>
      <c r="G14" s="26">
        <v>534.90179443359375</v>
      </c>
      <c r="H14" s="26">
        <v>848.4256591796875</v>
      </c>
      <c r="I14" s="26">
        <v>976.88037109375</v>
      </c>
      <c r="J14" s="26">
        <v>1016.362548828125</v>
      </c>
      <c r="K14" s="26">
        <v>1167.9512939453125</v>
      </c>
      <c r="L14" s="26">
        <v>1052.2706298828125</v>
      </c>
      <c r="M14" s="27">
        <v>994.6177978515625</v>
      </c>
      <c r="N14" s="24">
        <f t="shared" si="0"/>
        <v>1.1421715148527056</v>
      </c>
      <c r="O14" s="24">
        <f t="shared" si="1"/>
        <v>0.24026261876640487</v>
      </c>
    </row>
    <row r="15" spans="1:15" s="19" customFormat="1" ht="18" customHeight="1" x14ac:dyDescent="0.2">
      <c r="A15" s="143"/>
      <c r="B15" s="33" t="s">
        <v>27</v>
      </c>
      <c r="C15" s="25"/>
      <c r="D15" s="26">
        <f ca="1">1039.777125*OFFSET(D$108,MATCH($M$1,$C$109:$C$110,0),0)</f>
        <v>845.81709252518408</v>
      </c>
      <c r="E15" s="26">
        <f ca="1">1031.395*OFFSET(E$108,MATCH($M$1,$C$109:$C$110,0),0)</f>
        <v>861.55511977927972</v>
      </c>
      <c r="F15" s="26">
        <f ca="1">1044.8578125*OFFSET(F$108,MATCH($M$1,$C$109:$C$110,0),0)</f>
        <v>897.86719219121755</v>
      </c>
      <c r="G15" s="26">
        <f ca="1">1065.704*OFFSET(G$108,MATCH($M$1,$C$109:$C$110,0),0)</f>
        <v>942.37008863896199</v>
      </c>
      <c r="H15" s="26">
        <f ca="1">1623.15975*OFFSET(H$108,MATCH($M$1,$C$109:$C$110,0),0)</f>
        <v>1463.7330228144001</v>
      </c>
      <c r="I15" s="26">
        <f ca="1">1885.845125*OFFSET(I$108,MATCH($M$1,$C$109:$C$110,0),0)</f>
        <v>1754.5714229991195</v>
      </c>
      <c r="J15" s="26">
        <f ca="1">1932.43925*OFFSET(J$108,MATCH($M$1,$C$109:$C$110,0),0)</f>
        <v>1836.1264632877453</v>
      </c>
      <c r="K15" s="26">
        <f ca="1">1936.7635*OFFSET(K$108,MATCH($M$1,$C$109:$C$110,0),0)</f>
        <v>1870.7973169062357</v>
      </c>
      <c r="L15" s="26">
        <f ca="1">1609.704875*OFFSET(L$108,MATCH($M$1,$C$109:$C$110,0),0)</f>
        <v>1582.7100964064714</v>
      </c>
      <c r="M15" s="27">
        <f ca="1">1585.514875*OFFSET(M$108,MATCH($M$1,$C$109:$C$110,0),0)</f>
        <v>1585.5148688400318</v>
      </c>
      <c r="N15" s="24">
        <f t="shared" ca="1" si="0"/>
        <v>0.871220279648518</v>
      </c>
      <c r="O15" s="24">
        <f t="shared" ca="1" si="1"/>
        <v>8.1283315835361511E-2</v>
      </c>
    </row>
    <row r="16" spans="1:15" s="19" customFormat="1" ht="18" customHeight="1" x14ac:dyDescent="0.2">
      <c r="A16" s="143"/>
      <c r="B16" s="33" t="s">
        <v>25</v>
      </c>
      <c r="C16" s="21"/>
      <c r="D16" s="22">
        <v>208</v>
      </c>
      <c r="E16" s="22">
        <v>204.1199951171875</v>
      </c>
      <c r="F16" s="22">
        <v>189.05000305175781</v>
      </c>
      <c r="G16" s="22">
        <v>163.21427917480469</v>
      </c>
      <c r="H16" s="22">
        <v>229.55555725097656</v>
      </c>
      <c r="I16" s="22">
        <v>235.5</v>
      </c>
      <c r="J16" s="22">
        <v>209.22222900390625</v>
      </c>
      <c r="K16" s="22">
        <v>216.875</v>
      </c>
      <c r="L16" s="22">
        <v>236.27272033691406</v>
      </c>
      <c r="M16" s="23">
        <v>219.54545593261719</v>
      </c>
      <c r="N16" s="24">
        <f t="shared" si="0"/>
        <v>0.1359265400813176</v>
      </c>
      <c r="O16" s="24">
        <f t="shared" si="1"/>
        <v>2.9261600835886206E-2</v>
      </c>
    </row>
    <row r="17" spans="1:15" s="19" customFormat="1" ht="18" customHeight="1" x14ac:dyDescent="0.2">
      <c r="A17" s="143"/>
      <c r="B17" s="33" t="s">
        <v>28</v>
      </c>
      <c r="C17" s="21"/>
      <c r="D17" s="22">
        <v>19.133333206176758</v>
      </c>
      <c r="E17" s="22">
        <v>19.719999313354492</v>
      </c>
      <c r="F17" s="22">
        <v>21.5</v>
      </c>
      <c r="G17" s="22">
        <v>21.285715103149414</v>
      </c>
      <c r="H17" s="22">
        <v>20.55555534362793</v>
      </c>
      <c r="I17" s="22">
        <v>21.700000762939453</v>
      </c>
      <c r="J17" s="22">
        <v>21.888889312744141</v>
      </c>
      <c r="K17" s="22">
        <v>22.625</v>
      </c>
      <c r="L17" s="22">
        <v>21.909090042114258</v>
      </c>
      <c r="M17" s="23">
        <v>22.909090042114258</v>
      </c>
      <c r="N17" s="24">
        <f t="shared" si="0"/>
        <v>0.14507440005494759</v>
      </c>
      <c r="O17" s="24">
        <f t="shared" si="1"/>
        <v>6.5847634659304585E-2</v>
      </c>
    </row>
    <row r="18" spans="1:15" s="19" customFormat="1" ht="18" customHeight="1" x14ac:dyDescent="0.2">
      <c r="A18" s="143"/>
      <c r="B18" s="33" t="s">
        <v>29</v>
      </c>
      <c r="C18" s="21"/>
      <c r="D18" s="34">
        <v>2.361619234085083</v>
      </c>
      <c r="E18" s="34">
        <v>2.4911327362060547</v>
      </c>
      <c r="F18" s="34">
        <v>2.7018446922302246</v>
      </c>
      <c r="G18" s="34">
        <v>3.2772977352142334</v>
      </c>
      <c r="H18" s="34">
        <v>3.6959490776062012</v>
      </c>
      <c r="I18" s="34">
        <v>4.1481118202209473</v>
      </c>
      <c r="J18" s="34">
        <v>4.8578133583068848</v>
      </c>
      <c r="K18" s="34">
        <v>5.3853659629821777</v>
      </c>
      <c r="L18" s="34">
        <v>4.4536271095275879</v>
      </c>
      <c r="M18" s="35">
        <v>4.5303502082824707</v>
      </c>
      <c r="N18" s="24">
        <f t="shared" si="0"/>
        <v>0.88583622848624521</v>
      </c>
      <c r="O18" s="24">
        <f t="shared" si="1"/>
        <v>0.20500229197208555</v>
      </c>
    </row>
    <row r="19" spans="1:15" s="19" customFormat="1" ht="18" customHeight="1" x14ac:dyDescent="0.2">
      <c r="A19" s="144"/>
      <c r="B19" s="36" t="s">
        <v>8</v>
      </c>
      <c r="C19" s="37"/>
      <c r="D19" s="38">
        <f ca="1">2116.73774176319*OFFSET(D$108,MATCH($M$1,$C$109:$C$110,0),0)</f>
        <v>1721.8814679890802</v>
      </c>
      <c r="E19" s="38">
        <f ca="1">2028.34871875553*OFFSET(E$108,MATCH($M$1,$C$109:$C$110,0),0)</f>
        <v>1694.3404062862135</v>
      </c>
      <c r="F19" s="38">
        <f ca="1">2045.59722187038*OFFSET(F$108,MATCH($M$1,$C$109:$C$110,0),0)</f>
        <v>1757.8225591866485</v>
      </c>
      <c r="G19" s="38">
        <f ca="1">1992.33584269475*OFFSET(G$108,MATCH($M$1,$C$109:$C$110,0),0)</f>
        <v>1761.7628390986922</v>
      </c>
      <c r="H19" s="38">
        <f ca="1">1913.14316613018*OFFSET(H$108,MATCH($M$1,$C$109:$C$110,0),0)</f>
        <v>1725.2342720033814</v>
      </c>
      <c r="I19" s="38">
        <f ca="1">1930.47711449923*OFFSET(I$108,MATCH($M$1,$C$109:$C$110,0),0)</f>
        <v>1796.0965791685296</v>
      </c>
      <c r="J19" s="38">
        <f ca="1">1901.32879958859*OFFSET(J$108,MATCH($M$1,$C$109:$C$110,0),0)</f>
        <v>1806.5665579581519</v>
      </c>
      <c r="K19" s="38">
        <f ca="1">1658.25707804788*OFFSET(K$108,MATCH($M$1,$C$109:$C$110,0),0)</f>
        <v>1601.7768263150085</v>
      </c>
      <c r="L19" s="38">
        <f ca="1">1529.74426379103*OFFSET(L$108,MATCH($M$1,$C$109:$C$110,0),0)</f>
        <v>1504.0904260303914</v>
      </c>
      <c r="M19" s="39">
        <f ca="1">1594.09463094826*OFFSET(M$108,MATCH($M$1,$C$109:$C$110,0),0)</f>
        <v>1594.094624754958</v>
      </c>
      <c r="N19" s="40">
        <f ca="1">IF(L19=0,"",IFERROR(IF(AND(L19&gt;0,D19&lt;0),"na",IF(AND(L19&lt;0,D19&lt;0),-1,1)*(L19-D19)/D19),""))</f>
        <v>-0.1264843405353788</v>
      </c>
      <c r="O19" s="40">
        <f ca="1">IF(L19=0,"",IFERROR(IF(AND(L19&gt;0,H19&lt;0),"na",IF(AND(L19&lt;0,H19&lt;0),-1,1)*(L19-H19)/H19),""))</f>
        <v>-0.12818192263024819</v>
      </c>
    </row>
    <row r="20" spans="1:15" s="19" customFormat="1" ht="18" customHeight="1" x14ac:dyDescent="0.2">
      <c r="A20" s="145" t="s">
        <v>9</v>
      </c>
      <c r="B20" s="28" t="s">
        <v>30</v>
      </c>
      <c r="C20" s="41"/>
      <c r="D20" s="42">
        <v>1.5263588036266871</v>
      </c>
      <c r="E20" s="42">
        <v>1.6922833073952948</v>
      </c>
      <c r="F20" s="42">
        <v>1.8557478545610584</v>
      </c>
      <c r="G20" s="42">
        <v>2.3182717445427996</v>
      </c>
      <c r="H20" s="42">
        <v>2.6239202121655145</v>
      </c>
      <c r="I20" s="42">
        <v>2.925802476005229</v>
      </c>
      <c r="J20" s="42">
        <v>3.3250466740589304</v>
      </c>
      <c r="K20" s="42">
        <v>3.6960425503925234</v>
      </c>
      <c r="L20" s="42">
        <v>3.0634145081247306</v>
      </c>
      <c r="M20" s="43">
        <v>3.1131918234449065</v>
      </c>
      <c r="N20" s="32">
        <f t="shared" si="0"/>
        <v>1.0070081168634402</v>
      </c>
      <c r="O20" s="32">
        <f t="shared" si="1"/>
        <v>0.16749529727373172</v>
      </c>
    </row>
    <row r="21" spans="1:15" s="19" customFormat="1" ht="18" customHeight="1" x14ac:dyDescent="0.2">
      <c r="A21" s="145"/>
      <c r="B21" s="33" t="s">
        <v>31</v>
      </c>
      <c r="C21" s="21"/>
      <c r="D21" s="34">
        <f ca="1">3.23090126121493*OFFSET(D$108,MATCH($M$1,$C$109:$C$110,0),0)</f>
        <v>2.6282089164028899</v>
      </c>
      <c r="E21" s="34">
        <f ca="1">3.43254061112682*OFFSET(E$108,MATCH($M$1,$C$109:$C$110,0),0)</f>
        <v>2.8673039304695189</v>
      </c>
      <c r="F21" s="34">
        <f ca="1">3.79611261047436*OFFSET(F$108,MATCH($M$1,$C$109:$C$110,0),0)</f>
        <v>3.2620754039758753</v>
      </c>
      <c r="G21" s="34">
        <f ca="1">4.61877581446954*OFFSET(G$108,MATCH($M$1,$C$109:$C$110,0),0)</f>
        <v>4.0842449438916946</v>
      </c>
      <c r="H21" s="34">
        <f ca="1">5.01993501671842*OFFSET(H$108,MATCH($M$1,$C$109:$C$110,0),0)</f>
        <v>4.5268770719290625</v>
      </c>
      <c r="I21" s="34">
        <f ca="1">5.64819449684476*OFFSET(I$108,MATCH($M$1,$C$109:$C$110,0),0)</f>
        <v>5.2550236094836826</v>
      </c>
      <c r="J21" s="34">
        <f ca="1">6.32200656000365*OFFSET(J$108,MATCH($M$1,$C$109:$C$110,0),0)</f>
        <v>6.0069177056414205</v>
      </c>
      <c r="K21" s="34">
        <f ca="1">6.12898871995456*OFFSET(K$108,MATCH($M$1,$C$109:$C$110,0),0)</f>
        <v>5.9202353062929856</v>
      </c>
      <c r="L21" s="34">
        <f ca="1">4.68624052390712*OFFSET(L$108,MATCH($M$1,$C$109:$C$110,0),0)</f>
        <v>4.6076521892728639</v>
      </c>
      <c r="M21" s="35">
        <f ca="1">4.96272231953055*OFFSET(M$108,MATCH($M$1,$C$109:$C$110,0),0)</f>
        <v>4.962722300249613</v>
      </c>
      <c r="N21" s="24">
        <f t="shared" ca="1" si="0"/>
        <v>0.75315294020809731</v>
      </c>
      <c r="O21" s="24">
        <f t="shared" ca="1" si="1"/>
        <v>1.7843452795456679E-2</v>
      </c>
    </row>
    <row r="22" spans="1:15" s="19" customFormat="1" ht="18" customHeight="1" x14ac:dyDescent="0.2">
      <c r="A22" s="145"/>
      <c r="B22" s="33" t="s">
        <v>10</v>
      </c>
      <c r="C22" s="21"/>
      <c r="D22" s="34">
        <f ca="1">2.8249490402516*OFFSET(D$108,MATCH($M$1,$C$109:$C$110,0),0)</f>
        <v>2.2979830256964129</v>
      </c>
      <c r="E22" s="34">
        <f ca="1">3.04397891177136*OFFSET(E$108,MATCH($M$1,$C$109:$C$110,0),0)</f>
        <v>2.5427267108496507</v>
      </c>
      <c r="F22" s="34">
        <f ca="1">3.34321090831515*OFFSET(F$108,MATCH($M$1,$C$109:$C$110,0),0)</f>
        <v>2.8728879233527045</v>
      </c>
      <c r="G22" s="34">
        <f ca="1">4.48624396725598*OFFSET(G$108,MATCH($M$1,$C$109:$C$110,0),0)</f>
        <v>3.9670510057943171</v>
      </c>
      <c r="H22" s="34">
        <f ca="1">4.05334731359493*OFFSET(H$108,MATCH($M$1,$C$109:$C$110,0),0)</f>
        <v>3.6552275990363459</v>
      </c>
      <c r="I22" s="34">
        <f ca="1">5.19887579044668*OFFSET(I$108,MATCH($M$1,$C$109:$C$110,0),0)</f>
        <v>4.836981983682092</v>
      </c>
      <c r="J22" s="34">
        <f ca="1">5.94739501422956*OFFSET(J$108,MATCH($M$1,$C$109:$C$110,0),0)</f>
        <v>5.6509768021180964</v>
      </c>
      <c r="K22" s="34">
        <f ca="1">6.12541792714109*OFFSET(K$108,MATCH($M$1,$C$109:$C$110,0),0)</f>
        <v>5.9167861347164514</v>
      </c>
      <c r="L22" s="34">
        <f ca="1">4.94827571227176*OFFSET(L$108,MATCH($M$1,$C$109:$C$110,0),0)</f>
        <v>4.8652930429967416</v>
      </c>
      <c r="M22" s="35">
        <f ca="1">4.92280550934673*OFFSET(M$108,MATCH($M$1,$C$109:$C$110,0),0)</f>
        <v>4.9228054902208758</v>
      </c>
      <c r="N22" s="24">
        <f t="shared" ca="1" si="0"/>
        <v>1.1172014712868887</v>
      </c>
      <c r="O22" s="24">
        <f t="shared" ca="1" si="1"/>
        <v>0.33105064217599312</v>
      </c>
    </row>
    <row r="23" spans="1:15" s="19" customFormat="1" ht="18" customHeight="1" x14ac:dyDescent="0.2">
      <c r="A23" s="146"/>
      <c r="B23" s="33" t="s">
        <v>32</v>
      </c>
      <c r="C23" s="44"/>
      <c r="D23" s="34">
        <f ca="1">0.405952220963333*OFFSET(D$108,MATCH($M$1,$C$109:$C$110,0),0)</f>
        <v>0.3302258907064794</v>
      </c>
      <c r="E23" s="34">
        <f ca="1">0.388561699355459*OFFSET(E$108,MATCH($M$1,$C$109:$C$110,0),0)</f>
        <v>0.32457721961986719</v>
      </c>
      <c r="F23" s="34">
        <f ca="1">0.452901702159208*OFFSET(F$108,MATCH($M$1,$C$109:$C$110,0),0)</f>
        <v>0.38918748062316971</v>
      </c>
      <c r="G23" s="34">
        <f ca="1">0.132531847213554*OFFSET(G$108,MATCH($M$1,$C$109:$C$110,0),0)</f>
        <v>0.11719393809737248</v>
      </c>
      <c r="H23" s="34">
        <f ca="1">0.966587703123494*OFFSET(H$108,MATCH($M$1,$C$109:$C$110,0),0)</f>
        <v>0.87164947289272043</v>
      </c>
      <c r="I23" s="34">
        <f ca="1">0.449318706398085*OFFSET(I$108,MATCH($M$1,$C$109:$C$110,0),0)</f>
        <v>0.41804162580159471</v>
      </c>
      <c r="J23" s="34">
        <f ca="1">0.374611545774085*OFFSET(J$108,MATCH($M$1,$C$109:$C$110,0),0)</f>
        <v>0.35594090352331959</v>
      </c>
      <c r="K23" s="34">
        <f ca="1">0.00357079281347063*OFFSET(K$108,MATCH($M$1,$C$109:$C$110,0),0)</f>
        <v>3.4491715765342145E-3</v>
      </c>
      <c r="L23" s="34">
        <f ca="1">-0.262035188364639*OFFSET(L$108,MATCH($M$1,$C$109:$C$110,0),0)</f>
        <v>-0.25764085372387641</v>
      </c>
      <c r="M23" s="35">
        <f ca="1">0.0399168101838144*OFFSET(M$108,MATCH($M$1,$C$109:$C$110,0),0)</f>
        <v>3.9916810028731473E-2</v>
      </c>
      <c r="N23" s="24">
        <f t="shared" ca="1" si="0"/>
        <v>-1.7801958022512534</v>
      </c>
      <c r="O23" s="24">
        <f t="shared" ca="1" si="1"/>
        <v>-1.2955785114730241</v>
      </c>
    </row>
    <row r="24" spans="1:15" s="19" customFormat="1" ht="18" customHeight="1" x14ac:dyDescent="0.2">
      <c r="A24" s="147" t="s">
        <v>11</v>
      </c>
      <c r="B24" s="28" t="s">
        <v>27</v>
      </c>
      <c r="C24" s="29"/>
      <c r="D24" s="30">
        <f ca="1">1039.8*OFFSET(D$108,MATCH($M$1,$C$109:$C$110,0),0)</f>
        <v>845.83570042251733</v>
      </c>
      <c r="E24" s="30">
        <f ca="1">1031.4*OFFSET(E$108,MATCH($M$1,$C$109:$C$110,0),0)</f>
        <v>861.55929642896194</v>
      </c>
      <c r="F24" s="30">
        <f ca="1">1044.9*OFFSET(F$108,MATCH($M$1,$C$109:$C$110,0),0)</f>
        <v>897.90344475277914</v>
      </c>
      <c r="G24" s="30">
        <f ca="1">1065.7*OFFSET(G$108,MATCH($M$1,$C$109:$C$110,0),0)</f>
        <v>942.36655155891492</v>
      </c>
      <c r="H24" s="30">
        <f ca="1">1623.2*OFFSET(H$108,MATCH($M$1,$C$109:$C$110,0),0)</f>
        <v>1463.7693194599819</v>
      </c>
      <c r="I24" s="30">
        <f ca="1">1885.8*OFFSET(I$108,MATCH($M$1,$C$109:$C$110,0),0)</f>
        <v>1754.5294391509162</v>
      </c>
      <c r="J24" s="30">
        <f ca="1">1932.4*OFFSET(J$108,MATCH($M$1,$C$109:$C$110,0),0)</f>
        <v>1836.0891695080397</v>
      </c>
      <c r="K24" s="30">
        <f ca="1">1936.8*OFFSET(K$108,MATCH($M$1,$C$109:$C$110,0),0)</f>
        <v>1870.8325737158912</v>
      </c>
      <c r="L24" s="30">
        <f ca="1">1609.7*OFFSET(L$108,MATCH($M$1,$C$109:$C$110,0),0)</f>
        <v>1582.7053031603059</v>
      </c>
      <c r="M24" s="31">
        <f ca="1">1585.5*OFFSET(M$108,MATCH($M$1,$C$109:$C$110,0),0)</f>
        <v>1585.4999938400897</v>
      </c>
      <c r="N24" s="32">
        <f t="shared" ca="1" si="0"/>
        <v>0.87117344700596422</v>
      </c>
      <c r="O24" s="32">
        <f t="shared" ca="1" si="1"/>
        <v>8.1253228988432527E-2</v>
      </c>
    </row>
    <row r="25" spans="1:15" s="19" customFormat="1" ht="18" customHeight="1" x14ac:dyDescent="0.2">
      <c r="A25" s="148"/>
      <c r="B25" s="33" t="s">
        <v>33</v>
      </c>
      <c r="C25" s="25"/>
      <c r="D25" s="26">
        <f ca="1">28.9*OFFSET(D$108,MATCH($M$1,$C$109:$C$110,0),0)</f>
        <v>23.50899378939291</v>
      </c>
      <c r="E25" s="26">
        <f ca="1">13.2*OFFSET(E$108,MATCH($M$1,$C$109:$C$110,0),0)</f>
        <v>11.026355160812775</v>
      </c>
      <c r="F25" s="26">
        <f ca="1">33.3*OFFSET(F$108,MATCH($M$1,$C$109:$C$110,0),0)</f>
        <v>28.615355259132492</v>
      </c>
      <c r="G25" s="26">
        <f ca="1">33.9*OFFSET(G$108,MATCH($M$1,$C$109:$C$110,0),0)</f>
        <v>29.976753399500062</v>
      </c>
      <c r="H25" s="26">
        <f ca="1">51.7*OFFSET(H$108,MATCH($M$1,$C$109:$C$110,0),0)</f>
        <v>46.622026747216033</v>
      </c>
      <c r="I25" s="26">
        <f ca="1">5.6*OFFSET(I$108,MATCH($M$1,$C$109:$C$110,0),0)</f>
        <v>5.2101839321482286</v>
      </c>
      <c r="J25" s="26">
        <f ca="1">5.7*OFFSET(J$108,MATCH($M$1,$C$109:$C$110,0),0)</f>
        <v>5.4159119572530674</v>
      </c>
      <c r="K25" s="26">
        <f ca="1">5.7*OFFSET(K$108,MATCH($M$1,$C$109:$C$110,0),0)</f>
        <v>5.5058579461898907</v>
      </c>
      <c r="L25" s="26">
        <f ca="1">21.7*OFFSET(L$108,MATCH($M$1,$C$109:$C$110,0),0)</f>
        <v>21.336090624699406</v>
      </c>
      <c r="M25" s="27">
        <f ca="1">4.7*OFFSET(M$108,MATCH($M$1,$C$109:$C$110,0),0)</f>
        <v>4.6999999817397802</v>
      </c>
      <c r="N25" s="24">
        <f t="shared" ca="1" si="0"/>
        <v>-9.2428590698505494E-2</v>
      </c>
      <c r="O25" s="24">
        <f t="shared" ca="1" si="1"/>
        <v>-0.54236029376450345</v>
      </c>
    </row>
    <row r="26" spans="1:15" s="19" customFormat="1" ht="18" customHeight="1" x14ac:dyDescent="0.2">
      <c r="A26" s="148"/>
      <c r="B26" s="45" t="s">
        <v>34</v>
      </c>
      <c r="C26" s="46"/>
      <c r="D26" s="47">
        <f ca="1">1068.6*OFFSET(D$108,MATCH($M$1,$C$109:$C$110,0),0)</f>
        <v>869.2633482126389</v>
      </c>
      <c r="E26" s="47">
        <f ca="1">1044.6*OFFSET(E$108,MATCH($M$1,$C$109:$C$110,0),0)</f>
        <v>872.58565158977456</v>
      </c>
      <c r="F26" s="47">
        <f ca="1">1078.1*OFFSET(F$108,MATCH($M$1,$C$109:$C$110,0),0)</f>
        <v>926.43286801413626</v>
      </c>
      <c r="G26" s="47">
        <f ca="1">1099.6*OFFSET(G$108,MATCH($M$1,$C$109:$C$110,0),0)</f>
        <v>972.34330495841493</v>
      </c>
      <c r="H26" s="47">
        <f ca="1">1674.8*OFFSET(H$108,MATCH($M$1,$C$109:$C$110,0),0)</f>
        <v>1510.3011682057527</v>
      </c>
      <c r="I26" s="47">
        <f ca="1">1891.4*OFFSET(I$108,MATCH($M$1,$C$109:$C$110,0),0)</f>
        <v>1759.7396230830645</v>
      </c>
      <c r="J26" s="47">
        <f ca="1">1938.1*OFFSET(J$108,MATCH($M$1,$C$109:$C$110,0),0)</f>
        <v>1841.5050814652927</v>
      </c>
      <c r="K26" s="47">
        <f ca="1">1942.5*OFFSET(K$108,MATCH($M$1,$C$109:$C$110,0),0)</f>
        <v>1876.3384316620811</v>
      </c>
      <c r="L26" s="47">
        <f ca="1">1631.4*OFFSET(L$108,MATCH($M$1,$C$109:$C$110,0),0)</f>
        <v>1604.0413937850053</v>
      </c>
      <c r="M26" s="48">
        <f ca="1">1590.2*OFFSET(M$108,MATCH($M$1,$C$109:$C$110,0),0)</f>
        <v>1590.1999938218294</v>
      </c>
      <c r="N26" s="49">
        <f t="shared" ca="1" si="0"/>
        <v>0.84528819382894915</v>
      </c>
      <c r="O26" s="49">
        <f t="shared" ca="1" si="1"/>
        <v>6.2067240331023919E-2</v>
      </c>
    </row>
    <row r="27" spans="1:15" s="19" customFormat="1" ht="18" customHeight="1" x14ac:dyDescent="0.2">
      <c r="A27" s="148"/>
      <c r="B27" s="33" t="s">
        <v>35</v>
      </c>
      <c r="C27" s="25"/>
      <c r="D27" s="26">
        <f ca="1">395.2*OFFSET(D$108,MATCH($M$1,$C$109:$C$110,0),0)</f>
        <v>321.47938912000274</v>
      </c>
      <c r="E27" s="26">
        <f ca="1">458.9*OFFSET(E$108,MATCH($M$1,$C$109:$C$110,0),0)</f>
        <v>383.33290782552899</v>
      </c>
      <c r="F27" s="26">
        <f ca="1">408.5*OFFSET(F$108,MATCH($M$1,$C$109:$C$110,0),0)</f>
        <v>351.03221091158031</v>
      </c>
      <c r="G27" s="26">
        <f ca="1">519.3*OFFSET(G$108,MATCH($M$1,$C$109:$C$110,0),0)</f>
        <v>459.20141711977521</v>
      </c>
      <c r="H27" s="26">
        <f ca="1">557.8*OFFSET(H$108,MATCH($M$1,$C$109:$C$110,0),0)</f>
        <v>503.01289206183947</v>
      </c>
      <c r="I27" s="26">
        <f ca="1">637.7*OFFSET(I$108,MATCH($M$1,$C$109:$C$110,0),0)</f>
        <v>593.3096952733797</v>
      </c>
      <c r="J27" s="26">
        <f ca="1">783.8*OFFSET(J$108,MATCH($M$1,$C$109:$C$110,0),0)</f>
        <v>744.73540212192165</v>
      </c>
      <c r="K27" s="26">
        <f ca="1">825*OFFSET(K$108,MATCH($M$1,$C$109:$C$110,0),0)</f>
        <v>796.90049221169465</v>
      </c>
      <c r="L27" s="26">
        <f ca="1">861.7*OFFSET(L$108,MATCH($M$1,$C$109:$C$110,0),0)</f>
        <v>847.24927609693452</v>
      </c>
      <c r="M27" s="27">
        <f ca="1">718.7*OFFSET(M$108,MATCH($M$1,$C$109:$C$110,0),0)</f>
        <v>718.69999720774047</v>
      </c>
      <c r="N27" s="24">
        <f t="shared" ca="1" si="0"/>
        <v>1.6354699703024222</v>
      </c>
      <c r="O27" s="24">
        <f t="shared" ca="1" si="1"/>
        <v>0.68434902855884516</v>
      </c>
    </row>
    <row r="28" spans="1:15" s="19" customFormat="1" ht="18" customHeight="1" x14ac:dyDescent="0.2">
      <c r="A28" s="148"/>
      <c r="B28" s="33" t="s">
        <v>36</v>
      </c>
      <c r="C28" s="25"/>
      <c r="D28" s="26">
        <f ca="1">188.9*OFFSET(D$108,MATCH($M$1,$C$109:$C$110,0),0)</f>
        <v>153.66259262340213</v>
      </c>
      <c r="E28" s="26">
        <f ca="1">123.3*OFFSET(E$108,MATCH($M$1,$C$109:$C$110,0),0)</f>
        <v>102.99618116122842</v>
      </c>
      <c r="F28" s="26">
        <f ca="1">20*OFFSET(F$108,MATCH($M$1,$C$109:$C$110,0),0)</f>
        <v>17.18639955503453</v>
      </c>
      <c r="G28" s="26">
        <f ca="1">11.5*OFFSET(G$108,MATCH($M$1,$C$109:$C$110,0),0)</f>
        <v>10.169105135523619</v>
      </c>
      <c r="H28" s="26">
        <f ca="1">37.6*OFFSET(H$108,MATCH($M$1,$C$109:$C$110,0),0)</f>
        <v>33.906928543429842</v>
      </c>
      <c r="I28" s="26">
        <f ca="1">263.7*OFFSET(I$108,MATCH($M$1,$C$109:$C$110,0),0)</f>
        <v>245.34383980490858</v>
      </c>
      <c r="J28" s="26">
        <f ca="1">220.9*OFFSET(J$108,MATCH($M$1,$C$109:$C$110,0),0)</f>
        <v>209.89034234336887</v>
      </c>
      <c r="K28" s="26">
        <f ca="1">206.4*OFFSET(K$108,MATCH($M$1,$C$109:$C$110,0),0)</f>
        <v>199.37001405150761</v>
      </c>
      <c r="L28" s="26">
        <f ca="1">171.6*OFFSET(L$108,MATCH($M$1,$C$109:$C$110,0),0)</f>
        <v>168.72226503218516</v>
      </c>
      <c r="M28" s="27">
        <f ca="1">152.6*OFFSET(M$108,MATCH($M$1,$C$109:$C$110,0),0)</f>
        <v>152.59999940712561</v>
      </c>
      <c r="N28" s="24">
        <f t="shared" ca="1" si="0"/>
        <v>9.8004804888925892E-2</v>
      </c>
      <c r="O28" s="24">
        <f t="shared" ca="1" si="1"/>
        <v>3.9760409532841199</v>
      </c>
    </row>
    <row r="29" spans="1:15" s="19" customFormat="1" ht="18" customHeight="1" x14ac:dyDescent="0.2">
      <c r="A29" s="148"/>
      <c r="B29" s="33" t="s">
        <v>37</v>
      </c>
      <c r="C29" s="25"/>
      <c r="D29" s="26">
        <f ca="1">149.6*OFFSET(D$108,MATCH($M$1,$C$109:$C$110,0),0)</f>
        <v>121.6936149097986</v>
      </c>
      <c r="E29" s="26">
        <f ca="1">183.8*OFFSET(E$108,MATCH($M$1,$C$109:$C$110,0),0)</f>
        <v>153.53364231495365</v>
      </c>
      <c r="F29" s="26">
        <f ca="1">404.6*OFFSET(F$108,MATCH($M$1,$C$109:$C$110,0),0)</f>
        <v>347.68086299834857</v>
      </c>
      <c r="G29" s="26">
        <f ca="1">414.8*OFFSET(G$108,MATCH($M$1,$C$109:$C$110,0),0)</f>
        <v>366.79520088827803</v>
      </c>
      <c r="H29" s="26">
        <f ca="1">591*OFFSET(H$108,MATCH($M$1,$C$109:$C$110,0),0)</f>
        <v>532.95198854167654</v>
      </c>
      <c r="I29" s="26">
        <f ca="1">552.1*OFFSET(I$108,MATCH($M$1,$C$109:$C$110,0),0)</f>
        <v>513.66831231054243</v>
      </c>
      <c r="J29" s="26">
        <f ca="1">538.3*OFFSET(J$108,MATCH($M$1,$C$109:$C$110,0),0)</f>
        <v>511.47112396303959</v>
      </c>
      <c r="K29" s="26">
        <f ca="1">598.1*OFFSET(K$108,MATCH($M$1,$C$109:$C$110,0),0)</f>
        <v>577.72870835371464</v>
      </c>
      <c r="L29" s="26">
        <f ca="1">428.6*OFFSET(L$108,MATCH($M$1,$C$109:$C$110,0),0)</f>
        <v>421.41237058738096</v>
      </c>
      <c r="M29" s="27">
        <f ca="1">464.2*OFFSET(M$108,MATCH($M$1,$C$109:$C$110,0),0)</f>
        <v>464.1999981965119</v>
      </c>
      <c r="N29" s="24">
        <f t="shared" ca="1" si="0"/>
        <v>2.4628963146483818</v>
      </c>
      <c r="O29" s="24">
        <f t="shared" ca="1" si="1"/>
        <v>-0.20928642795667746</v>
      </c>
    </row>
    <row r="30" spans="1:15" s="19" customFormat="1" ht="18" customHeight="1" x14ac:dyDescent="0.2">
      <c r="A30" s="148"/>
      <c r="B30" s="33" t="s">
        <v>38</v>
      </c>
      <c r="C30" s="25"/>
      <c r="D30" s="26">
        <f ca="1">733.7*OFFSET(D$108,MATCH($M$1,$C$109:$C$110,0),0)</f>
        <v>596.83559665320354</v>
      </c>
      <c r="E30" s="26">
        <f ca="1">766.1*OFFSET(E$108,MATCH($M$1,$C$109:$C$110,0),0)</f>
        <v>639.94626429535356</v>
      </c>
      <c r="F30" s="26">
        <f ca="1">833.1*OFFSET(F$108,MATCH($M$1,$C$109:$C$110,0),0)</f>
        <v>715.89947346496342</v>
      </c>
      <c r="G30" s="26">
        <f ca="1">945.6*OFFSET(G$108,MATCH($M$1,$C$109:$C$110,0),0)</f>
        <v>836.165723143577</v>
      </c>
      <c r="H30" s="26">
        <f ca="1">1186.4*OFFSET(H$108,MATCH($M$1,$C$109:$C$110,0),0)</f>
        <v>1069.8718091469459</v>
      </c>
      <c r="I30" s="26">
        <f ca="1">1453.5*OFFSET(I$108,MATCH($M$1,$C$109:$C$110,0),0)</f>
        <v>1352.3218473888305</v>
      </c>
      <c r="J30" s="26">
        <f ca="1">1543*OFFSET(J$108,MATCH($M$1,$C$109:$C$110,0),0)</f>
        <v>1466.0968684283303</v>
      </c>
      <c r="K30" s="26">
        <f ca="1">1629.5*OFFSET(K$108,MATCH($M$1,$C$109:$C$110,0),0)</f>
        <v>1573.9992146169168</v>
      </c>
      <c r="L30" s="26">
        <f ca="1">1461.9*OFFSET(L$108,MATCH($M$1,$C$109:$C$110,0),0)</f>
        <v>1437.3839117165007</v>
      </c>
      <c r="M30" s="27">
        <f ca="1">1335.4*OFFSET(M$108,MATCH($M$1,$C$109:$C$110,0),0)</f>
        <v>1335.3999948117664</v>
      </c>
      <c r="N30" s="24">
        <f t="shared" ca="1" si="0"/>
        <v>1.4083414591501067</v>
      </c>
      <c r="O30" s="24">
        <f t="shared" ca="1" si="1"/>
        <v>0.34351040884289474</v>
      </c>
    </row>
    <row r="31" spans="1:15" s="19" customFormat="1" ht="18" customHeight="1" x14ac:dyDescent="0.2">
      <c r="A31" s="148"/>
      <c r="B31" s="33" t="s">
        <v>39</v>
      </c>
      <c r="C31" s="25"/>
      <c r="D31" s="26">
        <f ca="1">204.3*OFFSET(D$108,MATCH($M$1,$C$109:$C$110,0),0)</f>
        <v>166.18987651117553</v>
      </c>
      <c r="E31" s="26">
        <f ca="1">161.8*OFFSET(E$108,MATCH($M$1,$C$109:$C$110,0),0)</f>
        <v>135.15638371359904</v>
      </c>
      <c r="F31" s="26">
        <f ca="1">120.4*OFFSET(F$108,MATCH($M$1,$C$109:$C$110,0),0)</f>
        <v>103.46212532130788</v>
      </c>
      <c r="G31" s="26">
        <f ca="1">123.4*OFFSET(G$108,MATCH($M$1,$C$109:$C$110,0),0)</f>
        <v>109.11891945422737</v>
      </c>
      <c r="H31" s="26">
        <f ca="1">175.9*OFFSET(H$108,MATCH($M$1,$C$109:$C$110,0),0)</f>
        <v>158.62310454226886</v>
      </c>
      <c r="I31" s="26">
        <f ca="1">287.9*OFFSET(I$108,MATCH($M$1,$C$109:$C$110,0),0)</f>
        <v>267.85927751169197</v>
      </c>
      <c r="J31" s="26">
        <f ca="1">280.7*OFFSET(J$108,MATCH($M$1,$C$109:$C$110,0),0)</f>
        <v>266.70990989490105</v>
      </c>
      <c r="K31" s="26">
        <f ca="1">311.8*OFFSET(K$108,MATCH($M$1,$C$109:$C$110,0),0)</f>
        <v>301.18008905649259</v>
      </c>
      <c r="L31" s="26">
        <f ca="1">259.5*OFFSET(L$108,MATCH($M$1,$C$109:$C$110,0),0)</f>
        <v>255.14818051195834</v>
      </c>
      <c r="M31" s="27">
        <f ca="1">242*OFFSET(M$108,MATCH($M$1,$C$109:$C$110,0),0)</f>
        <v>241.99999905979291</v>
      </c>
      <c r="N31" s="24">
        <f t="shared" ca="1" si="0"/>
        <v>0.53528112462855559</v>
      </c>
      <c r="O31" s="24">
        <f t="shared" ca="1" si="1"/>
        <v>0.60851838859305707</v>
      </c>
    </row>
    <row r="32" spans="1:15" s="19" customFormat="1" ht="18" customHeight="1" x14ac:dyDescent="0.2">
      <c r="A32" s="148"/>
      <c r="B32" s="33" t="s">
        <v>40</v>
      </c>
      <c r="C32" s="25"/>
      <c r="D32" s="26">
        <f ca="1">938*OFFSET(D$108,MATCH($M$1,$C$109:$C$110,0),0)</f>
        <v>763.02547316437892</v>
      </c>
      <c r="E32" s="26">
        <f ca="1">927.9*OFFSET(E$108,MATCH($M$1,$C$109:$C$110,0),0)</f>
        <v>775.10264800895254</v>
      </c>
      <c r="F32" s="26">
        <f ca="1">953.5*OFFSET(F$108,MATCH($M$1,$C$109:$C$110,0),0)</f>
        <v>819.3615987862712</v>
      </c>
      <c r="G32" s="26">
        <f ca="1">1069.1*OFFSET(G$108,MATCH($M$1,$C$109:$C$110,0),0)</f>
        <v>945.37306959898274</v>
      </c>
      <c r="H32" s="26">
        <f ca="1">1362.3*OFFSET(H$108,MATCH($M$1,$C$109:$C$110,0),0)</f>
        <v>1228.4949136892146</v>
      </c>
      <c r="I32" s="26">
        <f ca="1">1741.4*OFFSET(I$108,MATCH($M$1,$C$109:$C$110,0),0)</f>
        <v>1620.1811249005227</v>
      </c>
      <c r="J32" s="26">
        <f ca="1">1823.6*OFFSET(J$108,MATCH($M$1,$C$109:$C$110,0),0)</f>
        <v>1732.711762323981</v>
      </c>
      <c r="K32" s="26">
        <f ca="1">1941.3*OFFSET(K$108,MATCH($M$1,$C$109:$C$110,0),0)</f>
        <v>1875.1793036734093</v>
      </c>
      <c r="L32" s="26">
        <f ca="1">1721.4*OFFSET(L$108,MATCH($M$1,$C$109:$C$110,0),0)</f>
        <v>1692.5320922284591</v>
      </c>
      <c r="M32" s="27">
        <f ca="1">1577.4*OFFSET(M$108,MATCH($M$1,$C$109:$C$110,0),0)</f>
        <v>1577.3999938715594</v>
      </c>
      <c r="N32" s="24">
        <f t="shared" ca="1" si="0"/>
        <v>1.2181855675267033</v>
      </c>
      <c r="O32" s="24">
        <f t="shared" ca="1" si="1"/>
        <v>0.37772820495098675</v>
      </c>
    </row>
    <row r="33" spans="1:15" s="19" customFormat="1" ht="18" customHeight="1" x14ac:dyDescent="0.2">
      <c r="A33" s="148"/>
      <c r="B33" s="45" t="s">
        <v>41</v>
      </c>
      <c r="C33" s="46"/>
      <c r="D33" s="47">
        <f ca="1">319.5*OFFSET(D$108,MATCH($M$1,$C$109:$C$110,0),0)</f>
        <v>259.90046767166211</v>
      </c>
      <c r="E33" s="47">
        <f ca="1">240.1*OFFSET(E$108,MATCH($M$1,$C$109:$C$110,0),0)</f>
        <v>200.56271773569298</v>
      </c>
      <c r="F33" s="47">
        <f ca="1">144.7*OFFSET(F$108,MATCH($M$1,$C$109:$C$110,0),0)</f>
        <v>124.34360078067482</v>
      </c>
      <c r="G33" s="47">
        <f ca="1">42.1*OFFSET(G$108,MATCH($M$1,$C$109:$C$110,0),0)</f>
        <v>37.227767496134298</v>
      </c>
      <c r="H33" s="47">
        <f ca="1">350.1*OFFSET(H$108,MATCH($M$1,$C$109:$C$110,0),0)</f>
        <v>315.71318305996778</v>
      </c>
      <c r="I33" s="47">
        <f ca="1">413.7*OFFSET(I$108,MATCH($M$1,$C$109:$C$110,0),0)</f>
        <v>384.90233798745044</v>
      </c>
      <c r="J33" s="47">
        <f ca="1">335.4*OFFSET(J$108,MATCH($M$1,$C$109:$C$110,0),0)</f>
        <v>318.68366148468044</v>
      </c>
      <c r="K33" s="47">
        <f ca="1">207.5*OFFSET(K$108,MATCH($M$1,$C$109:$C$110,0),0)</f>
        <v>200.4325480411232</v>
      </c>
      <c r="L33" s="47">
        <f ca="1">81.6*OFFSET(L$108,MATCH($M$1,$C$109:$C$110,0),0)</f>
        <v>80.231566588731411</v>
      </c>
      <c r="M33" s="48">
        <f ca="1">165.4*OFFSET(M$108,MATCH($M$1,$C$109:$C$110,0),0)</f>
        <v>165.39999935739567</v>
      </c>
      <c r="N33" s="49">
        <f t="shared" ca="1" si="0"/>
        <v>-0.69129887565231429</v>
      </c>
      <c r="O33" s="49">
        <f t="shared" ca="1" si="1"/>
        <v>-0.74587197844857833</v>
      </c>
    </row>
    <row r="34" spans="1:15" s="19" customFormat="1" ht="18" customHeight="1" x14ac:dyDescent="0.2">
      <c r="A34" s="148"/>
      <c r="B34" s="45" t="s">
        <v>42</v>
      </c>
      <c r="C34" s="46"/>
      <c r="D34" s="47">
        <f ca="1">130.6*OFFSET(D$108,MATCH($M$1,$C$109:$C$110,0),0)</f>
        <v>106.23787504826001</v>
      </c>
      <c r="E34" s="47">
        <f ca="1">116.8*OFFSET(E$108,MATCH($M$1,$C$109:$C$110,0),0)</f>
        <v>97.56653657446455</v>
      </c>
      <c r="F34" s="47">
        <f ca="1">124.7*OFFSET(F$108,MATCH($M$1,$C$109:$C$110,0),0)</f>
        <v>107.15720122564031</v>
      </c>
      <c r="G34" s="47">
        <f ca="1">30.6*OFFSET(G$108,MATCH($M$1,$C$109:$C$110,0),0)</f>
        <v>27.058662360610676</v>
      </c>
      <c r="H34" s="47">
        <f ca="1">312.5*OFFSET(H$108,MATCH($M$1,$C$109:$C$110,0),0)</f>
        <v>281.80625451653793</v>
      </c>
      <c r="I34" s="47">
        <f ca="1">150*OFFSET(I$108,MATCH($M$1,$C$109:$C$110,0),0)</f>
        <v>139.55849818254185</v>
      </c>
      <c r="J34" s="47">
        <f ca="1">114.5*OFFSET(J$108,MATCH($M$1,$C$109:$C$110,0),0)</f>
        <v>108.79331914131161</v>
      </c>
      <c r="K34" s="47">
        <f ca="1">1.1*OFFSET(K$108,MATCH($M$1,$C$109:$C$110,0),0)</f>
        <v>1.062533989615593</v>
      </c>
      <c r="L34" s="47">
        <f ca="1">-90*OFFSET(L$108,MATCH($M$1,$C$109:$C$110,0),0)</f>
        <v>-88.490698443453766</v>
      </c>
      <c r="M34" s="48">
        <f ca="1">12.8*OFFSET(M$108,MATCH($M$1,$C$109:$C$110,0),0)</f>
        <v>12.79999995027004</v>
      </c>
      <c r="N34" s="49">
        <f t="shared" ca="1" si="0"/>
        <v>-1.8329486861748285</v>
      </c>
      <c r="O34" s="49">
        <f t="shared" ca="1" si="1"/>
        <v>-1.3140125423946567</v>
      </c>
    </row>
    <row r="35" spans="1:15" s="19" customFormat="1" ht="18" customHeight="1" x14ac:dyDescent="0.2">
      <c r="A35" s="148"/>
      <c r="B35" s="33" t="s">
        <v>43</v>
      </c>
      <c r="C35" s="25"/>
      <c r="D35" s="26">
        <f ca="1">151.1*OFFSET(D$108,MATCH($M$1,$C$109:$C$110,0),0)</f>
        <v>122.91380489886744</v>
      </c>
      <c r="E35" s="26">
        <f ca="1">48.6*OFFSET(E$108,MATCH($M$1,$C$109:$C$110,0),0)</f>
        <v>40.597034910265222</v>
      </c>
      <c r="F35" s="26">
        <f ca="1">196.8*OFFSET(F$108,MATCH($M$1,$C$109:$C$110,0),0)</f>
        <v>169.11417162153978</v>
      </c>
      <c r="G35" s="26">
        <f ca="1">89.5*OFFSET(G$108,MATCH($M$1,$C$109:$C$110,0),0)</f>
        <v>79.142166054727298</v>
      </c>
      <c r="H35" s="26">
        <f ca="1">133.7*OFFSET(H$108,MATCH($M$1,$C$109:$C$110,0),0)</f>
        <v>120.56798793235558</v>
      </c>
      <c r="I35" s="26">
        <f ca="1">84.2*OFFSET(I$108,MATCH($M$1,$C$109:$C$110,0),0)</f>
        <v>78.338836979800163</v>
      </c>
      <c r="J35" s="26">
        <f ca="1">112.1*OFFSET(J$108,MATCH($M$1,$C$109:$C$110,0),0)</f>
        <v>106.51293515931032</v>
      </c>
      <c r="K35" s="26">
        <f ca="1">103.9*OFFSET(K$108,MATCH($M$1,$C$109:$C$110,0),0)</f>
        <v>100.36116501914555</v>
      </c>
      <c r="L35" s="26">
        <f ca="1">94.4*OFFSET(L$108,MATCH($M$1,$C$109:$C$110,0),0)</f>
        <v>92.816910367355959</v>
      </c>
      <c r="M35" s="27"/>
      <c r="N35" s="24">
        <f t="shared" ca="1" si="0"/>
        <v>-0.24486179201982219</v>
      </c>
      <c r="O35" s="24">
        <f t="shared" ca="1" si="1"/>
        <v>-0.23016953372871499</v>
      </c>
    </row>
    <row r="36" spans="1:15" s="19" customFormat="1" ht="18" customHeight="1" x14ac:dyDescent="0.2">
      <c r="A36" s="148"/>
      <c r="B36" s="33" t="s">
        <v>44</v>
      </c>
      <c r="C36" s="25"/>
      <c r="D36" s="26">
        <f ca="1">151.1*OFFSET(D$108,MATCH($M$1,$C$109:$C$110,0),0)</f>
        <v>122.91380489886744</v>
      </c>
      <c r="E36" s="26">
        <f ca="1">22.4*OFFSET(E$108,MATCH($M$1,$C$109:$C$110,0),0)</f>
        <v>18.711390575924707</v>
      </c>
      <c r="F36" s="26">
        <f ca="1">115.6*OFFSET(F$108,MATCH($M$1,$C$109:$C$110,0),0)</f>
        <v>99.337389428099584</v>
      </c>
      <c r="G36" s="26">
        <f ca="1">80.5*OFFSET(G$108,MATCH($M$1,$C$109:$C$110,0),0)</f>
        <v>71.183735948665344</v>
      </c>
      <c r="H36" s="26">
        <f ca="1">113*OFFSET(H$108,MATCH($M$1,$C$109:$C$110,0),0)</f>
        <v>101.90114163318012</v>
      </c>
      <c r="I36" s="26">
        <f ca="1">69.7*OFFSET(I$108,MATCH($M$1,$C$109:$C$110,0),0)</f>
        <v>64.848182155487791</v>
      </c>
      <c r="J36" s="26">
        <f ca="1">88.6*OFFSET(J$108,MATCH($M$1,$C$109:$C$110,0),0)</f>
        <v>84.184175335547664</v>
      </c>
      <c r="K36" s="26">
        <f ca="1">79.6*OFFSET(K$108,MATCH($M$1,$C$109:$C$110,0),0)</f>
        <v>76.888823248546529</v>
      </c>
      <c r="L36" s="26">
        <f ca="1">10.4*OFFSET(L$108,MATCH($M$1,$C$109:$C$110,0),0)</f>
        <v>10.225591820132435</v>
      </c>
      <c r="M36" s="27"/>
      <c r="N36" s="24">
        <f t="shared" ca="1" si="0"/>
        <v>-0.91680680759540412</v>
      </c>
      <c r="O36" s="24">
        <f t="shared" ca="1" si="1"/>
        <v>-0.89965184240092089</v>
      </c>
    </row>
    <row r="37" spans="1:15" s="19" customFormat="1" ht="18" customHeight="1" x14ac:dyDescent="0.2">
      <c r="A37" s="148"/>
      <c r="B37" s="33" t="s">
        <v>45</v>
      </c>
      <c r="C37" s="25"/>
      <c r="D37" s="26"/>
      <c r="E37" s="26"/>
      <c r="F37" s="26"/>
      <c r="G37" s="26"/>
      <c r="H37" s="26"/>
      <c r="I37" s="26"/>
      <c r="J37" s="26"/>
      <c r="K37" s="26"/>
      <c r="L37" s="26">
        <f ca="1">10.4*OFFSET(L$108,MATCH($M$1,$C$109:$C$110,0),0)</f>
        <v>10.225591820132435</v>
      </c>
      <c r="M37" s="27"/>
      <c r="N37" s="24" t="str">
        <f t="shared" ca="1" si="0"/>
        <v/>
      </c>
      <c r="O37" s="24" t="str">
        <f t="shared" ca="1" si="1"/>
        <v/>
      </c>
    </row>
    <row r="38" spans="1:15" s="19" customFormat="1" ht="18" customHeight="1" thickBot="1" x14ac:dyDescent="0.25">
      <c r="A38" s="149"/>
      <c r="B38" s="50" t="s">
        <v>46</v>
      </c>
      <c r="C38" s="51"/>
      <c r="D38" s="52">
        <f ca="1">-171.5*OFFSET(D$108,MATCH($M$1,$C$109:$C$110,0),0)</f>
        <v>-139.50838875020361</v>
      </c>
      <c r="E38" s="52">
        <f ca="1">45.7*OFFSET(E$108,MATCH($M$1,$C$109:$C$110,0),0)</f>
        <v>38.17457809463211</v>
      </c>
      <c r="F38" s="52">
        <f ca="1">-187.8*OFFSET(F$108,MATCH($M$1,$C$109:$C$110,0),0)</f>
        <v>-161.38029182177425</v>
      </c>
      <c r="G38" s="52">
        <f ca="1">-139.5*OFFSET(G$108,MATCH($M$1,$C$109:$C$110,0),0)</f>
        <v>-123.35566664396043</v>
      </c>
      <c r="H38" s="52">
        <f ca="1">65.9*OFFSET(H$108,MATCH($M$1,$C$109:$C$110,0),0)</f>
        <v>59.427302952447519</v>
      </c>
      <c r="I38" s="52">
        <f ca="1">-3.9*OFFSET(I$108,MATCH($M$1,$C$109:$C$110,0),0)</f>
        <v>-3.6285209527460882</v>
      </c>
      <c r="J38" s="52">
        <f ca="1">-86.2*OFFSET(J$108,MATCH($M$1,$C$109:$C$110,0),0)</f>
        <v>-81.903791353546382</v>
      </c>
      <c r="K38" s="52">
        <f ca="1">-182.4*OFFSET(K$108,MATCH($M$1,$C$109:$C$110,0),0)</f>
        <v>-176.1874542780765</v>
      </c>
      <c r="L38" s="52">
        <f ca="1">-205.2*OFFSET(L$108,MATCH($M$1,$C$109:$C$110,0),0)</f>
        <v>-201.75879245107456</v>
      </c>
      <c r="M38" s="53"/>
      <c r="N38" s="54">
        <f t="shared" ca="1" si="0"/>
        <v>-0.4462126203201533</v>
      </c>
      <c r="O38" s="54">
        <f t="shared" ca="1" si="1"/>
        <v>-4.3950521465279637</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North Sea beam trawl over 300kW</v>
      </c>
      <c r="C45" s="61"/>
      <c r="D45" s="61"/>
      <c r="E45" s="61"/>
      <c r="F45" s="61" t="str">
        <f>$B21&amp;CHAR(10)&amp;$A$1</f>
        <v>Income per kW day at sea (£)
North Sea beam trawl over 300kW</v>
      </c>
      <c r="G45" s="61"/>
      <c r="K45" s="61" t="str">
        <f>$B23&amp;CHAR(10)&amp;$A$1</f>
        <v>Operating profit per kW day at sea (£)
North Sea beam trawl over 300kW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North Sea beam trawl over 300kW</v>
      </c>
      <c r="F59" s="61" t="str">
        <f>$B19&amp;CHAR(10)&amp;$A$1</f>
        <v>Average price per tonne landed (£)
North Sea beam trawl over 300kW</v>
      </c>
      <c r="K59" s="61" t="str">
        <f>"Average annual operating profit per vessel (£'000)"&amp;CHAR(10)&amp;$A$1</f>
        <v>Average annual operating profit per vessel (£'000)
North Sea beam trawl over 300kW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North Sea beam trawl over 300kW</v>
      </c>
      <c r="F73" s="61" t="str">
        <f>"Top 5 landed species by value in "&amp;A74&amp;CHAR(10)&amp;A1</f>
        <v>Top 5 landed species by value in 2013
North Sea beam trawl over 300kW</v>
      </c>
    </row>
    <row r="74" spans="1:9" s="61" customFormat="1" x14ac:dyDescent="0.2">
      <c r="A74" s="61">
        <v>2013</v>
      </c>
      <c r="B74" s="61" t="s">
        <v>232</v>
      </c>
      <c r="C74" s="62">
        <v>0.8546367534491498</v>
      </c>
      <c r="D74" s="63">
        <v>8211234</v>
      </c>
      <c r="G74" s="61" t="s">
        <v>233</v>
      </c>
      <c r="H74" s="62">
        <v>0.59678425531862023</v>
      </c>
      <c r="I74" s="63">
        <v>8211234</v>
      </c>
    </row>
    <row r="75" spans="1:9" s="61" customFormat="1" x14ac:dyDescent="0.2">
      <c r="B75" s="61" t="s">
        <v>234</v>
      </c>
      <c r="C75" s="62">
        <v>4.3825392675943591E-2</v>
      </c>
      <c r="D75" s="63">
        <v>2171775</v>
      </c>
      <c r="G75" s="61" t="s">
        <v>235</v>
      </c>
      <c r="H75" s="62">
        <v>0.21065929136418793</v>
      </c>
      <c r="I75" s="63">
        <v>2171775</v>
      </c>
    </row>
    <row r="76" spans="1:9" s="61" customFormat="1" x14ac:dyDescent="0.2">
      <c r="B76" s="61" t="s">
        <v>236</v>
      </c>
      <c r="C76" s="62">
        <v>2.9894660858350821E-2</v>
      </c>
      <c r="D76" s="63">
        <v>3511670</v>
      </c>
      <c r="G76" s="61" t="s">
        <v>237</v>
      </c>
      <c r="H76" s="62">
        <v>8.9513300969788143E-2</v>
      </c>
      <c r="I76" s="63">
        <v>2783840</v>
      </c>
    </row>
    <row r="77" spans="1:9" s="61" customFormat="1" x14ac:dyDescent="0.2">
      <c r="B77" s="61" t="s">
        <v>238</v>
      </c>
      <c r="C77" s="62">
        <v>1.8890751310072847E-2</v>
      </c>
      <c r="D77" s="63">
        <v>2783840</v>
      </c>
      <c r="G77" s="61" t="s">
        <v>239</v>
      </c>
      <c r="H77" s="62">
        <v>2.6395282910125707E-2</v>
      </c>
      <c r="I77" s="63">
        <v>6763595</v>
      </c>
    </row>
    <row r="78" spans="1:9" s="61" customFormat="1" x14ac:dyDescent="0.2">
      <c r="B78" s="61" t="s">
        <v>240</v>
      </c>
      <c r="C78" s="62">
        <v>1.4398569214924842E-2</v>
      </c>
      <c r="D78" s="63">
        <v>2764187</v>
      </c>
      <c r="G78" s="61" t="s">
        <v>241</v>
      </c>
      <c r="H78" s="62">
        <v>2.2250377949001834E-2</v>
      </c>
      <c r="I78" s="63">
        <v>2764187</v>
      </c>
    </row>
    <row r="79" spans="1:9" s="61" customFormat="1" x14ac:dyDescent="0.2">
      <c r="B79" s="61" t="s">
        <v>57</v>
      </c>
      <c r="C79" s="62">
        <v>3.8353872491558083E-2</v>
      </c>
      <c r="D79" s="63">
        <v>32768</v>
      </c>
      <c r="G79" s="61" t="s">
        <v>242</v>
      </c>
      <c r="H79" s="62">
        <v>5.4397491488276106E-2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85</v>
      </c>
      <c r="D88" s="66">
        <v>0.55664597162333829</v>
      </c>
      <c r="E88" s="66">
        <v>0.515515153574852</v>
      </c>
      <c r="F88" s="66">
        <v>0.49163144616486715</v>
      </c>
      <c r="G88" s="66">
        <v>0.60863551405836092</v>
      </c>
      <c r="H88" s="66">
        <v>0.58192029239088672</v>
      </c>
      <c r="I88" s="66">
        <v>0.54899527029792006</v>
      </c>
      <c r="J88" s="66">
        <v>0.63454574479196479</v>
      </c>
      <c r="K88" s="66">
        <v>0.7625843231686168</v>
      </c>
      <c r="L88" s="66">
        <v>0.6069630160279732</v>
      </c>
      <c r="M88" s="66">
        <v>0.56732272349263768</v>
      </c>
      <c r="N88" s="61"/>
      <c r="O88" s="61">
        <v>8211234</v>
      </c>
    </row>
    <row r="89" spans="1:15" s="65" customFormat="1" hidden="1" x14ac:dyDescent="0.2">
      <c r="A89" s="61"/>
      <c r="B89" s="61">
        <v>2</v>
      </c>
      <c r="C89" s="61" t="s">
        <v>84</v>
      </c>
      <c r="D89" s="66">
        <v>0.19425373033745591</v>
      </c>
      <c r="E89" s="66">
        <v>0.20979579344847954</v>
      </c>
      <c r="F89" s="66">
        <v>0.26303235600988656</v>
      </c>
      <c r="G89" s="66">
        <v>0.20436870001252919</v>
      </c>
      <c r="H89" s="66">
        <v>0.24630710228139646</v>
      </c>
      <c r="I89" s="66">
        <v>0.26344268463511944</v>
      </c>
      <c r="J89" s="66">
        <v>0.19525802144587234</v>
      </c>
      <c r="K89" s="66">
        <v>0.10899880158052927</v>
      </c>
      <c r="L89" s="66">
        <v>0.21425229922069233</v>
      </c>
      <c r="M89" s="66">
        <v>0.24871487117692309</v>
      </c>
      <c r="N89" s="61"/>
      <c r="O89" s="61">
        <v>2171775</v>
      </c>
    </row>
    <row r="90" spans="1:15" s="65" customFormat="1" hidden="1" x14ac:dyDescent="0.2">
      <c r="A90" s="61"/>
      <c r="B90" s="61">
        <v>3</v>
      </c>
      <c r="C90" s="61" t="s">
        <v>101</v>
      </c>
      <c r="D90" s="66">
        <v>8.9964176259691123E-2</v>
      </c>
      <c r="E90" s="66">
        <v>0.12903082741821556</v>
      </c>
      <c r="F90" s="66">
        <v>0.12302623929240315</v>
      </c>
      <c r="G90" s="66">
        <v>9.1798918698985488E-2</v>
      </c>
      <c r="H90" s="66">
        <v>9.71935875073765E-2</v>
      </c>
      <c r="I90" s="66">
        <v>0.1062469444104697</v>
      </c>
      <c r="J90" s="66">
        <v>8.1678319418573092E-2</v>
      </c>
      <c r="K90" s="66">
        <v>6.4133315079084929E-2</v>
      </c>
      <c r="L90" s="66">
        <v>9.1040041098663219E-2</v>
      </c>
      <c r="M90" s="66">
        <v>9.8087807895387472E-2</v>
      </c>
      <c r="N90" s="61"/>
      <c r="O90" s="61">
        <v>2783840</v>
      </c>
    </row>
    <row r="91" spans="1:15" s="65" customFormat="1" hidden="1" x14ac:dyDescent="0.2">
      <c r="A91" s="61"/>
      <c r="B91" s="61">
        <v>4</v>
      </c>
      <c r="C91" s="61" t="s">
        <v>243</v>
      </c>
      <c r="D91" s="66">
        <v>3.1149175408837389E-2</v>
      </c>
      <c r="E91" s="66">
        <v>3.1251949962296084E-2</v>
      </c>
      <c r="F91" s="66"/>
      <c r="G91" s="66"/>
      <c r="H91" s="66">
        <v>2.0878865534685362E-2</v>
      </c>
      <c r="I91" s="66">
        <v>2.430475150512541E-2</v>
      </c>
      <c r="J91" s="66">
        <v>2.3361304531919792E-2</v>
      </c>
      <c r="K91" s="66">
        <v>1.6468527140065074E-2</v>
      </c>
      <c r="L91" s="66">
        <v>2.684548122920569E-2</v>
      </c>
      <c r="M91" s="66">
        <v>2.9303697238820724E-2</v>
      </c>
      <c r="N91" s="61"/>
      <c r="O91" s="61">
        <v>6763595</v>
      </c>
    </row>
    <row r="92" spans="1:15" s="65" customFormat="1" hidden="1" x14ac:dyDescent="0.2">
      <c r="A92" s="61"/>
      <c r="B92" s="61">
        <v>5</v>
      </c>
      <c r="C92" s="61" t="s">
        <v>132</v>
      </c>
      <c r="D92" s="66">
        <v>3.0325270466263904E-2</v>
      </c>
      <c r="E92" s="66">
        <v>3.6416488941531683E-2</v>
      </c>
      <c r="F92" s="66">
        <v>2.7601287389716431E-2</v>
      </c>
      <c r="G92" s="66">
        <v>2.2762367260026221E-2</v>
      </c>
      <c r="H92" s="66"/>
      <c r="I92" s="66">
        <v>2.1941186391730767E-2</v>
      </c>
      <c r="J92" s="66">
        <v>2.8429737999767384E-2</v>
      </c>
      <c r="K92" s="66">
        <v>1.7101906170824618E-2</v>
      </c>
      <c r="L92" s="66">
        <v>2.2629880710371829E-2</v>
      </c>
      <c r="M92" s="66">
        <v>2.5202455737923738E-2</v>
      </c>
      <c r="N92" s="61"/>
      <c r="O92" s="61">
        <v>2764187</v>
      </c>
    </row>
    <row r="93" spans="1:15" s="65" customFormat="1" hidden="1" x14ac:dyDescent="0.2">
      <c r="A93" s="61"/>
      <c r="B93" s="61">
        <v>6</v>
      </c>
      <c r="C93" s="61" t="s">
        <v>244</v>
      </c>
      <c r="D93" s="66"/>
      <c r="E93" s="66"/>
      <c r="F93" s="66">
        <v>3.2619585891989371E-2</v>
      </c>
      <c r="G93" s="66">
        <v>2.7191201083347525E-2</v>
      </c>
      <c r="H93" s="66">
        <v>1.7473431992535371E-2</v>
      </c>
      <c r="I93" s="66"/>
      <c r="J93" s="66"/>
      <c r="K93" s="66"/>
      <c r="L93" s="66"/>
      <c r="M93" s="66"/>
      <c r="N93" s="61"/>
      <c r="O93" s="61">
        <v>3511670</v>
      </c>
    </row>
    <row r="94" spans="1:15" s="65" customFormat="1" hidden="1" x14ac:dyDescent="0.2">
      <c r="A94" s="61"/>
      <c r="B94" s="61">
        <v>7</v>
      </c>
      <c r="C94" s="61" t="s">
        <v>68</v>
      </c>
      <c r="D94" s="66">
        <v>9.7661675904413381E-2</v>
      </c>
      <c r="E94" s="66">
        <v>7.7989786654625179E-2</v>
      </c>
      <c r="F94" s="66">
        <v>6.2089085251137363E-2</v>
      </c>
      <c r="G94" s="66">
        <v>4.524329888675066E-2</v>
      </c>
      <c r="H94" s="66">
        <v>3.6226720293119616E-2</v>
      </c>
      <c r="I94" s="66">
        <v>3.5069162759634634E-2</v>
      </c>
      <c r="J94" s="66">
        <v>3.6726871811902567E-2</v>
      </c>
      <c r="K94" s="66">
        <v>3.0713126860879309E-2</v>
      </c>
      <c r="L94" s="66">
        <v>3.8269281713093746E-2</v>
      </c>
      <c r="M94" s="66">
        <v>3.1368444458307318E-2</v>
      </c>
      <c r="N94" s="61"/>
      <c r="O94" s="61">
        <v>32768</v>
      </c>
    </row>
    <row r="95" spans="1:15" s="65" customFormat="1" hidden="1" x14ac:dyDescent="0.2">
      <c r="A95" s="61"/>
      <c r="B95" s="61">
        <v>8</v>
      </c>
      <c r="C95" s="61"/>
      <c r="D95" s="66"/>
      <c r="E95" s="66"/>
      <c r="F95" s="66"/>
      <c r="G95" s="66"/>
      <c r="H95" s="66"/>
      <c r="I95" s="66"/>
      <c r="J95" s="66"/>
      <c r="K95" s="66"/>
      <c r="L95" s="66"/>
      <c r="M95" s="66"/>
      <c r="N95" s="61"/>
      <c r="O95" s="61">
        <v>8274269</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8</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'NS beam trawl over 300kW'!D3:L3</xm:f>
              <xm:sqref>C3</xm:sqref>
            </x14:sparkline>
            <x14:sparkline>
              <xm:f>'NS beam trawl over 300kW'!D4:L4</xm:f>
              <xm:sqref>C4</xm:sqref>
            </x14:sparkline>
            <x14:sparkline>
              <xm:f>'NS beam trawl over 300kW'!D5:L5</xm:f>
              <xm:sqref>C5</xm:sqref>
            </x14:sparkline>
            <x14:sparkline>
              <xm:f>'NS beam trawl over 300kW'!D6:L6</xm:f>
              <xm:sqref>C6</xm:sqref>
            </x14:sparkline>
            <x14:sparkline>
              <xm:f>'NS beam trawl over 300kW'!D7:L7</xm:f>
              <xm:sqref>C7</xm:sqref>
            </x14:sparkline>
            <x14:sparkline>
              <xm:f>'NS beam trawl over 300kW'!D8:L8</xm:f>
              <xm:sqref>C8</xm:sqref>
            </x14:sparkline>
            <x14:sparkline>
              <xm:f>'NS beam trawl over 300kW'!D9:L9</xm:f>
              <xm:sqref>C9</xm:sqref>
            </x14:sparkline>
            <x14:sparkline>
              <xm:f>'NS beam trawl over 300kW'!D10:L10</xm:f>
              <xm:sqref>C10</xm:sqref>
            </x14:sparkline>
            <x14:sparkline>
              <xm:f>'NS beam trawl over 300kW'!D11:L11</xm:f>
              <xm:sqref>C11</xm:sqref>
            </x14:sparkline>
            <x14:sparkline>
              <xm:f>'NS beam trawl over 300kW'!D12:L12</xm:f>
              <xm:sqref>C12</xm:sqref>
            </x14:sparkline>
            <x14:sparkline>
              <xm:f>'NS beam trawl over 300kW'!D13:L13</xm:f>
              <xm:sqref>C13</xm:sqref>
            </x14:sparkline>
            <x14:sparkline>
              <xm:f>'NS beam trawl over 300kW'!D14:L14</xm:f>
              <xm:sqref>C14</xm:sqref>
            </x14:sparkline>
            <x14:sparkline>
              <xm:f>'NS beam trawl over 300kW'!D15:L15</xm:f>
              <xm:sqref>C15</xm:sqref>
            </x14:sparkline>
            <x14:sparkline>
              <xm:f>'NS beam trawl over 300kW'!D16:L16</xm:f>
              <xm:sqref>C16</xm:sqref>
            </x14:sparkline>
            <x14:sparkline>
              <xm:f>'NS beam trawl over 300kW'!D17:L17</xm:f>
              <xm:sqref>C17</xm:sqref>
            </x14:sparkline>
            <x14:sparkline>
              <xm:f>'NS beam trawl over 300kW'!D18:L18</xm:f>
              <xm:sqref>C18</xm:sqref>
            </x14:sparkline>
            <x14:sparkline>
              <xm:f>'NS beam trawl over 300kW'!D19:L19</xm:f>
              <xm:sqref>C19</xm:sqref>
            </x14:sparkline>
            <x14:sparkline>
              <xm:f>'NS beam trawl over 300kW'!D20:L20</xm:f>
              <xm:sqref>C20</xm:sqref>
            </x14:sparkline>
            <x14:sparkline>
              <xm:f>'NS beam trawl over 300kW'!D21:L21</xm:f>
              <xm:sqref>C21</xm:sqref>
            </x14:sparkline>
            <x14:sparkline>
              <xm:f>'NS beam trawl over 300kW'!D22:L22</xm:f>
              <xm:sqref>C22</xm:sqref>
            </x14:sparkline>
            <x14:sparkline>
              <xm:f>'NS beam trawl over 300kW'!D23:L23</xm:f>
              <xm:sqref>C23</xm:sqref>
            </x14:sparkline>
            <x14:sparkline>
              <xm:f>'NS beam trawl over 300kW'!D24:L24</xm:f>
              <xm:sqref>C24</xm:sqref>
            </x14:sparkline>
            <x14:sparkline>
              <xm:f>'NS beam trawl over 300kW'!D25:L25</xm:f>
              <xm:sqref>C25</xm:sqref>
            </x14:sparkline>
            <x14:sparkline>
              <xm:f>'NS beam trawl over 300kW'!D26:L26</xm:f>
              <xm:sqref>C26</xm:sqref>
            </x14:sparkline>
            <x14:sparkline>
              <xm:f>'NS beam trawl over 300kW'!D27:L27</xm:f>
              <xm:sqref>C27</xm:sqref>
            </x14:sparkline>
            <x14:sparkline>
              <xm:f>'NS beam trawl over 300kW'!D28:L28</xm:f>
              <xm:sqref>C28</xm:sqref>
            </x14:sparkline>
            <x14:sparkline>
              <xm:f>'NS beam trawl over 300kW'!D29:L29</xm:f>
              <xm:sqref>C29</xm:sqref>
            </x14:sparkline>
            <x14:sparkline>
              <xm:f>'NS beam trawl over 300kW'!D30:L30</xm:f>
              <xm:sqref>C30</xm:sqref>
            </x14:sparkline>
            <x14:sparkline>
              <xm:f>'NS beam trawl over 300kW'!D31:L31</xm:f>
              <xm:sqref>C31</xm:sqref>
            </x14:sparkline>
            <x14:sparkline>
              <xm:f>'NS beam trawl over 300kW'!D32:L32</xm:f>
              <xm:sqref>C32</xm:sqref>
            </x14:sparkline>
            <x14:sparkline>
              <xm:f>'NS beam trawl over 300kW'!D33:L33</xm:f>
              <xm:sqref>C33</xm:sqref>
            </x14:sparkline>
            <x14:sparkline>
              <xm:f>'NS beam trawl over 300kW'!D34:L34</xm:f>
              <xm:sqref>C34</xm:sqref>
            </x14:sparkline>
            <x14:sparkline>
              <xm:f>'NS beam trawl over 300kW'!D35:L35</xm:f>
              <xm:sqref>C35</xm:sqref>
            </x14:sparkline>
            <x14:sparkline>
              <xm:f>'NS beam trawl over 300kW'!D36:L36</xm:f>
              <xm:sqref>C36</xm:sqref>
            </x14:sparkline>
            <x14:sparkline>
              <xm:f>'NS beam trawl over 300kW'!D37:L37</xm:f>
              <xm:sqref>C37</xm:sqref>
            </x14:sparkline>
            <x14:sparkline>
              <xm:f>'NS beam trawl over 300kW'!D38:L38</xm:f>
              <xm:sqref>C38</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245</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18</v>
      </c>
      <c r="E3" s="16">
        <v>15</v>
      </c>
      <c r="F3" s="16">
        <v>28</v>
      </c>
      <c r="G3" s="16">
        <v>29</v>
      </c>
      <c r="H3" s="16">
        <v>27</v>
      </c>
      <c r="I3" s="16">
        <v>27</v>
      </c>
      <c r="J3" s="16">
        <v>13</v>
      </c>
      <c r="K3" s="16">
        <v>25</v>
      </c>
      <c r="L3" s="16">
        <v>18</v>
      </c>
      <c r="M3" s="17">
        <v>19</v>
      </c>
      <c r="N3" s="18">
        <f t="shared" ref="N3:N38" si="0">IF(L3=0,"",IFERROR(IF(AND(L3&gt;0,D3&lt;0),"na",IF(AND(L3&lt;0,D3&lt;0),-1,1)*(L3-D3)/D3),""))</f>
        <v>0</v>
      </c>
      <c r="O3" s="18">
        <f t="shared" ref="O3:O38" si="1">IF(L3=0,"",IFERROR(IF(AND(L3&gt;0,H3&lt;0),"na",IF(AND(L3&lt;0,H3&lt;0),-1,1)*(L3-H3)/H3),""))</f>
        <v>-0.33333333333333331</v>
      </c>
    </row>
    <row r="4" spans="1:15" s="19" customFormat="1" ht="18" customHeight="1" x14ac:dyDescent="0.2">
      <c r="A4" s="141"/>
      <c r="B4" s="20" t="s">
        <v>20</v>
      </c>
      <c r="C4" s="21"/>
      <c r="D4" s="22">
        <v>3319.1298828125</v>
      </c>
      <c r="E4" s="22">
        <v>2731.1298828125</v>
      </c>
      <c r="F4" s="22">
        <v>4469.18017578125</v>
      </c>
      <c r="G4" s="22">
        <v>4747.18017578125</v>
      </c>
      <c r="H4" s="22">
        <v>5032.740234375</v>
      </c>
      <c r="I4" s="22">
        <v>4985.740234375</v>
      </c>
      <c r="J4" s="22">
        <v>2585.080078125</v>
      </c>
      <c r="K4" s="22">
        <v>4552.080078125</v>
      </c>
      <c r="L4" s="22">
        <v>3423.080078125</v>
      </c>
      <c r="M4" s="23">
        <v>3561.080078125</v>
      </c>
      <c r="N4" s="24">
        <f t="shared" si="0"/>
        <v>3.1318507856768985E-2</v>
      </c>
      <c r="O4" s="24">
        <f t="shared" si="1"/>
        <v>-0.31983771887441725</v>
      </c>
    </row>
    <row r="5" spans="1:15" s="19" customFormat="1" ht="18" customHeight="1" x14ac:dyDescent="0.2">
      <c r="A5" s="141"/>
      <c r="B5" s="20" t="s">
        <v>21</v>
      </c>
      <c r="C5" s="21"/>
      <c r="D5" s="22">
        <v>509.8900146484375</v>
      </c>
      <c r="E5" s="22">
        <v>441.3699951171875</v>
      </c>
      <c r="F5" s="22">
        <v>684.40997314453125</v>
      </c>
      <c r="G5" s="22">
        <v>715.1300048828125</v>
      </c>
      <c r="H5" s="22">
        <v>761.469970703125</v>
      </c>
      <c r="I5" s="22">
        <v>986.989990234375</v>
      </c>
      <c r="J5" s="22">
        <v>550.29998779296875</v>
      </c>
      <c r="K5" s="22">
        <v>596.72998046875</v>
      </c>
      <c r="L5" s="22">
        <v>536.780029296875</v>
      </c>
      <c r="M5" s="23">
        <v>496.33999633789062</v>
      </c>
      <c r="N5" s="24">
        <f t="shared" si="0"/>
        <v>5.2736892027544044E-2</v>
      </c>
      <c r="O5" s="24">
        <f t="shared" si="1"/>
        <v>-0.29507393600666371</v>
      </c>
    </row>
    <row r="6" spans="1:15" s="19" customFormat="1" ht="18" customHeight="1" x14ac:dyDescent="0.2">
      <c r="A6" s="141"/>
      <c r="B6" s="20" t="s">
        <v>22</v>
      </c>
      <c r="C6" s="21"/>
      <c r="D6" s="22">
        <v>2455.370849609375</v>
      </c>
      <c r="E6" s="22">
        <v>2348.783935546875</v>
      </c>
      <c r="F6" s="22">
        <v>3176.171630859375</v>
      </c>
      <c r="G6" s="22">
        <v>4090.923583984375</v>
      </c>
      <c r="H6" s="22">
        <v>4274.6533203125</v>
      </c>
      <c r="I6" s="22">
        <v>4381.91455078125</v>
      </c>
      <c r="J6" s="22">
        <v>2314.12109375</v>
      </c>
      <c r="K6" s="22">
        <v>3752.695068359375</v>
      </c>
      <c r="L6" s="22">
        <v>2918.0732421875</v>
      </c>
      <c r="M6" s="23">
        <v>2955.0927734375</v>
      </c>
      <c r="N6" s="24">
        <f t="shared" si="0"/>
        <v>0.18844501336803618</v>
      </c>
      <c r="O6" s="24">
        <f t="shared" si="1"/>
        <v>-0.31735440899469874</v>
      </c>
    </row>
    <row r="7" spans="1:15" s="19" customFormat="1" ht="18" customHeight="1" x14ac:dyDescent="0.2">
      <c r="A7" s="141"/>
      <c r="B7" s="20" t="s">
        <v>23</v>
      </c>
      <c r="C7" s="21"/>
      <c r="D7" s="22">
        <v>457.26809692382812</v>
      </c>
      <c r="E7" s="22">
        <v>492.45291137695312</v>
      </c>
      <c r="F7" s="22">
        <v>1178.7113037109375</v>
      </c>
      <c r="G7" s="22">
        <v>874.5458984375</v>
      </c>
      <c r="H7" s="22">
        <v>1154.4412841796875</v>
      </c>
      <c r="I7" s="22">
        <v>1734.1749267578125</v>
      </c>
      <c r="J7" s="22">
        <v>604.53729248046875</v>
      </c>
      <c r="K7" s="22">
        <v>1627.0472412109375</v>
      </c>
      <c r="L7" s="22">
        <v>1100.51904296875</v>
      </c>
      <c r="M7" s="23">
        <v>1392.8677978515625</v>
      </c>
      <c r="N7" s="24">
        <f t="shared" si="0"/>
        <v>1.4067260549604335</v>
      </c>
      <c r="O7" s="24">
        <f t="shared" si="1"/>
        <v>-4.6708517747832523E-2</v>
      </c>
    </row>
    <row r="8" spans="1:15" s="19" customFormat="1" ht="18" customHeight="1" x14ac:dyDescent="0.2">
      <c r="A8" s="141"/>
      <c r="B8" s="20" t="s">
        <v>24</v>
      </c>
      <c r="C8" s="25"/>
      <c r="D8" s="26">
        <f ca="1">0.9043281875*OFFSET(D$108,MATCH($M$1,$C$109:$C$110,0),0)</f>
        <v>0.7356348008135104</v>
      </c>
      <c r="E8" s="26">
        <f ca="1">0.8927315*OFFSET(E$108,MATCH($M$1,$C$109:$C$110,0),0)</f>
        <v>0.74572534713978256</v>
      </c>
      <c r="F8" s="26">
        <f ca="1">3.5146385*OFFSET(F$108,MATCH($M$1,$C$109:$C$110,0),0)</f>
        <v>3.0201990776253616</v>
      </c>
      <c r="G8" s="26">
        <f ca="1">2.201496*OFFSET(G$108,MATCH($M$1,$C$109:$C$110,0),0)</f>
        <v>1.9467168938638877</v>
      </c>
      <c r="H8" s="26">
        <f ca="1">1.835174*OFFSET(H$108,MATCH($M$1,$C$109:$C$110,0),0)</f>
        <v>1.6549232362436255</v>
      </c>
      <c r="I8" s="26">
        <f ca="1">3.2294625*OFFSET(I$108,MATCH($M$1,$C$109:$C$110,0),0)</f>
        <v>3.0046595762455803</v>
      </c>
      <c r="J8" s="26">
        <f ca="1">0.936911125*OFFSET(J$108,MATCH($M$1,$C$109:$C$110,0),0)</f>
        <v>0.89021546750367064</v>
      </c>
      <c r="K8" s="26">
        <f ca="1">2.83066975*OFFSET(K$108,MATCH($M$1,$C$109:$C$110,0),0)</f>
        <v>2.7342571115924299</v>
      </c>
      <c r="L8" s="26">
        <f ca="1">2.115349*OFFSET(L$108,MATCH($M$1,$C$109:$C$110,0),0)</f>
        <v>2.0798745606851274</v>
      </c>
      <c r="M8" s="27">
        <f ca="1">1.251580875*OFFSET(M$108,MATCH($M$1,$C$109:$C$110,0),0)</f>
        <v>1.2515808701374165</v>
      </c>
      <c r="N8" s="24">
        <f t="shared" ca="1" si="0"/>
        <v>1.8273194231500112</v>
      </c>
      <c r="O8" s="24">
        <f t="shared" ca="1" si="1"/>
        <v>0.25678008208167052</v>
      </c>
    </row>
    <row r="9" spans="1:15" s="19" customFormat="1" ht="18" customHeight="1" x14ac:dyDescent="0.2">
      <c r="A9" s="141"/>
      <c r="B9" s="20" t="s">
        <v>25</v>
      </c>
      <c r="C9" s="25"/>
      <c r="D9" s="22">
        <v>1993</v>
      </c>
      <c r="E9" s="22">
        <v>1013</v>
      </c>
      <c r="F9" s="22">
        <v>2101</v>
      </c>
      <c r="G9" s="22">
        <v>2131</v>
      </c>
      <c r="H9" s="22">
        <v>2797</v>
      </c>
      <c r="I9" s="22">
        <v>2959</v>
      </c>
      <c r="J9" s="22">
        <v>1026</v>
      </c>
      <c r="K9" s="22">
        <v>2210</v>
      </c>
      <c r="L9" s="22">
        <v>2104</v>
      </c>
      <c r="M9" s="23">
        <v>2212</v>
      </c>
      <c r="N9" s="24">
        <f t="shared" si="0"/>
        <v>5.5694932262920223E-2</v>
      </c>
      <c r="O9" s="24">
        <f t="shared" si="1"/>
        <v>-0.24776546299606722</v>
      </c>
    </row>
    <row r="10" spans="1:15" s="19" customFormat="1" ht="18" customHeight="1" x14ac:dyDescent="0.2">
      <c r="A10" s="142" t="s">
        <v>7</v>
      </c>
      <c r="B10" s="28" t="s">
        <v>26</v>
      </c>
      <c r="C10" s="29"/>
      <c r="D10" s="30">
        <v>14.352777481079102</v>
      </c>
      <c r="E10" s="30">
        <v>14.743332862854004</v>
      </c>
      <c r="F10" s="30">
        <v>13.833928108215332</v>
      </c>
      <c r="G10" s="30">
        <v>13.82103443145752</v>
      </c>
      <c r="H10" s="30">
        <v>14.519259452819824</v>
      </c>
      <c r="I10" s="30">
        <v>14.842963218688965</v>
      </c>
      <c r="J10" s="30">
        <v>15.695384979248047</v>
      </c>
      <c r="K10" s="30">
        <v>13.605600357055664</v>
      </c>
      <c r="L10" s="30">
        <v>14.510555267333984</v>
      </c>
      <c r="M10" s="31">
        <v>13.952105522155762</v>
      </c>
      <c r="N10" s="32">
        <f t="shared" si="0"/>
        <v>1.0992839989533539E-2</v>
      </c>
      <c r="O10" s="32">
        <f t="shared" si="1"/>
        <v>-5.9949238555340927E-4</v>
      </c>
    </row>
    <row r="11" spans="1:15" s="19" customFormat="1" ht="18" customHeight="1" x14ac:dyDescent="0.2">
      <c r="A11" s="143"/>
      <c r="B11" s="33" t="s">
        <v>20</v>
      </c>
      <c r="C11" s="21"/>
      <c r="D11" s="22">
        <v>184.3961181640625</v>
      </c>
      <c r="E11" s="22">
        <v>182.07533264160156</v>
      </c>
      <c r="F11" s="22">
        <v>159.61357116699219</v>
      </c>
      <c r="G11" s="22">
        <v>163.69586181640625</v>
      </c>
      <c r="H11" s="22">
        <v>186.39778137207031</v>
      </c>
      <c r="I11" s="22">
        <v>184.65704345703125</v>
      </c>
      <c r="J11" s="22">
        <v>198.85231018066406</v>
      </c>
      <c r="K11" s="22">
        <v>182.08320617675781</v>
      </c>
      <c r="L11" s="22">
        <v>190.17111206054687</v>
      </c>
      <c r="M11" s="23">
        <v>187.42526245117187</v>
      </c>
      <c r="N11" s="24">
        <f t="shared" si="0"/>
        <v>3.1318413608610769E-2</v>
      </c>
      <c r="O11" s="24">
        <f t="shared" si="1"/>
        <v>2.024343133647381E-2</v>
      </c>
    </row>
    <row r="12" spans="1:15" s="19" customFormat="1" ht="18" customHeight="1" x14ac:dyDescent="0.2">
      <c r="A12" s="143"/>
      <c r="B12" s="33" t="s">
        <v>21</v>
      </c>
      <c r="C12" s="21"/>
      <c r="D12" s="22">
        <v>28.32722282409668</v>
      </c>
      <c r="E12" s="22">
        <v>29.424667358398438</v>
      </c>
      <c r="F12" s="22">
        <v>24.443214416503906</v>
      </c>
      <c r="G12" s="22">
        <v>24.65965461730957</v>
      </c>
      <c r="H12" s="22">
        <v>28.202592849731445</v>
      </c>
      <c r="I12" s="22">
        <v>36.555183410644531</v>
      </c>
      <c r="J12" s="22">
        <v>42.330768585205078</v>
      </c>
      <c r="K12" s="22">
        <v>23.869199752807617</v>
      </c>
      <c r="L12" s="22">
        <v>29.821111679077148</v>
      </c>
      <c r="M12" s="23">
        <v>26.123157501220703</v>
      </c>
      <c r="N12" s="24">
        <f t="shared" si="0"/>
        <v>5.2736862496442306E-2</v>
      </c>
      <c r="O12" s="24">
        <f t="shared" si="1"/>
        <v>5.738900809473322E-2</v>
      </c>
    </row>
    <row r="13" spans="1:15" s="19" customFormat="1" ht="18" customHeight="1" x14ac:dyDescent="0.2">
      <c r="A13" s="143"/>
      <c r="B13" s="33" t="s">
        <v>22</v>
      </c>
      <c r="C13" s="21"/>
      <c r="D13" s="22">
        <v>136.40948486328125</v>
      </c>
      <c r="E13" s="22">
        <v>156.58558654785156</v>
      </c>
      <c r="F13" s="22">
        <v>113.43470001220703</v>
      </c>
      <c r="G13" s="22">
        <v>141.06632995605469</v>
      </c>
      <c r="H13" s="22">
        <v>158.32049560546875</v>
      </c>
      <c r="I13" s="22">
        <v>162.29312133789062</v>
      </c>
      <c r="J13" s="22">
        <v>178.00932312011719</v>
      </c>
      <c r="K13" s="22">
        <v>150.10780334472656</v>
      </c>
      <c r="L13" s="22">
        <v>162.11518859863281</v>
      </c>
      <c r="M13" s="23">
        <v>155.53120422363281</v>
      </c>
      <c r="N13" s="24">
        <f t="shared" si="0"/>
        <v>0.18844513459687606</v>
      </c>
      <c r="O13" s="24">
        <f t="shared" si="1"/>
        <v>2.3968425431286897E-2</v>
      </c>
    </row>
    <row r="14" spans="1:15" s="19" customFormat="1" ht="18" customHeight="1" x14ac:dyDescent="0.2">
      <c r="A14" s="143"/>
      <c r="B14" s="33" t="s">
        <v>23</v>
      </c>
      <c r="C14" s="25"/>
      <c r="D14" s="26">
        <v>25.403783798217773</v>
      </c>
      <c r="E14" s="26">
        <v>32.830192565917969</v>
      </c>
      <c r="F14" s="26">
        <v>42.096832275390625</v>
      </c>
      <c r="G14" s="26">
        <v>30.156755447387695</v>
      </c>
      <c r="H14" s="26">
        <v>42.757083892822266</v>
      </c>
      <c r="I14" s="26">
        <v>64.22869873046875</v>
      </c>
      <c r="J14" s="26">
        <v>46.50286865234375</v>
      </c>
      <c r="K14" s="26">
        <v>65.081886291503906</v>
      </c>
      <c r="L14" s="26">
        <v>61.139945983886719</v>
      </c>
      <c r="M14" s="27">
        <v>73.308830261230469</v>
      </c>
      <c r="N14" s="24">
        <f t="shared" si="0"/>
        <v>1.4067259613576166</v>
      </c>
      <c r="O14" s="24">
        <f t="shared" si="1"/>
        <v>0.42993722717723576</v>
      </c>
    </row>
    <row r="15" spans="1:15" s="19" customFormat="1" ht="18" customHeight="1" x14ac:dyDescent="0.2">
      <c r="A15" s="143"/>
      <c r="B15" s="33" t="s">
        <v>27</v>
      </c>
      <c r="C15" s="25"/>
      <c r="D15" s="26">
        <f ca="1">50.24045703125*OFFSET(D$108,MATCH($M$1,$C$109:$C$110,0),0)</f>
        <v>40.868601810516189</v>
      </c>
      <c r="E15" s="26">
        <f ca="1">59.51543359375*OFFSET(E$108,MATCH($M$1,$C$109:$C$110,0),0)</f>
        <v>49.715023360186009</v>
      </c>
      <c r="F15" s="26">
        <f ca="1">125.5228046875*OFFSET(F$108,MATCH($M$1,$C$109:$C$110,0),0)</f>
        <v>107.86425373139681</v>
      </c>
      <c r="G15" s="26">
        <f ca="1">75.91365625*OFFSET(G$108,MATCH($M$1,$C$109:$C$110,0),0)</f>
        <v>67.128169706804329</v>
      </c>
      <c r="H15" s="26">
        <f ca="1">67.96940625*OFFSET(H$108,MATCH($M$1,$C$109:$C$110,0),0)</f>
        <v>61.293452150481485</v>
      </c>
      <c r="I15" s="26">
        <f ca="1">119.6097265625*OFFSET(I$108,MATCH($M$1,$C$109:$C$110,0),0)</f>
        <v>111.28369204724656</v>
      </c>
      <c r="J15" s="26">
        <f ca="1">72.0700859375*OFFSET(J$108,MATCH($M$1,$C$109:$C$110,0),0)</f>
        <v>68.478112313888133</v>
      </c>
      <c r="K15" s="26">
        <f ca="1">113.2267890625*OFFSET(K$108,MATCH($M$1,$C$109:$C$110,0),0)</f>
        <v>109.37028355812845</v>
      </c>
      <c r="L15" s="26">
        <f ca="1">117.519390625*OFFSET(L$108,MATCH($M$1,$C$109:$C$110,0),0)</f>
        <v>115.5485884117258</v>
      </c>
      <c r="M15" s="27">
        <f ca="1">65.8726796875*OFFSET(M$108,MATCH($M$1,$C$109:$C$110,0),0)</f>
        <v>65.872679431574539</v>
      </c>
      <c r="N15" s="24">
        <f t="shared" ca="1" si="0"/>
        <v>1.8273193427917362</v>
      </c>
      <c r="O15" s="24">
        <f t="shared" ca="1" si="1"/>
        <v>0.88517018307343165</v>
      </c>
    </row>
    <row r="16" spans="1:15" s="19" customFormat="1" ht="18" customHeight="1" x14ac:dyDescent="0.2">
      <c r="A16" s="143"/>
      <c r="B16" s="33" t="s">
        <v>25</v>
      </c>
      <c r="C16" s="21"/>
      <c r="D16" s="22">
        <v>110.72222137451172</v>
      </c>
      <c r="E16" s="22">
        <v>67.533332824707031</v>
      </c>
      <c r="F16" s="22">
        <v>75.035713195800781</v>
      </c>
      <c r="G16" s="22">
        <v>73.482757568359375</v>
      </c>
      <c r="H16" s="22">
        <v>103.59259033203125</v>
      </c>
      <c r="I16" s="22">
        <v>109.59259033203125</v>
      </c>
      <c r="J16" s="22">
        <v>78.923080444335938</v>
      </c>
      <c r="K16" s="22">
        <v>88.400001525878906</v>
      </c>
      <c r="L16" s="22">
        <v>116.88888549804687</v>
      </c>
      <c r="M16" s="23">
        <v>116.42105102539062</v>
      </c>
      <c r="N16" s="24">
        <f t="shared" si="0"/>
        <v>5.5694909720757496E-2</v>
      </c>
      <c r="O16" s="24">
        <f t="shared" si="1"/>
        <v>0.12835179739592201</v>
      </c>
    </row>
    <row r="17" spans="1:15" s="19" customFormat="1" ht="18" customHeight="1" x14ac:dyDescent="0.2">
      <c r="A17" s="143"/>
      <c r="B17" s="33" t="s">
        <v>28</v>
      </c>
      <c r="C17" s="21"/>
      <c r="D17" s="22">
        <v>24</v>
      </c>
      <c r="E17" s="22">
        <v>20.266666412353516</v>
      </c>
      <c r="F17" s="22">
        <v>22.642856597900391</v>
      </c>
      <c r="G17" s="22">
        <v>23.241378784179687</v>
      </c>
      <c r="H17" s="22">
        <v>18.925926208496094</v>
      </c>
      <c r="I17" s="22">
        <v>17.296297073364258</v>
      </c>
      <c r="J17" s="22">
        <v>19.538461685180664</v>
      </c>
      <c r="K17" s="22">
        <v>16.479999542236328</v>
      </c>
      <c r="L17" s="22">
        <v>19</v>
      </c>
      <c r="M17" s="23">
        <v>19.157894134521484</v>
      </c>
      <c r="N17" s="24">
        <f t="shared" si="0"/>
        <v>-0.20833333333333334</v>
      </c>
      <c r="O17" s="24">
        <f t="shared" si="1"/>
        <v>3.9138793360957713E-3</v>
      </c>
    </row>
    <row r="18" spans="1:15" s="19" customFormat="1" ht="18" customHeight="1" x14ac:dyDescent="0.2">
      <c r="A18" s="143"/>
      <c r="B18" s="33" t="s">
        <v>29</v>
      </c>
      <c r="C18" s="21"/>
      <c r="D18" s="34">
        <v>0.22943708300590515</v>
      </c>
      <c r="E18" s="34">
        <v>0.4861331582069397</v>
      </c>
      <c r="F18" s="34">
        <v>0.56102395057678223</v>
      </c>
      <c r="G18" s="34">
        <v>0.41039225459098816</v>
      </c>
      <c r="H18" s="34">
        <v>0.41274267435073853</v>
      </c>
      <c r="I18" s="34">
        <v>0.58606791496276855</v>
      </c>
      <c r="J18" s="34">
        <v>0.58921760320663452</v>
      </c>
      <c r="K18" s="34">
        <v>0.73622041940689087</v>
      </c>
      <c r="L18" s="34">
        <v>0.5230603814125061</v>
      </c>
      <c r="M18" s="35">
        <v>0.62968707084655762</v>
      </c>
      <c r="N18" s="24">
        <f t="shared" si="0"/>
        <v>1.2797551928388307</v>
      </c>
      <c r="O18" s="24">
        <f t="shared" si="1"/>
        <v>0.26727962461187699</v>
      </c>
    </row>
    <row r="19" spans="1:15" s="19" customFormat="1" ht="18" customHeight="1" x14ac:dyDescent="0.2">
      <c r="A19" s="144"/>
      <c r="B19" s="36" t="s">
        <v>8</v>
      </c>
      <c r="C19" s="37"/>
      <c r="D19" s="38">
        <f ca="1">1977.67610201471*OFFSET(D$108,MATCH($M$1,$C$109:$C$110,0),0)</f>
        <v>1608.7603875326852</v>
      </c>
      <c r="E19" s="38">
        <f ca="1">1812.8261187528*OFFSET(E$108,MATCH($M$1,$C$109:$C$110,0),0)</f>
        <v>1514.3079265277372</v>
      </c>
      <c r="F19" s="38">
        <f ca="1">2981.76363366913*OFFSET(F$108,MATCH($M$1,$C$109:$C$110,0),0)</f>
        <v>2562.289059345464</v>
      </c>
      <c r="G19" s="38">
        <f ca="1">2517.30184079908*OFFSET(G$108,MATCH($M$1,$C$109:$C$110,0),0)</f>
        <v>2225.9745284289552</v>
      </c>
      <c r="H19" s="38">
        <f ca="1">1589.66421692379*OFFSET(H$108,MATCH($M$1,$C$109:$C$110,0),0)</f>
        <v>1433.5274205128273</v>
      </c>
      <c r="I19" s="38">
        <f ca="1">1862.24725670423*OFFSET(I$108,MATCH($M$1,$C$109:$C$110,0),0)</f>
        <v>1732.616202601339</v>
      </c>
      <c r="J19" s="38">
        <f ca="1">1549.79872483263*OFFSET(J$108,MATCH($M$1,$C$109:$C$110,0),0)</f>
        <v>1472.556744764315</v>
      </c>
      <c r="K19" s="38">
        <f ca="1">1739.75879636615*OFFSET(K$108,MATCH($M$1,$C$109:$C$110,0),0)</f>
        <v>1680.5025953379518</v>
      </c>
      <c r="L19" s="38">
        <f ca="1">1922.13757091713*OFFSET(L$108,MATCH($M$1,$C$109:$C$110,0),0)</f>
        <v>1889.9032906095608</v>
      </c>
      <c r="M19" s="39">
        <f ca="1">898.564010834703*OFFSET(M$108,MATCH($M$1,$C$109:$C$110,0),0)</f>
        <v>898.56400734364422</v>
      </c>
      <c r="N19" s="40">
        <f ca="1">IF(L19=0,"",IFERROR(IF(AND(L19&gt;0,D19&lt;0),"na",IF(AND(L19&lt;0,D19&lt;0),-1,1)*(L19-D19)/D19),""))</f>
        <v>0.17475747492021318</v>
      </c>
      <c r="O19" s="40">
        <f ca="1">IF(L19=0,"",IFERROR(IF(AND(L19&gt;0,H19&lt;0),"na",IF(AND(L19&lt;0,H19&lt;0),-1,1)*(L19-H19)/H19),""))</f>
        <v>0.31835866099685101</v>
      </c>
    </row>
    <row r="20" spans="1:15" s="19" customFormat="1" ht="18" customHeight="1" x14ac:dyDescent="0.2">
      <c r="A20" s="145" t="s">
        <v>9</v>
      </c>
      <c r="B20" s="28" t="s">
        <v>30</v>
      </c>
      <c r="C20" s="41"/>
      <c r="D20" s="42">
        <v>1.2760747106638126</v>
      </c>
      <c r="E20" s="42">
        <v>2.8186015304220184</v>
      </c>
      <c r="F20" s="42">
        <v>3.2578053239572484</v>
      </c>
      <c r="G20" s="42">
        <v>2.4248766166914622</v>
      </c>
      <c r="H20" s="42">
        <v>2.2310586297920501</v>
      </c>
      <c r="I20" s="42">
        <v>3.0424162359557529</v>
      </c>
      <c r="J20" s="42">
        <v>3.1974267392220748</v>
      </c>
      <c r="K20" s="42">
        <v>3.9252069574454178</v>
      </c>
      <c r="L20" s="42">
        <v>2.7217057438375556</v>
      </c>
      <c r="M20" s="43">
        <v>3.3328015549013221</v>
      </c>
      <c r="N20" s="32">
        <f t="shared" si="0"/>
        <v>1.1328733506690429</v>
      </c>
      <c r="O20" s="32">
        <f t="shared" si="1"/>
        <v>0.21991672809209734</v>
      </c>
    </row>
    <row r="21" spans="1:15" s="19" customFormat="1" ht="18" customHeight="1" x14ac:dyDescent="0.2">
      <c r="A21" s="145"/>
      <c r="B21" s="33" t="s">
        <v>31</v>
      </c>
      <c r="C21" s="21"/>
      <c r="D21" s="34">
        <f ca="1">2.52366250551494*OFFSET(D$108,MATCH($M$1,$C$109:$C$110,0),0)</f>
        <v>2.0528984833451376</v>
      </c>
      <c r="E21" s="34">
        <f ca="1">5.10963473254861*OFFSET(E$108,MATCH($M$1,$C$109:$C$110,0),0)</f>
        <v>4.2682308562958768</v>
      </c>
      <c r="F21" s="34">
        <f ca="1">9.71400552692035*OFFSET(F$108,MATCH($M$1,$C$109:$C$110,0),0)</f>
        <v>8.3474390132733429</v>
      </c>
      <c r="G21" s="34">
        <f ca="1">6.10414639099129*OFFSET(G$108,MATCH($M$1,$C$109:$C$110,0),0)</f>
        <v>5.3977136010971734</v>
      </c>
      <c r="H21" s="34">
        <f ca="1">3.54663406784299*OFFSET(H$108,MATCH($M$1,$C$109:$C$110,0),0)</f>
        <v>3.1982837209586745</v>
      </c>
      <c r="I21" s="34">
        <f ca="1">5.66573169416167*OFFSET(I$108,MATCH($M$1,$C$109:$C$110,0),0)</f>
        <v>5.2713400422828753</v>
      </c>
      <c r="J21" s="34">
        <f ca="1">4.95536784187143*OFFSET(J$108,MATCH($M$1,$C$109:$C$110,0),0)</f>
        <v>4.7083922714699655</v>
      </c>
      <c r="K21" s="34">
        <f ca="1">6.82891362746732*OFFSET(K$108,MATCH($M$1,$C$109:$C$110,0),0)</f>
        <v>6.5963207648483104</v>
      </c>
      <c r="L21" s="34">
        <f ca="1">5.23149301703093*OFFSET(L$108,MATCH($M$1,$C$109:$C$110,0),0)</f>
        <v>5.1437607886568681</v>
      </c>
      <c r="M21" s="35">
        <f ca="1">2.99473567516629*OFFSET(M$108,MATCH($M$1,$C$109:$C$110,0),0)</f>
        <v>2.9947356635312832</v>
      </c>
      <c r="N21" s="24">
        <f t="shared" ca="1" si="0"/>
        <v>1.505608937990573</v>
      </c>
      <c r="O21" s="24">
        <f t="shared" ca="1" si="1"/>
        <v>0.60828783104803585</v>
      </c>
    </row>
    <row r="22" spans="1:15" s="19" customFormat="1" ht="18" customHeight="1" x14ac:dyDescent="0.2">
      <c r="A22" s="145"/>
      <c r="B22" s="33" t="s">
        <v>10</v>
      </c>
      <c r="C22" s="21"/>
      <c r="D22" s="34">
        <f ca="1">2.96620413624519*OFFSET(D$108,MATCH($M$1,$C$109:$C$110,0),0)</f>
        <v>2.4128883950539701</v>
      </c>
      <c r="E22" s="34">
        <f ca="1">5.90166855967348*OFFSET(E$108,MATCH($M$1,$C$109:$C$110,0),0)</f>
        <v>4.9298404227547099</v>
      </c>
      <c r="F22" s="34">
        <f ca="1">7.79462713088203*OFFSET(F$108,MATCH($M$1,$C$109:$C$110,0),0)</f>
        <v>6.6980788126925495</v>
      </c>
      <c r="G22" s="34">
        <f ca="1">8.39550708047393*OFFSET(G$108,MATCH($M$1,$C$109:$C$110,0),0)</f>
        <v>7.4238951449888999</v>
      </c>
      <c r="H22" s="34">
        <f ca="1">3.3836282123863*OFFSET(H$108,MATCH($M$1,$C$109:$C$110,0),0)</f>
        <v>3.0512882982690299</v>
      </c>
      <c r="I22" s="34">
        <f ca="1">5.83483354741669*OFFSET(I$108,MATCH($M$1,$C$109:$C$110,0),0)</f>
        <v>5.4286707134839096</v>
      </c>
      <c r="J22" s="34">
        <f ca="1">6.26175919871584*OFFSET(J$108,MATCH($M$1,$C$109:$C$110,0),0)</f>
        <v>5.9496730732920176</v>
      </c>
      <c r="K22" s="34">
        <f ca="1">6.61276920186378*OFFSET(K$108,MATCH($M$1,$C$109:$C$110,0),0)</f>
        <v>6.3875382204213107</v>
      </c>
      <c r="L22" s="34">
        <f ca="1">5.52798691264422*OFFSET(L$108,MATCH($M$1,$C$109:$C$110,0),0)</f>
        <v>5.4352824765128736</v>
      </c>
      <c r="M22" s="35">
        <f ca="1">4.16082273955333*OFFSET(M$108,MATCH($M$1,$C$109:$C$110,0),0)</f>
        <v>4.1608227233878967</v>
      </c>
      <c r="N22" s="24">
        <f t="shared" ca="1" si="0"/>
        <v>1.2526041766599405</v>
      </c>
      <c r="O22" s="24">
        <f t="shared" ca="1" si="1"/>
        <v>0.78130741680367055</v>
      </c>
    </row>
    <row r="23" spans="1:15" s="19" customFormat="1" ht="18" customHeight="1" x14ac:dyDescent="0.2">
      <c r="A23" s="146"/>
      <c r="B23" s="33" t="s">
        <v>32</v>
      </c>
      <c r="C23" s="44"/>
      <c r="D23" s="34">
        <f ca="1">-0.44254163073025*OFFSET(D$108,MATCH($M$1,$C$109:$C$110,0),0)</f>
        <v>-0.35998991170883249</v>
      </c>
      <c r="E23" s="34">
        <f ca="1">-0.792033827124866*OFFSET(E$108,MATCH($M$1,$C$109:$C$110,0),0)</f>
        <v>-0.66160956645883029</v>
      </c>
      <c r="F23" s="34">
        <f ca="1">1.91937839603832*OFFSET(F$108,MATCH($M$1,$C$109:$C$110,0),0)</f>
        <v>1.6493602005807937</v>
      </c>
      <c r="G23" s="34">
        <f ca="1">-2.29136068948264*OFFSET(G$108,MATCH($M$1,$C$109:$C$110,0),0)</f>
        <v>-2.0261815438917266</v>
      </c>
      <c r="H23" s="34">
        <f ca="1">0.163005855456694*OFFSET(H$108,MATCH($M$1,$C$109:$C$110,0),0)</f>
        <v>0.14699542268964833</v>
      </c>
      <c r="I23" s="34">
        <f ca="1">-0.16910185325502*OFFSET(I$108,MATCH($M$1,$C$109:$C$110,0),0)</f>
        <v>-0.15733067120103444</v>
      </c>
      <c r="J23" s="34">
        <f ca="1">-1.30639135684441*OFFSET(J$108,MATCH($M$1,$C$109:$C$110,0),0)</f>
        <v>-1.2412808018220525</v>
      </c>
      <c r="K23" s="34">
        <f ca="1">0.216144425603545*OFFSET(K$108,MATCH($M$1,$C$109:$C$110,0),0)</f>
        <v>0.20878254442700486</v>
      </c>
      <c r="L23" s="34">
        <f ca="1">-0.296493895613287*OFFSET(L$108,MATCH($M$1,$C$109:$C$110,0),0)</f>
        <v>-0.29152168785600263</v>
      </c>
      <c r="M23" s="35">
        <f ca="1">-1.16608706438704*OFFSET(M$108,MATCH($M$1,$C$109:$C$110,0),0)</f>
        <v>-1.1660870598566131</v>
      </c>
      <c r="N23" s="24">
        <f t="shared" ca="1" si="0"/>
        <v>0.19019484053822158</v>
      </c>
      <c r="O23" s="24">
        <f t="shared" ca="1" si="1"/>
        <v>-2.9832024870018765</v>
      </c>
    </row>
    <row r="24" spans="1:15" s="19" customFormat="1" ht="18" customHeight="1" x14ac:dyDescent="0.2">
      <c r="A24" s="147" t="s">
        <v>11</v>
      </c>
      <c r="B24" s="28" t="s">
        <v>27</v>
      </c>
      <c r="C24" s="29"/>
      <c r="D24" s="30">
        <f ca="1">50.2*OFFSET(D$108,MATCH($M$1,$C$109:$C$110,0),0)</f>
        <v>40.835691634170388</v>
      </c>
      <c r="E24" s="30">
        <f ca="1">59.5*OFFSET(E$108,MATCH($M$1,$C$109:$C$110,0),0)</f>
        <v>49.702131217300007</v>
      </c>
      <c r="F24" s="30">
        <f ca="1">125.5*OFFSET(F$108,MATCH($M$1,$C$109:$C$110,0),0)</f>
        <v>107.84465720784168</v>
      </c>
      <c r="G24" s="30">
        <f ca="1">75.9*OFFSET(G$108,MATCH($M$1,$C$109:$C$110,0),0)</f>
        <v>67.116093894455901</v>
      </c>
      <c r="H24" s="30">
        <f ca="1">68*OFFSET(H$108,MATCH($M$1,$C$109:$C$110,0),0)</f>
        <v>61.32104098279865</v>
      </c>
      <c r="I24" s="30">
        <f ca="1">119.6*OFFSET(I$108,MATCH($M$1,$C$109:$C$110,0),0)</f>
        <v>111.27464255088003</v>
      </c>
      <c r="J24" s="30">
        <f ca="1">72.1*OFFSET(J$108,MATCH($M$1,$C$109:$C$110,0),0)</f>
        <v>68.506535459288784</v>
      </c>
      <c r="K24" s="30">
        <f ca="1">113.2*OFFSET(K$108,MATCH($M$1,$C$109:$C$110,0),0)</f>
        <v>109.34440693135011</v>
      </c>
      <c r="L24" s="30">
        <f ca="1">117.5*OFFSET(L$108,MATCH($M$1,$C$109:$C$110,0),0)</f>
        <v>115.52952296784241</v>
      </c>
      <c r="M24" s="31">
        <f ca="1">65.9*OFFSET(M$108,MATCH($M$1,$C$109:$C$110,0),0)</f>
        <v>65.899999743968408</v>
      </c>
      <c r="N24" s="32">
        <f t="shared" ca="1" si="0"/>
        <v>1.829131045528072</v>
      </c>
      <c r="O24" s="32">
        <f t="shared" ca="1" si="1"/>
        <v>0.88401111781924813</v>
      </c>
    </row>
    <row r="25" spans="1:15" s="19" customFormat="1" ht="18" customHeight="1" x14ac:dyDescent="0.2">
      <c r="A25" s="148"/>
      <c r="B25" s="33" t="s">
        <v>33</v>
      </c>
      <c r="C25" s="25"/>
      <c r="D25" s="26">
        <f ca="1">3.2*OFFSET(D$108,MATCH($M$1,$C$109:$C$110,0),0)</f>
        <v>2.6030719766801842</v>
      </c>
      <c r="E25" s="26">
        <f ca="1">3.7*OFFSET(E$108,MATCH($M$1,$C$109:$C$110,0),0)</f>
        <v>3.0907207647732782</v>
      </c>
      <c r="F25" s="26">
        <f ca="1">2*OFFSET(F$108,MATCH($M$1,$C$109:$C$110,0),0)</f>
        <v>1.7186399555034531</v>
      </c>
      <c r="G25" s="26"/>
      <c r="H25" s="26">
        <f ca="1">2.4*OFFSET(H$108,MATCH($M$1,$C$109:$C$110,0),0)</f>
        <v>2.164272034687011</v>
      </c>
      <c r="I25" s="26">
        <f ca="1">6*OFFSET(I$108,MATCH($M$1,$C$109:$C$110,0),0)</f>
        <v>5.5823399273016747</v>
      </c>
      <c r="J25" s="26">
        <f ca="1">4.4*OFFSET(J$108,MATCH($M$1,$C$109:$C$110,0),0)</f>
        <v>4.1807039670023682</v>
      </c>
      <c r="K25" s="26">
        <f ca="1">5*OFFSET(K$108,MATCH($M$1,$C$109:$C$110,0),0)</f>
        <v>4.8296999527981495</v>
      </c>
      <c r="L25" s="26">
        <f ca="1">8.1*OFFSET(L$108,MATCH($M$1,$C$109:$C$110,0),0)</f>
        <v>7.9641628599108385</v>
      </c>
      <c r="M25" s="27">
        <f ca="1">4.5*OFFSET(M$108,MATCH($M$1,$C$109:$C$110,0),0)</f>
        <v>4.4999999825168109</v>
      </c>
      <c r="N25" s="24">
        <f t="shared" ca="1" si="0"/>
        <v>2.0595246429059162</v>
      </c>
      <c r="O25" s="24">
        <f t="shared" ca="1" si="1"/>
        <v>2.6798344811873829</v>
      </c>
    </row>
    <row r="26" spans="1:15" s="19" customFormat="1" ht="18" customHeight="1" x14ac:dyDescent="0.2">
      <c r="A26" s="148"/>
      <c r="B26" s="45" t="s">
        <v>34</v>
      </c>
      <c r="C26" s="46"/>
      <c r="D26" s="47">
        <f ca="1">53.4*OFFSET(D$108,MATCH($M$1,$C$109:$C$110,0),0)</f>
        <v>43.438763610850572</v>
      </c>
      <c r="E26" s="47">
        <f ca="1">63.2*OFFSET(E$108,MATCH($M$1,$C$109:$C$110,0),0)</f>
        <v>52.792851982073287</v>
      </c>
      <c r="F26" s="47">
        <f ca="1">127.5*OFFSET(F$108,MATCH($M$1,$C$109:$C$110,0),0)</f>
        <v>109.56329716334513</v>
      </c>
      <c r="G26" s="47">
        <f ca="1">75.9*OFFSET(G$108,MATCH($M$1,$C$109:$C$110,0),0)</f>
        <v>67.116093894455901</v>
      </c>
      <c r="H26" s="47">
        <f ca="1">70.4*OFFSET(H$108,MATCH($M$1,$C$109:$C$110,0),0)</f>
        <v>63.485313017485666</v>
      </c>
      <c r="I26" s="47">
        <f ca="1">125.6*OFFSET(I$108,MATCH($M$1,$C$109:$C$110,0),0)</f>
        <v>116.85698247818171</v>
      </c>
      <c r="J26" s="47">
        <f ca="1">76.4*OFFSET(J$108,MATCH($M$1,$C$109:$C$110,0),0)</f>
        <v>72.59222342704112</v>
      </c>
      <c r="K26" s="47">
        <f ca="1">118.3*OFFSET(K$108,MATCH($M$1,$C$109:$C$110,0),0)</f>
        <v>114.27070088320421</v>
      </c>
      <c r="L26" s="47">
        <f ca="1">125.6*OFFSET(L$108,MATCH($M$1,$C$109:$C$110,0),0)</f>
        <v>123.49368582775324</v>
      </c>
      <c r="M26" s="48">
        <f ca="1">70.4*OFFSET(M$108,MATCH($M$1,$C$109:$C$110,0),0)</f>
        <v>70.39999972648522</v>
      </c>
      <c r="N26" s="49">
        <f t="shared" ca="1" si="0"/>
        <v>1.8429374034233732</v>
      </c>
      <c r="O26" s="49">
        <f t="shared" ca="1" si="1"/>
        <v>0.94523236884316153</v>
      </c>
    </row>
    <row r="27" spans="1:15" s="19" customFormat="1" ht="18" customHeight="1" x14ac:dyDescent="0.2">
      <c r="A27" s="148"/>
      <c r="B27" s="33" t="s">
        <v>35</v>
      </c>
      <c r="C27" s="25"/>
      <c r="D27" s="26">
        <f ca="1">35.6*OFFSET(D$108,MATCH($M$1,$C$109:$C$110,0),0)</f>
        <v>28.959175740567048</v>
      </c>
      <c r="E27" s="26">
        <f ca="1">24.6*OFFSET(E$108,MATCH($M$1,$C$109:$C$110,0),0)</f>
        <v>20.549116436060174</v>
      </c>
      <c r="F27" s="26">
        <f ca="1">27.6*OFFSET(F$108,MATCH($M$1,$C$109:$C$110,0),0)</f>
        <v>23.717231385947652</v>
      </c>
      <c r="G27" s="26">
        <f ca="1">36.4*OFFSET(G$108,MATCH($M$1,$C$109:$C$110,0),0)</f>
        <v>32.187428428961717</v>
      </c>
      <c r="H27" s="26">
        <f ca="1">40.6*OFFSET(H$108,MATCH($M$1,$C$109:$C$110,0),0)</f>
        <v>36.612268586788609</v>
      </c>
      <c r="I27" s="26">
        <f ca="1">50.3*OFFSET(I$108,MATCH($M$1,$C$109:$C$110,0),0)</f>
        <v>46.798616390545703</v>
      </c>
      <c r="J27" s="26">
        <f ca="1">45.5*OFFSET(J$108,MATCH($M$1,$C$109:$C$110,0),0)</f>
        <v>43.23227965877448</v>
      </c>
      <c r="K27" s="26">
        <f ca="1">51.7*OFFSET(K$108,MATCH($M$1,$C$109:$C$110,0),0)</f>
        <v>49.939097511932864</v>
      </c>
      <c r="L27" s="26">
        <f ca="1">68.3*OFFSET(L$108,MATCH($M$1,$C$109:$C$110,0),0)</f>
        <v>67.154607818754357</v>
      </c>
      <c r="M27" s="27">
        <f ca="1">60.2*OFFSET(M$108,MATCH($M$1,$C$109:$C$110,0),0)</f>
        <v>60.199999766113777</v>
      </c>
      <c r="N27" s="24">
        <f t="shared" ca="1" si="0"/>
        <v>1.3189405810567247</v>
      </c>
      <c r="O27" s="24">
        <f t="shared" ca="1" si="1"/>
        <v>0.83421050950628139</v>
      </c>
    </row>
    <row r="28" spans="1:15" s="19" customFormat="1" ht="18" customHeight="1" x14ac:dyDescent="0.2">
      <c r="A28" s="148"/>
      <c r="B28" s="33" t="s">
        <v>36</v>
      </c>
      <c r="C28" s="25"/>
      <c r="D28" s="26">
        <f ca="1">7.2*OFFSET(D$108,MATCH($M$1,$C$109:$C$110,0),0)</f>
        <v>5.8569119475304143</v>
      </c>
      <c r="E28" s="26">
        <f ca="1">24.8*OFFSET(E$108,MATCH($M$1,$C$109:$C$110,0),0)</f>
        <v>20.716182423345217</v>
      </c>
      <c r="F28" s="26">
        <f ca="1">27.3*OFFSET(F$108,MATCH($M$1,$C$109:$C$110,0),0)</f>
        <v>23.459435392622133</v>
      </c>
      <c r="G28" s="26">
        <f ca="1">38*OFFSET(G$108,MATCH($M$1,$C$109:$C$110,0),0)</f>
        <v>33.60226044781718</v>
      </c>
      <c r="H28" s="26">
        <f ca="1">18.1*OFFSET(H$108,MATCH($M$1,$C$109:$C$110,0),0)</f>
        <v>16.322218261597879</v>
      </c>
      <c r="I28" s="26">
        <f ca="1">24*OFFSET(I$108,MATCH($M$1,$C$109:$C$110,0),0)</f>
        <v>22.329359709206699</v>
      </c>
      <c r="J28" s="26">
        <f ca="1">12.1*OFFSET(J$108,MATCH($M$1,$C$109:$C$110,0),0)</f>
        <v>11.496935909256511</v>
      </c>
      <c r="K28" s="26">
        <f ca="1">20.1*OFFSET(K$108,MATCH($M$1,$C$109:$C$110,0),0)</f>
        <v>19.415393810248563</v>
      </c>
      <c r="L28" s="26">
        <f ca="1">18.6*OFFSET(L$108,MATCH($M$1,$C$109:$C$110,0),0)</f>
        <v>18.28807767831378</v>
      </c>
      <c r="M28" s="27">
        <f ca="1">10.4*OFFSET(M$108,MATCH($M$1,$C$109:$C$110,0),0)</f>
        <v>10.399999959594407</v>
      </c>
      <c r="N28" s="24">
        <f t="shared" ca="1" si="0"/>
        <v>2.1224778248587137</v>
      </c>
      <c r="O28" s="24">
        <f t="shared" ca="1" si="1"/>
        <v>0.12044070145423059</v>
      </c>
    </row>
    <row r="29" spans="1:15" s="19" customFormat="1" ht="18" customHeight="1" x14ac:dyDescent="0.2">
      <c r="A29" s="148"/>
      <c r="B29" s="33" t="s">
        <v>37</v>
      </c>
      <c r="C29" s="25"/>
      <c r="D29" s="26">
        <f ca="1">16.1*OFFSET(D$108,MATCH($M$1,$C$109:$C$110,0),0)</f>
        <v>13.096705882672177</v>
      </c>
      <c r="E29" s="26">
        <f ca="1">19*OFFSET(E$108,MATCH($M$1,$C$109:$C$110,0),0)</f>
        <v>15.871268792078995</v>
      </c>
      <c r="F29" s="26">
        <f ca="1">29.3*OFFSET(F$108,MATCH($M$1,$C$109:$C$110,0),0)</f>
        <v>25.178075348125589</v>
      </c>
      <c r="G29" s="26">
        <f ca="1">2.5*OFFSET(G$108,MATCH($M$1,$C$109:$C$110,0),0)</f>
        <v>2.2106750294616564</v>
      </c>
      <c r="H29" s="26">
        <f ca="1">3.9*OFFSET(H$108,MATCH($M$1,$C$109:$C$110,0),0)</f>
        <v>3.5169420563663931</v>
      </c>
      <c r="I29" s="26">
        <f ca="1">39.8*OFFSET(I$108,MATCH($M$1,$C$109:$C$110,0),0)</f>
        <v>37.029521517767769</v>
      </c>
      <c r="J29" s="26">
        <f ca="1">21.4*OFFSET(J$108,MATCH($M$1,$C$109:$C$110,0),0)</f>
        <v>20.333423839511514</v>
      </c>
      <c r="K29" s="26">
        <f ca="1">37.5*OFFSET(K$108,MATCH($M$1,$C$109:$C$110,0),0)</f>
        <v>36.22274964598612</v>
      </c>
      <c r="L29" s="26">
        <f ca="1">39*OFFSET(L$108,MATCH($M$1,$C$109:$C$110,0),0)</f>
        <v>38.345969325496633</v>
      </c>
      <c r="M29" s="27">
        <f ca="1">21.9*OFFSET(M$108,MATCH($M$1,$C$109:$C$110,0),0)</f>
        <v>21.899999914915142</v>
      </c>
      <c r="N29" s="24">
        <f t="shared" ca="1" si="0"/>
        <v>1.9279094811337965</v>
      </c>
      <c r="O29" s="24">
        <f t="shared" ca="1" si="1"/>
        <v>9.9032132775922452</v>
      </c>
    </row>
    <row r="30" spans="1:15" s="19" customFormat="1" ht="18" customHeight="1" x14ac:dyDescent="0.2">
      <c r="A30" s="148"/>
      <c r="B30" s="33" t="s">
        <v>38</v>
      </c>
      <c r="C30" s="25"/>
      <c r="D30" s="26">
        <f ca="1">58.9*OFFSET(D$108,MATCH($M$1,$C$109:$C$110,0),0)</f>
        <v>47.912793570769637</v>
      </c>
      <c r="E30" s="26">
        <f ca="1">68.4*OFFSET(E$108,MATCH($M$1,$C$109:$C$110,0),0)</f>
        <v>57.136567651484384</v>
      </c>
      <c r="F30" s="26">
        <f ca="1">84.2*OFFSET(F$108,MATCH($M$1,$C$109:$C$110,0),0)</f>
        <v>72.354742126695371</v>
      </c>
      <c r="G30" s="26">
        <f ca="1">76.8*OFFSET(G$108,MATCH($M$1,$C$109:$C$110,0),0)</f>
        <v>67.911936905062078</v>
      </c>
      <c r="H30" s="26">
        <f ca="1">62.6*OFFSET(H$108,MATCH($M$1,$C$109:$C$110,0),0)</f>
        <v>56.451428904752873</v>
      </c>
      <c r="I30" s="26">
        <f ca="1">114.1*OFFSET(I$108,MATCH($M$1,$C$109:$C$110,0),0)</f>
        <v>106.15749761752016</v>
      </c>
      <c r="J30" s="26">
        <f ca="1">78.9*OFFSET(J$108,MATCH($M$1,$C$109:$C$110,0),0)</f>
        <v>74.967623408292454</v>
      </c>
      <c r="K30" s="26">
        <f ca="1">109.3*OFFSET(K$108,MATCH($M$1,$C$109:$C$110,0),0)</f>
        <v>105.57724096816754</v>
      </c>
      <c r="L30" s="26">
        <f ca="1">125.8*OFFSET(L$108,MATCH($M$1,$C$109:$C$110,0),0)</f>
        <v>123.69033182429426</v>
      </c>
      <c r="M30" s="27">
        <f ca="1">92.5*OFFSET(M$108,MATCH($M$1,$C$109:$C$110,0),0)</f>
        <v>92.499999640623329</v>
      </c>
      <c r="N30" s="24">
        <f t="shared" ca="1" si="0"/>
        <v>1.5815721147963819</v>
      </c>
      <c r="O30" s="24">
        <f t="shared" ca="1" si="1"/>
        <v>1.1910930196822755</v>
      </c>
    </row>
    <row r="31" spans="1:15" s="19" customFormat="1" ht="18" customHeight="1" x14ac:dyDescent="0.2">
      <c r="A31" s="148"/>
      <c r="B31" s="33" t="s">
        <v>39</v>
      </c>
      <c r="C31" s="25"/>
      <c r="D31" s="26">
        <f ca="1">3.3*OFFSET(D$108,MATCH($M$1,$C$109:$C$110,0),0)</f>
        <v>2.6844179759514395</v>
      </c>
      <c r="E31" s="26">
        <f ca="1">4*OFFSET(E$108,MATCH($M$1,$C$109:$C$110,0),0)</f>
        <v>3.341319745700841</v>
      </c>
      <c r="F31" s="26">
        <f ca="1">18.6*OFFSET(F$108,MATCH($M$1,$C$109:$C$110,0),0)</f>
        <v>15.983351586182115</v>
      </c>
      <c r="G31" s="26">
        <f ca="1">27.6*OFFSET(G$108,MATCH($M$1,$C$109:$C$110,0),0)</f>
        <v>24.405852325256689</v>
      </c>
      <c r="H31" s="26">
        <f ca="1">4.7*OFFSET(H$108,MATCH($M$1,$C$109:$C$110,0),0)</f>
        <v>4.2383660679287303</v>
      </c>
      <c r="I31" s="26">
        <f ca="1">15*OFFSET(I$108,MATCH($M$1,$C$109:$C$110,0),0)</f>
        <v>13.955849818254185</v>
      </c>
      <c r="J31" s="26">
        <f ca="1">16.5*OFFSET(J$108,MATCH($M$1,$C$109:$C$110,0),0)</f>
        <v>15.677639876258878</v>
      </c>
      <c r="K31" s="26">
        <f ca="1">5.4*OFFSET(K$108,MATCH($M$1,$C$109:$C$110,0),0)</f>
        <v>5.2160759490220014</v>
      </c>
      <c r="L31" s="26">
        <f ca="1">6.4*OFFSET(L$108,MATCH($M$1,$C$109:$C$110,0),0)</f>
        <v>6.2926718893122677</v>
      </c>
      <c r="M31" s="27">
        <f ca="1">3.6*OFFSET(M$108,MATCH($M$1,$C$109:$C$110,0),0)</f>
        <v>3.5999999860134486</v>
      </c>
      <c r="N31" s="24">
        <f t="shared" ca="1" si="0"/>
        <v>1.3441475752605005</v>
      </c>
      <c r="O31" s="24">
        <f t="shared" ca="1" si="1"/>
        <v>0.48469287184234822</v>
      </c>
    </row>
    <row r="32" spans="1:15" s="19" customFormat="1" ht="18" customHeight="1" x14ac:dyDescent="0.2">
      <c r="A32" s="148"/>
      <c r="B32" s="33" t="s">
        <v>40</v>
      </c>
      <c r="C32" s="25"/>
      <c r="D32" s="26">
        <f ca="1">62.2*OFFSET(D$108,MATCH($M$1,$C$109:$C$110,0),0)</f>
        <v>50.597211546721084</v>
      </c>
      <c r="E32" s="26">
        <f ca="1">72.4*OFFSET(E$108,MATCH($M$1,$C$109:$C$110,0),0)</f>
        <v>60.477887397185228</v>
      </c>
      <c r="F32" s="26">
        <f ca="1">102.7*OFFSET(F$108,MATCH($M$1,$C$109:$C$110,0),0)</f>
        <v>88.252161715102318</v>
      </c>
      <c r="G32" s="26">
        <f ca="1">104.4*OFFSET(G$108,MATCH($M$1,$C$109:$C$110,0),0)</f>
        <v>92.31778923031878</v>
      </c>
      <c r="H32" s="26">
        <f ca="1">67.3*OFFSET(H$108,MATCH($M$1,$C$109:$C$110,0),0)</f>
        <v>60.689794972681604</v>
      </c>
      <c r="I32" s="26">
        <f ca="1">129.1*OFFSET(I$108,MATCH($M$1,$C$109:$C$110,0),0)</f>
        <v>120.11334743577436</v>
      </c>
      <c r="J32" s="26">
        <f ca="1">95.4*OFFSET(J$108,MATCH($M$1,$C$109:$C$110,0),0)</f>
        <v>90.645263284551334</v>
      </c>
      <c r="K32" s="26">
        <f ca="1">114.7*OFFSET(K$108,MATCH($M$1,$C$109:$C$110,0),0)</f>
        <v>110.79331691718954</v>
      </c>
      <c r="L32" s="26">
        <f ca="1">132.3*OFFSET(L$108,MATCH($M$1,$C$109:$C$110,0),0)</f>
        <v>130.08132671187704</v>
      </c>
      <c r="M32" s="27">
        <f ca="1">96.1*OFFSET(M$108,MATCH($M$1,$C$109:$C$110,0),0)</f>
        <v>96.099999626636773</v>
      </c>
      <c r="N32" s="24">
        <f t="shared" ca="1" si="0"/>
        <v>1.5709188853571687</v>
      </c>
      <c r="O32" s="24">
        <f t="shared" ca="1" si="1"/>
        <v>1.1433805596217743</v>
      </c>
    </row>
    <row r="33" spans="1:15" s="19" customFormat="1" ht="18" customHeight="1" x14ac:dyDescent="0.2">
      <c r="A33" s="148"/>
      <c r="B33" s="45" t="s">
        <v>41</v>
      </c>
      <c r="C33" s="46"/>
      <c r="D33" s="47">
        <f ca="1">-1.6*OFFSET(D$108,MATCH($M$1,$C$109:$C$110,0),0)</f>
        <v>-1.3015359883400921</v>
      </c>
      <c r="E33" s="47">
        <f ca="1">15.6*OFFSET(E$108,MATCH($M$1,$C$109:$C$110,0),0)</f>
        <v>13.03114700823328</v>
      </c>
      <c r="F33" s="47">
        <f ca="1">52.1*OFFSET(F$108,MATCH($M$1,$C$109:$C$110,0),0)</f>
        <v>44.770570840864956</v>
      </c>
      <c r="G33" s="47">
        <f ca="1">9.5*OFFSET(G$108,MATCH($M$1,$C$109:$C$110,0),0)</f>
        <v>8.400565111954295</v>
      </c>
      <c r="H33" s="47">
        <f ca="1">21.2*OFFSET(H$108,MATCH($M$1,$C$109:$C$110,0),0)</f>
        <v>19.11773630640193</v>
      </c>
      <c r="I33" s="47">
        <f ca="1">20.4*OFFSET(I$108,MATCH($M$1,$C$109:$C$110,0),0)</f>
        <v>18.979955752825692</v>
      </c>
      <c r="J33" s="47">
        <f ca="1">-6.9*OFFSET(J$108,MATCH($M$1,$C$109:$C$110,0),0)</f>
        <v>-6.5561039482537131</v>
      </c>
      <c r="K33" s="47">
        <f ca="1">23.7*OFFSET(K$108,MATCH($M$1,$C$109:$C$110,0),0)</f>
        <v>22.892777776263227</v>
      </c>
      <c r="L33" s="47">
        <f ca="1">11.9*OFFSET(L$108,MATCH($M$1,$C$109:$C$110,0),0)</f>
        <v>11.700436794189997</v>
      </c>
      <c r="M33" s="48">
        <f ca="1">-15.2*OFFSET(M$108,MATCH($M$1,$C$109:$C$110,0),0)</f>
        <v>-15.19999994094567</v>
      </c>
      <c r="N33" s="49" t="str">
        <f t="shared" ca="1" si="0"/>
        <v>na</v>
      </c>
      <c r="O33" s="49">
        <f t="shared" ca="1" si="1"/>
        <v>-0.38798000941817112</v>
      </c>
    </row>
    <row r="34" spans="1:15" s="19" customFormat="1" ht="18" customHeight="1" x14ac:dyDescent="0.2">
      <c r="A34" s="148"/>
      <c r="B34" s="45" t="s">
        <v>42</v>
      </c>
      <c r="C34" s="46"/>
      <c r="D34" s="47">
        <f ca="1">-8.8*OFFSET(D$108,MATCH($M$1,$C$109:$C$110,0),0)</f>
        <v>-7.1584479358705071</v>
      </c>
      <c r="E34" s="47">
        <f ca="1">-9.2*OFFSET(E$108,MATCH($M$1,$C$109:$C$110,0),0)</f>
        <v>-7.6850354151119333</v>
      </c>
      <c r="F34" s="47">
        <f ca="1">24.8*OFFSET(F$108,MATCH($M$1,$C$109:$C$110,0),0)</f>
        <v>21.311135448242819</v>
      </c>
      <c r="G34" s="47">
        <f ca="1">-28.5*OFFSET(G$108,MATCH($M$1,$C$109:$C$110,0),0)</f>
        <v>-25.201695335862883</v>
      </c>
      <c r="H34" s="47">
        <f ca="1">3.1*OFFSET(H$108,MATCH($M$1,$C$109:$C$110,0),0)</f>
        <v>2.7955180448040564</v>
      </c>
      <c r="I34" s="47">
        <f ca="1">-3.6*OFFSET(I$108,MATCH($M$1,$C$109:$C$110,0),0)</f>
        <v>-3.3494039563810047</v>
      </c>
      <c r="J34" s="47">
        <f ca="1">-19*OFFSET(J$108,MATCH($M$1,$C$109:$C$110,0),0)</f>
        <v>-18.053039857510225</v>
      </c>
      <c r="K34" s="47">
        <f ca="1">3.6*OFFSET(K$108,MATCH($M$1,$C$109:$C$110,0),0)</f>
        <v>3.4773839660146675</v>
      </c>
      <c r="L34" s="47">
        <f ca="1">-6.7*OFFSET(L$108,MATCH($M$1,$C$109:$C$110,0),0)</f>
        <v>-6.5876408841237799</v>
      </c>
      <c r="M34" s="48">
        <f ca="1">-25.6*OFFSET(M$108,MATCH($M$1,$C$109:$C$110,0),0)</f>
        <v>-25.59999990054008</v>
      </c>
      <c r="N34" s="49">
        <f t="shared" ca="1" si="0"/>
        <v>7.9738940180936566E-2</v>
      </c>
      <c r="O34" s="49">
        <f t="shared" ca="1" si="1"/>
        <v>-3.3565009341892913</v>
      </c>
    </row>
    <row r="35" spans="1:15" s="19" customFormat="1" ht="18" customHeight="1" x14ac:dyDescent="0.2">
      <c r="A35" s="148"/>
      <c r="B35" s="33" t="s">
        <v>43</v>
      </c>
      <c r="C35" s="25"/>
      <c r="D35" s="26"/>
      <c r="E35" s="26"/>
      <c r="F35" s="26">
        <f ca="1">4.8*OFFSET(F$108,MATCH($M$1,$C$109:$C$110,0),0)</f>
        <v>4.1247358932082872</v>
      </c>
      <c r="G35" s="26">
        <f ca="1">8.2*OFFSET(G$108,MATCH($M$1,$C$109:$C$110,0),0)</f>
        <v>7.2510140966342327</v>
      </c>
      <c r="H35" s="26">
        <f ca="1">14.1*OFFSET(H$108,MATCH($M$1,$C$109:$C$110,0),0)</f>
        <v>12.715098203786191</v>
      </c>
      <c r="I35" s="26">
        <f ca="1">14*OFFSET(I$108,MATCH($M$1,$C$109:$C$110,0),0)</f>
        <v>13.025459830370574</v>
      </c>
      <c r="J35" s="26">
        <f ca="1">7*OFFSET(J$108,MATCH($M$1,$C$109:$C$110,0),0)</f>
        <v>6.6511199475037666</v>
      </c>
      <c r="K35" s="26">
        <f ca="1">10.1*OFFSET(K$108,MATCH($M$1,$C$109:$C$110,0),0)</f>
        <v>9.7559939046522608</v>
      </c>
      <c r="L35" s="26">
        <f ca="1">7.7*OFFSET(L$108,MATCH($M$1,$C$109:$C$110,0),0)</f>
        <v>7.5708708668288223</v>
      </c>
      <c r="M35" s="27"/>
      <c r="N35" s="24" t="str">
        <f t="shared" ca="1" si="0"/>
        <v/>
      </c>
      <c r="O35" s="24">
        <f t="shared" ca="1" si="1"/>
        <v>-0.40457629618822494</v>
      </c>
    </row>
    <row r="36" spans="1:15" s="19" customFormat="1" ht="18" customHeight="1" x14ac:dyDescent="0.2">
      <c r="A36" s="148"/>
      <c r="B36" s="33" t="s">
        <v>44</v>
      </c>
      <c r="C36" s="25"/>
      <c r="D36" s="26"/>
      <c r="E36" s="26"/>
      <c r="F36" s="26"/>
      <c r="G36" s="26"/>
      <c r="H36" s="26">
        <f ca="1">0.1*OFFSET(H$108,MATCH($M$1,$C$109:$C$110,0),0)</f>
        <v>9.0178001445292144E-2</v>
      </c>
      <c r="I36" s="26">
        <f ca="1">0.4*OFFSET(I$108,MATCH($M$1,$C$109:$C$110,0),0)</f>
        <v>0.372155995153445</v>
      </c>
      <c r="J36" s="26">
        <f ca="1">0.2*OFFSET(J$108,MATCH($M$1,$C$109:$C$110,0),0)</f>
        <v>0.19003199850010763</v>
      </c>
      <c r="K36" s="26"/>
      <c r="L36" s="26"/>
      <c r="M36" s="27"/>
      <c r="N36" s="24" t="str">
        <f t="shared" si="0"/>
        <v/>
      </c>
      <c r="O36" s="24" t="str">
        <f t="shared" si="1"/>
        <v/>
      </c>
    </row>
    <row r="37" spans="1:15" s="19" customFormat="1" ht="18" customHeight="1" x14ac:dyDescent="0.2">
      <c r="A37" s="148"/>
      <c r="B37" s="33" t="s">
        <v>45</v>
      </c>
      <c r="C37" s="25"/>
      <c r="D37" s="26"/>
      <c r="E37" s="26"/>
      <c r="F37" s="26"/>
      <c r="G37" s="26"/>
      <c r="H37" s="26">
        <f ca="1">0.2*OFFSET(H$108,MATCH($M$1,$C$109:$C$110,0),0)</f>
        <v>0.18035600289058429</v>
      </c>
      <c r="I37" s="26">
        <f ca="1">4.6*OFFSET(I$108,MATCH($M$1,$C$109:$C$110,0),0)</f>
        <v>4.2797939442646165</v>
      </c>
      <c r="J37" s="26">
        <f ca="1">0.6*OFFSET(J$108,MATCH($M$1,$C$109:$C$110,0),0)</f>
        <v>0.57009599550032286</v>
      </c>
      <c r="K37" s="26">
        <f ca="1">3.5*OFFSET(K$108,MATCH($M$1,$C$109:$C$110,0),0)</f>
        <v>3.3807899669587047</v>
      </c>
      <c r="L37" s="26">
        <f ca="1">0.3*OFFSET(L$108,MATCH($M$1,$C$109:$C$110,0),0)</f>
        <v>0.29496899481151251</v>
      </c>
      <c r="M37" s="27"/>
      <c r="N37" s="24" t="str">
        <f t="shared" ca="1" si="0"/>
        <v/>
      </c>
      <c r="O37" s="24">
        <f t="shared" ca="1" si="1"/>
        <v>0.63548199163883634</v>
      </c>
    </row>
    <row r="38" spans="1:15" s="19" customFormat="1" ht="18" customHeight="1" thickBot="1" x14ac:dyDescent="0.25">
      <c r="A38" s="149"/>
      <c r="B38" s="50" t="s">
        <v>46</v>
      </c>
      <c r="C38" s="51"/>
      <c r="D38" s="52"/>
      <c r="E38" s="52"/>
      <c r="F38" s="52">
        <f ca="1">20*OFFSET(F$108,MATCH($M$1,$C$109:$C$110,0),0)</f>
        <v>17.18639955503453</v>
      </c>
      <c r="G38" s="52">
        <f ca="1">-36.7*OFFSET(G$108,MATCH($M$1,$C$109:$C$110,0),0)</f>
        <v>-32.452709432497116</v>
      </c>
      <c r="H38" s="52">
        <f ca="1">-11.2*OFFSET(H$108,MATCH($M$1,$C$109:$C$110,0),0)</f>
        <v>-10.099936161872717</v>
      </c>
      <c r="I38" s="52">
        <f ca="1">-22.5*OFFSET(I$108,MATCH($M$1,$C$109:$C$110,0),0)</f>
        <v>-20.93377472738128</v>
      </c>
      <c r="J38" s="52">
        <f ca="1">-26.8*OFFSET(J$108,MATCH($M$1,$C$109:$C$110,0),0)</f>
        <v>-25.464287799014421</v>
      </c>
      <c r="K38" s="52">
        <f ca="1">-10.1*OFFSET(K$108,MATCH($M$1,$C$109:$C$110,0),0)</f>
        <v>-9.7559939046522608</v>
      </c>
      <c r="L38" s="52">
        <f ca="1">-14.7*OFFSET(L$108,MATCH($M$1,$C$109:$C$110,0),0)</f>
        <v>-14.453480745764114</v>
      </c>
      <c r="M38" s="53"/>
      <c r="N38" s="54" t="str">
        <f t="shared" ca="1" si="0"/>
        <v/>
      </c>
      <c r="O38" s="54">
        <f t="shared" ca="1" si="1"/>
        <v>-0.4310467426839823</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North Sea beam trawl under 300kW</v>
      </c>
      <c r="C45" s="61"/>
      <c r="D45" s="61"/>
      <c r="E45" s="61"/>
      <c r="F45" s="61" t="str">
        <f>$B21&amp;CHAR(10)&amp;$A$1</f>
        <v>Income per kW day at sea (£)
North Sea beam trawl under 300kW</v>
      </c>
      <c r="G45" s="61"/>
      <c r="K45" s="61" t="str">
        <f>$B23&amp;CHAR(10)&amp;$A$1</f>
        <v>Operating profit per kW day at sea (£)
North Sea beam trawl under 300kW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North Sea beam trawl under 300kW</v>
      </c>
      <c r="F59" s="61" t="str">
        <f>$B19&amp;CHAR(10)&amp;$A$1</f>
        <v>Average price per tonne landed (£)
North Sea beam trawl under 300kW</v>
      </c>
      <c r="K59" s="61" t="str">
        <f>"Average annual operating profit per vessel (£'000)"&amp;CHAR(10)&amp;$A$1</f>
        <v>Average annual operating profit per vessel (£'000)
North Sea beam trawl under 300kW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North Sea beam trawl under 300kW</v>
      </c>
      <c r="F73" s="61" t="str">
        <f>"Top 5 landed species by value in "&amp;A74&amp;CHAR(10)&amp;A1</f>
        <v>Top 5 landed species by value in 2013
North Sea beam trawl under 300kW</v>
      </c>
    </row>
    <row r="74" spans="1:9" s="61" customFormat="1" x14ac:dyDescent="0.2">
      <c r="A74" s="61">
        <v>2013</v>
      </c>
      <c r="B74" s="61" t="s">
        <v>246</v>
      </c>
      <c r="C74" s="62">
        <v>0.61492801470186964</v>
      </c>
      <c r="D74" s="63">
        <v>8211234</v>
      </c>
      <c r="G74" s="61" t="s">
        <v>247</v>
      </c>
      <c r="H74" s="62">
        <v>0.84606039003493039</v>
      </c>
      <c r="I74" s="63">
        <v>8211234</v>
      </c>
    </row>
    <row r="75" spans="1:9" s="61" customFormat="1" x14ac:dyDescent="0.2">
      <c r="B75" s="61" t="s">
        <v>248</v>
      </c>
      <c r="C75" s="62">
        <v>0.35122517983568657</v>
      </c>
      <c r="D75" s="63">
        <v>2171775</v>
      </c>
      <c r="G75" s="61" t="s">
        <v>249</v>
      </c>
      <c r="H75" s="62">
        <v>9.6163534953333948E-2</v>
      </c>
      <c r="I75" s="63">
        <v>2171775</v>
      </c>
    </row>
    <row r="76" spans="1:9" s="61" customFormat="1" x14ac:dyDescent="0.2">
      <c r="B76" s="61" t="s">
        <v>250</v>
      </c>
      <c r="C76" s="62">
        <v>1.2085206771939997E-2</v>
      </c>
      <c r="D76" s="63">
        <v>6763595</v>
      </c>
      <c r="G76" s="61" t="s">
        <v>251</v>
      </c>
      <c r="H76" s="62">
        <v>2.3509008590308265E-2</v>
      </c>
      <c r="I76" s="63">
        <v>2783840</v>
      </c>
    </row>
    <row r="77" spans="1:9" s="61" customFormat="1" x14ac:dyDescent="0.2">
      <c r="B77" s="61" t="s">
        <v>252</v>
      </c>
      <c r="C77" s="62">
        <v>7.6781949964904702E-3</v>
      </c>
      <c r="D77" s="63">
        <v>2783840</v>
      </c>
      <c r="G77" s="61" t="s">
        <v>253</v>
      </c>
      <c r="H77" s="62">
        <v>7.4382381945307845E-3</v>
      </c>
      <c r="I77" s="63">
        <v>6763595</v>
      </c>
    </row>
    <row r="78" spans="1:9" s="61" customFormat="1" x14ac:dyDescent="0.2">
      <c r="B78" s="61" t="s">
        <v>96</v>
      </c>
      <c r="C78" s="62">
        <v>6.0880362335133057E-3</v>
      </c>
      <c r="D78" s="63">
        <v>2764187</v>
      </c>
      <c r="G78" s="61" t="s">
        <v>254</v>
      </c>
      <c r="H78" s="62">
        <v>5.1359469820346426E-3</v>
      </c>
      <c r="I78" s="63">
        <v>2764187</v>
      </c>
    </row>
    <row r="79" spans="1:9" s="61" customFormat="1" x14ac:dyDescent="0.2">
      <c r="B79" s="61" t="s">
        <v>255</v>
      </c>
      <c r="C79" s="62">
        <v>7.9953674605000025E-3</v>
      </c>
      <c r="D79" s="63">
        <v>32768</v>
      </c>
      <c r="G79" s="61" t="s">
        <v>256</v>
      </c>
      <c r="H79" s="62">
        <v>2.1692881244861906E-2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192</v>
      </c>
      <c r="D88" s="66">
        <v>0.85159152932284587</v>
      </c>
      <c r="E88" s="66">
        <v>0.84772752701753029</v>
      </c>
      <c r="F88" s="66">
        <v>0.97113178873877282</v>
      </c>
      <c r="G88" s="66">
        <v>0.98598255421820424</v>
      </c>
      <c r="H88" s="66">
        <v>0.9333526494355554</v>
      </c>
      <c r="I88" s="66">
        <v>0.51063543883795826</v>
      </c>
      <c r="J88" s="66">
        <v>0.49546258009033911</v>
      </c>
      <c r="K88" s="66">
        <v>0.72560244651449679</v>
      </c>
      <c r="L88" s="66">
        <v>0.86049080963233537</v>
      </c>
      <c r="M88" s="66">
        <v>0.82485161016861974</v>
      </c>
      <c r="N88" s="61"/>
      <c r="O88" s="61">
        <v>8211234</v>
      </c>
    </row>
    <row r="89" spans="1:15" s="65" customFormat="1" hidden="1" x14ac:dyDescent="0.2">
      <c r="A89" s="61"/>
      <c r="B89" s="61">
        <v>2</v>
      </c>
      <c r="C89" s="61" t="s">
        <v>193</v>
      </c>
      <c r="D89" s="66"/>
      <c r="E89" s="66">
        <v>6.1031871864682077E-2</v>
      </c>
      <c r="F89" s="66"/>
      <c r="G89" s="66"/>
      <c r="H89" s="66"/>
      <c r="I89" s="66"/>
      <c r="J89" s="66">
        <v>0.26619118251361484</v>
      </c>
      <c r="K89" s="66">
        <v>0.12014742531998407</v>
      </c>
      <c r="L89" s="66">
        <v>9.7803701749570607E-2</v>
      </c>
      <c r="M89" s="66">
        <v>0.14469657723876614</v>
      </c>
      <c r="N89" s="61"/>
      <c r="O89" s="61">
        <v>2171775</v>
      </c>
    </row>
    <row r="90" spans="1:15" s="65" customFormat="1" hidden="1" x14ac:dyDescent="0.2">
      <c r="A90" s="61"/>
      <c r="B90" s="61">
        <v>3</v>
      </c>
      <c r="C90" s="61" t="s">
        <v>84</v>
      </c>
      <c r="D90" s="66">
        <v>2.5166510629382428E-2</v>
      </c>
      <c r="E90" s="66">
        <v>4.506902047126099E-2</v>
      </c>
      <c r="F90" s="66">
        <v>2.1245896224810334E-2</v>
      </c>
      <c r="G90" s="66">
        <v>5.0900308618946665E-3</v>
      </c>
      <c r="H90" s="66">
        <v>2.6415962568052627E-2</v>
      </c>
      <c r="I90" s="66">
        <v>0.25158765896870683</v>
      </c>
      <c r="J90" s="66">
        <v>0.14515055590125059</v>
      </c>
      <c r="K90" s="66"/>
      <c r="L90" s="66">
        <v>2.3909978618302533E-2</v>
      </c>
      <c r="M90" s="66"/>
      <c r="N90" s="61"/>
      <c r="O90" s="61">
        <v>2783840</v>
      </c>
    </row>
    <row r="91" spans="1:15" s="65" customFormat="1" hidden="1" x14ac:dyDescent="0.2">
      <c r="A91" s="61"/>
      <c r="B91" s="61">
        <v>4</v>
      </c>
      <c r="C91" s="61" t="s">
        <v>257</v>
      </c>
      <c r="D91" s="66">
        <v>3.5075827790572375E-2</v>
      </c>
      <c r="E91" s="66">
        <v>2.7999585973555109E-2</v>
      </c>
      <c r="F91" s="66">
        <v>3.6139999703661938E-3</v>
      </c>
      <c r="G91" s="66">
        <v>7.5812252114714155E-3</v>
      </c>
      <c r="H91" s="66">
        <v>1.2194221091521918E-2</v>
      </c>
      <c r="I91" s="66">
        <v>8.2193998837971592E-3</v>
      </c>
      <c r="J91" s="66">
        <v>3.3909992960271487E-2</v>
      </c>
      <c r="K91" s="66">
        <v>1.064815282559825E-2</v>
      </c>
      <c r="L91" s="66">
        <v>7.5651049046105362E-3</v>
      </c>
      <c r="M91" s="66">
        <v>1.0336926888564033E-2</v>
      </c>
      <c r="N91" s="61"/>
      <c r="O91" s="61">
        <v>6763595</v>
      </c>
    </row>
    <row r="92" spans="1:15" s="65" customFormat="1" hidden="1" x14ac:dyDescent="0.2">
      <c r="A92" s="61"/>
      <c r="B92" s="61">
        <v>5</v>
      </c>
      <c r="C92" s="61" t="s">
        <v>63</v>
      </c>
      <c r="D92" s="66"/>
      <c r="E92" s="66"/>
      <c r="F92" s="66"/>
      <c r="G92" s="66"/>
      <c r="H92" s="66">
        <v>4.2441908158543E-3</v>
      </c>
      <c r="I92" s="66"/>
      <c r="J92" s="66">
        <v>2.6082472346757073E-2</v>
      </c>
      <c r="K92" s="66"/>
      <c r="L92" s="66">
        <v>5.223545776226776E-3</v>
      </c>
      <c r="M92" s="66"/>
      <c r="N92" s="61"/>
      <c r="O92" s="61">
        <v>2764187</v>
      </c>
    </row>
    <row r="93" spans="1:15" s="65" customFormat="1" hidden="1" x14ac:dyDescent="0.2">
      <c r="A93" s="61"/>
      <c r="B93" s="61">
        <v>6</v>
      </c>
      <c r="C93" s="61" t="s">
        <v>195</v>
      </c>
      <c r="D93" s="66"/>
      <c r="E93" s="66"/>
      <c r="F93" s="66"/>
      <c r="G93" s="66"/>
      <c r="H93" s="66"/>
      <c r="I93" s="66"/>
      <c r="J93" s="66"/>
      <c r="K93" s="66"/>
      <c r="L93" s="66"/>
      <c r="M93" s="66">
        <v>8.731253677224415E-3</v>
      </c>
      <c r="N93" s="61"/>
      <c r="O93" s="61">
        <v>3511670</v>
      </c>
    </row>
    <row r="94" spans="1:15" s="65" customFormat="1" hidden="1" x14ac:dyDescent="0.2">
      <c r="A94" s="61"/>
      <c r="B94" s="61">
        <v>7</v>
      </c>
      <c r="C94" s="61" t="s">
        <v>59</v>
      </c>
      <c r="D94" s="66">
        <v>4.6458619880771344E-2</v>
      </c>
      <c r="E94" s="66"/>
      <c r="F94" s="66"/>
      <c r="G94" s="66"/>
      <c r="H94" s="66"/>
      <c r="I94" s="66"/>
      <c r="J94" s="66"/>
      <c r="K94" s="66">
        <v>0.12937194826858373</v>
      </c>
      <c r="L94" s="66"/>
      <c r="M94" s="66">
        <v>6.3619540367297481E-3</v>
      </c>
      <c r="N94" s="61"/>
      <c r="O94" s="61">
        <v>1464488</v>
      </c>
    </row>
    <row r="95" spans="1:15" s="65" customFormat="1" hidden="1" x14ac:dyDescent="0.2">
      <c r="A95" s="61"/>
      <c r="B95" s="61">
        <v>8</v>
      </c>
      <c r="C95" s="61" t="s">
        <v>135</v>
      </c>
      <c r="D95" s="66"/>
      <c r="E95" s="66"/>
      <c r="F95" s="66"/>
      <c r="G95" s="66"/>
      <c r="H95" s="66"/>
      <c r="I95" s="66"/>
      <c r="J95" s="66"/>
      <c r="K95" s="66">
        <v>6.4354771300322968E-3</v>
      </c>
      <c r="L95" s="66"/>
      <c r="M95" s="66"/>
      <c r="N95" s="61"/>
      <c r="O95" s="61">
        <v>8274269</v>
      </c>
    </row>
    <row r="96" spans="1:15" s="65" customFormat="1" hidden="1" x14ac:dyDescent="0.2">
      <c r="A96" s="61"/>
      <c r="B96" s="61">
        <v>9</v>
      </c>
      <c r="C96" s="61" t="s">
        <v>85</v>
      </c>
      <c r="D96" s="66"/>
      <c r="E96" s="66"/>
      <c r="F96" s="66"/>
      <c r="G96" s="66"/>
      <c r="H96" s="66"/>
      <c r="I96" s="66">
        <v>0.14677011265585063</v>
      </c>
      <c r="J96" s="66"/>
      <c r="K96" s="66"/>
      <c r="L96" s="66"/>
      <c r="M96" s="66"/>
      <c r="N96" s="61"/>
      <c r="O96" s="61">
        <v>10520359</v>
      </c>
    </row>
    <row r="97" spans="1:15" s="65" customFormat="1" hidden="1" x14ac:dyDescent="0.2">
      <c r="A97" s="61"/>
      <c r="B97" s="61">
        <v>10</v>
      </c>
      <c r="C97" s="61" t="s">
        <v>101</v>
      </c>
      <c r="D97" s="66"/>
      <c r="E97" s="66"/>
      <c r="F97" s="66"/>
      <c r="G97" s="66"/>
      <c r="H97" s="66"/>
      <c r="I97" s="66">
        <v>3.6772934522785815E-2</v>
      </c>
      <c r="J97" s="66"/>
      <c r="K97" s="66"/>
      <c r="L97" s="66"/>
      <c r="M97" s="66"/>
      <c r="N97" s="61"/>
      <c r="O97" s="61">
        <v>1928395</v>
      </c>
    </row>
    <row r="98" spans="1:15" s="65" customFormat="1" hidden="1" x14ac:dyDescent="0.2">
      <c r="A98" s="61"/>
      <c r="B98" s="61">
        <v>11</v>
      </c>
      <c r="C98" s="61" t="s">
        <v>99</v>
      </c>
      <c r="D98" s="66"/>
      <c r="E98" s="66"/>
      <c r="F98" s="66"/>
      <c r="G98" s="66"/>
      <c r="H98" s="66">
        <v>1.4782196328817665E-2</v>
      </c>
      <c r="I98" s="66"/>
      <c r="J98" s="66"/>
      <c r="K98" s="66"/>
      <c r="L98" s="66"/>
      <c r="M98" s="66"/>
      <c r="N98" s="61"/>
      <c r="O98" s="61">
        <v>10782840</v>
      </c>
    </row>
    <row r="99" spans="1:15" s="65" customFormat="1" hidden="1" x14ac:dyDescent="0.2">
      <c r="A99" s="61"/>
      <c r="B99" s="61">
        <v>12</v>
      </c>
      <c r="C99" s="61" t="s">
        <v>243</v>
      </c>
      <c r="D99" s="66"/>
      <c r="E99" s="66"/>
      <c r="F99" s="66">
        <v>2.1944346495723749E-3</v>
      </c>
      <c r="G99" s="66">
        <v>7.8595915023216007E-4</v>
      </c>
      <c r="H99" s="66"/>
      <c r="I99" s="66"/>
      <c r="J99" s="66"/>
      <c r="K99" s="66"/>
      <c r="L99" s="66"/>
      <c r="M99" s="66"/>
      <c r="N99" s="61"/>
      <c r="O99" s="61">
        <v>7829670</v>
      </c>
    </row>
    <row r="100" spans="1:15" s="65" customFormat="1" hidden="1" x14ac:dyDescent="0.2">
      <c r="A100" s="61"/>
      <c r="B100" s="61">
        <v>13</v>
      </c>
      <c r="C100" s="61" t="s">
        <v>65</v>
      </c>
      <c r="D100" s="66"/>
      <c r="E100" s="66"/>
      <c r="F100" s="66">
        <v>7.3642165718660777E-4</v>
      </c>
      <c r="G100" s="66">
        <v>2.4576761924892333E-4</v>
      </c>
      <c r="H100" s="66"/>
      <c r="I100" s="66"/>
      <c r="J100" s="66"/>
      <c r="K100" s="66"/>
      <c r="L100" s="66"/>
      <c r="M100" s="66"/>
      <c r="N100" s="61"/>
      <c r="O100" s="61">
        <v>8037267</v>
      </c>
    </row>
    <row r="101" spans="1:15" s="65" customFormat="1" hidden="1" x14ac:dyDescent="0.2">
      <c r="A101" s="61"/>
      <c r="B101" s="61">
        <v>14</v>
      </c>
      <c r="C101" s="61" t="s">
        <v>67</v>
      </c>
      <c r="D101" s="66"/>
      <c r="E101" s="66">
        <v>1.3933749902045869E-2</v>
      </c>
      <c r="F101" s="66"/>
      <c r="G101" s="66"/>
      <c r="H101" s="66"/>
      <c r="I101" s="66"/>
      <c r="J101" s="66"/>
      <c r="K101" s="66"/>
      <c r="L101" s="66"/>
      <c r="M101" s="66"/>
      <c r="N101" s="61"/>
      <c r="O101" s="61">
        <v>9928328</v>
      </c>
    </row>
    <row r="102" spans="1:15" s="65" customFormat="1" hidden="1" x14ac:dyDescent="0.2">
      <c r="A102" s="61"/>
      <c r="B102" s="61">
        <v>15</v>
      </c>
      <c r="C102" s="61" t="s">
        <v>60</v>
      </c>
      <c r="D102" s="66">
        <v>1.8545886856054683E-2</v>
      </c>
      <c r="E102" s="66"/>
      <c r="F102" s="66"/>
      <c r="G102" s="66"/>
      <c r="H102" s="66"/>
      <c r="I102" s="66"/>
      <c r="J102" s="66"/>
      <c r="K102" s="66"/>
      <c r="L102" s="66"/>
      <c r="M102" s="66"/>
      <c r="N102" s="61"/>
      <c r="O102" s="61">
        <v>9985324</v>
      </c>
    </row>
    <row r="103" spans="1:15" s="65" customFormat="1" hidden="1" x14ac:dyDescent="0.2">
      <c r="A103" s="61"/>
      <c r="B103" s="61">
        <v>16</v>
      </c>
      <c r="C103" s="61" t="s">
        <v>68</v>
      </c>
      <c r="D103" s="66">
        <v>2.3161625520373263E-2</v>
      </c>
      <c r="E103" s="66">
        <v>4.2382447709256215E-3</v>
      </c>
      <c r="F103" s="66">
        <v>1.077458759291709E-3</v>
      </c>
      <c r="G103" s="66">
        <v>3.1446293894854451E-4</v>
      </c>
      <c r="H103" s="66">
        <v>9.0107797601980937E-3</v>
      </c>
      <c r="I103" s="66">
        <v>4.6014455130901258E-2</v>
      </c>
      <c r="J103" s="66">
        <v>3.3203216187766907E-2</v>
      </c>
      <c r="K103" s="66">
        <v>7.7945499413049008E-3</v>
      </c>
      <c r="L103" s="66">
        <v>5.0068593189541415E-3</v>
      </c>
      <c r="M103" s="66">
        <v>5.0216779900959258E-3</v>
      </c>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17</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'NS beam trawl under 300kW'!D3:L3</xm:f>
              <xm:sqref>C3</xm:sqref>
            </x14:sparkline>
            <x14:sparkline>
              <xm:f>'NS beam trawl under 300kW'!D4:L4</xm:f>
              <xm:sqref>C4</xm:sqref>
            </x14:sparkline>
            <x14:sparkline>
              <xm:f>'NS beam trawl under 300kW'!D5:L5</xm:f>
              <xm:sqref>C5</xm:sqref>
            </x14:sparkline>
            <x14:sparkline>
              <xm:f>'NS beam trawl under 300kW'!D6:L6</xm:f>
              <xm:sqref>C6</xm:sqref>
            </x14:sparkline>
            <x14:sparkline>
              <xm:f>'NS beam trawl under 300kW'!D7:L7</xm:f>
              <xm:sqref>C7</xm:sqref>
            </x14:sparkline>
            <x14:sparkline>
              <xm:f>'NS beam trawl under 300kW'!D8:L8</xm:f>
              <xm:sqref>C8</xm:sqref>
            </x14:sparkline>
            <x14:sparkline>
              <xm:f>'NS beam trawl under 300kW'!D9:L9</xm:f>
              <xm:sqref>C9</xm:sqref>
            </x14:sparkline>
            <x14:sparkline>
              <xm:f>'NS beam trawl under 300kW'!D10:L10</xm:f>
              <xm:sqref>C10</xm:sqref>
            </x14:sparkline>
            <x14:sparkline>
              <xm:f>'NS beam trawl under 300kW'!D11:L11</xm:f>
              <xm:sqref>C11</xm:sqref>
            </x14:sparkline>
            <x14:sparkline>
              <xm:f>'NS beam trawl under 300kW'!D12:L12</xm:f>
              <xm:sqref>C12</xm:sqref>
            </x14:sparkline>
            <x14:sparkline>
              <xm:f>'NS beam trawl under 300kW'!D13:L13</xm:f>
              <xm:sqref>C13</xm:sqref>
            </x14:sparkline>
            <x14:sparkline>
              <xm:f>'NS beam trawl under 300kW'!D14:L14</xm:f>
              <xm:sqref>C14</xm:sqref>
            </x14:sparkline>
            <x14:sparkline>
              <xm:f>'NS beam trawl under 300kW'!D15:L15</xm:f>
              <xm:sqref>C15</xm:sqref>
            </x14:sparkline>
            <x14:sparkline>
              <xm:f>'NS beam trawl under 300kW'!D16:L16</xm:f>
              <xm:sqref>C16</xm:sqref>
            </x14:sparkline>
            <x14:sparkline>
              <xm:f>'NS beam trawl under 300kW'!D17:L17</xm:f>
              <xm:sqref>C17</xm:sqref>
            </x14:sparkline>
            <x14:sparkline>
              <xm:f>'NS beam trawl under 300kW'!D18:L18</xm:f>
              <xm:sqref>C18</xm:sqref>
            </x14:sparkline>
            <x14:sparkline>
              <xm:f>'NS beam trawl under 300kW'!D19:L19</xm:f>
              <xm:sqref>C19</xm:sqref>
            </x14:sparkline>
            <x14:sparkline>
              <xm:f>'NS beam trawl under 300kW'!D20:L20</xm:f>
              <xm:sqref>C20</xm:sqref>
            </x14:sparkline>
            <x14:sparkline>
              <xm:f>'NS beam trawl under 300kW'!D21:L21</xm:f>
              <xm:sqref>C21</xm:sqref>
            </x14:sparkline>
            <x14:sparkline>
              <xm:f>'NS beam trawl under 300kW'!D22:L22</xm:f>
              <xm:sqref>C22</xm:sqref>
            </x14:sparkline>
            <x14:sparkline>
              <xm:f>'NS beam trawl under 300kW'!D23:L23</xm:f>
              <xm:sqref>C23</xm:sqref>
            </x14:sparkline>
            <x14:sparkline>
              <xm:f>'NS beam trawl under 300kW'!D24:L24</xm:f>
              <xm:sqref>C24</xm:sqref>
            </x14:sparkline>
            <x14:sparkline>
              <xm:f>'NS beam trawl under 300kW'!D25:L25</xm:f>
              <xm:sqref>C25</xm:sqref>
            </x14:sparkline>
            <x14:sparkline>
              <xm:f>'NS beam trawl under 300kW'!D26:L26</xm:f>
              <xm:sqref>C26</xm:sqref>
            </x14:sparkline>
            <x14:sparkline>
              <xm:f>'NS beam trawl under 300kW'!D27:L27</xm:f>
              <xm:sqref>C27</xm:sqref>
            </x14:sparkline>
            <x14:sparkline>
              <xm:f>'NS beam trawl under 300kW'!D28:L28</xm:f>
              <xm:sqref>C28</xm:sqref>
            </x14:sparkline>
            <x14:sparkline>
              <xm:f>'NS beam trawl under 300kW'!D29:L29</xm:f>
              <xm:sqref>C29</xm:sqref>
            </x14:sparkline>
            <x14:sparkline>
              <xm:f>'NS beam trawl under 300kW'!D30:L30</xm:f>
              <xm:sqref>C30</xm:sqref>
            </x14:sparkline>
            <x14:sparkline>
              <xm:f>'NS beam trawl under 300kW'!D31:L31</xm:f>
              <xm:sqref>C31</xm:sqref>
            </x14:sparkline>
            <x14:sparkline>
              <xm:f>'NS beam trawl under 300kW'!D32:L32</xm:f>
              <xm:sqref>C32</xm:sqref>
            </x14:sparkline>
            <x14:sparkline>
              <xm:f>'NS beam trawl under 300kW'!D33:L33</xm:f>
              <xm:sqref>C33</xm:sqref>
            </x14:sparkline>
            <x14:sparkline>
              <xm:f>'NS beam trawl under 300kW'!D34:L34</xm:f>
              <xm:sqref>C34</xm:sqref>
            </x14:sparkline>
            <x14:sparkline>
              <xm:f>'NS beam trawl under 300kW'!D35:L35</xm:f>
              <xm:sqref>C35</xm:sqref>
            </x14:sparkline>
            <x14:sparkline>
              <xm:f>'NS beam trawl under 300kW'!D36:L36</xm:f>
              <xm:sqref>C36</xm:sqref>
            </x14:sparkline>
            <x14:sparkline>
              <xm:f>'NS beam trawl under 300kW'!D37:L37</xm:f>
              <xm:sqref>C37</xm:sqref>
            </x14:sparkline>
            <x14:sparkline>
              <xm:f>'NS beam trawl under 300kW'!D38:L38</xm:f>
              <xm:sqref>C38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258</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88</v>
      </c>
      <c r="E3" s="16">
        <v>92</v>
      </c>
      <c r="F3" s="16">
        <v>100</v>
      </c>
      <c r="G3" s="16">
        <v>97</v>
      </c>
      <c r="H3" s="16">
        <v>83</v>
      </c>
      <c r="I3" s="16">
        <v>95</v>
      </c>
      <c r="J3" s="16">
        <v>83</v>
      </c>
      <c r="K3" s="16">
        <v>73</v>
      </c>
      <c r="L3" s="16">
        <v>55</v>
      </c>
      <c r="M3" s="17">
        <v>56</v>
      </c>
      <c r="N3" s="18">
        <f t="shared" ref="N3:N38" si="0">IF(L3=0,"",IFERROR(IF(AND(L3&gt;0,D3&lt;0),"na",IF(AND(L3&lt;0,D3&lt;0),-1,1)*(L3-D3)/D3),""))</f>
        <v>-0.375</v>
      </c>
      <c r="O3" s="18">
        <f t="shared" ref="O3:O38" si="1">IF(L3=0,"",IFERROR(IF(AND(L3&gt;0,H3&lt;0),"na",IF(AND(L3&lt;0,H3&lt;0),-1,1)*(L3-H3)/H3),""))</f>
        <v>-0.33734939759036142</v>
      </c>
    </row>
    <row r="4" spans="1:15" s="19" customFormat="1" ht="18" customHeight="1" x14ac:dyDescent="0.2">
      <c r="A4" s="141"/>
      <c r="B4" s="20" t="s">
        <v>20</v>
      </c>
      <c r="C4" s="21"/>
      <c r="D4" s="22">
        <v>36244.671875</v>
      </c>
      <c r="E4" s="22">
        <v>38846.671875</v>
      </c>
      <c r="F4" s="22">
        <v>42492.6015625</v>
      </c>
      <c r="G4" s="22">
        <v>42043.6484375</v>
      </c>
      <c r="H4" s="22">
        <v>35080</v>
      </c>
      <c r="I4" s="22">
        <v>40781.6015625</v>
      </c>
      <c r="J4" s="22">
        <v>35952.12109375</v>
      </c>
      <c r="K4" s="22">
        <v>30585</v>
      </c>
      <c r="L4" s="22">
        <v>24359</v>
      </c>
      <c r="M4" s="23">
        <v>24382</v>
      </c>
      <c r="N4" s="24">
        <f t="shared" si="0"/>
        <v>-0.32792880332842028</v>
      </c>
      <c r="O4" s="24">
        <f t="shared" si="1"/>
        <v>-0.3056157354618016</v>
      </c>
    </row>
    <row r="5" spans="1:15" s="19" customFormat="1" ht="18" customHeight="1" x14ac:dyDescent="0.2">
      <c r="A5" s="141"/>
      <c r="B5" s="20" t="s">
        <v>21</v>
      </c>
      <c r="C5" s="21"/>
      <c r="D5" s="22">
        <v>12991.7099609375</v>
      </c>
      <c r="E5" s="22">
        <v>13871.08984375</v>
      </c>
      <c r="F5" s="22">
        <v>15223.419921875</v>
      </c>
      <c r="G5" s="22">
        <v>15208.3203125</v>
      </c>
      <c r="H5" s="22">
        <v>12716.9296875</v>
      </c>
      <c r="I5" s="22">
        <v>14910.919921875</v>
      </c>
      <c r="J5" s="22">
        <v>13122.23046875</v>
      </c>
      <c r="K5" s="22">
        <v>11287.91015625</v>
      </c>
      <c r="L5" s="22">
        <v>8905.08984375</v>
      </c>
      <c r="M5" s="23">
        <v>8672.01953125</v>
      </c>
      <c r="N5" s="24">
        <f t="shared" si="0"/>
        <v>-0.3145559845066464</v>
      </c>
      <c r="O5" s="24">
        <f t="shared" si="1"/>
        <v>-0.29974529524188659</v>
      </c>
    </row>
    <row r="6" spans="1:15" s="19" customFormat="1" ht="18" customHeight="1" x14ac:dyDescent="0.2">
      <c r="A6" s="141"/>
      <c r="B6" s="20" t="s">
        <v>22</v>
      </c>
      <c r="C6" s="21"/>
      <c r="D6" s="22">
        <v>25046.830078125</v>
      </c>
      <c r="E6" s="22">
        <v>33301.90625</v>
      </c>
      <c r="F6" s="22">
        <v>31787.51953125</v>
      </c>
      <c r="G6" s="22">
        <v>33120.83984375</v>
      </c>
      <c r="H6" s="22">
        <v>27615.91796875</v>
      </c>
      <c r="I6" s="22">
        <v>31991.046875</v>
      </c>
      <c r="J6" s="22">
        <v>27882.072265625</v>
      </c>
      <c r="K6" s="22">
        <v>23952.61328125</v>
      </c>
      <c r="L6" s="22">
        <v>18786.80078125</v>
      </c>
      <c r="M6" s="23">
        <v>18809.673828125</v>
      </c>
      <c r="N6" s="24">
        <f t="shared" si="0"/>
        <v>-0.24993299660471943</v>
      </c>
      <c r="O6" s="24">
        <f t="shared" si="1"/>
        <v>-0.31971116069692029</v>
      </c>
    </row>
    <row r="7" spans="1:15" s="19" customFormat="1" ht="18" customHeight="1" x14ac:dyDescent="0.2">
      <c r="A7" s="141"/>
      <c r="B7" s="20" t="s">
        <v>23</v>
      </c>
      <c r="C7" s="21"/>
      <c r="D7" s="22">
        <v>20854.140625</v>
      </c>
      <c r="E7" s="22">
        <v>20320.513671875</v>
      </c>
      <c r="F7" s="22">
        <v>21457.6953125</v>
      </c>
      <c r="G7" s="22">
        <v>21825.28515625</v>
      </c>
      <c r="H7" s="22">
        <v>19923.576171875</v>
      </c>
      <c r="I7" s="22">
        <v>19730.140625</v>
      </c>
      <c r="J7" s="22">
        <v>16323.837890625</v>
      </c>
      <c r="K7" s="22">
        <v>13644.234375</v>
      </c>
      <c r="L7" s="22">
        <v>10717.984375</v>
      </c>
      <c r="M7" s="23">
        <v>12772.580078125</v>
      </c>
      <c r="N7" s="24">
        <f t="shared" si="0"/>
        <v>-0.4860500575050668</v>
      </c>
      <c r="O7" s="24">
        <f t="shared" si="1"/>
        <v>-0.46204515281097075</v>
      </c>
    </row>
    <row r="8" spans="1:15" s="19" customFormat="1" ht="18" customHeight="1" x14ac:dyDescent="0.2">
      <c r="A8" s="141"/>
      <c r="B8" s="20" t="s">
        <v>24</v>
      </c>
      <c r="C8" s="25"/>
      <c r="D8" s="26">
        <f ca="1">46.44674*OFFSET(D$108,MATCH($M$1,$C$109:$C$110,0),0)</f>
        <v>37.782564781922055</v>
      </c>
      <c r="E8" s="26">
        <f ca="1">55.486436*OFFSET(E$108,MATCH($M$1,$C$109:$C$110,0),0)</f>
        <v>46.349481056341496</v>
      </c>
      <c r="F8" s="26">
        <f ca="1">62.679248*OFFSET(F$108,MATCH($M$1,$C$109:$C$110,0),0)</f>
        <v>53.861529996854948</v>
      </c>
      <c r="G8" s="26">
        <f ca="1">54.154016*OFFSET(G$108,MATCH($M$1,$C$109:$C$110,0),0)</f>
        <v>47.886772366506804</v>
      </c>
      <c r="H8" s="26">
        <f ca="1">40.4569*OFFSET(H$108,MATCH($M$1,$C$109:$C$110,0),0)</f>
        <v>36.483223866720394</v>
      </c>
      <c r="I8" s="26">
        <f ca="1">45.212*OFFSET(I$108,MATCH($M$1,$C$109:$C$110,0),0)</f>
        <v>42.064792132193887</v>
      </c>
      <c r="J8" s="26">
        <f ca="1">49.953432*OFFSET(J$108,MATCH($M$1,$C$109:$C$110,0),0)</f>
        <v>47.463752574496141</v>
      </c>
      <c r="K8" s="26">
        <f ca="1">36.823096*OFFSET(K$108,MATCH($M$1,$C$109:$C$110,0),0)</f>
        <v>35.568901002616343</v>
      </c>
      <c r="L8" s="26">
        <f ca="1">23.060646*OFFSET(L$108,MATCH($M$1,$C$109:$C$110,0),0)</f>
        <v>22.673918567747091</v>
      </c>
      <c r="M8" s="27">
        <f ca="1">31.200836*OFFSET(M$108,MATCH($M$1,$C$109:$C$110,0),0)</f>
        <v>31.200835878779969</v>
      </c>
      <c r="N8" s="24">
        <f t="shared" ca="1" si="0"/>
        <v>-0.39988408149051985</v>
      </c>
      <c r="O8" s="24">
        <f t="shared" ca="1" si="1"/>
        <v>-0.37851110278579309</v>
      </c>
    </row>
    <row r="9" spans="1:15" s="19" customFormat="1" ht="18" customHeight="1" x14ac:dyDescent="0.2">
      <c r="A9" s="141"/>
      <c r="B9" s="20" t="s">
        <v>25</v>
      </c>
      <c r="C9" s="25"/>
      <c r="D9" s="22">
        <v>18709</v>
      </c>
      <c r="E9" s="22">
        <v>17469</v>
      </c>
      <c r="F9" s="22">
        <v>18881</v>
      </c>
      <c r="G9" s="22">
        <v>19338</v>
      </c>
      <c r="H9" s="22">
        <v>16206</v>
      </c>
      <c r="I9" s="22">
        <v>17339.666015625</v>
      </c>
      <c r="J9" s="22">
        <v>15145</v>
      </c>
      <c r="K9" s="22">
        <v>12710.3330078125</v>
      </c>
      <c r="L9" s="22">
        <v>8944</v>
      </c>
      <c r="M9" s="23">
        <v>10323</v>
      </c>
      <c r="N9" s="24">
        <f t="shared" si="0"/>
        <v>-0.52194131166818114</v>
      </c>
      <c r="O9" s="24">
        <f t="shared" si="1"/>
        <v>-0.44810563988646179</v>
      </c>
    </row>
    <row r="10" spans="1:15" s="19" customFormat="1" ht="18" customHeight="1" x14ac:dyDescent="0.2">
      <c r="A10" s="142" t="s">
        <v>7</v>
      </c>
      <c r="B10" s="28" t="s">
        <v>26</v>
      </c>
      <c r="C10" s="29"/>
      <c r="D10" s="30">
        <v>20.763408660888672</v>
      </c>
      <c r="E10" s="30">
        <v>20.905979156494141</v>
      </c>
      <c r="F10" s="30">
        <v>21.093099594116211</v>
      </c>
      <c r="G10" s="30">
        <v>21.207010269165039</v>
      </c>
      <c r="H10" s="30">
        <v>20.954578399658203</v>
      </c>
      <c r="I10" s="30">
        <v>20.992420196533203</v>
      </c>
      <c r="J10" s="30">
        <v>20.703252792358398</v>
      </c>
      <c r="K10" s="30">
        <v>20.48698616027832</v>
      </c>
      <c r="L10" s="30">
        <v>20.508182525634766</v>
      </c>
      <c r="M10" s="31">
        <v>20.463750839233398</v>
      </c>
      <c r="N10" s="32">
        <f t="shared" si="0"/>
        <v>-1.2292111542102769E-2</v>
      </c>
      <c r="O10" s="32">
        <f t="shared" si="1"/>
        <v>-2.1303023401831784E-2</v>
      </c>
    </row>
    <row r="11" spans="1:15" s="19" customFormat="1" ht="18" customHeight="1" x14ac:dyDescent="0.2">
      <c r="A11" s="143"/>
      <c r="B11" s="33" t="s">
        <v>20</v>
      </c>
      <c r="C11" s="21"/>
      <c r="D11" s="22">
        <v>411.87124633789062</v>
      </c>
      <c r="E11" s="22">
        <v>422.24639892578125</v>
      </c>
      <c r="F11" s="22">
        <v>424.92599487304687</v>
      </c>
      <c r="G11" s="22">
        <v>433.439697265625</v>
      </c>
      <c r="H11" s="22">
        <v>422.65060424804687</v>
      </c>
      <c r="I11" s="22">
        <v>429.27999877929687</v>
      </c>
      <c r="J11" s="22">
        <v>433.1580810546875</v>
      </c>
      <c r="K11" s="22">
        <v>418.97259521484375</v>
      </c>
      <c r="L11" s="22">
        <v>442.89089965820312</v>
      </c>
      <c r="M11" s="23">
        <v>435.39285278320312</v>
      </c>
      <c r="N11" s="24">
        <f t="shared" si="0"/>
        <v>7.5313956961357342E-2</v>
      </c>
      <c r="O11" s="24">
        <f t="shared" si="1"/>
        <v>4.7888954154381248E-2</v>
      </c>
    </row>
    <row r="12" spans="1:15" s="19" customFormat="1" ht="18" customHeight="1" x14ac:dyDescent="0.2">
      <c r="A12" s="143"/>
      <c r="B12" s="33" t="s">
        <v>21</v>
      </c>
      <c r="C12" s="21"/>
      <c r="D12" s="22">
        <v>147.63307189941406</v>
      </c>
      <c r="E12" s="22">
        <v>150.77272033691406</v>
      </c>
      <c r="F12" s="22">
        <v>152.23420715332031</v>
      </c>
      <c r="G12" s="22">
        <v>156.78680419921875</v>
      </c>
      <c r="H12" s="22">
        <v>153.21601867675781</v>
      </c>
      <c r="I12" s="22">
        <v>156.95704650878906</v>
      </c>
      <c r="J12" s="22">
        <v>158.09915161132812</v>
      </c>
      <c r="K12" s="22">
        <v>154.62890625</v>
      </c>
      <c r="L12" s="22">
        <v>161.91072082519531</v>
      </c>
      <c r="M12" s="23">
        <v>154.85749816894531</v>
      </c>
      <c r="N12" s="24">
        <f t="shared" si="0"/>
        <v>9.6710369445600602E-2</v>
      </c>
      <c r="O12" s="24">
        <f t="shared" si="1"/>
        <v>5.6747996870881015E-2</v>
      </c>
    </row>
    <row r="13" spans="1:15" s="19" customFormat="1" ht="18" customHeight="1" x14ac:dyDescent="0.2">
      <c r="A13" s="143"/>
      <c r="B13" s="33" t="s">
        <v>22</v>
      </c>
      <c r="C13" s="21"/>
      <c r="D13" s="22">
        <v>284.62307739257812</v>
      </c>
      <c r="E13" s="22">
        <v>361.97723388671875</v>
      </c>
      <c r="F13" s="22">
        <v>317.87521362304687</v>
      </c>
      <c r="G13" s="22">
        <v>341.45193481445312</v>
      </c>
      <c r="H13" s="22">
        <v>332.721923828125</v>
      </c>
      <c r="I13" s="22">
        <v>336.74786376953125</v>
      </c>
      <c r="J13" s="22">
        <v>335.9285888671875</v>
      </c>
      <c r="K13" s="22">
        <v>328.11798095703125</v>
      </c>
      <c r="L13" s="22">
        <v>341.57821655273437</v>
      </c>
      <c r="M13" s="23">
        <v>335.88702392578125</v>
      </c>
      <c r="N13" s="24">
        <f t="shared" si="0"/>
        <v>0.2001072424693045</v>
      </c>
      <c r="O13" s="24">
        <f t="shared" si="1"/>
        <v>2.661770112024326E-2</v>
      </c>
    </row>
    <row r="14" spans="1:15" s="19" customFormat="1" ht="18" customHeight="1" x14ac:dyDescent="0.2">
      <c r="A14" s="143"/>
      <c r="B14" s="33" t="s">
        <v>23</v>
      </c>
      <c r="C14" s="25"/>
      <c r="D14" s="26">
        <v>236.97886657714844</v>
      </c>
      <c r="E14" s="26">
        <v>220.87513732910156</v>
      </c>
      <c r="F14" s="26">
        <v>214.57695007324219</v>
      </c>
      <c r="G14" s="26">
        <v>225.0029296875</v>
      </c>
      <c r="H14" s="26">
        <v>240.0430908203125</v>
      </c>
      <c r="I14" s="26">
        <v>207.68569946289062</v>
      </c>
      <c r="J14" s="26">
        <v>196.67274475097656</v>
      </c>
      <c r="K14" s="26">
        <v>186.90733337402344</v>
      </c>
      <c r="L14" s="26">
        <v>194.8724365234375</v>
      </c>
      <c r="M14" s="27">
        <v>228.081787109375</v>
      </c>
      <c r="N14" s="24">
        <f t="shared" si="0"/>
        <v>-0.17768010566462555</v>
      </c>
      <c r="O14" s="24">
        <f t="shared" si="1"/>
        <v>-0.18817727326585751</v>
      </c>
    </row>
    <row r="15" spans="1:15" s="19" customFormat="1" ht="18" customHeight="1" x14ac:dyDescent="0.2">
      <c r="A15" s="143"/>
      <c r="B15" s="33" t="s">
        <v>27</v>
      </c>
      <c r="C15" s="25"/>
      <c r="D15" s="26">
        <f ca="1">527.803875*OFFSET(D$108,MATCH($M$1,$C$109:$C$110,0),0)</f>
        <v>429.34733631115961</v>
      </c>
      <c r="E15" s="26">
        <f ca="1">603.1134375*OFFSET(E$108,MATCH($M$1,$C$109:$C$110,0),0)</f>
        <v>503.79870940406505</v>
      </c>
      <c r="F15" s="26">
        <f ca="1">626.7925*OFFSET(F$108,MATCH($M$1,$C$109:$C$110,0),0)</f>
        <v>538.61531715494903</v>
      </c>
      <c r="G15" s="26">
        <f ca="1">558.2888125*OFFSET(G$108,MATCH($M$1,$C$109:$C$110,0),0)</f>
        <v>493.67805480862023</v>
      </c>
      <c r="H15" s="26">
        <f ca="1">487.43253125*OFFSET(H$108,MATCH($M$1,$C$109:$C$110,0),0)</f>
        <v>439.55691507544901</v>
      </c>
      <c r="I15" s="26">
        <f ca="1">475.91578125*OFFSET(I$108,MATCH($M$1,$C$109:$C$110,0),0)</f>
        <v>442.78727795080744</v>
      </c>
      <c r="J15" s="26">
        <f ca="1">601.8485625*OFFSET(J$108,MATCH($M$1,$C$109:$C$110,0),0)</f>
        <v>571.8524256314596</v>
      </c>
      <c r="K15" s="26">
        <f ca="1">504.426*OFFSET(K$108,MATCH($M$1,$C$109:$C$110,0),0)</f>
        <v>487.24524567803184</v>
      </c>
      <c r="L15" s="26">
        <f ca="1">419.28446875*OFFSET(L$108,MATCH($M$1,$C$109:$C$110,0),0)</f>
        <v>412.25306095755514</v>
      </c>
      <c r="M15" s="27">
        <f ca="1">557.1578125*OFFSET(M$108,MATCH($M$1,$C$109:$C$110,0),0)</f>
        <v>557.15781033535654</v>
      </c>
      <c r="N15" s="24">
        <f t="shared" ca="1" si="0"/>
        <v>-3.9814560165841555E-2</v>
      </c>
      <c r="O15" s="24">
        <f t="shared" ca="1" si="1"/>
        <v>-6.2116766183071485E-2</v>
      </c>
    </row>
    <row r="16" spans="1:15" s="19" customFormat="1" ht="18" customHeight="1" x14ac:dyDescent="0.2">
      <c r="A16" s="143"/>
      <c r="B16" s="33" t="s">
        <v>25</v>
      </c>
      <c r="C16" s="21"/>
      <c r="D16" s="22">
        <v>212.60227966308594</v>
      </c>
      <c r="E16" s="22">
        <v>189.88043212890625</v>
      </c>
      <c r="F16" s="22">
        <v>188.80999755859375</v>
      </c>
      <c r="G16" s="22">
        <v>199.36082458496094</v>
      </c>
      <c r="H16" s="22">
        <v>195.25300598144531</v>
      </c>
      <c r="I16" s="22">
        <v>182.52281188964844</v>
      </c>
      <c r="J16" s="22">
        <v>182.46987915039062</v>
      </c>
      <c r="K16" s="22">
        <v>174.11415100097656</v>
      </c>
      <c r="L16" s="22">
        <v>162.61817932128906</v>
      </c>
      <c r="M16" s="23">
        <v>184.33927917480469</v>
      </c>
      <c r="N16" s="24">
        <f t="shared" si="0"/>
        <v>-0.23510613536697461</v>
      </c>
      <c r="O16" s="24">
        <f t="shared" si="1"/>
        <v>-0.16714122528417055</v>
      </c>
    </row>
    <row r="17" spans="1:15" s="19" customFormat="1" ht="18" customHeight="1" x14ac:dyDescent="0.2">
      <c r="A17" s="143"/>
      <c r="B17" s="33" t="s">
        <v>28</v>
      </c>
      <c r="C17" s="21"/>
      <c r="D17" s="22">
        <v>18.102272033691406</v>
      </c>
      <c r="E17" s="22">
        <v>18.90217399597168</v>
      </c>
      <c r="F17" s="22">
        <v>20.040000915527344</v>
      </c>
      <c r="G17" s="22">
        <v>19.711339950561523</v>
      </c>
      <c r="H17" s="22">
        <v>20.734939575195313</v>
      </c>
      <c r="I17" s="22">
        <v>20.200000762939453</v>
      </c>
      <c r="J17" s="22">
        <v>18.97590446472168</v>
      </c>
      <c r="K17" s="22">
        <v>19.876712799072266</v>
      </c>
      <c r="L17" s="22">
        <v>19</v>
      </c>
      <c r="M17" s="23">
        <v>20.160715103149414</v>
      </c>
      <c r="N17" s="24">
        <f t="shared" si="0"/>
        <v>4.9592005060898947E-2</v>
      </c>
      <c r="O17" s="24">
        <f t="shared" si="1"/>
        <v>-8.3672275431695836E-2</v>
      </c>
    </row>
    <row r="18" spans="1:15" s="19" customFormat="1" ht="18" customHeight="1" x14ac:dyDescent="0.2">
      <c r="A18" s="143"/>
      <c r="B18" s="33" t="s">
        <v>29</v>
      </c>
      <c r="C18" s="21"/>
      <c r="D18" s="34">
        <v>1.1146581172943115</v>
      </c>
      <c r="E18" s="34">
        <v>1.1632328033447266</v>
      </c>
      <c r="F18" s="34">
        <v>1.1364703178405762</v>
      </c>
      <c r="G18" s="34">
        <v>1.1286215782165527</v>
      </c>
      <c r="H18" s="34">
        <v>1.2293951511383057</v>
      </c>
      <c r="I18" s="34">
        <v>1.1378616094589233</v>
      </c>
      <c r="J18" s="34">
        <v>1.0778367519378662</v>
      </c>
      <c r="K18" s="34">
        <v>1.0734758377075195</v>
      </c>
      <c r="L18" s="34">
        <v>1.1983435153961182</v>
      </c>
      <c r="M18" s="35">
        <v>1.2372934818267822</v>
      </c>
      <c r="N18" s="24">
        <f t="shared" si="0"/>
        <v>7.5077188963502212E-2</v>
      </c>
      <c r="O18" s="24">
        <f t="shared" si="1"/>
        <v>-2.5257652686718809E-2</v>
      </c>
    </row>
    <row r="19" spans="1:15" s="19" customFormat="1" ht="18" customHeight="1" x14ac:dyDescent="0.2">
      <c r="A19" s="144"/>
      <c r="B19" s="36" t="s">
        <v>8</v>
      </c>
      <c r="C19" s="37"/>
      <c r="D19" s="38">
        <f ca="1">2227.21908493892*OFFSET(D$108,MATCH($M$1,$C$109:$C$110,0),0)</f>
        <v>1811.7536206036827</v>
      </c>
      <c r="E19" s="38">
        <f ca="1">2730.56266667102*OFFSET(E$108,MATCH($M$1,$C$109:$C$110,0),0)</f>
        <v>2280.9207387553556</v>
      </c>
      <c r="F19" s="38">
        <f ca="1">2921.06151602809*OFFSET(F$108,MATCH($M$1,$C$109:$C$110,0),0)</f>
        <v>2510.1265169646827</v>
      </c>
      <c r="G19" s="38">
        <f ca="1">2481.25124653834*OFFSET(G$108,MATCH($M$1,$C$109:$C$110,0),0)</f>
        <v>2194.0960690171669</v>
      </c>
      <c r="H19" s="38">
        <f ca="1">2030.60432780691*OFFSET(H$108,MATCH($M$1,$C$109:$C$110,0),0)</f>
        <v>1831.1584000778801</v>
      </c>
      <c r="I19" s="38">
        <f ca="1">2291.51939964949*OFFSET(I$108,MATCH($M$1,$C$109:$C$110,0),0)</f>
        <v>2132.0067064749519</v>
      </c>
      <c r="J19" s="38">
        <f ca="1">3060.15241848787*OFFSET(J$108,MATCH($M$1,$C$109:$C$110,0),0)</f>
        <v>2907.6343990009377</v>
      </c>
      <c r="K19" s="38">
        <f ca="1">2698.80265817407*OFFSET(K$108,MATCH($M$1,$C$109:$C$110,0),0)</f>
        <v>2606.8814141589651</v>
      </c>
      <c r="L19" s="38">
        <f ca="1">2151.58421519905*OFFSET(L$108,MATCH($M$1,$C$109:$C$110,0),0)</f>
        <v>2115.5021106986028</v>
      </c>
      <c r="M19" s="39">
        <f ca="1">2442.79822942243*OFFSET(M$108,MATCH($M$1,$C$109:$C$110,0),0)</f>
        <v>2442.7982199317844</v>
      </c>
      <c r="N19" s="40">
        <f ca="1">IF(L19=0,"",IFERROR(IF(AND(L19&gt;0,D19&lt;0),"na",IF(AND(L19&lt;0,D19&lt;0),-1,1)*(L19-D19)/D19),""))</f>
        <v>0.16765441318323954</v>
      </c>
      <c r="O19" s="40">
        <f ca="1">IF(L19=0,"",IFERROR(IF(AND(L19&gt;0,H19&lt;0),"na",IF(AND(L19&lt;0,H19&lt;0),-1,1)*(L19-H19)/H19),""))</f>
        <v>0.1552807832509899</v>
      </c>
    </row>
    <row r="20" spans="1:15" s="19" customFormat="1" ht="18" customHeight="1" x14ac:dyDescent="0.2">
      <c r="A20" s="145" t="s">
        <v>9</v>
      </c>
      <c r="B20" s="28" t="s">
        <v>30</v>
      </c>
      <c r="C20" s="41"/>
      <c r="D20" s="42">
        <v>2.6661471706202455</v>
      </c>
      <c r="E20" s="42">
        <v>2.6721722130486079</v>
      </c>
      <c r="F20" s="42">
        <v>2.6191709380647459</v>
      </c>
      <c r="G20" s="42">
        <v>2.5517409690588604</v>
      </c>
      <c r="H20" s="42">
        <v>2.8581042826380965</v>
      </c>
      <c r="I20" s="42">
        <v>2.6054866169946553</v>
      </c>
      <c r="J20" s="42">
        <v>2.4343748501126425</v>
      </c>
      <c r="K20" s="42">
        <v>2.5378014679230496</v>
      </c>
      <c r="L20" s="42">
        <v>2.6549293497870727</v>
      </c>
      <c r="M20" s="43">
        <v>2.7936820154990691</v>
      </c>
      <c r="N20" s="32">
        <f t="shared" si="0"/>
        <v>-4.2075024802787284E-3</v>
      </c>
      <c r="O20" s="32">
        <f t="shared" si="1"/>
        <v>-7.1087305696028891E-2</v>
      </c>
    </row>
    <row r="21" spans="1:15" s="19" customFormat="1" ht="18" customHeight="1" x14ac:dyDescent="0.2">
      <c r="A21" s="145"/>
      <c r="B21" s="33" t="s">
        <v>31</v>
      </c>
      <c r="C21" s="21"/>
      <c r="D21" s="34">
        <f ca="1">5.9380940937851*OFFSET(D$108,MATCH($M$1,$C$109:$C$110,0),0)</f>
        <v>4.8304019782569085</v>
      </c>
      <c r="E21" s="34">
        <f ca="1">7.29653408931413*OFFSET(E$108,MATCH($M$1,$C$109:$C$110,0),0)</f>
        <v>6.0950133569511511</v>
      </c>
      <c r="F21" s="34">
        <f ca="1">7.65075978401496*OFFSET(F$108,MATCH($M$1,$C$109:$C$110,0),0)</f>
        <v>6.5744507273835397</v>
      </c>
      <c r="G21" s="34">
        <f ca="1">6.3315106047822*OFFSET(G$108,MATCH($M$1,$C$109:$C$110,0),0)</f>
        <v>5.5987649571054723</v>
      </c>
      <c r="H21" s="34">
        <f ca="1">5.80367883242097*OFFSET(H$108,MATCH($M$1,$C$109:$C$110,0),0)</f>
        <v>5.233641581380696</v>
      </c>
      <c r="I21" s="34">
        <f ca="1">5.97052277585917*OFFSET(I$108,MATCH($M$1,$C$109:$C$110,0),0)</f>
        <v>5.5549146130904443</v>
      </c>
      <c r="J21" s="34">
        <f ca="1">7.44955792416261*OFFSET(J$108,MATCH($M$1,$C$109:$C$110,0),0)</f>
        <v>7.0782719013546691</v>
      </c>
      <c r="K21" s="34">
        <f ca="1">6.84902523699729*OFFSET(K$108,MATCH($M$1,$C$109:$C$110,0),0)</f>
        <v>6.6157473727678298</v>
      </c>
      <c r="L21" s="34">
        <f ca="1">5.71230422246182*OFFSET(L$108,MATCH($M$1,$C$109:$C$110,0),0)</f>
        <v>5.6165087818570729</v>
      </c>
      <c r="M21" s="35">
        <f ca="1">6.82440180911786*OFFSET(M$108,MATCH($M$1,$C$109:$C$110,0),0)</f>
        <v>6.8244017826040135</v>
      </c>
      <c r="N21" s="24">
        <f t="shared" ca="1" si="0"/>
        <v>0.16274148759019796</v>
      </c>
      <c r="O21" s="24">
        <f t="shared" ca="1" si="1"/>
        <v>7.3155028773554648E-2</v>
      </c>
    </row>
    <row r="22" spans="1:15" s="19" customFormat="1" ht="18" customHeight="1" x14ac:dyDescent="0.2">
      <c r="A22" s="145"/>
      <c r="B22" s="33" t="s">
        <v>10</v>
      </c>
      <c r="C22" s="21"/>
      <c r="D22" s="34">
        <f ca="1">4.81168840985683*OFFSET(D$108,MATCH($M$1,$C$109:$C$110,0),0)</f>
        <v>3.9141160188172348</v>
      </c>
      <c r="E22" s="34">
        <f ca="1">5.8600531012613*OFFSET(E$108,MATCH($M$1,$C$109:$C$110,0),0)</f>
        <v>4.8950777845249585</v>
      </c>
      <c r="F22" s="34">
        <f ca="1">6.11188725430595*OFFSET(F$108,MATCH($M$1,$C$109:$C$110,0),0)</f>
        <v>5.2520668193912501</v>
      </c>
      <c r="G22" s="34">
        <f ca="1">5.73039028104137*OFFSET(G$108,MATCH($M$1,$C$109:$C$110,0),0)</f>
        <v>5.0672122813471674</v>
      </c>
      <c r="H22" s="34">
        <f ca="1">5.11749592779299*OFFSET(H$108,MATCH($M$1,$C$109:$C$110,0),0)</f>
        <v>4.6148555517279286</v>
      </c>
      <c r="I22" s="34">
        <f ca="1">5.41896992804858*OFFSET(I$108,MATCH($M$1,$C$109:$C$110,0),0)</f>
        <v>5.0417553656987781</v>
      </c>
      <c r="J22" s="34">
        <f ca="1">6.53037090158406*OFFSET(J$108,MATCH($M$1,$C$109:$C$110,0),0)</f>
        <v>6.2048971668748427</v>
      </c>
      <c r="K22" s="34">
        <f ca="1">6.03178226799469*OFFSET(K$108,MATCH($M$1,$C$109:$C$110,0),0)</f>
        <v>5.826339707004534</v>
      </c>
      <c r="L22" s="34">
        <f ca="1">5.14976083608384*OFFSET(L$108,MATCH($M$1,$C$109:$C$110,0),0)</f>
        <v>5.0633992577978155</v>
      </c>
      <c r="M22" s="35">
        <f ca="1">5.83297381785723*OFFSET(M$108,MATCH($M$1,$C$109:$C$110,0),0)</f>
        <v>5.8329737951952332</v>
      </c>
      <c r="N22" s="24">
        <f t="shared" ca="1" si="0"/>
        <v>0.2936252358017406</v>
      </c>
      <c r="O22" s="24">
        <f t="shared" ca="1" si="1"/>
        <v>9.7195611225998138E-2</v>
      </c>
    </row>
    <row r="23" spans="1:15" s="19" customFormat="1" ht="18" customHeight="1" x14ac:dyDescent="0.2">
      <c r="A23" s="146"/>
      <c r="B23" s="33" t="s">
        <v>32</v>
      </c>
      <c r="C23" s="44"/>
      <c r="D23" s="34">
        <f ca="1">1.12640568392826*OFFSET(D$108,MATCH($M$1,$C$109:$C$110,0),0)</f>
        <v>0.91628595943966573</v>
      </c>
      <c r="E23" s="34">
        <f ca="1">1.43648098805283*OFFSET(E$108,MATCH($M$1,$C$109:$C$110,0),0)</f>
        <v>1.1999355724261938</v>
      </c>
      <c r="F23" s="34">
        <f ca="1">1.538872529709*OFFSET(F$108,MATCH($M$1,$C$109:$C$110,0),0)</f>
        <v>1.322383907992281</v>
      </c>
      <c r="G23" s="34">
        <f ca="1">0.601120323740832*OFFSET(G$108,MATCH($M$1,$C$109:$C$110,0),0)</f>
        <v>0.53155267575830567</v>
      </c>
      <c r="H23" s="34">
        <f ca="1">0.686182904627986*OFFSET(H$108,MATCH($M$1,$C$109:$C$110,0),0)</f>
        <v>0.61878602965277274</v>
      </c>
      <c r="I23" s="34">
        <f ca="1">0.551552847810584*OFFSET(I$108,MATCH($M$1,$C$109:$C$110,0),0)</f>
        <v>0.51315924739166119</v>
      </c>
      <c r="J23" s="34">
        <f ca="1">0.919187022578548*OFFSET(J$108,MATCH($M$1,$C$109:$C$110,0),0)</f>
        <v>0.87337473447982505</v>
      </c>
      <c r="K23" s="34">
        <f ca="1">0.817242969002596*OFFSET(K$108,MATCH($M$1,$C$109:$C$110,0),0)</f>
        <v>0.78940766576329147</v>
      </c>
      <c r="L23" s="34">
        <f ca="1">0.562543386377981*OFFSET(L$108,MATCH($M$1,$C$109:$C$110,0),0)</f>
        <v>0.55310952405925784</v>
      </c>
      <c r="M23" s="35">
        <f ca="1">0.991427991260626*OFFSET(M$108,MATCH($M$1,$C$109:$C$110,0),0)</f>
        <v>0.99142798740877636</v>
      </c>
      <c r="N23" s="24">
        <f t="shared" ca="1" si="0"/>
        <v>-0.39635708878754439</v>
      </c>
      <c r="O23" s="24">
        <f t="shared" ca="1" si="1"/>
        <v>-0.10613766705490878</v>
      </c>
    </row>
    <row r="24" spans="1:15" s="19" customFormat="1" ht="18" customHeight="1" x14ac:dyDescent="0.2">
      <c r="A24" s="147" t="s">
        <v>11</v>
      </c>
      <c r="B24" s="28" t="s">
        <v>27</v>
      </c>
      <c r="C24" s="29"/>
      <c r="D24" s="30">
        <f ca="1">527.8*OFFSET(D$108,MATCH($M$1,$C$109:$C$110,0),0)</f>
        <v>429.34418415368782</v>
      </c>
      <c r="E24" s="30">
        <f ca="1">603.1*OFFSET(E$108,MATCH($M$1,$C$109:$C$110,0),0)</f>
        <v>503.78748465804432</v>
      </c>
      <c r="F24" s="30">
        <f ca="1">626.8*OFFSET(F$108,MATCH($M$1,$C$109:$C$110,0),0)</f>
        <v>538.62176205478215</v>
      </c>
      <c r="G24" s="30">
        <f ca="1">558.3*OFFSET(G$108,MATCH($M$1,$C$109:$C$110,0),0)</f>
        <v>493.68794757937707</v>
      </c>
      <c r="H24" s="30">
        <f ca="1">487.4*OFFSET(H$108,MATCH($M$1,$C$109:$C$110,0),0)</f>
        <v>439.52757904435384</v>
      </c>
      <c r="I24" s="30">
        <f ca="1">475.9*OFFSET(I$108,MATCH($M$1,$C$109:$C$110,0),0)</f>
        <v>442.7725952338111</v>
      </c>
      <c r="J24" s="30">
        <f ca="1">601.8*OFFSET(J$108,MATCH($M$1,$C$109:$C$110,0),0)</f>
        <v>571.80628348682376</v>
      </c>
      <c r="K24" s="30">
        <f ca="1">504.4*OFFSET(K$108,MATCH($M$1,$C$109:$C$110,0),0)</f>
        <v>487.2201312382773</v>
      </c>
      <c r="L24" s="30">
        <f ca="1">419.3*OFFSET(L$108,MATCH($M$1,$C$109:$C$110,0),0)</f>
        <v>412.26833174822406</v>
      </c>
      <c r="M24" s="31">
        <f ca="1">557.2*OFFSET(M$108,MATCH($M$1,$C$109:$C$110,0),0)</f>
        <v>557.19999783519268</v>
      </c>
      <c r="N24" s="32">
        <f t="shared" ca="1" si="0"/>
        <v>-3.9771942967209963E-2</v>
      </c>
      <c r="O24" s="32">
        <f t="shared" ca="1" si="1"/>
        <v>-6.2019424026584204E-2</v>
      </c>
    </row>
    <row r="25" spans="1:15" s="19" customFormat="1" ht="18" customHeight="1" x14ac:dyDescent="0.2">
      <c r="A25" s="148"/>
      <c r="B25" s="33" t="s">
        <v>33</v>
      </c>
      <c r="C25" s="25"/>
      <c r="D25" s="26">
        <f ca="1">24.1*OFFSET(D$108,MATCH($M$1,$C$109:$C$110,0),0)</f>
        <v>19.604385824372638</v>
      </c>
      <c r="E25" s="26">
        <f ca="1">23.3*OFFSET(E$108,MATCH($M$1,$C$109:$C$110,0),0)</f>
        <v>19.4631875187074</v>
      </c>
      <c r="F25" s="26">
        <f ca="1">28.1*OFFSET(F$108,MATCH($M$1,$C$109:$C$110,0),0)</f>
        <v>24.146891374823518</v>
      </c>
      <c r="G25" s="26">
        <f ca="1">19.4*OFFSET(G$108,MATCH($M$1,$C$109:$C$110,0),0)</f>
        <v>17.154838228622452</v>
      </c>
      <c r="H25" s="26">
        <f ca="1">17.7*OFFSET(H$108,MATCH($M$1,$C$109:$C$110,0),0)</f>
        <v>15.961506255816706</v>
      </c>
      <c r="I25" s="26">
        <f ca="1">8.9*OFFSET(I$108,MATCH($M$1,$C$109:$C$110,0),0)</f>
        <v>8.2804708921641499</v>
      </c>
      <c r="J25" s="26">
        <f ca="1">19.5*OFFSET(J$108,MATCH($M$1,$C$109:$C$110,0),0)</f>
        <v>18.528119853760494</v>
      </c>
      <c r="K25" s="26">
        <f ca="1">23.9*OFFSET(K$108,MATCH($M$1,$C$109:$C$110,0),0)</f>
        <v>23.085965774375154</v>
      </c>
      <c r="L25" s="26">
        <f ca="1">15.2*OFFSET(L$108,MATCH($M$1,$C$109:$C$110,0),0)</f>
        <v>14.945095737116635</v>
      </c>
      <c r="M25" s="27">
        <f ca="1">20.1*OFFSET(M$108,MATCH($M$1,$C$109:$C$110,0),0)</f>
        <v>20.099999921908424</v>
      </c>
      <c r="N25" s="24">
        <f t="shared" ca="1" si="0"/>
        <v>-0.23766570036912166</v>
      </c>
      <c r="O25" s="24">
        <f t="shared" ca="1" si="1"/>
        <v>-6.3678859777389157E-2</v>
      </c>
    </row>
    <row r="26" spans="1:15" s="19" customFormat="1" ht="18" customHeight="1" x14ac:dyDescent="0.2">
      <c r="A26" s="148"/>
      <c r="B26" s="45" t="s">
        <v>34</v>
      </c>
      <c r="C26" s="46"/>
      <c r="D26" s="47">
        <f ca="1">551.9*OFFSET(D$108,MATCH($M$1,$C$109:$C$110,0),0)</f>
        <v>448.9485699780605</v>
      </c>
      <c r="E26" s="47">
        <f ca="1">626.4*OFFSET(E$108,MATCH($M$1,$C$109:$C$110,0),0)</f>
        <v>523.25067217675166</v>
      </c>
      <c r="F26" s="47">
        <f ca="1">654.9*OFFSET(F$108,MATCH($M$1,$C$109:$C$110,0),0)</f>
        <v>562.76865342960571</v>
      </c>
      <c r="G26" s="47">
        <f ca="1">577.7*OFFSET(G$108,MATCH($M$1,$C$109:$C$110,0),0)</f>
        <v>510.84278580799963</v>
      </c>
      <c r="H26" s="47">
        <f ca="1">505.2*OFFSET(H$108,MATCH($M$1,$C$109:$C$110,0),0)</f>
        <v>455.57926330161587</v>
      </c>
      <c r="I26" s="47">
        <f ca="1">484.8*OFFSET(I$108,MATCH($M$1,$C$109:$C$110,0),0)</f>
        <v>451.05306612597531</v>
      </c>
      <c r="J26" s="47">
        <f ca="1">621.4*OFFSET(J$108,MATCH($M$1,$C$109:$C$110,0),0)</f>
        <v>590.42941933983434</v>
      </c>
      <c r="K26" s="47">
        <f ca="1">528.3*OFFSET(K$108,MATCH($M$1,$C$109:$C$110,0),0)</f>
        <v>510.3060970126524</v>
      </c>
      <c r="L26" s="47">
        <f ca="1">434.4*OFFSET(L$108,MATCH($M$1,$C$109:$C$110,0),0)</f>
        <v>427.11510448707014</v>
      </c>
      <c r="M26" s="48">
        <f ca="1">577.3*OFFSET(M$108,MATCH($M$1,$C$109:$C$110,0),0)</f>
        <v>577.29999775710098</v>
      </c>
      <c r="N26" s="49">
        <f t="shared" ca="1" si="0"/>
        <v>-4.8632442446709064E-2</v>
      </c>
      <c r="O26" s="49">
        <f t="shared" ca="1" si="1"/>
        <v>-6.2479048340049345E-2</v>
      </c>
    </row>
    <row r="27" spans="1:15" s="19" customFormat="1" ht="18" customHeight="1" x14ac:dyDescent="0.2">
      <c r="A27" s="148"/>
      <c r="B27" s="33" t="s">
        <v>35</v>
      </c>
      <c r="C27" s="25"/>
      <c r="D27" s="26">
        <f ca="1">98.2*OFFSET(D$108,MATCH($M$1,$C$109:$C$110,0),0)</f>
        <v>79.881771284373158</v>
      </c>
      <c r="E27" s="26">
        <f ca="1">106.9*OFFSET(E$108,MATCH($M$1,$C$109:$C$110,0),0)</f>
        <v>89.296770203854976</v>
      </c>
      <c r="F27" s="26">
        <f ca="1">118.2*OFFSET(F$108,MATCH($M$1,$C$109:$C$110,0),0)</f>
        <v>101.57162137025408</v>
      </c>
      <c r="G27" s="26">
        <f ca="1">160.7*OFFSET(G$108,MATCH($M$1,$C$109:$C$110,0),0)</f>
        <v>142.10219089379527</v>
      </c>
      <c r="H27" s="26">
        <f ca="1">115.6*OFFSET(H$108,MATCH($M$1,$C$109:$C$110,0),0)</f>
        <v>104.2457696707577</v>
      </c>
      <c r="I27" s="26">
        <f ca="1">123.4*OFFSET(I$108,MATCH($M$1,$C$109:$C$110,0),0)</f>
        <v>114.81012450483777</v>
      </c>
      <c r="J27" s="26">
        <f ca="1">162.8*OFFSET(J$108,MATCH($M$1,$C$109:$C$110,0),0)</f>
        <v>154.6860467790876</v>
      </c>
      <c r="K27" s="26">
        <f ca="1">154.8*OFFSET(K$108,MATCH($M$1,$C$109:$C$110,0),0)</f>
        <v>149.52751053863071</v>
      </c>
      <c r="L27" s="26">
        <f ca="1">142.9*OFFSET(L$108,MATCH($M$1,$C$109:$C$110,0),0)</f>
        <v>140.50356452855047</v>
      </c>
      <c r="M27" s="27">
        <f ca="1">143.7*OFFSET(M$108,MATCH($M$1,$C$109:$C$110,0),0)</f>
        <v>143.69999944170348</v>
      </c>
      <c r="N27" s="24">
        <f t="shared" ca="1" si="0"/>
        <v>0.75889395377035695</v>
      </c>
      <c r="O27" s="24">
        <f t="shared" ca="1" si="1"/>
        <v>0.34781070706568501</v>
      </c>
    </row>
    <row r="28" spans="1:15" s="19" customFormat="1" ht="18" customHeight="1" x14ac:dyDescent="0.2">
      <c r="A28" s="148"/>
      <c r="B28" s="33" t="s">
        <v>36</v>
      </c>
      <c r="C28" s="25"/>
      <c r="D28" s="26">
        <f ca="1">144.1*OFFSET(D$108,MATCH($M$1,$C$109:$C$110,0),0)</f>
        <v>117.21958494987953</v>
      </c>
      <c r="E28" s="26">
        <f ca="1">162.3*OFFSET(E$108,MATCH($M$1,$C$109:$C$110,0),0)</f>
        <v>135.57404868181163</v>
      </c>
      <c r="F28" s="26">
        <f ca="1">161.6*OFFSET(F$108,MATCH($M$1,$C$109:$C$110,0),0)</f>
        <v>138.86610840467901</v>
      </c>
      <c r="G28" s="26">
        <f ca="1">140*OFFSET(G$108,MATCH($M$1,$C$109:$C$110,0),0)</f>
        <v>123.79780164985276</v>
      </c>
      <c r="H28" s="26">
        <f ca="1">125*OFFSET(H$108,MATCH($M$1,$C$109:$C$110,0),0)</f>
        <v>112.72250180661517</v>
      </c>
      <c r="I28" s="26">
        <f ca="1">115.8*OFFSET(I$108,MATCH($M$1,$C$109:$C$110,0),0)</f>
        <v>107.73916059692232</v>
      </c>
      <c r="J28" s="26">
        <f ca="1">150.4*OFFSET(J$108,MATCH($M$1,$C$109:$C$110,0),0)</f>
        <v>142.90406287208094</v>
      </c>
      <c r="K28" s="26">
        <f ca="1">118*OFFSET(K$108,MATCH($M$1,$C$109:$C$110,0),0)</f>
        <v>113.98091888603632</v>
      </c>
      <c r="L28" s="26">
        <f ca="1">87.3*OFFSET(L$108,MATCH($M$1,$C$109:$C$110,0),0)</f>
        <v>85.835977490150142</v>
      </c>
      <c r="M28" s="27">
        <f ca="1">136*OFFSET(M$108,MATCH($M$1,$C$109:$C$110,0),0)</f>
        <v>135.99999947161916</v>
      </c>
      <c r="N28" s="24">
        <f t="shared" ca="1" si="0"/>
        <v>-0.2677334804857765</v>
      </c>
      <c r="O28" s="24">
        <f t="shared" ca="1" si="1"/>
        <v>-0.23851958469295773</v>
      </c>
    </row>
    <row r="29" spans="1:15" s="19" customFormat="1" ht="18" customHeight="1" x14ac:dyDescent="0.2">
      <c r="A29" s="148"/>
      <c r="B29" s="33" t="s">
        <v>37</v>
      </c>
      <c r="C29" s="25"/>
      <c r="D29" s="26">
        <f ca="1">105*OFFSET(D$108,MATCH($M$1,$C$109:$C$110,0),0)</f>
        <v>85.413299234818538</v>
      </c>
      <c r="E29" s="26">
        <f ca="1">101.8*OFFSET(E$108,MATCH($M$1,$C$109:$C$110,0),0)</f>
        <v>85.0365875280864</v>
      </c>
      <c r="F29" s="26">
        <f ca="1">116.3*OFFSET(F$108,MATCH($M$1,$C$109:$C$110,0),0)</f>
        <v>99.938913412525793</v>
      </c>
      <c r="G29" s="26">
        <f ca="1">94.4*OFFSET(G$108,MATCH($M$1,$C$109:$C$110,0),0)</f>
        <v>83.475089112472148</v>
      </c>
      <c r="H29" s="26">
        <f ca="1">90.3*OFFSET(H$108,MATCH($M$1,$C$109:$C$110,0),0)</f>
        <v>81.430735305098793</v>
      </c>
      <c r="I29" s="26">
        <f ca="1">86.4*OFFSET(I$108,MATCH($M$1,$C$109:$C$110,0),0)</f>
        <v>80.38569495314411</v>
      </c>
      <c r="J29" s="26">
        <f ca="1">111.9*OFFSET(J$108,MATCH($M$1,$C$109:$C$110,0),0)</f>
        <v>106.32290316081021</v>
      </c>
      <c r="K29" s="26">
        <f ca="1">99*OFFSET(K$108,MATCH($M$1,$C$109:$C$110,0),0)</f>
        <v>95.628059065403363</v>
      </c>
      <c r="L29" s="26">
        <f ca="1">75.7*OFFSET(L$108,MATCH($M$1,$C$109:$C$110,0),0)</f>
        <v>74.430509690771672</v>
      </c>
      <c r="M29" s="27">
        <f ca="1">100.6*OFFSET(M$108,MATCH($M$1,$C$109:$C$110,0),0)</f>
        <v>100.59999960915358</v>
      </c>
      <c r="N29" s="24">
        <f t="shared" ca="1" si="0"/>
        <v>-0.12858406878597375</v>
      </c>
      <c r="O29" s="24">
        <f t="shared" ca="1" si="1"/>
        <v>-8.5965398545146149E-2</v>
      </c>
    </row>
    <row r="30" spans="1:15" s="19" customFormat="1" ht="18" customHeight="1" x14ac:dyDescent="0.2">
      <c r="A30" s="148"/>
      <c r="B30" s="33" t="s">
        <v>38</v>
      </c>
      <c r="C30" s="25"/>
      <c r="D30" s="26">
        <f ca="1">347.4*OFFSET(D$108,MATCH($M$1,$C$109:$C$110,0),0)</f>
        <v>282.59600146834248</v>
      </c>
      <c r="E30" s="26">
        <f ca="1">371*OFFSET(E$108,MATCH($M$1,$C$109:$C$110,0),0)</f>
        <v>309.90740641375299</v>
      </c>
      <c r="F30" s="26">
        <f ca="1">396.1*OFFSET(F$108,MATCH($M$1,$C$109:$C$110,0),0)</f>
        <v>340.37664318745891</v>
      </c>
      <c r="G30" s="26">
        <f ca="1">395.1*OFFSET(G$108,MATCH($M$1,$C$109:$C$110,0),0)</f>
        <v>349.37508165612019</v>
      </c>
      <c r="H30" s="26">
        <f ca="1">330.9*OFFSET(H$108,MATCH($M$1,$C$109:$C$110,0),0)</f>
        <v>298.39900678247164</v>
      </c>
      <c r="I30" s="26">
        <f ca="1">325.7*OFFSET(I$108,MATCH($M$1,$C$109:$C$110,0),0)</f>
        <v>303.02801905369256</v>
      </c>
      <c r="J30" s="26">
        <f ca="1">425.1*OFFSET(J$108,MATCH($M$1,$C$109:$C$110,0),0)</f>
        <v>403.91301281197877</v>
      </c>
      <c r="K30" s="26">
        <f ca="1">371.8*OFFSET(K$108,MATCH($M$1,$C$109:$C$110,0),0)</f>
        <v>359.13648849007041</v>
      </c>
      <c r="L30" s="26">
        <f ca="1">305.9*OFFSET(L$108,MATCH($M$1,$C$109:$C$110,0),0)</f>
        <v>300.77005170947228</v>
      </c>
      <c r="M30" s="27">
        <f ca="1">380.4*OFFSET(M$108,MATCH($M$1,$C$109:$C$110,0),0)</f>
        <v>380.39999852208769</v>
      </c>
      <c r="N30" s="24">
        <f t="shared" ca="1" si="0"/>
        <v>6.4311066493153241E-2</v>
      </c>
      <c r="O30" s="24">
        <f t="shared" ca="1" si="1"/>
        <v>7.9458874631211322E-3</v>
      </c>
    </row>
    <row r="31" spans="1:15" s="19" customFormat="1" ht="18" customHeight="1" x14ac:dyDescent="0.2">
      <c r="A31" s="148"/>
      <c r="B31" s="33" t="s">
        <v>39</v>
      </c>
      <c r="C31" s="25"/>
      <c r="D31" s="26">
        <f ca="1">104.4*OFFSET(D$108,MATCH($M$1,$C$109:$C$110,0),0)</f>
        <v>84.925223239191013</v>
      </c>
      <c r="E31" s="26">
        <f ca="1">136.7*OFFSET(E$108,MATCH($M$1,$C$109:$C$110,0),0)</f>
        <v>114.18960230932623</v>
      </c>
      <c r="F31" s="26">
        <f ca="1">132.7*OFFSET(F$108,MATCH($M$1,$C$109:$C$110,0),0)</f>
        <v>114.0317610476541</v>
      </c>
      <c r="G31" s="26">
        <f ca="1">129.6*OFFSET(G$108,MATCH($M$1,$C$109:$C$110,0),0)</f>
        <v>114.60139352729226</v>
      </c>
      <c r="H31" s="26">
        <f ca="1">116.6*OFFSET(H$108,MATCH($M$1,$C$109:$C$110,0),0)</f>
        <v>105.14754968521062</v>
      </c>
      <c r="I31" s="26">
        <f ca="1">115.2*OFFSET(I$108,MATCH($M$1,$C$109:$C$110,0),0)</f>
        <v>107.18092660419215</v>
      </c>
      <c r="J31" s="26">
        <f ca="1">122*OFFSET(J$108,MATCH($M$1,$C$109:$C$110,0),0)</f>
        <v>115.91951908506564</v>
      </c>
      <c r="K31" s="26">
        <f ca="1">96.3*OFFSET(K$108,MATCH($M$1,$C$109:$C$110,0),0)</f>
        <v>93.020021090892357</v>
      </c>
      <c r="L31" s="26">
        <f ca="1">87.3*OFFSET(L$108,MATCH($M$1,$C$109:$C$110,0),0)</f>
        <v>85.835977490150142</v>
      </c>
      <c r="M31" s="27">
        <f ca="1">116*OFFSET(M$108,MATCH($M$1,$C$109:$C$110,0),0)</f>
        <v>115.99999954932223</v>
      </c>
      <c r="N31" s="24">
        <f t="shared" ca="1" si="0"/>
        <v>1.072419024903826E-2</v>
      </c>
      <c r="O31" s="24">
        <f t="shared" ca="1" si="1"/>
        <v>-0.18366164739811069</v>
      </c>
    </row>
    <row r="32" spans="1:15" s="19" customFormat="1" ht="18" customHeight="1" x14ac:dyDescent="0.2">
      <c r="A32" s="148"/>
      <c r="B32" s="33" t="s">
        <v>40</v>
      </c>
      <c r="C32" s="25"/>
      <c r="D32" s="26">
        <f ca="1">451.8*OFFSET(D$108,MATCH($M$1,$C$109:$C$110,0),0)</f>
        <v>367.52122470753352</v>
      </c>
      <c r="E32" s="26">
        <f ca="1">507.7*OFFSET(E$108,MATCH($M$1,$C$109:$C$110,0),0)</f>
        <v>424.09700872307923</v>
      </c>
      <c r="F32" s="26">
        <f ca="1">528.8*OFFSET(F$108,MATCH($M$1,$C$109:$C$110,0),0)</f>
        <v>454.40840423511293</v>
      </c>
      <c r="G32" s="26">
        <f ca="1">524.7*OFFSET(G$108,MATCH($M$1,$C$109:$C$110,0),0)</f>
        <v>463.9764751834125</v>
      </c>
      <c r="H32" s="26">
        <f ca="1">447.5*OFFSET(H$108,MATCH($M$1,$C$109:$C$110,0),0)</f>
        <v>403.54655646768231</v>
      </c>
      <c r="I32" s="26">
        <f ca="1">440.8*OFFSET(I$108,MATCH($M$1,$C$109:$C$110,0),0)</f>
        <v>410.11590665909637</v>
      </c>
      <c r="J32" s="26">
        <f ca="1">547.1*OFFSET(J$108,MATCH($M$1,$C$109:$C$110,0),0)</f>
        <v>519.83253189704442</v>
      </c>
      <c r="K32" s="26">
        <f ca="1">468.1*OFFSET(K$108,MATCH($M$1,$C$109:$C$110,0),0)</f>
        <v>452.15650958096279</v>
      </c>
      <c r="L32" s="26">
        <f ca="1">393.1*OFFSET(L$108,MATCH($M$1,$C$109:$C$110,0),0)</f>
        <v>386.50770620135194</v>
      </c>
      <c r="M32" s="27">
        <f ca="1">496.3*OFFSET(M$108,MATCH($M$1,$C$109:$C$110,0),0)</f>
        <v>496.29999807179848</v>
      </c>
      <c r="N32" s="24">
        <f t="shared" ca="1" si="0"/>
        <v>5.1660911581167868E-2</v>
      </c>
      <c r="O32" s="24">
        <f t="shared" ca="1" si="1"/>
        <v>-4.2222762140444417E-2</v>
      </c>
    </row>
    <row r="33" spans="1:15" s="19" customFormat="1" ht="18" customHeight="1" x14ac:dyDescent="0.2">
      <c r="A33" s="148"/>
      <c r="B33" s="45" t="s">
        <v>41</v>
      </c>
      <c r="C33" s="46"/>
      <c r="D33" s="47">
        <f ca="1">244.2*OFFSET(D$108,MATCH($M$1,$C$109:$C$110,0),0)</f>
        <v>198.64693022040655</v>
      </c>
      <c r="E33" s="47">
        <f ca="1">281*OFFSET(E$108,MATCH($M$1,$C$109:$C$110,0),0)</f>
        <v>234.72771213548407</v>
      </c>
      <c r="F33" s="47">
        <f ca="1">287.7*OFFSET(F$108,MATCH($M$1,$C$109:$C$110,0),0)</f>
        <v>247.22635759917171</v>
      </c>
      <c r="G33" s="47">
        <f ca="1">193*OFFSET(G$108,MATCH($M$1,$C$109:$C$110,0),0)</f>
        <v>170.66411227443987</v>
      </c>
      <c r="H33" s="47">
        <f ca="1">182.6*OFFSET(H$108,MATCH($M$1,$C$109:$C$110,0),0)</f>
        <v>164.66503063910343</v>
      </c>
      <c r="I33" s="47">
        <f ca="1">159.8*OFFSET(I$108,MATCH($M$1,$C$109:$C$110,0),0)</f>
        <v>148.67632006380126</v>
      </c>
      <c r="J33" s="47">
        <f ca="1">224.7*OFFSET(J$108,MATCH($M$1,$C$109:$C$110,0),0)</f>
        <v>213.50095031487089</v>
      </c>
      <c r="K33" s="47">
        <f ca="1">178.2*OFFSET(K$108,MATCH($M$1,$C$109:$C$110,0),0)</f>
        <v>172.13050631772603</v>
      </c>
      <c r="L33" s="47">
        <f ca="1">128.6*OFFSET(L$108,MATCH($M$1,$C$109:$C$110,0),0)</f>
        <v>126.44337577586838</v>
      </c>
      <c r="M33" s="48">
        <f ca="1">216.9*OFFSET(M$108,MATCH($M$1,$C$109:$C$110,0),0)</f>
        <v>216.89999915731028</v>
      </c>
      <c r="N33" s="49">
        <f t="shared" ca="1" si="0"/>
        <v>-0.36347681972445028</v>
      </c>
      <c r="O33" s="49">
        <f t="shared" ca="1" si="1"/>
        <v>-0.23211761911371159</v>
      </c>
    </row>
    <row r="34" spans="1:15" s="19" customFormat="1" ht="18" customHeight="1" x14ac:dyDescent="0.2">
      <c r="A34" s="148"/>
      <c r="B34" s="45" t="s">
        <v>42</v>
      </c>
      <c r="C34" s="46"/>
      <c r="D34" s="47">
        <f ca="1">100.1*OFFSET(D$108,MATCH($M$1,$C$109:$C$110,0),0)</f>
        <v>81.427345270526999</v>
      </c>
      <c r="E34" s="47">
        <f ca="1">118.7*OFFSET(E$108,MATCH($M$1,$C$109:$C$110,0),0)</f>
        <v>99.153663453672465</v>
      </c>
      <c r="F34" s="47">
        <f ca="1">126.1*OFFSET(F$108,MATCH($M$1,$C$109:$C$110,0),0)</f>
        <v>108.36024919449271</v>
      </c>
      <c r="G34" s="47">
        <f ca="1">53*OFFSET(G$108,MATCH($M$1,$C$109:$C$110,0),0)</f>
        <v>46.866310624587115</v>
      </c>
      <c r="H34" s="47">
        <f ca="1">57.6*OFFSET(H$108,MATCH($M$1,$C$109:$C$110,0),0)</f>
        <v>51.942528832488271</v>
      </c>
      <c r="I34" s="47">
        <f ca="1">44*OFFSET(I$108,MATCH($M$1,$C$109:$C$110,0),0)</f>
        <v>40.937159466878946</v>
      </c>
      <c r="J34" s="47">
        <f ca="1">74.3*OFFSET(J$108,MATCH($M$1,$C$109:$C$110,0),0)</f>
        <v>70.596887442789978</v>
      </c>
      <c r="K34" s="47">
        <f ca="1">60.2*OFFSET(K$108,MATCH($M$1,$C$109:$C$110,0),0)</f>
        <v>58.149587431689724</v>
      </c>
      <c r="L34" s="47">
        <f ca="1">41.3*OFFSET(L$108,MATCH($M$1,$C$109:$C$110,0),0)</f>
        <v>40.607398285718226</v>
      </c>
      <c r="M34" s="48">
        <f ca="1">80.9*OFFSET(M$108,MATCH($M$1,$C$109:$C$110,0),0)</f>
        <v>80.899999685691114</v>
      </c>
      <c r="N34" s="49">
        <f t="shared" ca="1" si="0"/>
        <v>-0.50130514324385989</v>
      </c>
      <c r="O34" s="49">
        <f t="shared" ca="1" si="1"/>
        <v>-0.2182244646448617</v>
      </c>
    </row>
    <row r="35" spans="1:15" s="19" customFormat="1" ht="18" customHeight="1" x14ac:dyDescent="0.2">
      <c r="A35" s="148"/>
      <c r="B35" s="33" t="s">
        <v>43</v>
      </c>
      <c r="C35" s="25"/>
      <c r="D35" s="26">
        <f ca="1">38.6*OFFSET(D$108,MATCH($M$1,$C$109:$C$110,0),0)</f>
        <v>31.399555718704722</v>
      </c>
      <c r="E35" s="26">
        <f ca="1">13.5*OFFSET(E$108,MATCH($M$1,$C$109:$C$110,0),0)</f>
        <v>11.276954141740338</v>
      </c>
      <c r="F35" s="26">
        <f ca="1">18.4*OFFSET(F$108,MATCH($M$1,$C$109:$C$110,0),0)</f>
        <v>15.811487590631767</v>
      </c>
      <c r="G35" s="26">
        <f ca="1">39.5*OFFSET(G$108,MATCH($M$1,$C$109:$C$110,0),0)</f>
        <v>34.92866546549417</v>
      </c>
      <c r="H35" s="26">
        <f ca="1">35.9*OFFSET(H$108,MATCH($M$1,$C$109:$C$110,0),0)</f>
        <v>32.373902518859872</v>
      </c>
      <c r="I35" s="26">
        <f ca="1">42.1*OFFSET(I$108,MATCH($M$1,$C$109:$C$110,0),0)</f>
        <v>39.169418489900082</v>
      </c>
      <c r="J35" s="26">
        <f ca="1">42.1*OFFSET(J$108,MATCH($M$1,$C$109:$C$110,0),0)</f>
        <v>40.001735684272653</v>
      </c>
      <c r="K35" s="26">
        <f ca="1">32.4*OFFSET(K$108,MATCH($M$1,$C$109:$C$110,0),0)</f>
        <v>31.296455694132007</v>
      </c>
      <c r="L35" s="26">
        <f ca="1">33.9*OFFSET(L$108,MATCH($M$1,$C$109:$C$110,0),0)</f>
        <v>33.331496413700918</v>
      </c>
      <c r="M35" s="27"/>
      <c r="N35" s="24">
        <f t="shared" ca="1" si="0"/>
        <v>6.1527644285913861E-2</v>
      </c>
      <c r="O35" s="24">
        <f t="shared" ca="1" si="1"/>
        <v>2.9579192508014347E-2</v>
      </c>
    </row>
    <row r="36" spans="1:15" s="19" customFormat="1" ht="18" customHeight="1" x14ac:dyDescent="0.2">
      <c r="A36" s="148"/>
      <c r="B36" s="33" t="s">
        <v>44</v>
      </c>
      <c r="C36" s="25"/>
      <c r="D36" s="26">
        <f ca="1">16.3*OFFSET(D$108,MATCH($M$1,$C$109:$C$110,0),0)</f>
        <v>13.259397881214689</v>
      </c>
      <c r="E36" s="26">
        <f ca="1">8.6*OFFSET(E$108,MATCH($M$1,$C$109:$C$110,0),0)</f>
        <v>7.1838374532568077</v>
      </c>
      <c r="F36" s="26">
        <f ca="1">11*OFFSET(F$108,MATCH($M$1,$C$109:$C$110,0),0)</f>
        <v>9.452519755268991</v>
      </c>
      <c r="G36" s="26">
        <f ca="1">23.4*OFFSET(G$108,MATCH($M$1,$C$109:$C$110,0),0)</f>
        <v>20.691918275761104</v>
      </c>
      <c r="H36" s="26">
        <f ca="1">13.4*OFFSET(H$108,MATCH($M$1,$C$109:$C$110,0),0)</f>
        <v>12.083852193669147</v>
      </c>
      <c r="I36" s="26">
        <f ca="1">13.5*OFFSET(I$108,MATCH($M$1,$C$109:$C$110,0),0)</f>
        <v>12.560264836428766</v>
      </c>
      <c r="J36" s="26">
        <f ca="1">13.8*OFFSET(J$108,MATCH($M$1,$C$109:$C$110,0),0)</f>
        <v>13.112207896507426</v>
      </c>
      <c r="K36" s="26">
        <f ca="1">10*OFFSET(K$108,MATCH($M$1,$C$109:$C$110,0),0)</f>
        <v>9.6593999055962989</v>
      </c>
      <c r="L36" s="26">
        <f ca="1">6.6*OFFSET(L$108,MATCH($M$1,$C$109:$C$110,0),0)</f>
        <v>6.4893178858532758</v>
      </c>
      <c r="M36" s="27"/>
      <c r="N36" s="24">
        <f t="shared" ca="1" si="0"/>
        <v>-0.51058728729703129</v>
      </c>
      <c r="O36" s="24">
        <f t="shared" ca="1" si="1"/>
        <v>-0.46297606244694922</v>
      </c>
    </row>
    <row r="37" spans="1:15" s="19" customFormat="1" ht="18" customHeight="1" x14ac:dyDescent="0.2">
      <c r="A37" s="148"/>
      <c r="B37" s="33" t="s">
        <v>45</v>
      </c>
      <c r="C37" s="25"/>
      <c r="D37" s="26"/>
      <c r="E37" s="26"/>
      <c r="F37" s="26"/>
      <c r="G37" s="26"/>
      <c r="H37" s="26">
        <f ca="1">5.2*OFFSET(H$108,MATCH($M$1,$C$109:$C$110,0),0)</f>
        <v>4.6892560751551908</v>
      </c>
      <c r="I37" s="26">
        <f ca="1">0.2*OFFSET(I$108,MATCH($M$1,$C$109:$C$110,0),0)</f>
        <v>0.1860779975767225</v>
      </c>
      <c r="J37" s="26">
        <f ca="1">1*OFFSET(J$108,MATCH($M$1,$C$109:$C$110,0),0)</f>
        <v>0.95015999250053806</v>
      </c>
      <c r="K37" s="26">
        <f ca="1">0.5*OFFSET(K$108,MATCH($M$1,$C$109:$C$110,0),0)</f>
        <v>0.48296999527981493</v>
      </c>
      <c r="L37" s="26">
        <f ca="1">5*OFFSET(L$108,MATCH($M$1,$C$109:$C$110,0),0)</f>
        <v>4.9161499135252091</v>
      </c>
      <c r="M37" s="27"/>
      <c r="N37" s="24" t="str">
        <f t="shared" ca="1" si="0"/>
        <v/>
      </c>
      <c r="O37" s="24">
        <f t="shared" ca="1" si="1"/>
        <v>4.8385892076177404E-2</v>
      </c>
    </row>
    <row r="38" spans="1:15" s="19" customFormat="1" ht="18" customHeight="1" thickBot="1" x14ac:dyDescent="0.25">
      <c r="A38" s="149"/>
      <c r="B38" s="50" t="s">
        <v>46</v>
      </c>
      <c r="C38" s="51"/>
      <c r="D38" s="52">
        <f ca="1">45.2*OFFSET(D$108,MATCH($M$1,$C$109:$C$110,0),0)</f>
        <v>36.768391670607606</v>
      </c>
      <c r="E38" s="52">
        <f ca="1">96.6*OFFSET(E$108,MATCH($M$1,$C$109:$C$110,0),0)</f>
        <v>80.692871858675304</v>
      </c>
      <c r="F38" s="52">
        <f ca="1">96.6*OFFSET(F$108,MATCH($M$1,$C$109:$C$110,0),0)</f>
        <v>83.010309850816782</v>
      </c>
      <c r="G38" s="52">
        <f ca="1">-9.8*OFFSET(G$108,MATCH($M$1,$C$109:$C$110,0),0)</f>
        <v>-8.6658461154896944</v>
      </c>
      <c r="H38" s="52">
        <f ca="1">3.1*OFFSET(H$108,MATCH($M$1,$C$109:$C$110,0),0)</f>
        <v>2.7955180448040564</v>
      </c>
      <c r="I38" s="52">
        <f ca="1">-11.9*OFFSET(I$108,MATCH($M$1,$C$109:$C$110,0),0)</f>
        <v>-11.071640855814987</v>
      </c>
      <c r="J38" s="52">
        <f ca="1">17.4*OFFSET(J$108,MATCH($M$1,$C$109:$C$110,0),0)</f>
        <v>16.532783869509363</v>
      </c>
      <c r="K38" s="52">
        <f ca="1">17.2*OFFSET(K$108,MATCH($M$1,$C$109:$C$110,0),0)</f>
        <v>16.614167837625633</v>
      </c>
      <c r="L38" s="52">
        <f ca="1">-4.3*OFFSET(L$108,MATCH($M$1,$C$109:$C$110,0),0)</f>
        <v>-4.2278889256316798</v>
      </c>
      <c r="M38" s="53"/>
      <c r="N38" s="54">
        <f t="shared" ca="1" si="0"/>
        <v>-1.11498705092971</v>
      </c>
      <c r="O38" s="54">
        <f t="shared" ca="1" si="1"/>
        <v>-2.5123811965692471</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North Sea nephrops over 300kW</v>
      </c>
      <c r="C45" s="61"/>
      <c r="D45" s="61"/>
      <c r="E45" s="61"/>
      <c r="F45" s="61" t="str">
        <f>$B21&amp;CHAR(10)&amp;$A$1</f>
        <v>Income per kW day at sea (£)
North Sea nephrops over 300kW</v>
      </c>
      <c r="G45" s="61"/>
      <c r="K45" s="61" t="str">
        <f>$B23&amp;CHAR(10)&amp;$A$1</f>
        <v>Operating profit per kW day at sea (£)
North Sea nephrops over 300kW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North Sea nephrops over 300kW</v>
      </c>
      <c r="F59" s="61" t="str">
        <f>$B19&amp;CHAR(10)&amp;$A$1</f>
        <v>Average price per tonne landed (£)
North Sea nephrops over 300kW</v>
      </c>
      <c r="K59" s="61" t="str">
        <f>"Average annual operating profit per vessel (£'000)"&amp;CHAR(10)&amp;$A$1</f>
        <v>Average annual operating profit per vessel (£'000)
North Sea nephrops over 300kW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North Sea nephrops over 300kW</v>
      </c>
      <c r="F73" s="61" t="str">
        <f>"Top 5 landed species by value in "&amp;A74&amp;CHAR(10)&amp;A1</f>
        <v>Top 5 landed species by value in 2013
North Sea nephrops over 300kW</v>
      </c>
    </row>
    <row r="74" spans="1:9" s="61" customFormat="1" x14ac:dyDescent="0.2">
      <c r="A74" s="61">
        <v>2013</v>
      </c>
      <c r="B74" s="61" t="s">
        <v>259</v>
      </c>
      <c r="C74" s="62">
        <v>0.3806531005859019</v>
      </c>
      <c r="D74" s="63">
        <v>8211234</v>
      </c>
      <c r="G74" s="61" t="s">
        <v>260</v>
      </c>
      <c r="H74" s="62">
        <v>0.64372580889537956</v>
      </c>
      <c r="I74" s="63">
        <v>8211234</v>
      </c>
    </row>
    <row r="75" spans="1:9" s="61" customFormat="1" x14ac:dyDescent="0.2">
      <c r="B75" s="61" t="s">
        <v>261</v>
      </c>
      <c r="C75" s="62">
        <v>0.20988017456786273</v>
      </c>
      <c r="D75" s="63">
        <v>2783840</v>
      </c>
      <c r="G75" s="61" t="s">
        <v>262</v>
      </c>
      <c r="H75" s="62">
        <v>9.5916437033030211E-2</v>
      </c>
      <c r="I75" s="63">
        <v>2171775</v>
      </c>
    </row>
    <row r="76" spans="1:9" s="61" customFormat="1" x14ac:dyDescent="0.2">
      <c r="B76" s="61" t="s">
        <v>263</v>
      </c>
      <c r="C76" s="62">
        <v>0.13853000706318672</v>
      </c>
      <c r="D76" s="63">
        <v>6763595</v>
      </c>
      <c r="G76" s="61" t="s">
        <v>264</v>
      </c>
      <c r="H76" s="62">
        <v>7.5701440670829429E-2</v>
      </c>
      <c r="I76" s="63">
        <v>2783840</v>
      </c>
    </row>
    <row r="77" spans="1:9" s="61" customFormat="1" x14ac:dyDescent="0.2">
      <c r="B77" s="61" t="s">
        <v>265</v>
      </c>
      <c r="C77" s="62">
        <v>7.1355161711623719E-2</v>
      </c>
      <c r="D77" s="63">
        <v>2171775</v>
      </c>
      <c r="G77" s="61" t="s">
        <v>266</v>
      </c>
      <c r="H77" s="62">
        <v>4.8301834215745736E-2</v>
      </c>
      <c r="I77" s="63">
        <v>6763595</v>
      </c>
    </row>
    <row r="78" spans="1:9" s="61" customFormat="1" x14ac:dyDescent="0.2">
      <c r="B78" s="61" t="s">
        <v>267</v>
      </c>
      <c r="C78" s="62">
        <v>3.6039042990133406E-2</v>
      </c>
      <c r="D78" s="63">
        <v>2764187</v>
      </c>
      <c r="G78" s="61" t="s">
        <v>268</v>
      </c>
      <c r="H78" s="62">
        <v>2.8531044295116451E-2</v>
      </c>
      <c r="I78" s="63">
        <v>2764187</v>
      </c>
    </row>
    <row r="79" spans="1:9" s="61" customFormat="1" x14ac:dyDescent="0.2">
      <c r="B79" s="61" t="s">
        <v>269</v>
      </c>
      <c r="C79" s="62">
        <v>0.16354251308129153</v>
      </c>
      <c r="D79" s="63">
        <v>32768</v>
      </c>
      <c r="G79" s="61" t="s">
        <v>270</v>
      </c>
      <c r="H79" s="62">
        <v>0.10782343488989865</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60</v>
      </c>
      <c r="D88" s="66">
        <v>0.70961039065532983</v>
      </c>
      <c r="E88" s="66">
        <v>0.74602623373552412</v>
      </c>
      <c r="F88" s="66">
        <v>0.7762729808725084</v>
      </c>
      <c r="G88" s="66">
        <v>0.74145444591671372</v>
      </c>
      <c r="H88" s="66">
        <v>0.74392372779335514</v>
      </c>
      <c r="I88" s="66">
        <v>0.7305936042664849</v>
      </c>
      <c r="J88" s="66">
        <v>0.76093232249589726</v>
      </c>
      <c r="K88" s="66">
        <v>0.75607457570241687</v>
      </c>
      <c r="L88" s="66">
        <v>0.6547051855171051</v>
      </c>
      <c r="M88" s="66">
        <v>0.69574238331306248</v>
      </c>
      <c r="N88" s="61"/>
      <c r="O88" s="61">
        <v>8211234</v>
      </c>
    </row>
    <row r="89" spans="1:15" s="65" customFormat="1" hidden="1" x14ac:dyDescent="0.2">
      <c r="A89" s="61"/>
      <c r="B89" s="61">
        <v>2</v>
      </c>
      <c r="C89" s="61" t="s">
        <v>82</v>
      </c>
      <c r="D89" s="66">
        <v>9.3959193716974851E-2</v>
      </c>
      <c r="E89" s="66">
        <v>8.1648974271124511E-2</v>
      </c>
      <c r="F89" s="66">
        <v>6.8595974024652701E-2</v>
      </c>
      <c r="G89" s="66">
        <v>9.881021005132691E-2</v>
      </c>
      <c r="H89" s="66">
        <v>9.7262217012399996E-2</v>
      </c>
      <c r="I89" s="66">
        <v>9.2101180483669096E-2</v>
      </c>
      <c r="J89" s="66">
        <v>6.9224326743012377E-2</v>
      </c>
      <c r="K89" s="66">
        <v>6.4205288698240465E-2</v>
      </c>
      <c r="L89" s="66">
        <v>9.7552386177599634E-2</v>
      </c>
      <c r="M89" s="66">
        <v>8.7799009616280788E-2</v>
      </c>
      <c r="N89" s="61"/>
      <c r="O89" s="61">
        <v>2171775</v>
      </c>
    </row>
    <row r="90" spans="1:15" s="65" customFormat="1" hidden="1" x14ac:dyDescent="0.2">
      <c r="A90" s="61"/>
      <c r="B90" s="61">
        <v>3</v>
      </c>
      <c r="C90" s="61" t="s">
        <v>64</v>
      </c>
      <c r="D90" s="66">
        <v>6.3771585221161803E-2</v>
      </c>
      <c r="E90" s="66">
        <v>6.5522412549180703E-2</v>
      </c>
      <c r="F90" s="66">
        <v>3.749961103965628E-2</v>
      </c>
      <c r="G90" s="66">
        <v>3.1382494835943422E-2</v>
      </c>
      <c r="H90" s="66">
        <v>4.3441072395356287E-2</v>
      </c>
      <c r="I90" s="66">
        <v>4.7647376932233497E-2</v>
      </c>
      <c r="J90" s="66">
        <v>4.387588080907559E-2</v>
      </c>
      <c r="K90" s="66">
        <v>5.2402749744552155E-2</v>
      </c>
      <c r="L90" s="66">
        <v>7.6992603175807264E-2</v>
      </c>
      <c r="M90" s="66">
        <v>7.9433672866970617E-2</v>
      </c>
      <c r="N90" s="61"/>
      <c r="O90" s="61">
        <v>2783840</v>
      </c>
    </row>
    <row r="91" spans="1:15" s="65" customFormat="1" hidden="1" x14ac:dyDescent="0.2">
      <c r="A91" s="61"/>
      <c r="B91" s="61">
        <v>4</v>
      </c>
      <c r="C91" s="61" t="s">
        <v>271</v>
      </c>
      <c r="D91" s="66">
        <v>2.2187433467988037E-2</v>
      </c>
      <c r="E91" s="66">
        <v>2.9867524943106159E-2</v>
      </c>
      <c r="F91" s="66">
        <v>2.7245233202798612E-2</v>
      </c>
      <c r="G91" s="66">
        <v>2.7625510026025559E-2</v>
      </c>
      <c r="H91" s="66">
        <v>2.3386188745270976E-2</v>
      </c>
      <c r="I91" s="66">
        <v>2.8116138075757038E-2</v>
      </c>
      <c r="J91" s="66">
        <v>3.5412005389881977E-2</v>
      </c>
      <c r="K91" s="66">
        <v>3.6991785015360608E-2</v>
      </c>
      <c r="L91" s="66">
        <v>4.9125669491645027E-2</v>
      </c>
      <c r="M91" s="66">
        <v>4.1439811099933346E-2</v>
      </c>
      <c r="N91" s="61"/>
      <c r="O91" s="61">
        <v>6763595</v>
      </c>
    </row>
    <row r="92" spans="1:15" s="65" customFormat="1" hidden="1" x14ac:dyDescent="0.2">
      <c r="A92" s="61"/>
      <c r="B92" s="61">
        <v>5</v>
      </c>
      <c r="C92" s="61" t="s">
        <v>65</v>
      </c>
      <c r="D92" s="66">
        <v>2.4879296836498446E-2</v>
      </c>
      <c r="E92" s="66">
        <v>2.0047300153097726E-2</v>
      </c>
      <c r="F92" s="66">
        <v>1.8714877994929664E-2</v>
      </c>
      <c r="G92" s="66">
        <v>2.1022928576183837E-2</v>
      </c>
      <c r="H92" s="66">
        <v>1.8548192862560611E-2</v>
      </c>
      <c r="I92" s="66"/>
      <c r="J92" s="66"/>
      <c r="K92" s="66">
        <v>1.8191003650267098E-2</v>
      </c>
      <c r="L92" s="66">
        <v>2.9017669309056394E-2</v>
      </c>
      <c r="M92" s="66">
        <v>2.3557627991121776E-2</v>
      </c>
      <c r="N92" s="61"/>
      <c r="O92" s="61">
        <v>2764187</v>
      </c>
    </row>
    <row r="93" spans="1:15" s="65" customFormat="1" hidden="1" x14ac:dyDescent="0.2">
      <c r="A93" s="61"/>
      <c r="B93" s="61">
        <v>6</v>
      </c>
      <c r="C93" s="61" t="s">
        <v>100</v>
      </c>
      <c r="D93" s="66"/>
      <c r="E93" s="66"/>
      <c r="F93" s="66"/>
      <c r="G93" s="66"/>
      <c r="H93" s="66"/>
      <c r="I93" s="66">
        <v>2.3137467314708223E-2</v>
      </c>
      <c r="J93" s="66">
        <v>2.1252885992062827E-2</v>
      </c>
      <c r="K93" s="66"/>
      <c r="L93" s="66"/>
      <c r="M93" s="66"/>
      <c r="N93" s="61"/>
      <c r="O93" s="61">
        <v>3511670</v>
      </c>
    </row>
    <row r="94" spans="1:15" s="65" customFormat="1" hidden="1" x14ac:dyDescent="0.2">
      <c r="A94" s="61"/>
      <c r="B94" s="61">
        <v>7</v>
      </c>
      <c r="C94" s="61" t="s">
        <v>68</v>
      </c>
      <c r="D94" s="66">
        <v>8.559210010204707E-2</v>
      </c>
      <c r="E94" s="66">
        <v>5.6887554347966794E-2</v>
      </c>
      <c r="F94" s="66">
        <v>7.1671322865454329E-2</v>
      </c>
      <c r="G94" s="66">
        <v>7.9704410593806577E-2</v>
      </c>
      <c r="H94" s="66">
        <v>7.3438601191057024E-2</v>
      </c>
      <c r="I94" s="66">
        <v>7.8404232927147238E-2</v>
      </c>
      <c r="J94" s="66">
        <v>6.9302578570069939E-2</v>
      </c>
      <c r="K94" s="66">
        <v>7.2134597189162764E-2</v>
      </c>
      <c r="L94" s="66">
        <v>9.2606486328786555E-2</v>
      </c>
      <c r="M94" s="66">
        <v>7.2027495112630957E-2</v>
      </c>
      <c r="N94" s="61"/>
      <c r="O94" s="61">
        <v>32768</v>
      </c>
    </row>
    <row r="95" spans="1:15" s="65" customFormat="1" hidden="1" x14ac:dyDescent="0.2">
      <c r="A95" s="61"/>
      <c r="B95" s="61">
        <v>8</v>
      </c>
      <c r="C95" s="61"/>
      <c r="D95" s="66"/>
      <c r="E95" s="66"/>
      <c r="F95" s="66"/>
      <c r="G95" s="66"/>
      <c r="H95" s="66"/>
      <c r="I95" s="66"/>
      <c r="J95" s="66"/>
      <c r="K95" s="66"/>
      <c r="L95" s="66"/>
      <c r="M95" s="66"/>
      <c r="N95" s="61"/>
      <c r="O95" s="61">
        <v>8274269</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8</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'NS nephrops over 300kW'!D3:L3</xm:f>
              <xm:sqref>C3</xm:sqref>
            </x14:sparkline>
            <x14:sparkline>
              <xm:f>'NS nephrops over 300kW'!D4:L4</xm:f>
              <xm:sqref>C4</xm:sqref>
            </x14:sparkline>
            <x14:sparkline>
              <xm:f>'NS nephrops over 300kW'!D5:L5</xm:f>
              <xm:sqref>C5</xm:sqref>
            </x14:sparkline>
            <x14:sparkline>
              <xm:f>'NS nephrops over 300kW'!D6:L6</xm:f>
              <xm:sqref>C6</xm:sqref>
            </x14:sparkline>
            <x14:sparkline>
              <xm:f>'NS nephrops over 300kW'!D7:L7</xm:f>
              <xm:sqref>C7</xm:sqref>
            </x14:sparkline>
            <x14:sparkline>
              <xm:f>'NS nephrops over 300kW'!D8:L8</xm:f>
              <xm:sqref>C8</xm:sqref>
            </x14:sparkline>
            <x14:sparkline>
              <xm:f>'NS nephrops over 300kW'!D9:L9</xm:f>
              <xm:sqref>C9</xm:sqref>
            </x14:sparkline>
            <x14:sparkline>
              <xm:f>'NS nephrops over 300kW'!D10:L10</xm:f>
              <xm:sqref>C10</xm:sqref>
            </x14:sparkline>
            <x14:sparkline>
              <xm:f>'NS nephrops over 300kW'!D11:L11</xm:f>
              <xm:sqref>C11</xm:sqref>
            </x14:sparkline>
            <x14:sparkline>
              <xm:f>'NS nephrops over 300kW'!D12:L12</xm:f>
              <xm:sqref>C12</xm:sqref>
            </x14:sparkline>
            <x14:sparkline>
              <xm:f>'NS nephrops over 300kW'!D13:L13</xm:f>
              <xm:sqref>C13</xm:sqref>
            </x14:sparkline>
            <x14:sparkline>
              <xm:f>'NS nephrops over 300kW'!D14:L14</xm:f>
              <xm:sqref>C14</xm:sqref>
            </x14:sparkline>
            <x14:sparkline>
              <xm:f>'NS nephrops over 300kW'!D15:L15</xm:f>
              <xm:sqref>C15</xm:sqref>
            </x14:sparkline>
            <x14:sparkline>
              <xm:f>'NS nephrops over 300kW'!D16:L16</xm:f>
              <xm:sqref>C16</xm:sqref>
            </x14:sparkline>
            <x14:sparkline>
              <xm:f>'NS nephrops over 300kW'!D17:L17</xm:f>
              <xm:sqref>C17</xm:sqref>
            </x14:sparkline>
            <x14:sparkline>
              <xm:f>'NS nephrops over 300kW'!D18:L18</xm:f>
              <xm:sqref>C18</xm:sqref>
            </x14:sparkline>
            <x14:sparkline>
              <xm:f>'NS nephrops over 300kW'!D19:L19</xm:f>
              <xm:sqref>C19</xm:sqref>
            </x14:sparkline>
            <x14:sparkline>
              <xm:f>'NS nephrops over 300kW'!D20:L20</xm:f>
              <xm:sqref>C20</xm:sqref>
            </x14:sparkline>
            <x14:sparkline>
              <xm:f>'NS nephrops over 300kW'!D21:L21</xm:f>
              <xm:sqref>C21</xm:sqref>
            </x14:sparkline>
            <x14:sparkline>
              <xm:f>'NS nephrops over 300kW'!D22:L22</xm:f>
              <xm:sqref>C22</xm:sqref>
            </x14:sparkline>
            <x14:sparkline>
              <xm:f>'NS nephrops over 300kW'!D23:L23</xm:f>
              <xm:sqref>C23</xm:sqref>
            </x14:sparkline>
            <x14:sparkline>
              <xm:f>'NS nephrops over 300kW'!D24:L24</xm:f>
              <xm:sqref>C24</xm:sqref>
            </x14:sparkline>
            <x14:sparkline>
              <xm:f>'NS nephrops over 300kW'!D25:L25</xm:f>
              <xm:sqref>C25</xm:sqref>
            </x14:sparkline>
            <x14:sparkline>
              <xm:f>'NS nephrops over 300kW'!D26:L26</xm:f>
              <xm:sqref>C26</xm:sqref>
            </x14:sparkline>
            <x14:sparkline>
              <xm:f>'NS nephrops over 300kW'!D27:L27</xm:f>
              <xm:sqref>C27</xm:sqref>
            </x14:sparkline>
            <x14:sparkline>
              <xm:f>'NS nephrops over 300kW'!D28:L28</xm:f>
              <xm:sqref>C28</xm:sqref>
            </x14:sparkline>
            <x14:sparkline>
              <xm:f>'NS nephrops over 300kW'!D29:L29</xm:f>
              <xm:sqref>C29</xm:sqref>
            </x14:sparkline>
            <x14:sparkline>
              <xm:f>'NS nephrops over 300kW'!D30:L30</xm:f>
              <xm:sqref>C30</xm:sqref>
            </x14:sparkline>
            <x14:sparkline>
              <xm:f>'NS nephrops over 300kW'!D31:L31</xm:f>
              <xm:sqref>C31</xm:sqref>
            </x14:sparkline>
            <x14:sparkline>
              <xm:f>'NS nephrops over 300kW'!D32:L32</xm:f>
              <xm:sqref>C32</xm:sqref>
            </x14:sparkline>
            <x14:sparkline>
              <xm:f>'NS nephrops over 300kW'!D33:L33</xm:f>
              <xm:sqref>C33</xm:sqref>
            </x14:sparkline>
            <x14:sparkline>
              <xm:f>'NS nephrops over 300kW'!D34:L34</xm:f>
              <xm:sqref>C34</xm:sqref>
            </x14:sparkline>
            <x14:sparkline>
              <xm:f>'NS nephrops over 300kW'!D35:L35</xm:f>
              <xm:sqref>C35</xm:sqref>
            </x14:sparkline>
            <x14:sparkline>
              <xm:f>'NS nephrops over 300kW'!D36:L36</xm:f>
              <xm:sqref>C36</xm:sqref>
            </x14:sparkline>
            <x14:sparkline>
              <xm:f>'NS nephrops over 300kW'!D37:L37</xm:f>
              <xm:sqref>C37</xm:sqref>
            </x14:sparkline>
            <x14:sparkline>
              <xm:f>'NS nephrops over 300kW'!D38:L38</xm:f>
              <xm:sqref>C38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272</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101</v>
      </c>
      <c r="E3" s="16">
        <v>99</v>
      </c>
      <c r="F3" s="16">
        <v>102</v>
      </c>
      <c r="G3" s="16">
        <v>82</v>
      </c>
      <c r="H3" s="16">
        <v>83</v>
      </c>
      <c r="I3" s="16">
        <v>74</v>
      </c>
      <c r="J3" s="16">
        <v>64</v>
      </c>
      <c r="K3" s="16">
        <v>66</v>
      </c>
      <c r="L3" s="16">
        <v>58</v>
      </c>
      <c r="M3" s="17">
        <v>66</v>
      </c>
      <c r="N3" s="18">
        <f t="shared" ref="N3:N38" si="0">IF(L3=0,"",IFERROR(IF(AND(L3&gt;0,D3&lt;0),"na",IF(AND(L3&lt;0,D3&lt;0),-1,1)*(L3-D3)/D3),""))</f>
        <v>-0.42574257425742573</v>
      </c>
      <c r="O3" s="18">
        <f t="shared" ref="O3:O38" si="1">IF(L3=0,"",IFERROR(IF(AND(L3&gt;0,H3&lt;0),"na",IF(AND(L3&lt;0,H3&lt;0),-1,1)*(L3-H3)/H3),""))</f>
        <v>-0.30120481927710846</v>
      </c>
    </row>
    <row r="4" spans="1:15" s="19" customFormat="1" ht="18" customHeight="1" x14ac:dyDescent="0.2">
      <c r="A4" s="141"/>
      <c r="B4" s="20" t="s">
        <v>20</v>
      </c>
      <c r="C4" s="21"/>
      <c r="D4" s="22">
        <v>18304.869140625</v>
      </c>
      <c r="E4" s="22">
        <v>18002.76953125</v>
      </c>
      <c r="F4" s="22">
        <v>18207.8203125</v>
      </c>
      <c r="G4" s="22">
        <v>15147.240234375</v>
      </c>
      <c r="H4" s="22">
        <v>15465.6904296875</v>
      </c>
      <c r="I4" s="22">
        <v>13773.83984375</v>
      </c>
      <c r="J4" s="22">
        <v>11602.4404296875</v>
      </c>
      <c r="K4" s="22">
        <v>11505.9697265625</v>
      </c>
      <c r="L4" s="22">
        <v>9879.5302734375</v>
      </c>
      <c r="M4" s="23">
        <v>11562.330078125</v>
      </c>
      <c r="N4" s="24">
        <f t="shared" si="0"/>
        <v>-0.46027856317686988</v>
      </c>
      <c r="O4" s="24">
        <f t="shared" si="1"/>
        <v>-0.3611969463404599</v>
      </c>
    </row>
    <row r="5" spans="1:15" s="19" customFormat="1" ht="18" customHeight="1" x14ac:dyDescent="0.2">
      <c r="A5" s="141"/>
      <c r="B5" s="20" t="s">
        <v>21</v>
      </c>
      <c r="C5" s="21"/>
      <c r="D5" s="22">
        <v>4435.06005859375</v>
      </c>
      <c r="E5" s="22">
        <v>4391.759765625</v>
      </c>
      <c r="F5" s="22">
        <v>4548.7998046875</v>
      </c>
      <c r="G5" s="22">
        <v>3711.85009765625</v>
      </c>
      <c r="H5" s="22">
        <v>3843.659912109375</v>
      </c>
      <c r="I5" s="22">
        <v>3367.02001953125</v>
      </c>
      <c r="J5" s="22">
        <v>2818.860107421875</v>
      </c>
      <c r="K5" s="22">
        <v>2754.75</v>
      </c>
      <c r="L5" s="22">
        <v>2277.9599609375</v>
      </c>
      <c r="M5" s="23">
        <v>2768.3701171875</v>
      </c>
      <c r="N5" s="24">
        <f t="shared" si="0"/>
        <v>-0.48637449530733395</v>
      </c>
      <c r="O5" s="24">
        <f t="shared" si="1"/>
        <v>-0.4073461198372853</v>
      </c>
    </row>
    <row r="6" spans="1:15" s="19" customFormat="1" ht="18" customHeight="1" x14ac:dyDescent="0.2">
      <c r="A6" s="141"/>
      <c r="B6" s="20" t="s">
        <v>22</v>
      </c>
      <c r="C6" s="21"/>
      <c r="D6" s="22">
        <v>14031.341796875</v>
      </c>
      <c r="E6" s="22">
        <v>15425.5732421875</v>
      </c>
      <c r="F6" s="22">
        <v>13552.8798828125</v>
      </c>
      <c r="G6" s="22">
        <v>13139.5068359375</v>
      </c>
      <c r="H6" s="22">
        <v>13358.607421875</v>
      </c>
      <c r="I6" s="22">
        <v>11972.275390625</v>
      </c>
      <c r="J6" s="22">
        <v>10120.1826171875</v>
      </c>
      <c r="K6" s="22">
        <v>10023.939453125</v>
      </c>
      <c r="L6" s="22">
        <v>8733.6708984375</v>
      </c>
      <c r="M6" s="23">
        <v>10099.4990234375</v>
      </c>
      <c r="N6" s="24">
        <f t="shared" si="0"/>
        <v>-0.3775598210869166</v>
      </c>
      <c r="O6" s="24">
        <f t="shared" si="1"/>
        <v>-0.34621397106588142</v>
      </c>
    </row>
    <row r="7" spans="1:15" s="19" customFormat="1" ht="18" customHeight="1" x14ac:dyDescent="0.2">
      <c r="A7" s="141"/>
      <c r="B7" s="20" t="s">
        <v>23</v>
      </c>
      <c r="C7" s="21"/>
      <c r="D7" s="22">
        <v>8756.515625</v>
      </c>
      <c r="E7" s="22">
        <v>8605.787109375</v>
      </c>
      <c r="F7" s="22">
        <v>8826.4453125</v>
      </c>
      <c r="G7" s="22">
        <v>6895.8173828125</v>
      </c>
      <c r="H7" s="22">
        <v>8332.0986328125</v>
      </c>
      <c r="I7" s="22">
        <v>5674.74267578125</v>
      </c>
      <c r="J7" s="22">
        <v>5143.31591796875</v>
      </c>
      <c r="K7" s="22">
        <v>4768.01611328125</v>
      </c>
      <c r="L7" s="22">
        <v>3654.492919921875</v>
      </c>
      <c r="M7" s="23">
        <v>4522.41357421875</v>
      </c>
      <c r="N7" s="24">
        <f t="shared" si="0"/>
        <v>-0.58265443968509167</v>
      </c>
      <c r="O7" s="24">
        <f t="shared" si="1"/>
        <v>-0.56139586423879129</v>
      </c>
    </row>
    <row r="8" spans="1:15" s="19" customFormat="1" ht="18" customHeight="1" x14ac:dyDescent="0.2">
      <c r="A8" s="141"/>
      <c r="B8" s="20" t="s">
        <v>24</v>
      </c>
      <c r="C8" s="25"/>
      <c r="D8" s="26">
        <f ca="1">18.250056*OFFSET(D$108,MATCH($M$1,$C$109:$C$110,0),0)</f>
        <v>14.845690420763768</v>
      </c>
      <c r="E8" s="26">
        <f ca="1">21.326934*OFFSET(E$108,MATCH($M$1,$C$109:$C$110,0),0)</f>
        <v>17.815026422364657</v>
      </c>
      <c r="F8" s="26">
        <f ca="1">21.86867*OFFSET(F$108,MATCH($M$1,$C$109:$C$110,0),0)</f>
        <v>18.79218501785985</v>
      </c>
      <c r="G8" s="26">
        <f ca="1">15.692035*OFFSET(G$108,MATCH($M$1,$C$109:$C$110,0),0)</f>
        <v>13.875995974375337</v>
      </c>
      <c r="H8" s="26">
        <f ca="1">15.589319*OFFSET(H$108,MATCH($M$1,$C$109:$C$110,0),0)</f>
        <v>14.0581363131312</v>
      </c>
      <c r="I8" s="26">
        <f ca="1">12.102729*OFFSET(I$108,MATCH($M$1,$C$109:$C$110,0),0)</f>
        <v>11.260257887668644</v>
      </c>
      <c r="J8" s="26">
        <f ca="1">14.518231*OFFSET(J$108,MATCH($M$1,$C$109:$C$110,0),0)</f>
        <v>13.79464225808108</v>
      </c>
      <c r="K8" s="26">
        <f ca="1">13.108297*OFFSET(K$108,MATCH($M$1,$C$109:$C$110,0),0)</f>
        <v>12.661828280432825</v>
      </c>
      <c r="L8" s="26">
        <f ca="1">8.701599*OFFSET(L$108,MATCH($M$1,$C$109:$C$110,0),0)</f>
        <v>8.5556730342762091</v>
      </c>
      <c r="M8" s="27">
        <f ca="1">11.772705*OFFSET(M$108,MATCH($M$1,$C$109:$C$110,0),0)</f>
        <v>11.772704954261238</v>
      </c>
      <c r="N8" s="24">
        <f t="shared" ca="1" si="0"/>
        <v>-0.42369315324601492</v>
      </c>
      <c r="O8" s="24">
        <f t="shared" ca="1" si="1"/>
        <v>-0.39140773401914858</v>
      </c>
    </row>
    <row r="9" spans="1:15" s="19" customFormat="1" ht="18" customHeight="1" x14ac:dyDescent="0.2">
      <c r="A9" s="141"/>
      <c r="B9" s="20" t="s">
        <v>25</v>
      </c>
      <c r="C9" s="25"/>
      <c r="D9" s="22">
        <v>16175</v>
      </c>
      <c r="E9" s="22">
        <v>13692.5</v>
      </c>
      <c r="F9" s="22">
        <v>13817</v>
      </c>
      <c r="G9" s="22">
        <v>11062</v>
      </c>
      <c r="H9" s="22">
        <v>12358</v>
      </c>
      <c r="I9" s="22">
        <v>9221</v>
      </c>
      <c r="J9" s="22">
        <v>9025</v>
      </c>
      <c r="K9" s="22">
        <v>8943</v>
      </c>
      <c r="L9" s="22">
        <v>7235</v>
      </c>
      <c r="M9" s="23">
        <v>7595</v>
      </c>
      <c r="N9" s="24">
        <f t="shared" si="0"/>
        <v>-0.55270479134466766</v>
      </c>
      <c r="O9" s="24">
        <f t="shared" si="1"/>
        <v>-0.4145492798187409</v>
      </c>
    </row>
    <row r="10" spans="1:15" s="19" customFormat="1" ht="18" customHeight="1" x14ac:dyDescent="0.2">
      <c r="A10" s="142" t="s">
        <v>7</v>
      </c>
      <c r="B10" s="28" t="s">
        <v>26</v>
      </c>
      <c r="C10" s="29"/>
      <c r="D10" s="30">
        <v>14.378416061401367</v>
      </c>
      <c r="E10" s="30">
        <v>14.32464599609375</v>
      </c>
      <c r="F10" s="30">
        <v>14.29372501373291</v>
      </c>
      <c r="G10" s="30">
        <v>14.192561149597168</v>
      </c>
      <c r="H10" s="30">
        <v>14.327951431274414</v>
      </c>
      <c r="I10" s="30">
        <v>14.316891670227051</v>
      </c>
      <c r="J10" s="30">
        <v>14.215000152587891</v>
      </c>
      <c r="K10" s="30">
        <v>14.063485145568848</v>
      </c>
      <c r="L10" s="30">
        <v>14.028793334960937</v>
      </c>
      <c r="M10" s="31">
        <v>14.128030776977539</v>
      </c>
      <c r="N10" s="32">
        <f t="shared" si="0"/>
        <v>-2.4315802585445169E-2</v>
      </c>
      <c r="O10" s="32">
        <f t="shared" si="1"/>
        <v>-2.0879334896437993E-2</v>
      </c>
    </row>
    <row r="11" spans="1:15" s="19" customFormat="1" ht="18" customHeight="1" x14ac:dyDescent="0.2">
      <c r="A11" s="143"/>
      <c r="B11" s="33" t="s">
        <v>20</v>
      </c>
      <c r="C11" s="21"/>
      <c r="D11" s="22">
        <v>181.23634338378906</v>
      </c>
      <c r="E11" s="22">
        <v>181.84616088867187</v>
      </c>
      <c r="F11" s="22">
        <v>178.50804138183594</v>
      </c>
      <c r="G11" s="22">
        <v>184.72244262695312</v>
      </c>
      <c r="H11" s="22">
        <v>186.3336181640625</v>
      </c>
      <c r="I11" s="22">
        <v>186.13298034667969</v>
      </c>
      <c r="J11" s="22">
        <v>181.28813171386719</v>
      </c>
      <c r="K11" s="22">
        <v>174.3328857421875</v>
      </c>
      <c r="L11" s="22">
        <v>170.33673095703125</v>
      </c>
      <c r="M11" s="23">
        <v>175.18681335449219</v>
      </c>
      <c r="N11" s="24">
        <f t="shared" si="0"/>
        <v>-6.0140324083214444E-2</v>
      </c>
      <c r="O11" s="24">
        <f t="shared" si="1"/>
        <v>-8.5850784011215597E-2</v>
      </c>
    </row>
    <row r="12" spans="1:15" s="19" customFormat="1" ht="18" customHeight="1" x14ac:dyDescent="0.2">
      <c r="A12" s="143"/>
      <c r="B12" s="33" t="s">
        <v>21</v>
      </c>
      <c r="C12" s="21"/>
      <c r="D12" s="22">
        <v>43.911483764648438</v>
      </c>
      <c r="E12" s="22">
        <v>44.361213684082031</v>
      </c>
      <c r="F12" s="22">
        <v>44.596076965332031</v>
      </c>
      <c r="G12" s="22">
        <v>45.266464233398438</v>
      </c>
      <c r="H12" s="22">
        <v>46.309158325195313</v>
      </c>
      <c r="I12" s="22">
        <v>45.500270843505859</v>
      </c>
      <c r="J12" s="22">
        <v>44.044689178466797</v>
      </c>
      <c r="K12" s="22">
        <v>41.738636016845703</v>
      </c>
      <c r="L12" s="22">
        <v>39.275173187255859</v>
      </c>
      <c r="M12" s="23">
        <v>41.944999694824219</v>
      </c>
      <c r="N12" s="24">
        <f t="shared" si="0"/>
        <v>-0.10558309990711599</v>
      </c>
      <c r="O12" s="24">
        <f t="shared" si="1"/>
        <v>-0.15189188040397811</v>
      </c>
    </row>
    <row r="13" spans="1:15" s="19" customFormat="1" ht="18" customHeight="1" x14ac:dyDescent="0.2">
      <c r="A13" s="143"/>
      <c r="B13" s="33" t="s">
        <v>22</v>
      </c>
      <c r="C13" s="21"/>
      <c r="D13" s="22">
        <v>138.92417907714844</v>
      </c>
      <c r="E13" s="22">
        <v>155.81387329101563</v>
      </c>
      <c r="F13" s="22">
        <v>132.87136840820312</v>
      </c>
      <c r="G13" s="22">
        <v>160.23788452148437</v>
      </c>
      <c r="H13" s="22">
        <v>160.94708251953125</v>
      </c>
      <c r="I13" s="22">
        <v>161.78750610351562</v>
      </c>
      <c r="J13" s="22">
        <v>158.12785339355469</v>
      </c>
      <c r="K13" s="22">
        <v>151.87786865234375</v>
      </c>
      <c r="L13" s="22">
        <v>150.58053588867187</v>
      </c>
      <c r="M13" s="23">
        <v>153.022705078125</v>
      </c>
      <c r="N13" s="24">
        <f t="shared" si="0"/>
        <v>8.3904449815394203E-2</v>
      </c>
      <c r="O13" s="24">
        <f t="shared" si="1"/>
        <v>-6.4409658557193009E-2</v>
      </c>
    </row>
    <row r="14" spans="1:15" s="19" customFormat="1" ht="18" customHeight="1" x14ac:dyDescent="0.2">
      <c r="A14" s="143"/>
      <c r="B14" s="33" t="s">
        <v>23</v>
      </c>
      <c r="C14" s="25"/>
      <c r="D14" s="26">
        <v>86.69818115234375</v>
      </c>
      <c r="E14" s="26">
        <v>86.927146911621094</v>
      </c>
      <c r="F14" s="26">
        <v>86.533775329589844</v>
      </c>
      <c r="G14" s="26">
        <v>84.095329284667969</v>
      </c>
      <c r="H14" s="26">
        <v>100.38672637939453</v>
      </c>
      <c r="I14" s="26">
        <v>76.685714721679688</v>
      </c>
      <c r="J14" s="26">
        <v>80.364311218261719</v>
      </c>
      <c r="K14" s="26">
        <v>72.242668151855469</v>
      </c>
      <c r="L14" s="26">
        <v>63.008499145507813</v>
      </c>
      <c r="M14" s="27">
        <v>68.521415710449219</v>
      </c>
      <c r="N14" s="24">
        <f t="shared" si="0"/>
        <v>-0.27324312565691611</v>
      </c>
      <c r="O14" s="24">
        <f t="shared" si="1"/>
        <v>-0.3723423263412543</v>
      </c>
    </row>
    <row r="15" spans="1:15" s="19" customFormat="1" ht="18" customHeight="1" x14ac:dyDescent="0.2">
      <c r="A15" s="143"/>
      <c r="B15" s="33" t="s">
        <v>27</v>
      </c>
      <c r="C15" s="25"/>
      <c r="D15" s="26">
        <f ca="1">180.693609375*OFFSET(D$108,MATCH($M$1,$C$109:$C$110,0),0)</f>
        <v>146.9870221653932</v>
      </c>
      <c r="E15" s="26">
        <f ca="1">215.423578125*OFFSET(E$108,MATCH($M$1,$C$109:$C$110,0),0)</f>
        <v>179.94976381964756</v>
      </c>
      <c r="F15" s="26">
        <f ca="1">214.39871875*OFFSET(F$108,MATCH($M$1,$C$109:$C$110,0),0)</f>
        <v>184.23710222624868</v>
      </c>
      <c r="G15" s="26">
        <f ca="1">191.36628125*OFFSET(G$108,MATCH($M$1,$C$109:$C$110,0),0)</f>
        <v>169.21946377612454</v>
      </c>
      <c r="H15" s="26">
        <f ca="1">187.823125*OFFSET(H$108,MATCH($M$1,$C$109:$C$110,0),0)</f>
        <v>169.37514037709286</v>
      </c>
      <c r="I15" s="26">
        <f ca="1">163.550390625*OFFSET(I$108,MATCH($M$1,$C$109:$C$110,0),0)</f>
        <v>152.16564595195382</v>
      </c>
      <c r="J15" s="26">
        <f ca="1">226.847359375*OFFSET(J$108,MATCH($M$1,$C$109:$C$110,0),0)</f>
        <v>215.54128528251687</v>
      </c>
      <c r="K15" s="26">
        <f ca="1">198.6105625*OFFSET(K$108,MATCH($M$1,$C$109:$C$110,0),0)</f>
        <v>191.84588486629278</v>
      </c>
      <c r="L15" s="26">
        <f ca="1">150.0275625*OFFSET(L$108,MATCH($M$1,$C$109:$C$110,0),0)</f>
        <v>147.51159768215456</v>
      </c>
      <c r="M15" s="27">
        <f ca="1">178.3743125*OFFSET(M$108,MATCH($M$1,$C$109:$C$110,0),0)</f>
        <v>178.37431180698846</v>
      </c>
      <c r="N15" s="24">
        <f t="shared" ca="1" si="0"/>
        <v>3.5688560053355935E-3</v>
      </c>
      <c r="O15" s="24">
        <f t="shared" ca="1" si="1"/>
        <v>-0.12908353992363827</v>
      </c>
    </row>
    <row r="16" spans="1:15" s="19" customFormat="1" ht="18" customHeight="1" x14ac:dyDescent="0.2">
      <c r="A16" s="143"/>
      <c r="B16" s="33" t="s">
        <v>25</v>
      </c>
      <c r="C16" s="21"/>
      <c r="D16" s="22">
        <v>160.14851379394531</v>
      </c>
      <c r="E16" s="22">
        <v>138.30807495117187</v>
      </c>
      <c r="F16" s="22">
        <v>135.46078491210937</v>
      </c>
      <c r="G16" s="22">
        <v>134.90243530273437</v>
      </c>
      <c r="H16" s="22">
        <v>148.89157104492187</v>
      </c>
      <c r="I16" s="22">
        <v>124.60810852050781</v>
      </c>
      <c r="J16" s="22">
        <v>141.015625</v>
      </c>
      <c r="K16" s="22">
        <v>135.5</v>
      </c>
      <c r="L16" s="22">
        <v>124.74137878417969</v>
      </c>
      <c r="M16" s="23">
        <v>115.07575988769531</v>
      </c>
      <c r="N16" s="24">
        <f t="shared" si="0"/>
        <v>-0.22108937617318214</v>
      </c>
      <c r="O16" s="24">
        <f t="shared" si="1"/>
        <v>-0.16219986189450486</v>
      </c>
    </row>
    <row r="17" spans="1:15" s="19" customFormat="1" ht="18" customHeight="1" x14ac:dyDescent="0.2">
      <c r="A17" s="143"/>
      <c r="B17" s="33" t="s">
        <v>28</v>
      </c>
      <c r="C17" s="21"/>
      <c r="D17" s="22">
        <v>24.881187438964844</v>
      </c>
      <c r="E17" s="22">
        <v>25.191919326782227</v>
      </c>
      <c r="F17" s="22">
        <v>25.921567916870117</v>
      </c>
      <c r="G17" s="22">
        <v>26.353658676147461</v>
      </c>
      <c r="H17" s="22">
        <v>28.433734893798828</v>
      </c>
      <c r="I17" s="22">
        <v>29.527027130126953</v>
      </c>
      <c r="J17" s="22">
        <v>30.453125</v>
      </c>
      <c r="K17" s="22">
        <v>32.818180084228516</v>
      </c>
      <c r="L17" s="22">
        <v>34.517242431640625</v>
      </c>
      <c r="M17" s="23">
        <v>35.045455932617188</v>
      </c>
      <c r="N17" s="24">
        <f t="shared" si="0"/>
        <v>0.38728276197885031</v>
      </c>
      <c r="O17" s="24">
        <f t="shared" si="1"/>
        <v>0.21395386714281286</v>
      </c>
    </row>
    <row r="18" spans="1:15" s="19" customFormat="1" ht="18" customHeight="1" x14ac:dyDescent="0.2">
      <c r="A18" s="143"/>
      <c r="B18" s="33" t="s">
        <v>29</v>
      </c>
      <c r="C18" s="21"/>
      <c r="D18" s="34">
        <v>0.54136115312576294</v>
      </c>
      <c r="E18" s="34">
        <v>0.62850379943847656</v>
      </c>
      <c r="F18" s="34">
        <v>0.63881051540374756</v>
      </c>
      <c r="G18" s="34">
        <v>0.62337887287139893</v>
      </c>
      <c r="H18" s="34">
        <v>0.67422705888748169</v>
      </c>
      <c r="I18" s="34">
        <v>0.61541509628295898</v>
      </c>
      <c r="J18" s="34">
        <v>0.56989651918411255</v>
      </c>
      <c r="K18" s="34">
        <v>0.53315621614456177</v>
      </c>
      <c r="L18" s="34">
        <v>0.50511306524276733</v>
      </c>
      <c r="M18" s="35">
        <v>0.59544610977172852</v>
      </c>
      <c r="N18" s="24">
        <f t="shared" si="0"/>
        <v>-6.6957312458980331E-2</v>
      </c>
      <c r="O18" s="24">
        <f t="shared" si="1"/>
        <v>-0.25082647072006187</v>
      </c>
    </row>
    <row r="19" spans="1:15" s="19" customFormat="1" ht="18" customHeight="1" x14ac:dyDescent="0.2">
      <c r="A19" s="144"/>
      <c r="B19" s="36" t="s">
        <v>8</v>
      </c>
      <c r="C19" s="37"/>
      <c r="D19" s="38">
        <f ca="1">2084.16872436061*OFFSET(D$108,MATCH($M$1,$C$109:$C$110,0),0)</f>
        <v>1695.3878753301224</v>
      </c>
      <c r="E19" s="38">
        <f ca="1">2478.20841126395*OFFSET(E$108,MATCH($M$1,$C$109:$C$110,0),0)</f>
        <v>2070.1216746295368</v>
      </c>
      <c r="F19" s="38">
        <f ca="1">2477.63048721659*OFFSET(F$108,MATCH($M$1,$C$109:$C$110,0),0)</f>
        <v>2129.0773751519596</v>
      </c>
      <c r="G19" s="38">
        <f ca="1">2275.58737838848*OFFSET(G$108,MATCH($M$1,$C$109:$C$110,0),0)</f>
        <v>2012.2336779046107</v>
      </c>
      <c r="H19" s="38">
        <f ca="1">1870.99549429335*OFFSET(H$108,MATCH($M$1,$C$109:$C$110,0),0)</f>
        <v>1687.2263438852078</v>
      </c>
      <c r="I19" s="38">
        <f ca="1">2132.73617703446*OFFSET(I$108,MATCH($M$1,$C$109:$C$110,0),0)</f>
        <v>1984.276385910033</v>
      </c>
      <c r="J19" s="38">
        <f ca="1">2822.73755521782*OFFSET(J$108,MATCH($M$1,$C$109:$C$110,0),0)</f>
        <v>2682.0522942967509</v>
      </c>
      <c r="K19" s="38">
        <f ca="1">2749.21407322576*OFFSET(K$108,MATCH($M$1,$C$109:$C$110,0),0)</f>
        <v>2655.5758159380921</v>
      </c>
      <c r="L19" s="38">
        <f ca="1">2381.06878044958*OFFSET(L$108,MATCH($M$1,$C$109:$C$110,0),0)</f>
        <v>2341.1382158209558</v>
      </c>
      <c r="M19" s="39">
        <f ca="1">2603.19070929592*OFFSET(M$108,MATCH($M$1,$C$109:$C$110,0),0)</f>
        <v>2603.1906991821252</v>
      </c>
      <c r="N19" s="40">
        <f ca="1">IF(L19=0,"",IFERROR(IF(AND(L19&gt;0,D19&lt;0),"na",IF(AND(L19&lt;0,D19&lt;0),-1,1)*(L19-D19)/D19),""))</f>
        <v>0.38088649204542308</v>
      </c>
      <c r="O19" s="40">
        <f ca="1">IF(L19=0,"",IFERROR(IF(AND(L19&gt;0,H19&lt;0),"na",IF(AND(L19&lt;0,H19&lt;0),-1,1)*(L19-H19)/H19),""))</f>
        <v>0.38756618180224284</v>
      </c>
    </row>
    <row r="20" spans="1:15" s="19" customFormat="1" ht="18" customHeight="1" x14ac:dyDescent="0.2">
      <c r="A20" s="145" t="s">
        <v>9</v>
      </c>
      <c r="B20" s="28" t="s">
        <v>30</v>
      </c>
      <c r="C20" s="41"/>
      <c r="D20" s="42">
        <v>2.8263566515110843</v>
      </c>
      <c r="E20" s="42">
        <v>3.2419540416019226</v>
      </c>
      <c r="F20" s="42">
        <v>3.3376898644622863</v>
      </c>
      <c r="G20" s="42">
        <v>3.1116393544849914</v>
      </c>
      <c r="H20" s="42">
        <v>3.3455416001871754</v>
      </c>
      <c r="I20" s="42">
        <v>3.0673806610443588</v>
      </c>
      <c r="J20" s="42">
        <v>2.9817050142488974</v>
      </c>
      <c r="K20" s="42">
        <v>2.8835656323914849</v>
      </c>
      <c r="L20" s="42">
        <v>2.8027895499399791</v>
      </c>
      <c r="M20" s="43">
        <v>3.2271681824934482</v>
      </c>
      <c r="N20" s="32">
        <f t="shared" si="0"/>
        <v>-8.3383325167067195E-3</v>
      </c>
      <c r="O20" s="32">
        <f t="shared" si="1"/>
        <v>-0.16223144564002151</v>
      </c>
    </row>
    <row r="21" spans="1:15" s="19" customFormat="1" ht="18" customHeight="1" x14ac:dyDescent="0.2">
      <c r="A21" s="145"/>
      <c r="B21" s="33" t="s">
        <v>31</v>
      </c>
      <c r="C21" s="21"/>
      <c r="D21" s="34">
        <f ca="1">5.89060321629101*OFFSET(D$108,MATCH($M$1,$C$109:$C$110,0),0)</f>
        <v>4.7917700493966526</v>
      </c>
      <c r="E21" s="34">
        <f ca="1">8.03423745712888*OFFSET(E$108,MATCH($M$1,$C$109:$C$110,0),0)</f>
        <v>6.7112390642885096</v>
      </c>
      <c r="F21" s="34">
        <f ca="1">8.26956211953092*OFFSET(F$108,MATCH($M$1,$C$109:$C$110,0),0)</f>
        <v>7.1061999365718309</v>
      </c>
      <c r="G21" s="34">
        <f ca="1">7.08080766106836*OFFSET(G$108,MATCH($M$1,$C$109:$C$110,0),0)</f>
        <v>6.2613458738978478</v>
      </c>
      <c r="H21" s="34">
        <f ca="1">6.25949366841427*OFFSET(H$108,MATCH($M$1,$C$109:$C$110,0),0)</f>
        <v>5.6446862907705899</v>
      </c>
      <c r="I21" s="34">
        <f ca="1">6.54191340760301*OFFSET(I$108,MATCH($M$1,$C$109:$C$110,0),0)</f>
        <v>6.0865307360354057</v>
      </c>
      <c r="J21" s="34">
        <f ca="1">8.41657072230164*OFFSET(J$108,MATCH($M$1,$C$109:$C$110,0),0)</f>
        <v>7.9970887743823749</v>
      </c>
      <c r="K21" s="34">
        <f ca="1">7.9275393186074*OFFSET(K$108,MATCH($M$1,$C$109:$C$110,0),0)</f>
        <v>7.6575272545767268</v>
      </c>
      <c r="L21" s="34">
        <f ca="1">6.67363435219908*OFFSET(L$108,MATCH($M$1,$C$109:$C$110,0),0)</f>
        <v>6.5617173886924745</v>
      </c>
      <c r="M21" s="35">
        <f ca="1">8.40093421751005*OFFSET(M$108,MATCH($M$1,$C$109:$C$110,0),0)</f>
        <v>8.4009341848711347</v>
      </c>
      <c r="N21" s="24">
        <f t="shared" ca="1" si="0"/>
        <v>0.36937234488509768</v>
      </c>
      <c r="O21" s="24">
        <f t="shared" ca="1" si="1"/>
        <v>0.16245917854129235</v>
      </c>
    </row>
    <row r="22" spans="1:15" s="19" customFormat="1" ht="18" customHeight="1" x14ac:dyDescent="0.2">
      <c r="A22" s="145"/>
      <c r="B22" s="33" t="s">
        <v>10</v>
      </c>
      <c r="C22" s="21"/>
      <c r="D22" s="34">
        <f ca="1">5.05713492000022*OFFSET(D$108,MATCH($M$1,$C$109:$C$110,0),0)</f>
        <v>4.113776935169799</v>
      </c>
      <c r="E22" s="34">
        <f ca="1">6.68174033365685*OFFSET(E$108,MATCH($M$1,$C$109:$C$110,0),0)</f>
        <v>5.5814577281233397</v>
      </c>
      <c r="F22" s="34">
        <f ca="1">7.04859487613565*OFFSET(F$108,MATCH($M$1,$C$109:$C$110,0),0)</f>
        <v>6.0569983921418205</v>
      </c>
      <c r="G22" s="34">
        <f ca="1">6.73692962208991*OFFSET(G$108,MATCH($M$1,$C$109:$C$110,0),0)</f>
        <v>5.9572648363178873</v>
      </c>
      <c r="H22" s="34">
        <f ca="1">5.72484767756371*OFFSET(H$108,MATCH($M$1,$C$109:$C$110,0),0)</f>
        <v>5.1625532214141749</v>
      </c>
      <c r="I22" s="34">
        <f ca="1">6.28703447993*OFFSET(I$108,MATCH($M$1,$C$109:$C$110,0),0)</f>
        <v>5.849393933605926</v>
      </c>
      <c r="J22" s="34">
        <f ca="1">6.72976095649865*OFFSET(J$108,MATCH($M$1,$C$109:$C$110,0),0)</f>
        <v>6.394349619957171</v>
      </c>
      <c r="K22" s="34">
        <f ca="1">6.60330561632024*OFFSET(K$108,MATCH($M$1,$C$109:$C$110,0),0)</f>
        <v>6.3783969646907233</v>
      </c>
      <c r="L22" s="34">
        <f ca="1">6.13092390179153*OFFSET(L$108,MATCH($M$1,$C$109:$C$110,0),0)</f>
        <v>6.0281082019244128</v>
      </c>
      <c r="M22" s="35">
        <f ca="1">7.35836927715886*OFFSET(M$108,MATCH($M$1,$C$109:$C$110,0),0)</f>
        <v>7.3583692485704679</v>
      </c>
      <c r="N22" s="24">
        <f t="shared" ca="1" si="0"/>
        <v>0.46534639503383729</v>
      </c>
      <c r="O22" s="24">
        <f t="shared" ca="1" si="1"/>
        <v>0.16766025324832137</v>
      </c>
    </row>
    <row r="23" spans="1:15" s="19" customFormat="1" ht="18" customHeight="1" x14ac:dyDescent="0.2">
      <c r="A23" s="146"/>
      <c r="B23" s="33" t="s">
        <v>32</v>
      </c>
      <c r="C23" s="44"/>
      <c r="D23" s="34">
        <f ca="1">0.833468296290788*OFFSET(D$108,MATCH($M$1,$C$109:$C$110,0),0)</f>
        <v>0.67799311422685216</v>
      </c>
      <c r="E23" s="34">
        <f ca="1">1.35249712347203*OFFSET(E$108,MATCH($M$1,$C$109:$C$110,0),0)</f>
        <v>1.1297813361651705</v>
      </c>
      <c r="F23" s="34">
        <f ca="1">1.22096724339527*OFFSET(F$108,MATCH($M$1,$C$109:$C$110,0),0)</f>
        <v>1.0492015444300105</v>
      </c>
      <c r="G23" s="34">
        <f ca="1">0.343878038978448*OFFSET(G$108,MATCH($M$1,$C$109:$C$110,0),0)</f>
        <v>0.30408103757995886</v>
      </c>
      <c r="H23" s="34">
        <f ca="1">0.534645990850565*OFFSET(H$108,MATCH($M$1,$C$109:$C$110,0),0)</f>
        <v>0.48213306935641892</v>
      </c>
      <c r="I23" s="34">
        <f ca="1">0.254878927673005*OFFSET(I$108,MATCH($M$1,$C$109:$C$110,0),0)</f>
        <v>0.23713680242947524</v>
      </c>
      <c r="J23" s="34">
        <f ca="1">1.68680976580299*OFFSET(J$108,MATCH($M$1,$C$109:$C$110,0),0)</f>
        <v>1.6027391544252032</v>
      </c>
      <c r="K23" s="34">
        <f ca="1">1.32423370228716*OFFSET(K$108,MATCH($M$1,$C$109:$C$110,0),0)</f>
        <v>1.2791302898860031</v>
      </c>
      <c r="L23" s="34">
        <f ca="1">0.542710450407543*OFFSET(L$108,MATCH($M$1,$C$109:$C$110,0),0)</f>
        <v>0.53360918676805391</v>
      </c>
      <c r="M23" s="35">
        <f ca="1">1.04256494035119*OFFSET(M$108,MATCH($M$1,$C$109:$C$110,0),0)</f>
        <v>1.0425649363006655</v>
      </c>
      <c r="N23" s="24">
        <f t="shared" ca="1" si="0"/>
        <v>-0.21295780802058162</v>
      </c>
      <c r="O23" s="24">
        <f t="shared" ca="1" si="1"/>
        <v>0.10676744800008948</v>
      </c>
    </row>
    <row r="24" spans="1:15" s="19" customFormat="1" ht="18" customHeight="1" x14ac:dyDescent="0.2">
      <c r="A24" s="147" t="s">
        <v>11</v>
      </c>
      <c r="B24" s="28" t="s">
        <v>27</v>
      </c>
      <c r="C24" s="29"/>
      <c r="D24" s="30">
        <f ca="1">180.7*OFFSET(D$108,MATCH($M$1,$C$109:$C$110,0),0)</f>
        <v>146.99222068315913</v>
      </c>
      <c r="E24" s="30">
        <f ca="1">215.4*OFFSET(E$108,MATCH($M$1,$C$109:$C$110,0),0)</f>
        <v>179.93006830599029</v>
      </c>
      <c r="F24" s="30">
        <f ca="1">214.4*OFFSET(F$108,MATCH($M$1,$C$109:$C$110,0),0)</f>
        <v>184.23820322997017</v>
      </c>
      <c r="G24" s="30">
        <f ca="1">191.4*OFFSET(G$108,MATCH($M$1,$C$109:$C$110,0),0)</f>
        <v>169.24928025558441</v>
      </c>
      <c r="H24" s="30">
        <f ca="1">187.8*OFFSET(H$108,MATCH($M$1,$C$109:$C$110,0),0)</f>
        <v>169.35428671425865</v>
      </c>
      <c r="I24" s="30">
        <f ca="1">163.6*OFFSET(I$108,MATCH($M$1,$C$109:$C$110,0),0)</f>
        <v>152.21180201775897</v>
      </c>
      <c r="J24" s="30">
        <f ca="1">226.8*OFFSET(J$108,MATCH($M$1,$C$109:$C$110,0),0)</f>
        <v>215.49628629912203</v>
      </c>
      <c r="K24" s="30">
        <f ca="1">198.6*OFFSET(K$108,MATCH($M$1,$C$109:$C$110,0),0)</f>
        <v>191.83568212514248</v>
      </c>
      <c r="L24" s="30">
        <f ca="1">150*OFFSET(L$108,MATCH($M$1,$C$109:$C$110,0),0)</f>
        <v>147.48449740575626</v>
      </c>
      <c r="M24" s="31">
        <f ca="1">178.4*OFFSET(M$108,MATCH($M$1,$C$109:$C$110,0),0)</f>
        <v>178.39999930688867</v>
      </c>
      <c r="N24" s="32">
        <f t="shared" ca="1" si="0"/>
        <v>3.3489984729071151E-3</v>
      </c>
      <c r="O24" s="32">
        <f t="shared" ca="1" si="1"/>
        <v>-0.12913631968113082</v>
      </c>
    </row>
    <row r="25" spans="1:15" s="19" customFormat="1" ht="18" customHeight="1" x14ac:dyDescent="0.2">
      <c r="A25" s="148"/>
      <c r="B25" s="33" t="s">
        <v>33</v>
      </c>
      <c r="C25" s="25"/>
      <c r="D25" s="26">
        <f ca="1">8.1*OFFSET(D$108,MATCH($M$1,$C$109:$C$110,0),0)</f>
        <v>6.589025940971716</v>
      </c>
      <c r="E25" s="26">
        <f ca="1">8.5*OFFSET(E$108,MATCH($M$1,$C$109:$C$110,0),0)</f>
        <v>7.1003044596142875</v>
      </c>
      <c r="F25" s="26">
        <f ca="1">6*OFFSET(F$108,MATCH($M$1,$C$109:$C$110,0),0)</f>
        <v>5.1559198665103594</v>
      </c>
      <c r="G25" s="26">
        <f ca="1">6.4*OFFSET(G$108,MATCH($M$1,$C$109:$C$110,0),0)</f>
        <v>5.6593280754218407</v>
      </c>
      <c r="H25" s="26">
        <f ca="1">8.2*OFFSET(H$108,MATCH($M$1,$C$109:$C$110,0),0)</f>
        <v>7.3945961185139542</v>
      </c>
      <c r="I25" s="26">
        <f ca="1">8.2*OFFSET(I$108,MATCH($M$1,$C$109:$C$110,0),0)</f>
        <v>7.6291979006456208</v>
      </c>
      <c r="J25" s="26">
        <f ca="1">41.1*OFFSET(J$108,MATCH($M$1,$C$109:$C$110,0),0)</f>
        <v>39.051575691772115</v>
      </c>
      <c r="K25" s="26">
        <f ca="1">28.5*OFFSET(K$108,MATCH($M$1,$C$109:$C$110,0),0)</f>
        <v>27.529289730949451</v>
      </c>
      <c r="L25" s="26">
        <f ca="1">27*OFFSET(L$108,MATCH($M$1,$C$109:$C$110,0),0)</f>
        <v>26.547209533036128</v>
      </c>
      <c r="M25" s="27">
        <f ca="1">32.1*OFFSET(M$108,MATCH($M$1,$C$109:$C$110,0),0)</f>
        <v>32.099999875286585</v>
      </c>
      <c r="N25" s="24">
        <f t="shared" ca="1" si="0"/>
        <v>3.0290036449789848</v>
      </c>
      <c r="O25" s="24">
        <f t="shared" ca="1" si="1"/>
        <v>2.5900824206706172</v>
      </c>
    </row>
    <row r="26" spans="1:15" s="19" customFormat="1" ht="18" customHeight="1" x14ac:dyDescent="0.2">
      <c r="A26" s="148"/>
      <c r="B26" s="45" t="s">
        <v>34</v>
      </c>
      <c r="C26" s="46"/>
      <c r="D26" s="47">
        <f ca="1">188.8*OFFSET(D$108,MATCH($M$1,$C$109:$C$110,0),0)</f>
        <v>153.58124662413087</v>
      </c>
      <c r="E26" s="47">
        <f ca="1">223.9*OFFSET(E$108,MATCH($M$1,$C$109:$C$110,0),0)</f>
        <v>187.03037276560457</v>
      </c>
      <c r="F26" s="47">
        <f ca="1">220.4*OFFSET(F$108,MATCH($M$1,$C$109:$C$110,0),0)</f>
        <v>189.39412309648054</v>
      </c>
      <c r="G26" s="47">
        <f ca="1">197.8*OFFSET(G$108,MATCH($M$1,$C$109:$C$110,0),0)</f>
        <v>174.90860833100626</v>
      </c>
      <c r="H26" s="47">
        <f ca="1">196.1*OFFSET(H$108,MATCH($M$1,$C$109:$C$110,0),0)</f>
        <v>176.83906083421786</v>
      </c>
      <c r="I26" s="47">
        <f ca="1">171.8*OFFSET(I$108,MATCH($M$1,$C$109:$C$110,0),0)</f>
        <v>159.84099991840461</v>
      </c>
      <c r="J26" s="47">
        <f ca="1">268*OFFSET(J$108,MATCH($M$1,$C$109:$C$110,0),0)</f>
        <v>254.6428779901442</v>
      </c>
      <c r="K26" s="47">
        <f ca="1">227.1*OFFSET(K$108,MATCH($M$1,$C$109:$C$110,0),0)</f>
        <v>219.36497185609193</v>
      </c>
      <c r="L26" s="47">
        <f ca="1">177*OFFSET(L$108,MATCH($M$1,$C$109:$C$110,0),0)</f>
        <v>174.03170693879241</v>
      </c>
      <c r="M26" s="48">
        <f ca="1">210.5*OFFSET(M$108,MATCH($M$1,$C$109:$C$110,0),0)</f>
        <v>210.49999918217526</v>
      </c>
      <c r="N26" s="49">
        <f t="shared" ca="1" si="0"/>
        <v>0.13315727515033948</v>
      </c>
      <c r="O26" s="49">
        <f t="shared" ca="1" si="1"/>
        <v>-1.5875191160720274E-2</v>
      </c>
    </row>
    <row r="27" spans="1:15" s="19" customFormat="1" ht="18" customHeight="1" x14ac:dyDescent="0.2">
      <c r="A27" s="148"/>
      <c r="B27" s="33" t="s">
        <v>35</v>
      </c>
      <c r="C27" s="25"/>
      <c r="D27" s="26">
        <f ca="1">35.5*OFFSET(D$108,MATCH($M$1,$C$109:$C$110,0),0)</f>
        <v>28.877829741295791</v>
      </c>
      <c r="E27" s="26">
        <f ca="1">39.2*OFFSET(E$108,MATCH($M$1,$C$109:$C$110,0),0)</f>
        <v>32.744933507868247</v>
      </c>
      <c r="F27" s="26">
        <f ca="1">37.8*OFFSET(F$108,MATCH($M$1,$C$109:$C$110,0),0)</f>
        <v>32.482295159015258</v>
      </c>
      <c r="G27" s="26">
        <f ca="1">54.3*OFFSET(G$108,MATCH($M$1,$C$109:$C$110,0),0)</f>
        <v>48.015861639907179</v>
      </c>
      <c r="H27" s="26">
        <f ca="1">46.5*OFFSET(H$108,MATCH($M$1,$C$109:$C$110,0),0)</f>
        <v>41.93277067206084</v>
      </c>
      <c r="I27" s="26">
        <f ca="1">42.9*OFFSET(I$108,MATCH($M$1,$C$109:$C$110,0),0)</f>
        <v>39.913730480206972</v>
      </c>
      <c r="J27" s="26">
        <f ca="1">61.9*OFFSET(J$108,MATCH($M$1,$C$109:$C$110,0),0)</f>
        <v>58.814903535783301</v>
      </c>
      <c r="K27" s="26">
        <f ca="1">57.5*OFFSET(K$108,MATCH($M$1,$C$109:$C$110,0),0)</f>
        <v>55.541549457178718</v>
      </c>
      <c r="L27" s="26">
        <f ca="1">50.4*OFFSET(L$108,MATCH($M$1,$C$109:$C$110,0),0)</f>
        <v>49.554791128334102</v>
      </c>
      <c r="M27" s="27">
        <f ca="1">42.4*OFFSET(M$108,MATCH($M$1,$C$109:$C$110,0),0)</f>
        <v>42.399999835269504</v>
      </c>
      <c r="N27" s="24">
        <f t="shared" ca="1" si="0"/>
        <v>0.71601507357978156</v>
      </c>
      <c r="O27" s="24">
        <f t="shared" ca="1" si="1"/>
        <v>0.18176763266806256</v>
      </c>
    </row>
    <row r="28" spans="1:15" s="19" customFormat="1" ht="18" customHeight="1" x14ac:dyDescent="0.2">
      <c r="A28" s="148"/>
      <c r="B28" s="33" t="s">
        <v>36</v>
      </c>
      <c r="C28" s="25"/>
      <c r="D28" s="26">
        <f ca="1">54*OFFSET(D$108,MATCH($M$1,$C$109:$C$110,0),0)</f>
        <v>43.926839606478104</v>
      </c>
      <c r="E28" s="26">
        <f ca="1">60.4*OFFSET(E$108,MATCH($M$1,$C$109:$C$110,0),0)</f>
        <v>50.453928160082697</v>
      </c>
      <c r="F28" s="26">
        <f ca="1">66*OFFSET(F$108,MATCH($M$1,$C$109:$C$110,0),0)</f>
        <v>56.715118531613953</v>
      </c>
      <c r="G28" s="26">
        <f ca="1">52.4*OFFSET(G$108,MATCH($M$1,$C$109:$C$110,0),0)</f>
        <v>46.335748617516316</v>
      </c>
      <c r="H28" s="26">
        <f ca="1">46.1*OFFSET(H$108,MATCH($M$1,$C$109:$C$110,0),0)</f>
        <v>41.572058666279673</v>
      </c>
      <c r="I28" s="26">
        <f ca="1">42.2*OFFSET(I$108,MATCH($M$1,$C$109:$C$110,0),0)</f>
        <v>39.262457488688447</v>
      </c>
      <c r="J28" s="26">
        <f ca="1">66.1*OFFSET(J$108,MATCH($M$1,$C$109:$C$110,0),0)</f>
        <v>62.805575504285564</v>
      </c>
      <c r="K28" s="26">
        <f ca="1">53.5*OFFSET(K$108,MATCH($M$1,$C$109:$C$110,0),0)</f>
        <v>51.6777894949402</v>
      </c>
      <c r="L28" s="26">
        <f ca="1">39*OFFSET(L$108,MATCH($M$1,$C$109:$C$110,0),0)</f>
        <v>38.345969325496633</v>
      </c>
      <c r="M28" s="27">
        <f ca="1">56.3*OFFSET(M$108,MATCH($M$1,$C$109:$C$110,0),0)</f>
        <v>56.299999781265875</v>
      </c>
      <c r="N28" s="24">
        <f t="shared" ca="1" si="0"/>
        <v>-0.12704921025455321</v>
      </c>
      <c r="O28" s="24">
        <f t="shared" ca="1" si="1"/>
        <v>-7.7602347448812239E-2</v>
      </c>
    </row>
    <row r="29" spans="1:15" s="19" customFormat="1" ht="18" customHeight="1" x14ac:dyDescent="0.2">
      <c r="A29" s="148"/>
      <c r="B29" s="33" t="s">
        <v>37</v>
      </c>
      <c r="C29" s="25"/>
      <c r="D29" s="26">
        <f ca="1">35.4*OFFSET(D$108,MATCH($M$1,$C$109:$C$110,0),0)</f>
        <v>28.796483742024535</v>
      </c>
      <c r="E29" s="26">
        <f ca="1">36.5*OFFSET(E$108,MATCH($M$1,$C$109:$C$110,0),0)</f>
        <v>30.489542679520174</v>
      </c>
      <c r="F29" s="26">
        <f ca="1">33.3*OFFSET(F$108,MATCH($M$1,$C$109:$C$110,0),0)</f>
        <v>28.615355259132492</v>
      </c>
      <c r="G29" s="26">
        <f ca="1">30.9*OFFSET(G$108,MATCH($M$1,$C$109:$C$110,0),0)</f>
        <v>27.323943364146071</v>
      </c>
      <c r="H29" s="26">
        <f ca="1">31.3*OFFSET(H$108,MATCH($M$1,$C$109:$C$110,0),0)</f>
        <v>28.225714452376437</v>
      </c>
      <c r="I29" s="26">
        <f ca="1">29.6*OFFSET(I$108,MATCH($M$1,$C$109:$C$110,0),0)</f>
        <v>27.539543641354928</v>
      </c>
      <c r="J29" s="26">
        <f ca="1">35.9*OFFSET(J$108,MATCH($M$1,$C$109:$C$110,0),0)</f>
        <v>34.110743730769315</v>
      </c>
      <c r="K29" s="26">
        <f ca="1">39.6*OFFSET(K$108,MATCH($M$1,$C$109:$C$110,0),0)</f>
        <v>38.251223626161341</v>
      </c>
      <c r="L29" s="26">
        <f ca="1">30.4*OFFSET(L$108,MATCH($M$1,$C$109:$C$110,0),0)</f>
        <v>29.890191474233269</v>
      </c>
      <c r="M29" s="27">
        <f ca="1">36.2*OFFSET(M$108,MATCH($M$1,$C$109:$C$110,0),0)</f>
        <v>36.199999859357455</v>
      </c>
      <c r="N29" s="24">
        <f t="shared" ca="1" si="0"/>
        <v>3.798060006238254E-2</v>
      </c>
      <c r="O29" s="24">
        <f t="shared" ca="1" si="1"/>
        <v>5.8970235267745134E-2</v>
      </c>
    </row>
    <row r="30" spans="1:15" s="19" customFormat="1" ht="18" customHeight="1" x14ac:dyDescent="0.2">
      <c r="A30" s="148"/>
      <c r="B30" s="33" t="s">
        <v>38</v>
      </c>
      <c r="C30" s="25"/>
      <c r="D30" s="26">
        <f ca="1">124.9*OFFSET(D$108,MATCH($M$1,$C$109:$C$110,0),0)</f>
        <v>101.60115308979844</v>
      </c>
      <c r="E30" s="26">
        <f ca="1">136.1*OFFSET(E$108,MATCH($M$1,$C$109:$C$110,0),0)</f>
        <v>113.68840434747111</v>
      </c>
      <c r="F30" s="26">
        <f ca="1">137.2*OFFSET(F$108,MATCH($M$1,$C$109:$C$110,0),0)</f>
        <v>117.89870094753687</v>
      </c>
      <c r="G30" s="26">
        <f ca="1">137.7*OFFSET(G$108,MATCH($M$1,$C$109:$C$110,0),0)</f>
        <v>121.76398062274802</v>
      </c>
      <c r="H30" s="26">
        <f ca="1">124*OFFSET(H$108,MATCH($M$1,$C$109:$C$110,0),0)</f>
        <v>111.82072179216225</v>
      </c>
      <c r="I30" s="26">
        <f ca="1">114.7*OFFSET(I$108,MATCH($M$1,$C$109:$C$110,0),0)</f>
        <v>106.71573161025034</v>
      </c>
      <c r="J30" s="26">
        <f ca="1">163.9*OFFSET(J$108,MATCH($M$1,$C$109:$C$110,0),0)</f>
        <v>155.7312227708382</v>
      </c>
      <c r="K30" s="26">
        <f ca="1">150.7*OFFSET(K$108,MATCH($M$1,$C$109:$C$110,0),0)</f>
        <v>145.56715657733622</v>
      </c>
      <c r="L30" s="26">
        <f ca="1">119.9*OFFSET(L$108,MATCH($M$1,$C$109:$C$110,0),0)</f>
        <v>117.88927492633452</v>
      </c>
      <c r="M30" s="27">
        <f ca="1">134.9*OFFSET(M$108,MATCH($M$1,$C$109:$C$110,0),0)</f>
        <v>134.89999947589283</v>
      </c>
      <c r="N30" s="24">
        <f t="shared" ca="1" si="0"/>
        <v>0.1603143403514338</v>
      </c>
      <c r="O30" s="24">
        <f t="shared" ca="1" si="1"/>
        <v>5.4270380631701795E-2</v>
      </c>
    </row>
    <row r="31" spans="1:15" s="19" customFormat="1" ht="18" customHeight="1" x14ac:dyDescent="0.2">
      <c r="A31" s="148"/>
      <c r="B31" s="33" t="s">
        <v>39</v>
      </c>
      <c r="C31" s="25"/>
      <c r="D31" s="26">
        <f ca="1">38.2*OFFSET(D$108,MATCH($M$1,$C$109:$C$110,0),0)</f>
        <v>31.074171721619699</v>
      </c>
      <c r="E31" s="26">
        <f ca="1">51.5*OFFSET(E$108,MATCH($M$1,$C$109:$C$110,0),0)</f>
        <v>43.019491725898327</v>
      </c>
      <c r="F31" s="26">
        <f ca="1">51.5*OFFSET(F$108,MATCH($M$1,$C$109:$C$110,0),0)</f>
        <v>44.254978854213917</v>
      </c>
      <c r="G31" s="26">
        <f ca="1">50.8*OFFSET(G$108,MATCH($M$1,$C$109:$C$110,0),0)</f>
        <v>44.92091659866086</v>
      </c>
      <c r="H31" s="26">
        <f ca="1">56.1*OFFSET(H$108,MATCH($M$1,$C$109:$C$110,0),0)</f>
        <v>50.589858810808884</v>
      </c>
      <c r="I31" s="26">
        <f ca="1">50.7*OFFSET(I$108,MATCH($M$1,$C$109:$C$110,0),0)</f>
        <v>47.170772385699152</v>
      </c>
      <c r="J31" s="26">
        <f ca="1">58.6*OFFSET(J$108,MATCH($M$1,$C$109:$C$110,0),0)</f>
        <v>55.679375560531533</v>
      </c>
      <c r="K31" s="26">
        <f ca="1">43.3*OFFSET(K$108,MATCH($M$1,$C$109:$C$110,0),0)</f>
        <v>41.825201591231973</v>
      </c>
      <c r="L31" s="26">
        <f ca="1">45*OFFSET(L$108,MATCH($M$1,$C$109:$C$110,0),0)</f>
        <v>44.245349221726883</v>
      </c>
      <c r="M31" s="27">
        <f ca="1">53.5*OFFSET(M$108,MATCH($M$1,$C$109:$C$110,0),0)</f>
        <v>53.499999792144301</v>
      </c>
      <c r="N31" s="24">
        <f t="shared" ca="1" si="0"/>
        <v>0.42386254469152607</v>
      </c>
      <c r="O31" s="24">
        <f t="shared" ca="1" si="1"/>
        <v>-0.12541069965837603</v>
      </c>
    </row>
    <row r="32" spans="1:15" s="19" customFormat="1" ht="18" customHeight="1" x14ac:dyDescent="0.2">
      <c r="A32" s="148"/>
      <c r="B32" s="33" t="s">
        <v>40</v>
      </c>
      <c r="C32" s="25"/>
      <c r="D32" s="26">
        <f ca="1">163.2*OFFSET(D$108,MATCH($M$1,$C$109:$C$110,0),0)</f>
        <v>132.75667081068937</v>
      </c>
      <c r="E32" s="26">
        <f ca="1">187.6*OFFSET(E$108,MATCH($M$1,$C$109:$C$110,0),0)</f>
        <v>156.70789607336943</v>
      </c>
      <c r="F32" s="26">
        <f ca="1">188.7*OFFSET(F$108,MATCH($M$1,$C$109:$C$110,0),0)</f>
        <v>162.1536798017508</v>
      </c>
      <c r="G32" s="26">
        <f ca="1">188.5*OFFSET(G$108,MATCH($M$1,$C$109:$C$110,0),0)</f>
        <v>166.6848972214089</v>
      </c>
      <c r="H32" s="26">
        <f ca="1">180*OFFSET(H$108,MATCH($M$1,$C$109:$C$110,0),0)</f>
        <v>162.32040260152584</v>
      </c>
      <c r="I32" s="26">
        <f ca="1">165.4*OFFSET(I$108,MATCH($M$1,$C$109:$C$110,0),0)</f>
        <v>153.88650399594948</v>
      </c>
      <c r="J32" s="26">
        <f ca="1">222.5*OFFSET(J$108,MATCH($M$1,$C$109:$C$110,0),0)</f>
        <v>211.41059833136973</v>
      </c>
      <c r="K32" s="26">
        <f ca="1">193.9*OFFSET(K$108,MATCH($M$1,$C$109:$C$110,0),0)</f>
        <v>187.29576416951224</v>
      </c>
      <c r="L32" s="26">
        <f ca="1">164.8*OFFSET(L$108,MATCH($M$1,$C$109:$C$110,0),0)</f>
        <v>162.03630114979089</v>
      </c>
      <c r="M32" s="27">
        <f ca="1">188.3*OFFSET(M$108,MATCH($M$1,$C$109:$C$110,0),0)</f>
        <v>188.29999926842567</v>
      </c>
      <c r="N32" s="24">
        <f t="shared" ca="1" si="0"/>
        <v>0.220551104214222</v>
      </c>
      <c r="O32" s="24">
        <f t="shared" ca="1" si="1"/>
        <v>-1.7502510293323061E-3</v>
      </c>
    </row>
    <row r="33" spans="1:15" s="19" customFormat="1" ht="18" customHeight="1" x14ac:dyDescent="0.2">
      <c r="A33" s="148"/>
      <c r="B33" s="45" t="s">
        <v>41</v>
      </c>
      <c r="C33" s="46"/>
      <c r="D33" s="47">
        <f ca="1">79.6*OFFSET(D$108,MATCH($M$1,$C$109:$C$110,0),0)</f>
        <v>64.751415419919581</v>
      </c>
      <c r="E33" s="47">
        <f ca="1">96.7*OFFSET(E$108,MATCH($M$1,$C$109:$C$110,0),0)</f>
        <v>80.776404852317839</v>
      </c>
      <c r="F33" s="47">
        <f ca="1">97.7*OFFSET(F$108,MATCH($M$1,$C$109:$C$110,0),0)</f>
        <v>83.955561826343683</v>
      </c>
      <c r="G33" s="47">
        <f ca="1">61.7*OFFSET(G$108,MATCH($M$1,$C$109:$C$110,0),0)</f>
        <v>54.559459727113683</v>
      </c>
      <c r="H33" s="47">
        <f ca="1">62.1*OFFSET(H$108,MATCH($M$1,$C$109:$C$110,0),0)</f>
        <v>56.000538897526418</v>
      </c>
      <c r="I33" s="47">
        <f ca="1">48.6*OFFSET(I$108,MATCH($M$1,$C$109:$C$110,0),0)</f>
        <v>45.216953411143564</v>
      </c>
      <c r="J33" s="47">
        <f ca="1">111.6*OFFSET(J$108,MATCH($M$1,$C$109:$C$110,0),0)</f>
        <v>106.03785516306004</v>
      </c>
      <c r="K33" s="47">
        <f ca="1">86.7*OFFSET(K$108,MATCH($M$1,$C$109:$C$110,0),0)</f>
        <v>83.746997181519916</v>
      </c>
      <c r="L33" s="47">
        <f ca="1">51.2*OFFSET(L$108,MATCH($M$1,$C$109:$C$110,0),0)</f>
        <v>50.341375114498142</v>
      </c>
      <c r="M33" s="48">
        <f ca="1">78.4*OFFSET(M$108,MATCH($M$1,$C$109:$C$110,0),0)</f>
        <v>78.399999695403991</v>
      </c>
      <c r="N33" s="49">
        <f t="shared" ca="1" si="0"/>
        <v>-0.22254402026536174</v>
      </c>
      <c r="O33" s="49">
        <f t="shared" ca="1" si="1"/>
        <v>-0.10105552365100982</v>
      </c>
    </row>
    <row r="34" spans="1:15" s="19" customFormat="1" ht="18" customHeight="1" x14ac:dyDescent="0.2">
      <c r="A34" s="148"/>
      <c r="B34" s="45" t="s">
        <v>42</v>
      </c>
      <c r="C34" s="46"/>
      <c r="D34" s="47">
        <f ca="1">25.6*OFFSET(D$108,MATCH($M$1,$C$109:$C$110,0),0)</f>
        <v>20.824575813441474</v>
      </c>
      <c r="E34" s="47">
        <f ca="1">36.3*OFFSET(E$108,MATCH($M$1,$C$109:$C$110,0),0)</f>
        <v>30.322476692235131</v>
      </c>
      <c r="F34" s="47">
        <f ca="1">31.7*OFFSET(F$108,MATCH($M$1,$C$109:$C$110,0),0)</f>
        <v>27.240443294729729</v>
      </c>
      <c r="G34" s="47">
        <f ca="1">9.3*OFFSET(G$108,MATCH($M$1,$C$109:$C$110,0),0)</f>
        <v>8.2237111095973621</v>
      </c>
      <c r="H34" s="47">
        <f ca="1">16*OFFSET(H$108,MATCH($M$1,$C$109:$C$110,0),0)</f>
        <v>14.428480231246741</v>
      </c>
      <c r="I34" s="47">
        <f ca="1">6.4*OFFSET(I$108,MATCH($M$1,$C$109:$C$110,0),0)</f>
        <v>5.9544959224551199</v>
      </c>
      <c r="J34" s="47">
        <f ca="1">45.5*OFFSET(J$108,MATCH($M$1,$C$109:$C$110,0),0)</f>
        <v>43.23227965877448</v>
      </c>
      <c r="K34" s="47">
        <f ca="1">33.2*OFFSET(K$108,MATCH($M$1,$C$109:$C$110,0),0)</f>
        <v>32.069207686579716</v>
      </c>
      <c r="L34" s="47">
        <f ca="1">12.2*OFFSET(L$108,MATCH($M$1,$C$109:$C$110,0),0)</f>
        <v>11.995405789001509</v>
      </c>
      <c r="M34" s="48">
        <f ca="1">22.1*OFFSET(M$108,MATCH($M$1,$C$109:$C$110,0),0)</f>
        <v>22.099999914138117</v>
      </c>
      <c r="N34" s="49">
        <f t="shared" ca="1" si="0"/>
        <v>-0.42397838513191083</v>
      </c>
      <c r="O34" s="49">
        <f t="shared" ca="1" si="1"/>
        <v>-0.16862998758359141</v>
      </c>
    </row>
    <row r="35" spans="1:15" s="19" customFormat="1" ht="18" customHeight="1" x14ac:dyDescent="0.2">
      <c r="A35" s="148"/>
      <c r="B35" s="33" t="s">
        <v>43</v>
      </c>
      <c r="C35" s="25"/>
      <c r="D35" s="26">
        <f ca="1">11.2*OFFSET(D$108,MATCH($M$1,$C$109:$C$110,0),0)</f>
        <v>9.1107519183806431</v>
      </c>
      <c r="E35" s="26">
        <f ca="1">4.7*OFFSET(E$108,MATCH($M$1,$C$109:$C$110,0),0)</f>
        <v>3.9260507011984882</v>
      </c>
      <c r="F35" s="26">
        <f ca="1">3.8*OFFSET(F$108,MATCH($M$1,$C$109:$C$110,0),0)</f>
        <v>3.2654159154565607</v>
      </c>
      <c r="G35" s="26">
        <f ca="1">9.1*OFFSET(G$108,MATCH($M$1,$C$109:$C$110,0),0)</f>
        <v>8.0468571072404291</v>
      </c>
      <c r="H35" s="26">
        <f ca="1">11.7*OFFSET(H$108,MATCH($M$1,$C$109:$C$110,0),0)</f>
        <v>10.55082616909918</v>
      </c>
      <c r="I35" s="26">
        <f ca="1">8.8*OFFSET(I$108,MATCH($M$1,$C$109:$C$110,0),0)</f>
        <v>8.1874318933757895</v>
      </c>
      <c r="J35" s="26">
        <f ca="1">6.9*OFFSET(J$108,MATCH($M$1,$C$109:$C$110,0),0)</f>
        <v>6.5561039482537131</v>
      </c>
      <c r="K35" s="26">
        <f ca="1">9.4*OFFSET(K$108,MATCH($M$1,$C$109:$C$110,0),0)</f>
        <v>9.0798359112605205</v>
      </c>
      <c r="L35" s="26">
        <f ca="1">4.6*OFFSET(L$108,MATCH($M$1,$C$109:$C$110,0),0)</f>
        <v>4.522857920443192</v>
      </c>
      <c r="M35" s="27"/>
      <c r="N35" s="24">
        <f t="shared" ca="1" si="0"/>
        <v>-0.50356919374366083</v>
      </c>
      <c r="O35" s="24">
        <f t="shared" ca="1" si="1"/>
        <v>-0.57132665746218525</v>
      </c>
    </row>
    <row r="36" spans="1:15" s="19" customFormat="1" ht="18" customHeight="1" x14ac:dyDescent="0.2">
      <c r="A36" s="148"/>
      <c r="B36" s="33" t="s">
        <v>44</v>
      </c>
      <c r="C36" s="25"/>
      <c r="D36" s="26">
        <f ca="1">4.6*OFFSET(D$108,MATCH($M$1,$C$109:$C$110,0),0)</f>
        <v>3.7419159664777641</v>
      </c>
      <c r="E36" s="26">
        <f ca="1">3.5*OFFSET(E$108,MATCH($M$1,$C$109:$C$110,0),0)</f>
        <v>2.923654777488236</v>
      </c>
      <c r="F36" s="26">
        <f ca="1">3.9*OFFSET(F$108,MATCH($M$1,$C$109:$C$110,0),0)</f>
        <v>3.3513479132317334</v>
      </c>
      <c r="G36" s="26">
        <f ca="1">6.9*OFFSET(G$108,MATCH($M$1,$C$109:$C$110,0),0)</f>
        <v>6.1014630813141721</v>
      </c>
      <c r="H36" s="26">
        <f ca="1">4.6*OFFSET(H$108,MATCH($M$1,$C$109:$C$110,0),0)</f>
        <v>4.1481880664834376</v>
      </c>
      <c r="I36" s="26">
        <f ca="1">2.7*OFFSET(I$108,MATCH($M$1,$C$109:$C$110,0),0)</f>
        <v>2.5120529672857534</v>
      </c>
      <c r="J36" s="26">
        <f ca="1">5.8*OFFSET(J$108,MATCH($M$1,$C$109:$C$110,0),0)</f>
        <v>5.5109279565031208</v>
      </c>
      <c r="K36" s="26">
        <f ca="1">2.5*OFFSET(K$108,MATCH($M$1,$C$109:$C$110,0),0)</f>
        <v>2.4148499763990747</v>
      </c>
      <c r="L36" s="26">
        <f ca="1">1.4*OFFSET(L$108,MATCH($M$1,$C$109:$C$110,0),0)</f>
        <v>1.3765219757870584</v>
      </c>
      <c r="M36" s="27"/>
      <c r="N36" s="24">
        <f t="shared" ca="1" si="0"/>
        <v>-0.63213444980626654</v>
      </c>
      <c r="O36" s="24">
        <f t="shared" ca="1" si="1"/>
        <v>-0.66816307416023601</v>
      </c>
    </row>
    <row r="37" spans="1:15" s="19" customFormat="1" ht="18" customHeight="1" x14ac:dyDescent="0.2">
      <c r="A37" s="148"/>
      <c r="B37" s="33" t="s">
        <v>45</v>
      </c>
      <c r="C37" s="25"/>
      <c r="D37" s="26"/>
      <c r="E37" s="26"/>
      <c r="F37" s="26"/>
      <c r="G37" s="26"/>
      <c r="H37" s="26">
        <f ca="1">2.8*OFFSET(H$108,MATCH($M$1,$C$109:$C$110,0),0)</f>
        <v>2.5249840404681794</v>
      </c>
      <c r="I37" s="26">
        <f ca="1">0.2*OFFSET(I$108,MATCH($M$1,$C$109:$C$110,0),0)</f>
        <v>0.1860779975767225</v>
      </c>
      <c r="J37" s="26">
        <f ca="1">0.9*OFFSET(J$108,MATCH($M$1,$C$109:$C$110,0),0)</f>
        <v>0.85514399325048429</v>
      </c>
      <c r="K37" s="26">
        <f ca="1">0.4*OFFSET(K$108,MATCH($M$1,$C$109:$C$110,0),0)</f>
        <v>0.38637599622385199</v>
      </c>
      <c r="L37" s="26">
        <f ca="1">4.4*OFFSET(L$108,MATCH($M$1,$C$109:$C$110,0),0)</f>
        <v>4.3262119239021839</v>
      </c>
      <c r="M37" s="27"/>
      <c r="N37" s="24" t="str">
        <f t="shared" ca="1" si="0"/>
        <v/>
      </c>
      <c r="O37" s="24">
        <f t="shared" ca="1" si="1"/>
        <v>0.71336208647878152</v>
      </c>
    </row>
    <row r="38" spans="1:15" s="19" customFormat="1" ht="18" customHeight="1" thickBot="1" x14ac:dyDescent="0.25">
      <c r="A38" s="149"/>
      <c r="B38" s="50" t="s">
        <v>46</v>
      </c>
      <c r="C38" s="51"/>
      <c r="D38" s="52">
        <f ca="1">9.8*OFFSET(D$108,MATCH($M$1,$C$109:$C$110,0),0)</f>
        <v>7.9719079285830645</v>
      </c>
      <c r="E38" s="52">
        <f ca="1">28.1*OFFSET(E$108,MATCH($M$1,$C$109:$C$110,0),0)</f>
        <v>23.472771213548409</v>
      </c>
      <c r="F38" s="52">
        <f ca="1">24*OFFSET(F$108,MATCH($M$1,$C$109:$C$110,0),0)</f>
        <v>20.623679466041438</v>
      </c>
      <c r="G38" s="52">
        <f ca="1">-6.8*OFFSET(G$108,MATCH($M$1,$C$109:$C$110,0),0)</f>
        <v>-6.0130360801357057</v>
      </c>
      <c r="H38" s="52">
        <f ca="1">-3.1*OFFSET(H$108,MATCH($M$1,$C$109:$C$110,0),0)</f>
        <v>-2.7955180448040564</v>
      </c>
      <c r="I38" s="52">
        <f ca="1">-5.4*OFFSET(I$108,MATCH($M$1,$C$109:$C$110,0),0)</f>
        <v>-5.0241059345715069</v>
      </c>
      <c r="J38" s="52">
        <f ca="1">31.9*OFFSET(J$108,MATCH($M$1,$C$109:$C$110,0),0)</f>
        <v>30.310103760767163</v>
      </c>
      <c r="K38" s="52">
        <f ca="1">20.9*OFFSET(K$108,MATCH($M$1,$C$109:$C$110,0),0)</f>
        <v>20.188145802696262</v>
      </c>
      <c r="L38" s="52">
        <f ca="1">1.7*OFFSET(L$108,MATCH($M$1,$C$109:$C$110,0),0)</f>
        <v>1.671490970598571</v>
      </c>
      <c r="M38" s="53"/>
      <c r="N38" s="54">
        <f t="shared" ca="1" si="0"/>
        <v>-0.79032736133272641</v>
      </c>
      <c r="O38" s="54" t="str">
        <f t="shared" ca="1" si="1"/>
        <v>na</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North Sea nephrops under 300kW</v>
      </c>
      <c r="C45" s="61"/>
      <c r="D45" s="61"/>
      <c r="E45" s="61"/>
      <c r="F45" s="61" t="str">
        <f>$B21&amp;CHAR(10)&amp;$A$1</f>
        <v>Income per kW day at sea (£)
North Sea nephrops under 300kW</v>
      </c>
      <c r="G45" s="61"/>
      <c r="K45" s="61" t="str">
        <f>$B23&amp;CHAR(10)&amp;$A$1</f>
        <v>Operating profit per kW day at sea (£)
North Sea nephrops under 300kW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North Sea nephrops under 300kW</v>
      </c>
      <c r="F59" s="61" t="str">
        <f>$B19&amp;CHAR(10)&amp;$A$1</f>
        <v>Average price per tonne landed (£)
North Sea nephrops under 300kW</v>
      </c>
      <c r="K59" s="61" t="str">
        <f>"Average annual operating profit per vessel (£'000)"&amp;CHAR(10)&amp;$A$1</f>
        <v>Average annual operating profit per vessel (£'000)
North Sea nephrops under 300kW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North Sea nephrops under 300kW</v>
      </c>
      <c r="F73" s="61" t="str">
        <f>"Top 5 landed species by value in "&amp;A74&amp;CHAR(10)&amp;A1</f>
        <v>Top 5 landed species by value in 2013
North Sea nephrops under 300kW</v>
      </c>
    </row>
    <row r="74" spans="1:9" s="61" customFormat="1" x14ac:dyDescent="0.2">
      <c r="A74" s="61">
        <v>2013</v>
      </c>
      <c r="B74" s="61" t="s">
        <v>273</v>
      </c>
      <c r="C74" s="62">
        <v>0.6953089034574107</v>
      </c>
      <c r="D74" s="63">
        <v>8211234</v>
      </c>
      <c r="G74" s="61" t="s">
        <v>274</v>
      </c>
      <c r="H74" s="62">
        <v>0.85137013323643163</v>
      </c>
      <c r="I74" s="63">
        <v>8211234</v>
      </c>
    </row>
    <row r="75" spans="1:9" s="61" customFormat="1" x14ac:dyDescent="0.2">
      <c r="B75" s="61" t="s">
        <v>275</v>
      </c>
      <c r="C75" s="62">
        <v>0.10150612076329683</v>
      </c>
      <c r="D75" s="63">
        <v>2171775</v>
      </c>
      <c r="G75" s="61" t="s">
        <v>276</v>
      </c>
      <c r="H75" s="62">
        <v>2.2762980473473898E-2</v>
      </c>
      <c r="I75" s="63">
        <v>2171775</v>
      </c>
    </row>
    <row r="76" spans="1:9" s="61" customFormat="1" x14ac:dyDescent="0.2">
      <c r="B76" s="61" t="s">
        <v>277</v>
      </c>
      <c r="C76" s="62">
        <v>6.8438960182721359E-2</v>
      </c>
      <c r="D76" s="63">
        <v>2783840</v>
      </c>
      <c r="G76" s="61" t="s">
        <v>278</v>
      </c>
      <c r="H76" s="62">
        <v>2.2739019360119905E-2</v>
      </c>
      <c r="I76" s="63">
        <v>2783840</v>
      </c>
    </row>
    <row r="77" spans="1:9" s="61" customFormat="1" x14ac:dyDescent="0.2">
      <c r="B77" s="61" t="s">
        <v>279</v>
      </c>
      <c r="C77" s="62">
        <v>3.2847211463735614E-2</v>
      </c>
      <c r="D77" s="63">
        <v>3511670</v>
      </c>
      <c r="G77" s="61" t="s">
        <v>280</v>
      </c>
      <c r="H77" s="62">
        <v>2.0327054257499109E-2</v>
      </c>
      <c r="I77" s="63">
        <v>6763595</v>
      </c>
    </row>
    <row r="78" spans="1:9" s="61" customFormat="1" x14ac:dyDescent="0.2">
      <c r="B78" s="61" t="s">
        <v>281</v>
      </c>
      <c r="C78" s="62">
        <v>1.7649726651489769E-2</v>
      </c>
      <c r="D78" s="63">
        <v>6763595</v>
      </c>
      <c r="G78" s="61" t="s">
        <v>282</v>
      </c>
      <c r="H78" s="62">
        <v>1.6470889789911028E-2</v>
      </c>
      <c r="I78" s="63">
        <v>2764187</v>
      </c>
    </row>
    <row r="79" spans="1:9" s="61" customFormat="1" x14ac:dyDescent="0.2">
      <c r="B79" s="61" t="s">
        <v>283</v>
      </c>
      <c r="C79" s="62">
        <v>8.4249077481345802E-2</v>
      </c>
      <c r="D79" s="63">
        <v>32768</v>
      </c>
      <c r="G79" s="61" t="s">
        <v>284</v>
      </c>
      <c r="H79" s="62">
        <v>6.6329922882564341E-2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60</v>
      </c>
      <c r="D88" s="66">
        <v>0.78223592167154243</v>
      </c>
      <c r="E88" s="66">
        <v>0.83564020619447876</v>
      </c>
      <c r="F88" s="66">
        <v>0.82473161983390331</v>
      </c>
      <c r="G88" s="66">
        <v>0.83632771298002684</v>
      </c>
      <c r="H88" s="66">
        <v>0.80723468602096327</v>
      </c>
      <c r="I88" s="66">
        <v>0.79526872297242213</v>
      </c>
      <c r="J88" s="66">
        <v>0.84149077591140098</v>
      </c>
      <c r="K88" s="66">
        <v>0.87345831897258441</v>
      </c>
      <c r="L88" s="66">
        <v>0.86589114614361717</v>
      </c>
      <c r="M88" s="66">
        <v>0.82006853989800987</v>
      </c>
      <c r="N88" s="61"/>
      <c r="O88" s="61">
        <v>8211234</v>
      </c>
    </row>
    <row r="89" spans="1:15" s="65" customFormat="1" hidden="1" x14ac:dyDescent="0.2">
      <c r="A89" s="61"/>
      <c r="B89" s="61">
        <v>2</v>
      </c>
      <c r="C89" s="61" t="s">
        <v>271</v>
      </c>
      <c r="D89" s="66">
        <v>2.7499795395161827E-2</v>
      </c>
      <c r="E89" s="66">
        <v>3.1649953808655679E-2</v>
      </c>
      <c r="F89" s="66">
        <v>3.2464191499594564E-2</v>
      </c>
      <c r="G89" s="66">
        <v>2.0794705475556494E-2</v>
      </c>
      <c r="H89" s="66">
        <v>2.0881913594376949E-2</v>
      </c>
      <c r="I89" s="66">
        <v>1.8868192784747915E-2</v>
      </c>
      <c r="J89" s="66">
        <v>2.0857359872043072E-2</v>
      </c>
      <c r="K89" s="66">
        <v>2.0548741066455808E-2</v>
      </c>
      <c r="L89" s="66">
        <v>2.3151227042571637E-2</v>
      </c>
      <c r="M89" s="66">
        <v>2.0419494712557565E-2</v>
      </c>
      <c r="N89" s="61"/>
      <c r="O89" s="61">
        <v>2171775</v>
      </c>
    </row>
    <row r="90" spans="1:15" s="65" customFormat="1" hidden="1" x14ac:dyDescent="0.2">
      <c r="A90" s="61"/>
      <c r="B90" s="61">
        <v>3</v>
      </c>
      <c r="C90" s="61" t="s">
        <v>64</v>
      </c>
      <c r="D90" s="66">
        <v>4.0663195008113467E-2</v>
      </c>
      <c r="E90" s="66">
        <v>3.082481468171868E-2</v>
      </c>
      <c r="F90" s="66">
        <v>2.6263452665911246E-2</v>
      </c>
      <c r="G90" s="66">
        <v>2.8448041225292944E-2</v>
      </c>
      <c r="H90" s="66">
        <v>4.6605760891771139E-2</v>
      </c>
      <c r="I90" s="66">
        <v>3.9446101612414207E-2</v>
      </c>
      <c r="J90" s="66">
        <v>3.0181199609964505E-2</v>
      </c>
      <c r="K90" s="66">
        <v>2.4991035062235878E-2</v>
      </c>
      <c r="L90" s="66">
        <v>2.3126857247232332E-2</v>
      </c>
      <c r="M90" s="66">
        <v>4.5016857850426049E-2</v>
      </c>
      <c r="N90" s="61"/>
      <c r="O90" s="61">
        <v>2783840</v>
      </c>
    </row>
    <row r="91" spans="1:15" s="65" customFormat="1" hidden="1" x14ac:dyDescent="0.2">
      <c r="A91" s="61"/>
      <c r="B91" s="61">
        <v>4</v>
      </c>
      <c r="C91" s="61" t="s">
        <v>82</v>
      </c>
      <c r="D91" s="66">
        <v>3.381509843934502E-2</v>
      </c>
      <c r="E91" s="66">
        <v>3.406821438262285E-2</v>
      </c>
      <c r="F91" s="66">
        <v>2.4283158170103254E-2</v>
      </c>
      <c r="G91" s="66">
        <v>3.9481107338168731E-2</v>
      </c>
      <c r="H91" s="66">
        <v>3.9664944733782632E-2</v>
      </c>
      <c r="I91" s="66">
        <v>4.9041921375158545E-2</v>
      </c>
      <c r="J91" s="66">
        <v>2.9887011565794895E-2</v>
      </c>
      <c r="K91" s="66">
        <v>1.9401602201514663E-2</v>
      </c>
      <c r="L91" s="66">
        <v>2.0673753543409151E-2</v>
      </c>
      <c r="M91" s="66">
        <v>2.2906749659487774E-2</v>
      </c>
      <c r="N91" s="61"/>
      <c r="O91" s="61">
        <v>6763595</v>
      </c>
    </row>
    <row r="92" spans="1:15" s="65" customFormat="1" hidden="1" x14ac:dyDescent="0.2">
      <c r="A92" s="61"/>
      <c r="B92" s="61">
        <v>5</v>
      </c>
      <c r="C92" s="61" t="s">
        <v>100</v>
      </c>
      <c r="D92" s="66">
        <v>4.0661906755428683E-2</v>
      </c>
      <c r="E92" s="66">
        <v>1.6467575250802328E-2</v>
      </c>
      <c r="F92" s="66">
        <v>3.7843082757907993E-2</v>
      </c>
      <c r="G92" s="66">
        <v>1.8265830701450186E-2</v>
      </c>
      <c r="H92" s="66">
        <v>2.8985535048885569E-2</v>
      </c>
      <c r="I92" s="66">
        <v>4.3331658675138704E-2</v>
      </c>
      <c r="J92" s="66">
        <v>2.0573395453104184E-2</v>
      </c>
      <c r="K92" s="66">
        <v>1.439647725036227E-2</v>
      </c>
      <c r="L92" s="66">
        <v>1.6751818135756241E-2</v>
      </c>
      <c r="M92" s="66">
        <v>2.4500276805542991E-2</v>
      </c>
      <c r="N92" s="61"/>
      <c r="O92" s="61">
        <v>2764187</v>
      </c>
    </row>
    <row r="93" spans="1:15" s="65" customFormat="1" hidden="1" x14ac:dyDescent="0.2">
      <c r="A93" s="61"/>
      <c r="B93" s="61">
        <v>6</v>
      </c>
      <c r="C93" s="61" t="s">
        <v>68</v>
      </c>
      <c r="D93" s="66">
        <v>7.5124082730408617E-2</v>
      </c>
      <c r="E93" s="66">
        <v>5.1349235681721714E-2</v>
      </c>
      <c r="F93" s="66">
        <v>5.4414495072579637E-2</v>
      </c>
      <c r="G93" s="66">
        <v>5.6682602279504835E-2</v>
      </c>
      <c r="H93" s="66">
        <v>5.6627159710220476E-2</v>
      </c>
      <c r="I93" s="66">
        <v>5.4043402580118499E-2</v>
      </c>
      <c r="J93" s="66">
        <v>5.7010257587692383E-2</v>
      </c>
      <c r="K93" s="66">
        <v>4.7203825446847009E-2</v>
      </c>
      <c r="L93" s="66">
        <v>5.0405197887413412E-2</v>
      </c>
      <c r="M93" s="66">
        <v>6.7088081073975778E-2</v>
      </c>
      <c r="N93" s="61"/>
      <c r="O93" s="61">
        <v>32768</v>
      </c>
    </row>
    <row r="94" spans="1:15" s="65" customFormat="1" hidden="1" x14ac:dyDescent="0.2">
      <c r="A94" s="61"/>
      <c r="B94" s="61">
        <v>7</v>
      </c>
      <c r="C94" s="61"/>
      <c r="D94" s="66"/>
      <c r="E94" s="66"/>
      <c r="F94" s="66"/>
      <c r="G94" s="66"/>
      <c r="H94" s="66"/>
      <c r="I94" s="66"/>
      <c r="J94" s="66"/>
      <c r="K94" s="66"/>
      <c r="L94" s="66"/>
      <c r="M94" s="66"/>
      <c r="N94" s="61"/>
      <c r="O94" s="61">
        <v>1464488</v>
      </c>
    </row>
    <row r="95" spans="1:15" s="65" customFormat="1" hidden="1" x14ac:dyDescent="0.2">
      <c r="A95" s="61"/>
      <c r="B95" s="61">
        <v>8</v>
      </c>
      <c r="C95" s="61"/>
      <c r="D95" s="66"/>
      <c r="E95" s="66"/>
      <c r="F95" s="66"/>
      <c r="G95" s="66"/>
      <c r="H95" s="66"/>
      <c r="I95" s="66"/>
      <c r="J95" s="66"/>
      <c r="K95" s="66"/>
      <c r="L95" s="66"/>
      <c r="M95" s="66"/>
      <c r="N95" s="61"/>
      <c r="O95" s="61">
        <v>8274269</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7</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'NS nephrops under 300kW'!D3:L3</xm:f>
              <xm:sqref>C3</xm:sqref>
            </x14:sparkline>
            <x14:sparkline>
              <xm:f>'NS nephrops under 300kW'!D4:L4</xm:f>
              <xm:sqref>C4</xm:sqref>
            </x14:sparkline>
            <x14:sparkline>
              <xm:f>'NS nephrops under 300kW'!D5:L5</xm:f>
              <xm:sqref>C5</xm:sqref>
            </x14:sparkline>
            <x14:sparkline>
              <xm:f>'NS nephrops under 300kW'!D6:L6</xm:f>
              <xm:sqref>C6</xm:sqref>
            </x14:sparkline>
            <x14:sparkline>
              <xm:f>'NS nephrops under 300kW'!D7:L7</xm:f>
              <xm:sqref>C7</xm:sqref>
            </x14:sparkline>
            <x14:sparkline>
              <xm:f>'NS nephrops under 300kW'!D8:L8</xm:f>
              <xm:sqref>C8</xm:sqref>
            </x14:sparkline>
            <x14:sparkline>
              <xm:f>'NS nephrops under 300kW'!D9:L9</xm:f>
              <xm:sqref>C9</xm:sqref>
            </x14:sparkline>
            <x14:sparkline>
              <xm:f>'NS nephrops under 300kW'!D10:L10</xm:f>
              <xm:sqref>C10</xm:sqref>
            </x14:sparkline>
            <x14:sparkline>
              <xm:f>'NS nephrops under 300kW'!D11:L11</xm:f>
              <xm:sqref>C11</xm:sqref>
            </x14:sparkline>
            <x14:sparkline>
              <xm:f>'NS nephrops under 300kW'!D12:L12</xm:f>
              <xm:sqref>C12</xm:sqref>
            </x14:sparkline>
            <x14:sparkline>
              <xm:f>'NS nephrops under 300kW'!D13:L13</xm:f>
              <xm:sqref>C13</xm:sqref>
            </x14:sparkline>
            <x14:sparkline>
              <xm:f>'NS nephrops under 300kW'!D14:L14</xm:f>
              <xm:sqref>C14</xm:sqref>
            </x14:sparkline>
            <x14:sparkline>
              <xm:f>'NS nephrops under 300kW'!D15:L15</xm:f>
              <xm:sqref>C15</xm:sqref>
            </x14:sparkline>
            <x14:sparkline>
              <xm:f>'NS nephrops under 300kW'!D16:L16</xm:f>
              <xm:sqref>C16</xm:sqref>
            </x14:sparkline>
            <x14:sparkline>
              <xm:f>'NS nephrops under 300kW'!D17:L17</xm:f>
              <xm:sqref>C17</xm:sqref>
            </x14:sparkline>
            <x14:sparkline>
              <xm:f>'NS nephrops under 300kW'!D18:L18</xm:f>
              <xm:sqref>C18</xm:sqref>
            </x14:sparkline>
            <x14:sparkline>
              <xm:f>'NS nephrops under 300kW'!D19:L19</xm:f>
              <xm:sqref>C19</xm:sqref>
            </x14:sparkline>
            <x14:sparkline>
              <xm:f>'NS nephrops under 300kW'!D20:L20</xm:f>
              <xm:sqref>C20</xm:sqref>
            </x14:sparkline>
            <x14:sparkline>
              <xm:f>'NS nephrops under 300kW'!D21:L21</xm:f>
              <xm:sqref>C21</xm:sqref>
            </x14:sparkline>
            <x14:sparkline>
              <xm:f>'NS nephrops under 300kW'!D22:L22</xm:f>
              <xm:sqref>C22</xm:sqref>
            </x14:sparkline>
            <x14:sparkline>
              <xm:f>'NS nephrops under 300kW'!D23:L23</xm:f>
              <xm:sqref>C23</xm:sqref>
            </x14:sparkline>
            <x14:sparkline>
              <xm:f>'NS nephrops under 300kW'!D24:L24</xm:f>
              <xm:sqref>C24</xm:sqref>
            </x14:sparkline>
            <x14:sparkline>
              <xm:f>'NS nephrops under 300kW'!D25:L25</xm:f>
              <xm:sqref>C25</xm:sqref>
            </x14:sparkline>
            <x14:sparkline>
              <xm:f>'NS nephrops under 300kW'!D26:L26</xm:f>
              <xm:sqref>C26</xm:sqref>
            </x14:sparkline>
            <x14:sparkline>
              <xm:f>'NS nephrops under 300kW'!D27:L27</xm:f>
              <xm:sqref>C27</xm:sqref>
            </x14:sparkline>
            <x14:sparkline>
              <xm:f>'NS nephrops under 300kW'!D28:L28</xm:f>
              <xm:sqref>C28</xm:sqref>
            </x14:sparkline>
            <x14:sparkline>
              <xm:f>'NS nephrops under 300kW'!D29:L29</xm:f>
              <xm:sqref>C29</xm:sqref>
            </x14:sparkline>
            <x14:sparkline>
              <xm:f>'NS nephrops under 300kW'!D30:L30</xm:f>
              <xm:sqref>C30</xm:sqref>
            </x14:sparkline>
            <x14:sparkline>
              <xm:f>'NS nephrops under 300kW'!D31:L31</xm:f>
              <xm:sqref>C31</xm:sqref>
            </x14:sparkline>
            <x14:sparkline>
              <xm:f>'NS nephrops under 300kW'!D32:L32</xm:f>
              <xm:sqref>C32</xm:sqref>
            </x14:sparkline>
            <x14:sparkline>
              <xm:f>'NS nephrops under 300kW'!D33:L33</xm:f>
              <xm:sqref>C33</xm:sqref>
            </x14:sparkline>
            <x14:sparkline>
              <xm:f>'NS nephrops under 300kW'!D34:L34</xm:f>
              <xm:sqref>C34</xm:sqref>
            </x14:sparkline>
            <x14:sparkline>
              <xm:f>'NS nephrops under 300kW'!D35:L35</xm:f>
              <xm:sqref>C35</xm:sqref>
            </x14:sparkline>
            <x14:sparkline>
              <xm:f>'NS nephrops under 300kW'!D36:L36</xm:f>
              <xm:sqref>C36</xm:sqref>
            </x14:sparkline>
            <x14:sparkline>
              <xm:f>'NS nephrops under 300kW'!D37:L37</xm:f>
              <xm:sqref>C37</xm:sqref>
            </x14:sparkline>
            <x14:sparkline>
              <xm:f>'NS nephrops under 300kW'!D38:L38</xm:f>
              <xm:sqref>C38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86"/>
  <sheetViews>
    <sheetView tabSelected="1" topLeftCell="A10" zoomScale="90" zoomScaleNormal="90" workbookViewId="0">
      <selection activeCell="A7" sqref="A7:C7"/>
    </sheetView>
  </sheetViews>
  <sheetFormatPr defaultColWidth="9" defaultRowHeight="12.75" x14ac:dyDescent="0.2"/>
  <cols>
    <col min="1" max="1" width="9" style="3"/>
    <col min="2" max="2" width="72.25" style="3" customWidth="1"/>
    <col min="3" max="16384" width="9" style="3"/>
  </cols>
  <sheetData>
    <row r="1" spans="1:4" ht="39.75" customHeight="1" thickBot="1" x14ac:dyDescent="0.25">
      <c r="B1" s="123" t="s">
        <v>611</v>
      </c>
      <c r="C1" s="119" t="s">
        <v>515</v>
      </c>
    </row>
    <row r="2" spans="1:4" ht="13.5" customHeight="1" x14ac:dyDescent="0.2">
      <c r="A2" s="128"/>
      <c r="B2" s="128"/>
      <c r="C2" s="128"/>
      <c r="D2" s="124"/>
    </row>
    <row r="3" spans="1:4" ht="64.5" customHeight="1" x14ac:dyDescent="0.2">
      <c r="A3" s="127" t="s">
        <v>612</v>
      </c>
      <c r="B3" s="127"/>
      <c r="C3" s="127"/>
    </row>
    <row r="4" spans="1:4" ht="15" x14ac:dyDescent="0.2">
      <c r="A4" s="125"/>
      <c r="B4" s="125"/>
      <c r="C4" s="125"/>
    </row>
    <row r="5" spans="1:4" ht="15" x14ac:dyDescent="0.2">
      <c r="A5" s="129" t="s">
        <v>613</v>
      </c>
      <c r="B5" s="129"/>
      <c r="C5" s="129"/>
    </row>
    <row r="6" spans="1:4" ht="15.75" customHeight="1" x14ac:dyDescent="0.2">
      <c r="A6" s="127" t="s">
        <v>614</v>
      </c>
      <c r="B6" s="127"/>
      <c r="C6" s="127"/>
    </row>
    <row r="7" spans="1:4" ht="30.75" customHeight="1" x14ac:dyDescent="0.2">
      <c r="A7" s="152" t="s">
        <v>635</v>
      </c>
      <c r="B7" s="127"/>
      <c r="C7" s="127"/>
    </row>
    <row r="8" spans="1:4" ht="25.5" customHeight="1" x14ac:dyDescent="0.2">
      <c r="A8" s="127" t="s">
        <v>615</v>
      </c>
      <c r="B8" s="127"/>
      <c r="C8" s="127"/>
    </row>
    <row r="9" spans="1:4" ht="25.5" customHeight="1" x14ac:dyDescent="0.2">
      <c r="A9" s="125"/>
      <c r="B9" s="125"/>
      <c r="C9" s="125"/>
    </row>
    <row r="10" spans="1:4" ht="15" x14ac:dyDescent="0.2">
      <c r="A10" s="125"/>
      <c r="B10" s="125"/>
      <c r="C10" s="125"/>
    </row>
    <row r="11" spans="1:4" x14ac:dyDescent="0.2">
      <c r="A11" s="130" t="s">
        <v>616</v>
      </c>
      <c r="B11" s="130"/>
      <c r="C11" s="130"/>
    </row>
    <row r="12" spans="1:4" ht="45" customHeight="1" x14ac:dyDescent="0.2">
      <c r="A12" s="127" t="s">
        <v>617</v>
      </c>
      <c r="B12" s="127"/>
      <c r="C12" s="127"/>
    </row>
    <row r="13" spans="1:4" x14ac:dyDescent="0.2">
      <c r="A13" s="128"/>
      <c r="B13" s="128"/>
      <c r="C13" s="128"/>
    </row>
    <row r="14" spans="1:4" ht="45" customHeight="1" x14ac:dyDescent="0.2">
      <c r="A14" s="127" t="s">
        <v>618</v>
      </c>
      <c r="B14" s="127"/>
      <c r="C14" s="127"/>
    </row>
    <row r="15" spans="1:4" x14ac:dyDescent="0.2">
      <c r="A15" s="128"/>
      <c r="B15" s="128"/>
      <c r="C15" s="128"/>
    </row>
    <row r="16" spans="1:4" ht="32.25" customHeight="1" x14ac:dyDescent="0.2">
      <c r="A16" s="127" t="s">
        <v>619</v>
      </c>
      <c r="B16" s="127"/>
      <c r="C16" s="127"/>
    </row>
    <row r="17" spans="1:3" x14ac:dyDescent="0.2">
      <c r="A17" s="128"/>
      <c r="B17" s="128"/>
      <c r="C17" s="128"/>
    </row>
    <row r="18" spans="1:3" ht="40.5" customHeight="1" x14ac:dyDescent="0.2">
      <c r="A18" s="127" t="s">
        <v>620</v>
      </c>
      <c r="B18" s="127"/>
      <c r="C18" s="127"/>
    </row>
    <row r="19" spans="1:3" x14ac:dyDescent="0.2">
      <c r="A19" s="128"/>
      <c r="B19" s="128"/>
      <c r="C19" s="128"/>
    </row>
    <row r="20" spans="1:3" ht="36.75" customHeight="1" x14ac:dyDescent="0.2">
      <c r="A20" s="127" t="s">
        <v>621</v>
      </c>
      <c r="B20" s="127"/>
      <c r="C20" s="127"/>
    </row>
    <row r="21" spans="1:3" x14ac:dyDescent="0.2">
      <c r="A21" s="128"/>
      <c r="B21" s="128"/>
      <c r="C21" s="128"/>
    </row>
    <row r="22" spans="1:3" ht="28.5" customHeight="1" x14ac:dyDescent="0.2">
      <c r="A22" s="132" t="s">
        <v>622</v>
      </c>
      <c r="B22" s="132"/>
      <c r="C22" s="132"/>
    </row>
    <row r="23" spans="1:3" x14ac:dyDescent="0.2">
      <c r="A23" s="128"/>
      <c r="B23" s="128"/>
      <c r="C23" s="128"/>
    </row>
    <row r="24" spans="1:3" ht="27.75" customHeight="1" x14ac:dyDescent="0.2">
      <c r="A24" s="132" t="s">
        <v>623</v>
      </c>
      <c r="B24" s="132"/>
      <c r="C24" s="132"/>
    </row>
    <row r="25" spans="1:3" x14ac:dyDescent="0.2">
      <c r="A25" s="128"/>
      <c r="B25" s="128"/>
      <c r="C25" s="128"/>
    </row>
    <row r="26" spans="1:3" ht="38.25" customHeight="1" x14ac:dyDescent="0.2">
      <c r="A26" s="132" t="s">
        <v>624</v>
      </c>
      <c r="B26" s="132"/>
      <c r="C26" s="132"/>
    </row>
    <row r="27" spans="1:3" x14ac:dyDescent="0.2">
      <c r="A27" s="128"/>
      <c r="B27" s="128"/>
      <c r="C27" s="128"/>
    </row>
    <row r="28" spans="1:3" ht="24" customHeight="1" x14ac:dyDescent="0.2">
      <c r="A28" s="131" t="s">
        <v>625</v>
      </c>
      <c r="B28" s="131"/>
      <c r="C28" s="131"/>
    </row>
    <row r="29" spans="1:3" ht="30.75" customHeight="1" x14ac:dyDescent="0.2">
      <c r="A29" s="153" t="s">
        <v>626</v>
      </c>
      <c r="B29" s="153"/>
      <c r="C29" s="153"/>
    </row>
    <row r="30" spans="1:3" ht="27.75" customHeight="1" x14ac:dyDescent="0.2">
      <c r="A30" s="133" t="s">
        <v>627</v>
      </c>
      <c r="B30" s="133"/>
      <c r="C30" s="133"/>
    </row>
    <row r="31" spans="1:3" ht="55.5" customHeight="1" x14ac:dyDescent="0.2">
      <c r="A31" s="131" t="s">
        <v>628</v>
      </c>
      <c r="B31" s="131"/>
      <c r="C31" s="131"/>
    </row>
    <row r="32" spans="1:3" ht="38.25" customHeight="1" x14ac:dyDescent="0.2">
      <c r="A32" s="131" t="s">
        <v>629</v>
      </c>
      <c r="B32" s="131"/>
      <c r="C32" s="131"/>
    </row>
    <row r="33" spans="1:3" ht="15" customHeight="1" x14ac:dyDescent="0.2">
      <c r="A33" s="128"/>
      <c r="B33" s="128"/>
      <c r="C33" s="128"/>
    </row>
    <row r="34" spans="1:3" ht="12.75" customHeight="1" x14ac:dyDescent="0.2">
      <c r="A34" s="132" t="s">
        <v>630</v>
      </c>
      <c r="B34" s="132"/>
      <c r="C34" s="132"/>
    </row>
    <row r="35" spans="1:3" x14ac:dyDescent="0.2">
      <c r="A35" s="128"/>
      <c r="B35" s="128"/>
      <c r="C35" s="128"/>
    </row>
    <row r="36" spans="1:3" ht="39" customHeight="1" x14ac:dyDescent="0.2">
      <c r="A36" s="152" t="s">
        <v>631</v>
      </c>
      <c r="B36" s="127"/>
      <c r="C36" s="127"/>
    </row>
    <row r="37" spans="1:3" x14ac:dyDescent="0.2">
      <c r="A37" s="128"/>
      <c r="B37" s="128"/>
      <c r="C37" s="128"/>
    </row>
    <row r="38" spans="1:3" x14ac:dyDescent="0.2">
      <c r="A38" s="128"/>
      <c r="B38" s="128"/>
      <c r="C38" s="128"/>
    </row>
    <row r="39" spans="1:3" ht="79.5" customHeight="1" x14ac:dyDescent="0.2">
      <c r="A39" s="127" t="s">
        <v>632</v>
      </c>
      <c r="B39" s="127"/>
      <c r="C39" s="127"/>
    </row>
    <row r="40" spans="1:3" x14ac:dyDescent="0.2">
      <c r="A40" s="128"/>
      <c r="B40" s="128"/>
      <c r="C40" s="128"/>
    </row>
    <row r="41" spans="1:3" ht="49.5" customHeight="1" x14ac:dyDescent="0.2">
      <c r="A41" s="127" t="s">
        <v>633</v>
      </c>
      <c r="B41" s="127"/>
      <c r="C41" s="127"/>
    </row>
    <row r="42" spans="1:3" x14ac:dyDescent="0.2">
      <c r="A42" s="134"/>
      <c r="B42" s="134"/>
      <c r="C42" s="134"/>
    </row>
    <row r="43" spans="1:3" x14ac:dyDescent="0.2">
      <c r="A43" s="128"/>
      <c r="B43" s="128"/>
      <c r="C43" s="128"/>
    </row>
    <row r="44" spans="1:3" x14ac:dyDescent="0.2">
      <c r="A44" s="128"/>
      <c r="B44" s="128"/>
      <c r="C44" s="128"/>
    </row>
    <row r="45" spans="1:3" x14ac:dyDescent="0.2">
      <c r="A45" s="128"/>
      <c r="B45" s="128"/>
      <c r="C45" s="128"/>
    </row>
    <row r="46" spans="1:3" x14ac:dyDescent="0.2">
      <c r="A46" s="128"/>
      <c r="B46" s="128"/>
      <c r="C46" s="128"/>
    </row>
    <row r="47" spans="1:3" x14ac:dyDescent="0.2">
      <c r="A47" s="128"/>
      <c r="B47" s="128"/>
      <c r="C47" s="128"/>
    </row>
    <row r="48" spans="1:3" x14ac:dyDescent="0.2">
      <c r="A48" s="128"/>
      <c r="B48" s="128"/>
      <c r="C48" s="128"/>
    </row>
    <row r="49" spans="1:3" x14ac:dyDescent="0.2">
      <c r="A49" s="128"/>
      <c r="B49" s="128"/>
      <c r="C49" s="128"/>
    </row>
    <row r="50" spans="1:3" x14ac:dyDescent="0.2">
      <c r="A50" s="128"/>
      <c r="B50" s="128"/>
      <c r="C50" s="128"/>
    </row>
    <row r="51" spans="1:3" x14ac:dyDescent="0.2">
      <c r="A51" s="128"/>
      <c r="B51" s="128"/>
      <c r="C51" s="128"/>
    </row>
    <row r="52" spans="1:3" x14ac:dyDescent="0.2">
      <c r="A52" s="128"/>
      <c r="B52" s="128"/>
      <c r="C52" s="128"/>
    </row>
    <row r="53" spans="1:3" x14ac:dyDescent="0.2">
      <c r="A53" s="128"/>
      <c r="B53" s="128"/>
      <c r="C53" s="128"/>
    </row>
    <row r="54" spans="1:3" x14ac:dyDescent="0.2">
      <c r="A54" s="128"/>
      <c r="B54" s="128"/>
      <c r="C54" s="128"/>
    </row>
    <row r="55" spans="1:3" x14ac:dyDescent="0.2">
      <c r="A55" s="128"/>
      <c r="B55" s="128"/>
      <c r="C55" s="128"/>
    </row>
    <row r="56" spans="1:3" x14ac:dyDescent="0.2">
      <c r="A56" s="128"/>
      <c r="B56" s="128"/>
      <c r="C56" s="128"/>
    </row>
    <row r="57" spans="1:3" x14ac:dyDescent="0.2">
      <c r="A57" s="128"/>
      <c r="B57" s="128"/>
      <c r="C57" s="128"/>
    </row>
    <row r="58" spans="1:3" x14ac:dyDescent="0.2">
      <c r="A58" s="128"/>
      <c r="B58" s="128"/>
      <c r="C58" s="128"/>
    </row>
    <row r="59" spans="1:3" x14ac:dyDescent="0.2">
      <c r="A59" s="128"/>
      <c r="B59" s="128"/>
      <c r="C59" s="128"/>
    </row>
    <row r="60" spans="1:3" x14ac:dyDescent="0.2">
      <c r="A60" s="128"/>
      <c r="B60" s="128"/>
      <c r="C60" s="128"/>
    </row>
    <row r="61" spans="1:3" x14ac:dyDescent="0.2">
      <c r="A61" s="128"/>
      <c r="B61" s="128"/>
      <c r="C61" s="128"/>
    </row>
    <row r="62" spans="1:3" x14ac:dyDescent="0.2">
      <c r="A62" s="128"/>
      <c r="B62" s="128"/>
      <c r="C62" s="128"/>
    </row>
    <row r="63" spans="1:3" x14ac:dyDescent="0.2">
      <c r="A63" s="128"/>
      <c r="B63" s="128"/>
      <c r="C63" s="128"/>
    </row>
    <row r="64" spans="1:3" x14ac:dyDescent="0.2">
      <c r="A64" s="128"/>
      <c r="B64" s="128"/>
      <c r="C64" s="128"/>
    </row>
    <row r="65" spans="1:3" x14ac:dyDescent="0.2">
      <c r="A65" s="128"/>
      <c r="B65" s="128"/>
      <c r="C65" s="128"/>
    </row>
    <row r="66" spans="1:3" x14ac:dyDescent="0.2">
      <c r="A66" s="128"/>
      <c r="B66" s="128"/>
      <c r="C66" s="128"/>
    </row>
    <row r="67" spans="1:3" x14ac:dyDescent="0.2">
      <c r="A67" s="128"/>
      <c r="B67" s="128"/>
      <c r="C67" s="128"/>
    </row>
    <row r="68" spans="1:3" x14ac:dyDescent="0.2">
      <c r="A68" s="128"/>
      <c r="B68" s="128"/>
      <c r="C68" s="128"/>
    </row>
    <row r="69" spans="1:3" x14ac:dyDescent="0.2">
      <c r="A69" s="128"/>
      <c r="B69" s="128"/>
      <c r="C69" s="128"/>
    </row>
    <row r="70" spans="1:3" x14ac:dyDescent="0.2">
      <c r="A70" s="128"/>
      <c r="B70" s="128"/>
      <c r="C70" s="128"/>
    </row>
    <row r="71" spans="1:3" x14ac:dyDescent="0.2">
      <c r="A71" s="128"/>
      <c r="B71" s="128"/>
      <c r="C71" s="128"/>
    </row>
    <row r="72" spans="1:3" x14ac:dyDescent="0.2">
      <c r="A72" s="128"/>
      <c r="B72" s="128"/>
      <c r="C72" s="128"/>
    </row>
    <row r="73" spans="1:3" x14ac:dyDescent="0.2">
      <c r="A73" s="128"/>
      <c r="B73" s="128"/>
      <c r="C73" s="128"/>
    </row>
    <row r="74" spans="1:3" x14ac:dyDescent="0.2">
      <c r="A74" s="128"/>
      <c r="B74" s="128"/>
      <c r="C74" s="128"/>
    </row>
    <row r="75" spans="1:3" x14ac:dyDescent="0.2">
      <c r="A75" s="128"/>
      <c r="B75" s="128"/>
      <c r="C75" s="128"/>
    </row>
    <row r="76" spans="1:3" x14ac:dyDescent="0.2">
      <c r="A76" s="128"/>
      <c r="B76" s="128"/>
      <c r="C76" s="128"/>
    </row>
    <row r="77" spans="1:3" x14ac:dyDescent="0.2">
      <c r="A77" s="128"/>
      <c r="B77" s="128"/>
      <c r="C77" s="128"/>
    </row>
    <row r="78" spans="1:3" x14ac:dyDescent="0.2">
      <c r="A78" s="128"/>
      <c r="B78" s="128"/>
      <c r="C78" s="128"/>
    </row>
    <row r="79" spans="1:3" x14ac:dyDescent="0.2">
      <c r="A79" s="128"/>
      <c r="B79" s="128"/>
      <c r="C79" s="128"/>
    </row>
    <row r="80" spans="1:3" x14ac:dyDescent="0.2">
      <c r="A80" s="128"/>
      <c r="B80" s="128"/>
      <c r="C80" s="128"/>
    </row>
    <row r="81" spans="1:3" x14ac:dyDescent="0.2">
      <c r="A81" s="128"/>
      <c r="B81" s="128"/>
      <c r="C81" s="128"/>
    </row>
    <row r="82" spans="1:3" x14ac:dyDescent="0.2">
      <c r="A82" s="128"/>
      <c r="B82" s="128"/>
      <c r="C82" s="128"/>
    </row>
    <row r="83" spans="1:3" x14ac:dyDescent="0.2">
      <c r="A83" s="128"/>
      <c r="B83" s="128"/>
      <c r="C83" s="128"/>
    </row>
    <row r="84" spans="1:3" x14ac:dyDescent="0.2">
      <c r="A84" s="128"/>
      <c r="B84" s="128"/>
      <c r="C84" s="128"/>
    </row>
    <row r="85" spans="1:3" x14ac:dyDescent="0.2">
      <c r="A85" s="128"/>
      <c r="B85" s="128"/>
      <c r="C85" s="128"/>
    </row>
    <row r="86" spans="1:3" x14ac:dyDescent="0.2">
      <c r="A86" s="128"/>
      <c r="B86" s="128"/>
      <c r="C86" s="128"/>
    </row>
  </sheetData>
  <mergeCells count="82">
    <mergeCell ref="A83:C83"/>
    <mergeCell ref="A84:C84"/>
    <mergeCell ref="A85:C85"/>
    <mergeCell ref="A86:C86"/>
    <mergeCell ref="A77:C77"/>
    <mergeCell ref="A78:C78"/>
    <mergeCell ref="A79:C79"/>
    <mergeCell ref="A80:C80"/>
    <mergeCell ref="A81:C81"/>
    <mergeCell ref="A82:C82"/>
    <mergeCell ref="A76:C76"/>
    <mergeCell ref="A65:C65"/>
    <mergeCell ref="A66:C66"/>
    <mergeCell ref="A67:C67"/>
    <mergeCell ref="A68:C68"/>
    <mergeCell ref="A69:C69"/>
    <mergeCell ref="A70:C70"/>
    <mergeCell ref="A71:C71"/>
    <mergeCell ref="A72:C72"/>
    <mergeCell ref="A73:C73"/>
    <mergeCell ref="A74:C74"/>
    <mergeCell ref="A75:C75"/>
    <mergeCell ref="A64:C64"/>
    <mergeCell ref="A53:C53"/>
    <mergeCell ref="A54:C54"/>
    <mergeCell ref="A55:C55"/>
    <mergeCell ref="A56:C56"/>
    <mergeCell ref="A57:C57"/>
    <mergeCell ref="A58:C58"/>
    <mergeCell ref="A59:C59"/>
    <mergeCell ref="A60:C60"/>
    <mergeCell ref="A61:C61"/>
    <mergeCell ref="A62:C62"/>
    <mergeCell ref="A63:C63"/>
    <mergeCell ref="A52:C52"/>
    <mergeCell ref="A41:C41"/>
    <mergeCell ref="A42:C42"/>
    <mergeCell ref="A43:C43"/>
    <mergeCell ref="A44:C44"/>
    <mergeCell ref="A45:C45"/>
    <mergeCell ref="A46:C46"/>
    <mergeCell ref="A47:C47"/>
    <mergeCell ref="A48:C48"/>
    <mergeCell ref="A49:C49"/>
    <mergeCell ref="A50:C50"/>
    <mergeCell ref="A51:C51"/>
    <mergeCell ref="A40:C40"/>
    <mergeCell ref="A29:C29"/>
    <mergeCell ref="A30:C30"/>
    <mergeCell ref="A31:C31"/>
    <mergeCell ref="A32:C32"/>
    <mergeCell ref="A33:C33"/>
    <mergeCell ref="A34:C34"/>
    <mergeCell ref="A35:C35"/>
    <mergeCell ref="A36:C36"/>
    <mergeCell ref="A37:C37"/>
    <mergeCell ref="A38:C38"/>
    <mergeCell ref="A39:C39"/>
    <mergeCell ref="A28:C28"/>
    <mergeCell ref="A17:C17"/>
    <mergeCell ref="A18:C18"/>
    <mergeCell ref="A19:C19"/>
    <mergeCell ref="A20:C20"/>
    <mergeCell ref="A21:C21"/>
    <mergeCell ref="A22:C22"/>
    <mergeCell ref="A23:C23"/>
    <mergeCell ref="A24:C24"/>
    <mergeCell ref="A25:C25"/>
    <mergeCell ref="A26:C26"/>
    <mergeCell ref="A27:C27"/>
    <mergeCell ref="A16:C16"/>
    <mergeCell ref="A2:C2"/>
    <mergeCell ref="A3:C3"/>
    <mergeCell ref="A5:C5"/>
    <mergeCell ref="A6:C6"/>
    <mergeCell ref="A7:C7"/>
    <mergeCell ref="A8:C8"/>
    <mergeCell ref="A11:C11"/>
    <mergeCell ref="A12:C12"/>
    <mergeCell ref="A13:C13"/>
    <mergeCell ref="A14:C14"/>
    <mergeCell ref="A15:C15"/>
  </mergeCells>
  <hyperlinks>
    <hyperlink ref="C1" location="Home_page" display="Back to_x000a_home page"/>
  </hyperlink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285</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43</v>
      </c>
      <c r="E3" s="16">
        <v>41</v>
      </c>
      <c r="F3" s="16">
        <v>42</v>
      </c>
      <c r="G3" s="16">
        <v>47</v>
      </c>
      <c r="H3" s="16">
        <v>49</v>
      </c>
      <c r="I3" s="16">
        <v>43</v>
      </c>
      <c r="J3" s="16">
        <v>42</v>
      </c>
      <c r="K3" s="16">
        <v>42</v>
      </c>
      <c r="L3" s="16">
        <v>40</v>
      </c>
      <c r="M3" s="17">
        <v>36</v>
      </c>
      <c r="N3" s="18">
        <f t="shared" ref="N3:N38" si="0">IF(L3=0,"",IFERROR(IF(AND(L3&gt;0,D3&lt;0),"na",IF(AND(L3&lt;0,D3&lt;0),-1,1)*(L3-D3)/D3),""))</f>
        <v>-6.9767441860465115E-2</v>
      </c>
      <c r="O3" s="18">
        <f t="shared" ref="O3:O38" si="1">IF(L3=0,"",IFERROR(IF(AND(L3&gt;0,H3&lt;0),"na",IF(AND(L3&lt;0,H3&lt;0),-1,1)*(L3-H3)/H3),""))</f>
        <v>-0.18367346938775511</v>
      </c>
    </row>
    <row r="4" spans="1:15" s="19" customFormat="1" ht="18" customHeight="1" x14ac:dyDescent="0.2">
      <c r="A4" s="141"/>
      <c r="B4" s="20" t="s">
        <v>20</v>
      </c>
      <c r="C4" s="21"/>
      <c r="D4" s="22">
        <v>37498.55078125</v>
      </c>
      <c r="E4" s="22">
        <v>39572.8984375</v>
      </c>
      <c r="F4" s="22">
        <v>39595.171875</v>
      </c>
      <c r="G4" s="22">
        <v>44639.171875</v>
      </c>
      <c r="H4" s="22">
        <v>43106.69921875</v>
      </c>
      <c r="I4" s="22">
        <v>39332.1015625</v>
      </c>
      <c r="J4" s="22">
        <v>39264.1015625</v>
      </c>
      <c r="K4" s="22">
        <v>38790.5703125</v>
      </c>
      <c r="L4" s="22">
        <v>33125.5703125</v>
      </c>
      <c r="M4" s="23">
        <v>30409.5703125</v>
      </c>
      <c r="N4" s="24">
        <f t="shared" si="0"/>
        <v>-0.11661731927348443</v>
      </c>
      <c r="O4" s="24">
        <f t="shared" si="1"/>
        <v>-0.23154472708753671</v>
      </c>
    </row>
    <row r="5" spans="1:15" s="19" customFormat="1" ht="18" customHeight="1" x14ac:dyDescent="0.2">
      <c r="A5" s="141"/>
      <c r="B5" s="20" t="s">
        <v>21</v>
      </c>
      <c r="C5" s="21"/>
      <c r="D5" s="22">
        <v>15306</v>
      </c>
      <c r="E5" s="22">
        <v>16409</v>
      </c>
      <c r="F5" s="22">
        <v>15870</v>
      </c>
      <c r="G5" s="22">
        <v>17931</v>
      </c>
      <c r="H5" s="22">
        <v>17569</v>
      </c>
      <c r="I5" s="22">
        <v>16430</v>
      </c>
      <c r="J5" s="22">
        <v>16035</v>
      </c>
      <c r="K5" s="22">
        <v>15642</v>
      </c>
      <c r="L5" s="22">
        <v>13988</v>
      </c>
      <c r="M5" s="23">
        <v>12534</v>
      </c>
      <c r="N5" s="24">
        <f t="shared" si="0"/>
        <v>-8.6110022213511037E-2</v>
      </c>
      <c r="O5" s="24">
        <f t="shared" si="1"/>
        <v>-0.20382491889122886</v>
      </c>
    </row>
    <row r="6" spans="1:15" s="19" customFormat="1" ht="18" customHeight="1" x14ac:dyDescent="0.2">
      <c r="A6" s="141"/>
      <c r="B6" s="20" t="s">
        <v>22</v>
      </c>
      <c r="C6" s="21"/>
      <c r="D6" s="22">
        <v>20520.03515625</v>
      </c>
      <c r="E6" s="22">
        <v>27836.330078125</v>
      </c>
      <c r="F6" s="22">
        <v>21964.89453125</v>
      </c>
      <c r="G6" s="22">
        <v>32234.458984375</v>
      </c>
      <c r="H6" s="22">
        <v>31914.478515625</v>
      </c>
      <c r="I6" s="22">
        <v>29074.83203125</v>
      </c>
      <c r="J6" s="22">
        <v>28669.0546875</v>
      </c>
      <c r="K6" s="22">
        <v>28251.947265625</v>
      </c>
      <c r="L6" s="22">
        <v>24746.525390625</v>
      </c>
      <c r="M6" s="23">
        <v>22449.134765625</v>
      </c>
      <c r="N6" s="24">
        <f t="shared" si="0"/>
        <v>0.20596895678746896</v>
      </c>
      <c r="O6" s="24">
        <f t="shared" si="1"/>
        <v>-0.22459878582978079</v>
      </c>
    </row>
    <row r="7" spans="1:15" s="19" customFormat="1" ht="18" customHeight="1" x14ac:dyDescent="0.2">
      <c r="A7" s="141"/>
      <c r="B7" s="20" t="s">
        <v>23</v>
      </c>
      <c r="C7" s="21"/>
      <c r="D7" s="22">
        <v>30845.185546875</v>
      </c>
      <c r="E7" s="22">
        <v>35858.609375</v>
      </c>
      <c r="F7" s="22">
        <v>36428.921875</v>
      </c>
      <c r="G7" s="22">
        <v>39762.5859375</v>
      </c>
      <c r="H7" s="22">
        <v>42151.04296875</v>
      </c>
      <c r="I7" s="22">
        <v>38692.3203125</v>
      </c>
      <c r="J7" s="22">
        <v>39165.20703125</v>
      </c>
      <c r="K7" s="22">
        <v>38756.03515625</v>
      </c>
      <c r="L7" s="22">
        <v>41752.99609375</v>
      </c>
      <c r="M7" s="23">
        <v>40532.6640625</v>
      </c>
      <c r="N7" s="24">
        <f t="shared" si="0"/>
        <v>0.3536308942054685</v>
      </c>
      <c r="O7" s="24">
        <f t="shared" si="1"/>
        <v>-9.4433458098558687E-3</v>
      </c>
    </row>
    <row r="8" spans="1:15" s="19" customFormat="1" ht="18" customHeight="1" x14ac:dyDescent="0.2">
      <c r="A8" s="141"/>
      <c r="B8" s="20" t="s">
        <v>24</v>
      </c>
      <c r="C8" s="25"/>
      <c r="D8" s="26">
        <f ca="1">47.532036*OFFSET(D$108,MATCH($M$1,$C$109:$C$110,0),0)</f>
        <v>38.665409658173019</v>
      </c>
      <c r="E8" s="26">
        <f ca="1">56.815932*OFFSET(E$108,MATCH($M$1,$C$109:$C$110,0),0)</f>
        <v>47.460048865499068</v>
      </c>
      <c r="F8" s="26">
        <f ca="1">61.278588*OFFSET(F$108,MATCH($M$1,$C$109:$C$110,0),0)</f>
        <v>52.657914876817216</v>
      </c>
      <c r="G8" s="26">
        <f ca="1">66.41594*OFFSET(G$108,MATCH($M$1,$C$109:$C$110,0),0)</f>
        <v>58.729624046489448</v>
      </c>
      <c r="H8" s="26">
        <f ca="1">67.992176*OFFSET(H$108,MATCH($M$1,$C$109:$C$110,0),0)</f>
        <v>61.313985455965572</v>
      </c>
      <c r="I8" s="26">
        <f ca="1">65.731664*OFFSET(I$108,MATCH($M$1,$C$109:$C$110,0),0)</f>
        <v>61.156082072529678</v>
      </c>
      <c r="J8" s="26">
        <f ca="1">70.37912*OFFSET(J$108,MATCH($M$1,$C$109:$C$110,0),0)</f>
        <v>66.871424131394463</v>
      </c>
      <c r="K8" s="26">
        <f ca="1">61.213028*OFFSET(K$108,MATCH($M$1,$C$109:$C$110,0),0)</f>
        <v>59.12811168844636</v>
      </c>
      <c r="L8" s="26">
        <f ca="1">62.06662*OFFSET(L$108,MATCH($M$1,$C$109:$C$110,0),0)</f>
        <v>61.025761709160399</v>
      </c>
      <c r="M8" s="27">
        <f ca="1">63.391804*OFFSET(M$108,MATCH($M$1,$C$109:$C$110,0),0)</f>
        <v>63.391803753713127</v>
      </c>
      <c r="N8" s="24">
        <f t="shared" ca="1" si="0"/>
        <v>0.57830376682071161</v>
      </c>
      <c r="O8" s="24">
        <f t="shared" ca="1" si="1"/>
        <v>-4.7007831029377304E-3</v>
      </c>
    </row>
    <row r="9" spans="1:15" s="19" customFormat="1" ht="18" customHeight="1" x14ac:dyDescent="0.2">
      <c r="A9" s="141"/>
      <c r="B9" s="20" t="s">
        <v>25</v>
      </c>
      <c r="C9" s="25"/>
      <c r="D9" s="22">
        <v>10475</v>
      </c>
      <c r="E9" s="22">
        <v>9800</v>
      </c>
      <c r="F9" s="22">
        <v>10139</v>
      </c>
      <c r="G9" s="22">
        <v>10425.5</v>
      </c>
      <c r="H9" s="22">
        <v>11212.5</v>
      </c>
      <c r="I9" s="22">
        <v>9720.5</v>
      </c>
      <c r="J9" s="22">
        <v>9219</v>
      </c>
      <c r="K9" s="22">
        <v>8345</v>
      </c>
      <c r="L9" s="22">
        <v>8027.83349609375</v>
      </c>
      <c r="M9" s="23">
        <v>7659.16650390625</v>
      </c>
      <c r="N9" s="24">
        <f t="shared" si="0"/>
        <v>-0.23361971397673031</v>
      </c>
      <c r="O9" s="24">
        <f t="shared" si="1"/>
        <v>-0.28402822777313269</v>
      </c>
    </row>
    <row r="10" spans="1:15" s="19" customFormat="1" ht="18" customHeight="1" x14ac:dyDescent="0.2">
      <c r="A10" s="142" t="s">
        <v>7</v>
      </c>
      <c r="B10" s="28" t="s">
        <v>26</v>
      </c>
      <c r="C10" s="29"/>
      <c r="D10" s="30">
        <v>29.571861267089844</v>
      </c>
      <c r="E10" s="30">
        <v>30.850975036621094</v>
      </c>
      <c r="F10" s="30">
        <v>30.883094787597656</v>
      </c>
      <c r="G10" s="30">
        <v>30.8634033203125</v>
      </c>
      <c r="H10" s="30">
        <v>29.932857513427734</v>
      </c>
      <c r="I10" s="30">
        <v>30.564884185791016</v>
      </c>
      <c r="J10" s="30">
        <v>30.242618560791016</v>
      </c>
      <c r="K10" s="30">
        <v>30.018095016479492</v>
      </c>
      <c r="L10" s="30">
        <v>29.421249389648437</v>
      </c>
      <c r="M10" s="31">
        <v>29.141387939453125</v>
      </c>
      <c r="N10" s="32">
        <f t="shared" si="0"/>
        <v>-5.093080752716108E-3</v>
      </c>
      <c r="O10" s="32">
        <f t="shared" si="1"/>
        <v>-1.7091857118879877E-2</v>
      </c>
    </row>
    <row r="11" spans="1:15" s="19" customFormat="1" ht="18" customHeight="1" x14ac:dyDescent="0.2">
      <c r="A11" s="143"/>
      <c r="B11" s="33" t="s">
        <v>20</v>
      </c>
      <c r="C11" s="21"/>
      <c r="D11" s="22">
        <v>872.059326171875</v>
      </c>
      <c r="E11" s="22">
        <v>965.19268798828125</v>
      </c>
      <c r="F11" s="22">
        <v>942.74212646484375</v>
      </c>
      <c r="G11" s="22">
        <v>949.76959228515625</v>
      </c>
      <c r="H11" s="22">
        <v>879.72857666015625</v>
      </c>
      <c r="I11" s="22">
        <v>914.70001220703125</v>
      </c>
      <c r="J11" s="22">
        <v>934.8594970703125</v>
      </c>
      <c r="K11" s="22">
        <v>923.58502197265625</v>
      </c>
      <c r="L11" s="22">
        <v>828.13922119140625</v>
      </c>
      <c r="M11" s="23">
        <v>844.71026611328125</v>
      </c>
      <c r="N11" s="24">
        <f t="shared" si="0"/>
        <v>-5.0363666395573291E-2</v>
      </c>
      <c r="O11" s="24">
        <f t="shared" si="1"/>
        <v>-5.864235496885449E-2</v>
      </c>
    </row>
    <row r="12" spans="1:15" s="19" customFormat="1" ht="18" customHeight="1" x14ac:dyDescent="0.2">
      <c r="A12" s="143"/>
      <c r="B12" s="33" t="s">
        <v>21</v>
      </c>
      <c r="C12" s="21"/>
      <c r="D12" s="22">
        <v>355.9534912109375</v>
      </c>
      <c r="E12" s="22">
        <v>400.21951293945312</v>
      </c>
      <c r="F12" s="22">
        <v>377.85714721679687</v>
      </c>
      <c r="G12" s="22">
        <v>381.51065063476562</v>
      </c>
      <c r="H12" s="22">
        <v>358.551025390625</v>
      </c>
      <c r="I12" s="22">
        <v>382.093017578125</v>
      </c>
      <c r="J12" s="22">
        <v>381.78570556640625</v>
      </c>
      <c r="K12" s="22">
        <v>372.42855834960937</v>
      </c>
      <c r="L12" s="22">
        <v>349.70001220703125</v>
      </c>
      <c r="M12" s="23">
        <v>348.16665649414062</v>
      </c>
      <c r="N12" s="24">
        <f t="shared" si="0"/>
        <v>-1.7568247420841978E-2</v>
      </c>
      <c r="O12" s="24">
        <f t="shared" si="1"/>
        <v>-2.4685505149374416E-2</v>
      </c>
    </row>
    <row r="13" spans="1:15" s="19" customFormat="1" ht="18" customHeight="1" x14ac:dyDescent="0.2">
      <c r="A13" s="143"/>
      <c r="B13" s="33" t="s">
        <v>22</v>
      </c>
      <c r="C13" s="21"/>
      <c r="D13" s="22">
        <v>477.21014404296875</v>
      </c>
      <c r="E13" s="22">
        <v>678.93487548828125</v>
      </c>
      <c r="F13" s="22">
        <v>522.97369384765625</v>
      </c>
      <c r="G13" s="22">
        <v>685.839599609375</v>
      </c>
      <c r="H13" s="22">
        <v>651.31591796875</v>
      </c>
      <c r="I13" s="22">
        <v>676.15887451171875</v>
      </c>
      <c r="J13" s="22">
        <v>682.5965576171875</v>
      </c>
      <c r="K13" s="22">
        <v>672.6654052734375</v>
      </c>
      <c r="L13" s="22">
        <v>618.66314697265625</v>
      </c>
      <c r="M13" s="23">
        <v>623.58709716796875</v>
      </c>
      <c r="N13" s="24">
        <f t="shared" si="0"/>
        <v>0.29641658857308545</v>
      </c>
      <c r="O13" s="24">
        <f t="shared" si="1"/>
        <v>-5.0133537497329253E-2</v>
      </c>
    </row>
    <row r="14" spans="1:15" s="19" customFormat="1" ht="18" customHeight="1" x14ac:dyDescent="0.2">
      <c r="A14" s="143"/>
      <c r="B14" s="33" t="s">
        <v>23</v>
      </c>
      <c r="C14" s="25"/>
      <c r="D14" s="26">
        <v>717.32989501953125</v>
      </c>
      <c r="E14" s="26">
        <v>874.60015869140625</v>
      </c>
      <c r="F14" s="26">
        <v>867.355224609375</v>
      </c>
      <c r="G14" s="26">
        <v>846.012451171875</v>
      </c>
      <c r="H14" s="26">
        <v>860.225341796875</v>
      </c>
      <c r="I14" s="26">
        <v>899.8214111328125</v>
      </c>
      <c r="J14" s="26">
        <v>932.5048828125</v>
      </c>
      <c r="K14" s="26">
        <v>922.7626953125</v>
      </c>
      <c r="L14" s="26">
        <v>1043.8248291015625</v>
      </c>
      <c r="M14" s="27">
        <v>1125.9073486328125</v>
      </c>
      <c r="N14" s="24">
        <f t="shared" si="0"/>
        <v>0.45515311204636405</v>
      </c>
      <c r="O14" s="24">
        <f t="shared" si="1"/>
        <v>0.21343185138114756</v>
      </c>
    </row>
    <row r="15" spans="1:15" s="19" customFormat="1" ht="18" customHeight="1" x14ac:dyDescent="0.2">
      <c r="A15" s="143"/>
      <c r="B15" s="33" t="s">
        <v>27</v>
      </c>
      <c r="C15" s="25"/>
      <c r="D15" s="26">
        <f ca="1">1105.39625*OFFSET(D$108,MATCH($M$1,$C$109:$C$110,0),0)</f>
        <v>899.19562546948839</v>
      </c>
      <c r="E15" s="26">
        <f ca="1">1385.754375*OFFSET(E$108,MATCH($M$1,$C$109:$C$110,0),0)</f>
        <v>1157.5621139697068</v>
      </c>
      <c r="F15" s="26">
        <f ca="1">1459.014*OFFSET(F$108,MATCH($M$1,$C$109:$C$110,0),0)</f>
        <v>1253.7598780194573</v>
      </c>
      <c r="G15" s="26">
        <f ca="1">1413.105125*OFFSET(G$108,MATCH($M$1,$C$109:$C$110,0),0)</f>
        <v>1249.5664855367172</v>
      </c>
      <c r="H15" s="26">
        <f ca="1">1387.5955*OFFSET(H$108,MATCH($M$1,$C$109:$C$110,0),0)</f>
        <v>1251.3058900448086</v>
      </c>
      <c r="I15" s="26">
        <f ca="1">1528.643375*OFFSET(I$108,MATCH($M$1,$C$109:$C$110,0),0)</f>
        <v>1422.2344911446144</v>
      </c>
      <c r="J15" s="26">
        <f ca="1">1675.69325*OFFSET(J$108,MATCH($M$1,$C$109:$C$110,0),0)</f>
        <v>1592.1766858532023</v>
      </c>
      <c r="K15" s="26">
        <f ca="1">1457.453125*OFFSET(K$108,MATCH($M$1,$C$109:$C$110,0),0)</f>
        <v>1407.812257803603</v>
      </c>
      <c r="L15" s="26">
        <f ca="1">1551.6655*OFFSET(L$108,MATCH($M$1,$C$109:$C$110,0),0)</f>
        <v>1525.6440427290102</v>
      </c>
      <c r="M15" s="27">
        <f ca="1">1760.8835*OFFSET(M$108,MATCH($M$1,$C$109:$C$110,0),0)</f>
        <v>1760.8834931586978</v>
      </c>
      <c r="N15" s="24">
        <f t="shared" ca="1" si="0"/>
        <v>0.69667645116983334</v>
      </c>
      <c r="O15" s="24">
        <f t="shared" ca="1" si="1"/>
        <v>0.21924147793660401</v>
      </c>
    </row>
    <row r="16" spans="1:15" s="19" customFormat="1" ht="18" customHeight="1" x14ac:dyDescent="0.2">
      <c r="A16" s="143"/>
      <c r="B16" s="33" t="s">
        <v>25</v>
      </c>
      <c r="C16" s="21"/>
      <c r="D16" s="22">
        <v>243.60464477539062</v>
      </c>
      <c r="E16" s="22">
        <v>239.02438354492187</v>
      </c>
      <c r="F16" s="22">
        <v>241.40475463867187</v>
      </c>
      <c r="G16" s="22">
        <v>221.81915283203125</v>
      </c>
      <c r="H16" s="22">
        <v>228.8265380859375</v>
      </c>
      <c r="I16" s="22">
        <v>226.05813598632812</v>
      </c>
      <c r="J16" s="22">
        <v>219.5</v>
      </c>
      <c r="K16" s="22">
        <v>198.69047546386719</v>
      </c>
      <c r="L16" s="22">
        <v>200.69583129882812</v>
      </c>
      <c r="M16" s="23">
        <v>212.75462341308594</v>
      </c>
      <c r="N16" s="24">
        <f t="shared" si="0"/>
        <v>-0.17614119597812047</v>
      </c>
      <c r="O16" s="24">
        <f t="shared" si="1"/>
        <v>-0.12293463434099011</v>
      </c>
    </row>
    <row r="17" spans="1:15" s="19" customFormat="1" ht="18" customHeight="1" x14ac:dyDescent="0.2">
      <c r="A17" s="143"/>
      <c r="B17" s="33" t="s">
        <v>28</v>
      </c>
      <c r="C17" s="21"/>
      <c r="D17" s="22">
        <v>13.558139801025391</v>
      </c>
      <c r="E17" s="22">
        <v>13.97560977935791</v>
      </c>
      <c r="F17" s="22">
        <v>15.142857551574707</v>
      </c>
      <c r="G17" s="22">
        <v>14.702127456665039</v>
      </c>
      <c r="H17" s="22">
        <v>15.346939086914063</v>
      </c>
      <c r="I17" s="22">
        <v>16.162790298461914</v>
      </c>
      <c r="J17" s="22">
        <v>16.690475463867188</v>
      </c>
      <c r="K17" s="22">
        <v>18.666666030883789</v>
      </c>
      <c r="L17" s="22">
        <v>19.850000381469727</v>
      </c>
      <c r="M17" s="23">
        <v>20.472221374511719</v>
      </c>
      <c r="N17" s="24">
        <f t="shared" si="0"/>
        <v>0.46406517949966025</v>
      </c>
      <c r="O17" s="24">
        <f t="shared" si="1"/>
        <v>0.2934175518032327</v>
      </c>
    </row>
    <row r="18" spans="1:15" s="19" customFormat="1" ht="18" customHeight="1" x14ac:dyDescent="0.2">
      <c r="A18" s="143"/>
      <c r="B18" s="33" t="s">
        <v>29</v>
      </c>
      <c r="C18" s="21"/>
      <c r="D18" s="34">
        <v>2.9446477890014648</v>
      </c>
      <c r="E18" s="34">
        <v>3.6590416431427002</v>
      </c>
      <c r="F18" s="34">
        <v>3.5929501056671143</v>
      </c>
      <c r="G18" s="34">
        <v>3.8139739036560059</v>
      </c>
      <c r="H18" s="34">
        <v>3.7592902183532715</v>
      </c>
      <c r="I18" s="34">
        <v>3.9804866313934326</v>
      </c>
      <c r="J18" s="34">
        <v>4.2483139038085938</v>
      </c>
      <c r="K18" s="34">
        <v>4.6442222595214844</v>
      </c>
      <c r="L18" s="34">
        <v>5.2010288238525391</v>
      </c>
      <c r="M18" s="35">
        <v>5.2920465469360352</v>
      </c>
      <c r="N18" s="24">
        <f t="shared" si="0"/>
        <v>0.76626516871690686</v>
      </c>
      <c r="O18" s="24">
        <f t="shared" si="1"/>
        <v>0.38351351498762715</v>
      </c>
    </row>
    <row r="19" spans="1:15" s="19" customFormat="1" ht="18" customHeight="1" x14ac:dyDescent="0.2">
      <c r="A19" s="144"/>
      <c r="B19" s="36" t="s">
        <v>8</v>
      </c>
      <c r="C19" s="37"/>
      <c r="D19" s="38">
        <f ca="1">1540.98719645457*OFFSET(D$108,MATCH($M$1,$C$109:$C$110,0),0)</f>
        <v>1253.531433598079</v>
      </c>
      <c r="E19" s="38">
        <f ca="1">1584.44326175156*OFFSET(E$108,MATCH($M$1,$C$109:$C$110,0),0)</f>
        <v>1323.5328891082834</v>
      </c>
      <c r="F19" s="38">
        <f ca="1">1682.14113528442*OFFSET(F$108,MATCH($M$1,$C$109:$C$110,0),0)</f>
        <v>1445.4974829478717</v>
      </c>
      <c r="G19" s="38">
        <f ca="1">1670.31239126134*OFFSET(G$108,MATCH($M$1,$C$109:$C$110,0),0)</f>
        <v>1477.007157904733</v>
      </c>
      <c r="H19" s="38">
        <f ca="1">1613.06034705732*OFFSET(H$108,MATCH($M$1,$C$109:$C$110,0),0)</f>
        <v>1454.6255830827845</v>
      </c>
      <c r="I19" s="38">
        <f ca="1">1698.82972820228*OFFSET(I$108,MATCH($M$1,$C$109:$C$110,0),0)</f>
        <v>1580.5741702384398</v>
      </c>
      <c r="J19" s="38">
        <f ca="1">1796.98067072247*OFFSET(J$108,MATCH($M$1,$C$109:$C$110,0),0)</f>
        <v>1707.419140617274</v>
      </c>
      <c r="K19" s="38">
        <f ca="1">1579.44505296302*OFFSET(K$108,MATCH($M$1,$C$109:$C$110,0),0)</f>
        <v>1525.6491395485536</v>
      </c>
      <c r="L19" s="38">
        <f ca="1">1486.51895209242*OFFSET(L$108,MATCH($M$1,$C$109:$C$110,0),0)</f>
        <v>1461.5900035565471</v>
      </c>
      <c r="M19" s="39">
        <f ca="1">1563.9683565396*OFFSET(M$108,MATCH($M$1,$C$109:$C$110,0),0)</f>
        <v>1563.9683504633435</v>
      </c>
      <c r="N19" s="40">
        <f ca="1">IF(L19=0,"",IFERROR(IF(AND(L19&gt;0,D19&lt;0),"na",IF(AND(L19&lt;0,D19&lt;0),-1,1)*(L19-D19)/D19),""))</f>
        <v>0.165977943896681</v>
      </c>
      <c r="O19" s="40">
        <f ca="1">IF(L19=0,"",IFERROR(IF(AND(L19&gt;0,H19&lt;0),"na",IF(AND(L19&lt;0,H19&lt;0),-1,1)*(L19-H19)/H19),""))</f>
        <v>4.7877753249760324E-3</v>
      </c>
    </row>
    <row r="20" spans="1:15" s="19" customFormat="1" ht="18" customHeight="1" x14ac:dyDescent="0.2">
      <c r="A20" s="145" t="s">
        <v>9</v>
      </c>
      <c r="B20" s="28" t="s">
        <v>30</v>
      </c>
      <c r="C20" s="41"/>
      <c r="D20" s="42">
        <v>3.3830538580086231</v>
      </c>
      <c r="E20" s="42">
        <v>3.8536806019509089</v>
      </c>
      <c r="F20" s="42">
        <v>3.8234290914816493</v>
      </c>
      <c r="G20" s="42">
        <v>3.9942978869203349</v>
      </c>
      <c r="H20" s="42">
        <v>4.160966188308616</v>
      </c>
      <c r="I20" s="42">
        <v>4.1973301658945008</v>
      </c>
      <c r="J20" s="42">
        <v>4.2866073669932243</v>
      </c>
      <c r="K20" s="42">
        <v>4.8700206999420441</v>
      </c>
      <c r="L20" s="42">
        <v>6.0587082166155781</v>
      </c>
      <c r="M20" s="43">
        <v>6.0833103475946011</v>
      </c>
      <c r="N20" s="32">
        <f t="shared" si="0"/>
        <v>0.79089913164490178</v>
      </c>
      <c r="O20" s="32">
        <f t="shared" si="1"/>
        <v>0.45608205941187235</v>
      </c>
    </row>
    <row r="21" spans="1:15" s="19" customFormat="1" ht="18" customHeight="1" x14ac:dyDescent="0.2">
      <c r="A21" s="145"/>
      <c r="B21" s="33" t="s">
        <v>31</v>
      </c>
      <c r="C21" s="21"/>
      <c r="D21" s="34">
        <f ca="1">5.21324299203917*OFFSET(D$108,MATCH($M$1,$C$109:$C$110,0),0)</f>
        <v>4.2407646063129754</v>
      </c>
      <c r="E21" s="34">
        <f ca="1">6.10593846906717*OFFSET(E$108,MATCH($M$1,$C$109:$C$110,0),0)</f>
        <v>5.1004731931821246</v>
      </c>
      <c r="F21" s="34">
        <f ca="1">6.43154778365615*OFFSET(F$108,MATCH($M$1,$C$109:$C$110,0),0)</f>
        <v>5.5267574983605687</v>
      </c>
      <c r="G21" s="34">
        <f ca="1">6.67172546570132*OFFSET(G$108,MATCH($M$1,$C$109:$C$110,0),0)</f>
        <v>5.8996067561797396</v>
      </c>
      <c r="H21" s="34">
        <f ca="1">6.7118901036893*OFFSET(H$108,MATCH($M$1,$C$109:$C$110,0),0)</f>
        <v>6.0526483547113568</v>
      </c>
      <c r="I21" s="34">
        <f ca="1">7.13054931945296*OFFSET(I$108,MATCH($M$1,$C$109:$C$110,0),0)</f>
        <v>6.6341916949293402</v>
      </c>
      <c r="J21" s="34">
        <f ca="1">7.70295058252807*OFFSET(J$108,MATCH($M$1,$C$109:$C$110,0),0)</f>
        <v>7.3190354677268861</v>
      </c>
      <c r="K21" s="34">
        <f ca="1">7.69193089837847*OFFSET(K$108,MATCH($M$1,$C$109:$C$110,0),0)</f>
        <v>7.4299436593650254</v>
      </c>
      <c r="L21" s="34">
        <f ca="1">9.00638522114922*OFFSET(L$108,MATCH($M$1,$C$109:$C$110,0),0)</f>
        <v>8.8553479852254906</v>
      </c>
      <c r="M21" s="35">
        <f ca="1">9.51410507220347*OFFSET(M$108,MATCH($M$1,$C$109:$C$110,0),0)</f>
        <v>9.5141050352397141</v>
      </c>
      <c r="N21" s="24">
        <f t="shared" ca="1" si="0"/>
        <v>1.0881489088177774</v>
      </c>
      <c r="O21" s="24">
        <f t="shared" ca="1" si="1"/>
        <v>0.46305343814208599</v>
      </c>
    </row>
    <row r="22" spans="1:15" s="19" customFormat="1" ht="18" customHeight="1" x14ac:dyDescent="0.2">
      <c r="A22" s="145"/>
      <c r="B22" s="33" t="s">
        <v>10</v>
      </c>
      <c r="C22" s="21"/>
      <c r="D22" s="34">
        <f ca="1">4.42809412631997*OFFSET(D$108,MATCH($M$1,$C$109:$C$110,0),0)</f>
        <v>3.6020774157267619</v>
      </c>
      <c r="E22" s="34">
        <f ca="1">5.19265432199911*OFFSET(E$108,MATCH($M$1,$C$109:$C$110,0),0)</f>
        <v>4.3375796046736097</v>
      </c>
      <c r="F22" s="34">
        <f ca="1">5.4945468125552*OFFSET(F$108,MATCH($M$1,$C$109:$C$110,0),0)</f>
        <v>4.721573844720754</v>
      </c>
      <c r="G22" s="34">
        <f ca="1">6.07810421626668*OFFSET(G$108,MATCH($M$1,$C$109:$C$110,0),0)</f>
        <v>5.3746852869465442</v>
      </c>
      <c r="H22" s="34">
        <f ca="1">6.13902674315175*OFFSET(H$108,MATCH($M$1,$C$109:$C$110,0),0)</f>
        <v>5.5360516251662562</v>
      </c>
      <c r="I22" s="34">
        <f ca="1">6.34595918773122*OFFSET(I$108,MATCH($M$1,$C$109:$C$110,0),0)</f>
        <v>5.9042168917831477</v>
      </c>
      <c r="J22" s="34">
        <f ca="1">7.13829386306559*OFFSET(J$108,MATCH($M$1,$C$109:$C$110,0),0)</f>
        <v>6.7825212433970377</v>
      </c>
      <c r="K22" s="34">
        <f ca="1">7.19816677447371*OFFSET(K$108,MATCH($M$1,$C$109:$C$110,0),0)</f>
        <v>6.9529971461817768</v>
      </c>
      <c r="L22" s="34">
        <f ca="1">8.29066985917143*OFFSET(L$108,MATCH($M$1,$C$109:$C$110,0),0)</f>
        <v>8.151635182246336</v>
      </c>
      <c r="M22" s="35">
        <f ca="1">8.53086518454257*OFFSET(M$108,MATCH($M$1,$C$109:$C$110,0),0)</f>
        <v>8.5308651513988512</v>
      </c>
      <c r="N22" s="24">
        <f t="shared" ca="1" si="0"/>
        <v>1.2630371981057622</v>
      </c>
      <c r="O22" s="24">
        <f t="shared" ca="1" si="1"/>
        <v>0.47246372219325716</v>
      </c>
    </row>
    <row r="23" spans="1:15" s="19" customFormat="1" ht="18" customHeight="1" x14ac:dyDescent="0.2">
      <c r="A23" s="146"/>
      <c r="B23" s="33" t="s">
        <v>32</v>
      </c>
      <c r="C23" s="44"/>
      <c r="D23" s="34">
        <f ca="1">0.785148865719202*OFFSET(D$108,MATCH($M$1,$C$109:$C$110,0),0)</f>
        <v>0.63868719058621481</v>
      </c>
      <c r="E23" s="34">
        <f ca="1">0.913284147068053*OFFSET(E$108,MATCH($M$1,$C$109:$C$110,0),0)</f>
        <v>0.76289358850850908</v>
      </c>
      <c r="F23" s="34">
        <f ca="1">0.937000971100948*OFFSET(F$108,MATCH($M$1,$C$109:$C$110,0),0)</f>
        <v>0.80518365363981281</v>
      </c>
      <c r="G23" s="34">
        <f ca="1">0.59362124943464*OFFSET(G$108,MATCH($M$1,$C$109:$C$110,0),0)</f>
        <v>0.52492146923319527</v>
      </c>
      <c r="H23" s="34">
        <f ca="1">0.572863360537543*OFFSET(H$108,MATCH($M$1,$C$109:$C$110,0),0)</f>
        <v>0.51659672954509461</v>
      </c>
      <c r="I23" s="34">
        <f ca="1">0.784590131721744*OFFSET(I$108,MATCH($M$1,$C$109:$C$110,0),0)</f>
        <v>0.72997480314619523</v>
      </c>
      <c r="J23" s="34">
        <f ca="1">0.564656719462482*OFFSET(J$108,MATCH($M$1,$C$109:$C$110,0),0)</f>
        <v>0.5365142243298503</v>
      </c>
      <c r="K23" s="34">
        <f ca="1">0.493764123904763*OFFSET(K$108,MATCH($M$1,$C$109:$C$110,0),0)</f>
        <v>0.47694651318325065</v>
      </c>
      <c r="L23" s="34">
        <f ca="1">0.715715361977783*OFFSET(L$108,MATCH($M$1,$C$109:$C$110,0),0)</f>
        <v>0.70371280297914829</v>
      </c>
      <c r="M23" s="35">
        <f ca="1">0.983239887660891*OFFSET(M$108,MATCH($M$1,$C$109:$C$110,0),0)</f>
        <v>0.98323988384085337</v>
      </c>
      <c r="N23" s="24">
        <f t="shared" ca="1" si="0"/>
        <v>0.10181136141661169</v>
      </c>
      <c r="O23" s="24">
        <f t="shared" ca="1" si="1"/>
        <v>0.36220917155016558</v>
      </c>
    </row>
    <row r="24" spans="1:15" s="19" customFormat="1" ht="18" customHeight="1" x14ac:dyDescent="0.2">
      <c r="A24" s="147" t="s">
        <v>11</v>
      </c>
      <c r="B24" s="28" t="s">
        <v>27</v>
      </c>
      <c r="C24" s="29"/>
      <c r="D24" s="30">
        <f ca="1">1105.4*OFFSET(D$108,MATCH($M$1,$C$109:$C$110,0),0)</f>
        <v>899.19867594446112</v>
      </c>
      <c r="E24" s="30">
        <f ca="1">1385.8*OFFSET(E$108,MATCH($M$1,$C$109:$C$110,0),0)</f>
        <v>1157.6002258980564</v>
      </c>
      <c r="F24" s="30">
        <f ca="1">1459*OFFSET(F$108,MATCH($M$1,$C$109:$C$110,0),0)</f>
        <v>1253.7478475397691</v>
      </c>
      <c r="G24" s="30">
        <f ca="1">1413.1*OFFSET(G$108,MATCH($M$1,$C$109:$C$110,0),0)</f>
        <v>1249.5619536529066</v>
      </c>
      <c r="H24" s="30">
        <f ca="1">1387.6*OFFSET(H$108,MATCH($M$1,$C$109:$C$110,0),0)</f>
        <v>1251.3099480548735</v>
      </c>
      <c r="I24" s="30">
        <f ca="1">1528.6*OFFSET(I$108,MATCH($M$1,$C$109:$C$110,0),0)</f>
        <v>1422.1941354788898</v>
      </c>
      <c r="J24" s="30">
        <f ca="1">1675.7*OFFSET(J$108,MATCH($M$1,$C$109:$C$110,0),0)</f>
        <v>1592.1830994331517</v>
      </c>
      <c r="K24" s="30">
        <f ca="1">1457.5*OFFSET(K$108,MATCH($M$1,$C$109:$C$110,0),0)</f>
        <v>1407.8575362406605</v>
      </c>
      <c r="L24" s="30">
        <f ca="1">1551.7*OFFSET(L$108,MATCH($M$1,$C$109:$C$110,0),0)</f>
        <v>1525.6779641634134</v>
      </c>
      <c r="M24" s="31">
        <f ca="1">1760.9*OFFSET(M$108,MATCH($M$1,$C$109:$C$110,0),0)</f>
        <v>1760.8999931586338</v>
      </c>
      <c r="N24" s="32">
        <f t="shared" ca="1" si="0"/>
        <v>0.69670841937232431</v>
      </c>
      <c r="O24" s="32">
        <f t="shared" ca="1" si="1"/>
        <v>0.21926463266358376</v>
      </c>
    </row>
    <row r="25" spans="1:15" s="19" customFormat="1" ht="18" customHeight="1" x14ac:dyDescent="0.2">
      <c r="A25" s="148"/>
      <c r="B25" s="33" t="s">
        <v>33</v>
      </c>
      <c r="C25" s="25"/>
      <c r="D25" s="26">
        <f ca="1">64.8*OFFSET(D$108,MATCH($M$1,$C$109:$C$110,0),0)</f>
        <v>52.712207527773728</v>
      </c>
      <c r="E25" s="26">
        <f ca="1">62.8*OFFSET(E$108,MATCH($M$1,$C$109:$C$110,0),0)</f>
        <v>52.458720007503203</v>
      </c>
      <c r="F25" s="26">
        <f ca="1">37.2*OFFSET(F$108,MATCH($M$1,$C$109:$C$110,0),0)</f>
        <v>31.96670317236423</v>
      </c>
      <c r="G25" s="26">
        <f ca="1">77.1*OFFSET(G$108,MATCH($M$1,$C$109:$C$110,0),0)</f>
        <v>68.177217908597484</v>
      </c>
      <c r="H25" s="26">
        <f ca="1">13.1*OFFSET(H$108,MATCH($M$1,$C$109:$C$110,0),0)</f>
        <v>11.81331818933327</v>
      </c>
      <c r="I25" s="26">
        <f ca="1">49.1*OFFSET(I$108,MATCH($M$1,$C$109:$C$110,0),0)</f>
        <v>45.682148405085371</v>
      </c>
      <c r="J25" s="26">
        <f ca="1">28.9*OFFSET(J$108,MATCH($M$1,$C$109:$C$110,0),0)</f>
        <v>27.459623783265549</v>
      </c>
      <c r="K25" s="26">
        <f ca="1">81.6*OFFSET(K$108,MATCH($M$1,$C$109:$C$110,0),0)</f>
        <v>78.820703229665796</v>
      </c>
      <c r="L25" s="26">
        <f ca="1">45.3*OFFSET(L$108,MATCH($M$1,$C$109:$C$110,0),0)</f>
        <v>44.540318216538388</v>
      </c>
      <c r="M25" s="27">
        <f ca="1">51.4*OFFSET(M$108,MATCH($M$1,$C$109:$C$110,0),0)</f>
        <v>51.399999800303121</v>
      </c>
      <c r="N25" s="24">
        <f t="shared" ca="1" si="0"/>
        <v>-0.15502840223357414</v>
      </c>
      <c r="O25" s="24">
        <f t="shared" ca="1" si="1"/>
        <v>2.7703477975185393</v>
      </c>
    </row>
    <row r="26" spans="1:15" s="19" customFormat="1" ht="18" customHeight="1" x14ac:dyDescent="0.2">
      <c r="A26" s="148"/>
      <c r="B26" s="45" t="s">
        <v>34</v>
      </c>
      <c r="C26" s="46"/>
      <c r="D26" s="47">
        <f ca="1">1170.2*OFFSET(D$108,MATCH($M$1,$C$109:$C$110,0),0)</f>
        <v>951.9108834722349</v>
      </c>
      <c r="E26" s="47">
        <f ca="1">1448.5*OFFSET(E$108,MATCH($M$1,$C$109:$C$110,0),0)</f>
        <v>1209.9754129119171</v>
      </c>
      <c r="F26" s="47">
        <f ca="1">1496.2*OFFSET(F$108,MATCH($M$1,$C$109:$C$110,0),0)</f>
        <v>1285.7145507121334</v>
      </c>
      <c r="G26" s="47">
        <f ca="1">1490.2*OFFSET(G$108,MATCH($M$1,$C$109:$C$110,0),0)</f>
        <v>1317.7391715615042</v>
      </c>
      <c r="H26" s="47">
        <f ca="1">1400.7*OFFSET(H$108,MATCH($M$1,$C$109:$C$110,0),0)</f>
        <v>1263.1232662442069</v>
      </c>
      <c r="I26" s="47">
        <f ca="1">1577.7*OFFSET(I$108,MATCH($M$1,$C$109:$C$110,0),0)</f>
        <v>1467.8762838839752</v>
      </c>
      <c r="J26" s="47">
        <f ca="1">1704.6*OFFSET(J$108,MATCH($M$1,$C$109:$C$110,0),0)</f>
        <v>1619.6427232164172</v>
      </c>
      <c r="K26" s="47">
        <f ca="1">1539*OFFSET(K$108,MATCH($M$1,$C$109:$C$110,0),0)</f>
        <v>1486.5816454712703</v>
      </c>
      <c r="L26" s="47">
        <f ca="1">1596.9*OFFSET(L$108,MATCH($M$1,$C$109:$C$110,0),0)</f>
        <v>1570.1199593816814</v>
      </c>
      <c r="M26" s="48">
        <f ca="1">1812.3*OFFSET(M$108,MATCH($M$1,$C$109:$C$110,0),0)</f>
        <v>1812.2999929589369</v>
      </c>
      <c r="N26" s="49">
        <f t="shared" ca="1" si="0"/>
        <v>0.6494400753718016</v>
      </c>
      <c r="O26" s="49">
        <f t="shared" ca="1" si="1"/>
        <v>0.24304571164325386</v>
      </c>
    </row>
    <row r="27" spans="1:15" s="19" customFormat="1" ht="18" customHeight="1" x14ac:dyDescent="0.2">
      <c r="A27" s="148"/>
      <c r="B27" s="33" t="s">
        <v>35</v>
      </c>
      <c r="C27" s="25"/>
      <c r="D27" s="26">
        <f ca="1">290.4*OFFSET(D$108,MATCH($M$1,$C$109:$C$110,0),0)</f>
        <v>236.2287818837267</v>
      </c>
      <c r="E27" s="26">
        <f ca="1">350.8*OFFSET(E$108,MATCH($M$1,$C$109:$C$110,0),0)</f>
        <v>293.03374169796376</v>
      </c>
      <c r="F27" s="26">
        <f ca="1">371.3*OFFSET(F$108,MATCH($M$1,$C$109:$C$110,0),0)</f>
        <v>319.06550773921606</v>
      </c>
      <c r="G27" s="26">
        <f ca="1">465.1*OFFSET(G$108,MATCH($M$1,$C$109:$C$110,0),0)</f>
        <v>411.27398248104657</v>
      </c>
      <c r="H27" s="26">
        <f ca="1">361.4*OFFSET(H$108,MATCH($M$1,$C$109:$C$110,0),0)</f>
        <v>325.90329722328573</v>
      </c>
      <c r="I27" s="26">
        <f ca="1">409.4*OFFSET(I$108,MATCH($M$1,$C$109:$C$110,0),0)</f>
        <v>380.9016610395509</v>
      </c>
      <c r="J27" s="26">
        <f ca="1">534.6*OFFSET(J$108,MATCH($M$1,$C$109:$C$110,0),0)</f>
        <v>507.95553199078768</v>
      </c>
      <c r="K27" s="26">
        <f ca="1">481*OFFSET(K$108,MATCH($M$1,$C$109:$C$110,0),0)</f>
        <v>464.61713545918195</v>
      </c>
      <c r="L27" s="26">
        <f ca="1">437.5*OFFSET(L$108,MATCH($M$1,$C$109:$C$110,0),0)</f>
        <v>430.1631174334558</v>
      </c>
      <c r="M27" s="27">
        <f ca="1">414.6*OFFSET(M$108,MATCH($M$1,$C$109:$C$110,0),0)</f>
        <v>414.5999983892155</v>
      </c>
      <c r="N27" s="24">
        <f t="shared" ca="1" si="0"/>
        <v>0.82095980855196893</v>
      </c>
      <c r="O27" s="24">
        <f t="shared" ca="1" si="1"/>
        <v>0.31991029577936014</v>
      </c>
    </row>
    <row r="28" spans="1:15" s="19" customFormat="1" ht="18" customHeight="1" x14ac:dyDescent="0.2">
      <c r="A28" s="148"/>
      <c r="B28" s="33" t="s">
        <v>36</v>
      </c>
      <c r="C28" s="25"/>
      <c r="D28" s="26">
        <f ca="1">254.5*OFFSET(D$108,MATCH($M$1,$C$109:$C$110,0),0)</f>
        <v>207.02556814534589</v>
      </c>
      <c r="E28" s="26">
        <f ca="1">282.5*OFFSET(E$108,MATCH($M$1,$C$109:$C$110,0),0)</f>
        <v>235.9807070401219</v>
      </c>
      <c r="F28" s="26">
        <f ca="1">324.1*OFFSET(F$108,MATCH($M$1,$C$109:$C$110,0),0)</f>
        <v>278.5056047893346</v>
      </c>
      <c r="G28" s="26">
        <f ca="1">324.5*OFFSET(G$108,MATCH($M$1,$C$109:$C$110,0),0)</f>
        <v>286.94561882412302</v>
      </c>
      <c r="H28" s="26">
        <f ca="1">318.8*OFFSET(H$108,MATCH($M$1,$C$109:$C$110,0),0)</f>
        <v>287.48746860759132</v>
      </c>
      <c r="I28" s="26">
        <f ca="1">344.6*OFFSET(I$108,MATCH($M$1,$C$109:$C$110,0),0)</f>
        <v>320.61238982469285</v>
      </c>
      <c r="J28" s="26">
        <f ca="1">342.4*OFFSET(J$108,MATCH($M$1,$C$109:$C$110,0),0)</f>
        <v>325.33478143218423</v>
      </c>
      <c r="K28" s="26">
        <f ca="1">296.4*OFFSET(K$108,MATCH($M$1,$C$109:$C$110,0),0)</f>
        <v>286.30461320187425</v>
      </c>
      <c r="L28" s="26">
        <f ca="1">337.2*OFFSET(L$108,MATCH($M$1,$C$109:$C$110,0),0)</f>
        <v>331.54515016814008</v>
      </c>
      <c r="M28" s="27">
        <f ca="1">422.5*OFFSET(M$108,MATCH($M$1,$C$109:$C$110,0),0)</f>
        <v>422.49999835852276</v>
      </c>
      <c r="N28" s="24">
        <f t="shared" ca="1" si="0"/>
        <v>0.60146958242072335</v>
      </c>
      <c r="O28" s="24">
        <f t="shared" ca="1" si="1"/>
        <v>0.15325078958723484</v>
      </c>
    </row>
    <row r="29" spans="1:15" s="19" customFormat="1" ht="18" customHeight="1" x14ac:dyDescent="0.2">
      <c r="A29" s="148"/>
      <c r="B29" s="33" t="s">
        <v>37</v>
      </c>
      <c r="C29" s="25"/>
      <c r="D29" s="26">
        <f ca="1">235.8*OFFSET(D$108,MATCH($M$1,$C$109:$C$110,0),0)</f>
        <v>191.81386628162107</v>
      </c>
      <c r="E29" s="26">
        <f ca="1">310.9*OFFSET(E$108,MATCH($M$1,$C$109:$C$110,0),0)</f>
        <v>259.70407723459783</v>
      </c>
      <c r="F29" s="26">
        <f ca="1">301.8*OFFSET(F$108,MATCH($M$1,$C$109:$C$110,0),0)</f>
        <v>259.34276928547109</v>
      </c>
      <c r="G29" s="26">
        <f ca="1">286.2*OFFSET(G$108,MATCH($M$1,$C$109:$C$110,0),0)</f>
        <v>253.07807737277042</v>
      </c>
      <c r="H29" s="26">
        <f ca="1">316.6*OFFSET(H$108,MATCH($M$1,$C$109:$C$110,0),0)</f>
        <v>285.50355257579491</v>
      </c>
      <c r="I29" s="26">
        <f ca="1">310.4*OFFSET(I$108,MATCH($M$1,$C$109:$C$110,0),0)</f>
        <v>288.79305223907323</v>
      </c>
      <c r="J29" s="26">
        <f ca="1">398.1*OFFSET(J$108,MATCH($M$1,$C$109:$C$110,0),0)</f>
        <v>378.2586930144642</v>
      </c>
      <c r="K29" s="26">
        <f ca="1">395.2*OFFSET(K$108,MATCH($M$1,$C$109:$C$110,0),0)</f>
        <v>381.7394842691657</v>
      </c>
      <c r="L29" s="26">
        <f ca="1">420.9*OFFSET(L$108,MATCH($M$1,$C$109:$C$110,0),0)</f>
        <v>413.84149972055206</v>
      </c>
      <c r="M29" s="27">
        <f ca="1">477.7*OFFSET(M$108,MATCH($M$1,$C$109:$C$110,0),0)</f>
        <v>477.69999814406231</v>
      </c>
      <c r="N29" s="24">
        <f t="shared" ca="1" si="0"/>
        <v>1.1575160740097385</v>
      </c>
      <c r="O29" s="24">
        <f t="shared" ca="1" si="1"/>
        <v>0.44951436150934149</v>
      </c>
    </row>
    <row r="30" spans="1:15" s="19" customFormat="1" ht="18" customHeight="1" x14ac:dyDescent="0.2">
      <c r="A30" s="148"/>
      <c r="B30" s="33" t="s">
        <v>38</v>
      </c>
      <c r="C30" s="25"/>
      <c r="D30" s="26">
        <f ca="1">780.6*OFFSET(D$108,MATCH($M$1,$C$109:$C$110,0),0)</f>
        <v>634.98687031142242</v>
      </c>
      <c r="E30" s="26">
        <f ca="1">944.2*OFFSET(E$108,MATCH($M$1,$C$109:$C$110,0),0)</f>
        <v>788.71852597268355</v>
      </c>
      <c r="F30" s="26">
        <f ca="1">997.2*OFFSET(F$108,MATCH($M$1,$C$109:$C$110,0),0)</f>
        <v>856.91388181402169</v>
      </c>
      <c r="G30" s="26">
        <f ca="1">1075.8*OFFSET(G$108,MATCH($M$1,$C$109:$C$110,0),0)</f>
        <v>951.29767867793998</v>
      </c>
      <c r="H30" s="26">
        <f ca="1">996.9*OFFSET(H$108,MATCH($M$1,$C$109:$C$110,0),0)</f>
        <v>898.98449640811725</v>
      </c>
      <c r="I30" s="26">
        <f ca="1">1064.3*OFFSET(I$108,MATCH($M$1,$C$109:$C$110,0),0)</f>
        <v>990.21406410452857</v>
      </c>
      <c r="J30" s="26">
        <f ca="1">1275.1*OFFSET(J$108,MATCH($M$1,$C$109:$C$110,0),0)</f>
        <v>1211.549006437436</v>
      </c>
      <c r="K30" s="26">
        <f ca="1">1172.7*OFFSET(K$108,MATCH($M$1,$C$109:$C$110,0),0)</f>
        <v>1132.7578269292781</v>
      </c>
      <c r="L30" s="26">
        <f ca="1">1195.6*OFFSET(L$108,MATCH($M$1,$C$109:$C$110,0),0)</f>
        <v>1175.549767322148</v>
      </c>
      <c r="M30" s="27">
        <f ca="1">1314.8*OFFSET(M$108,MATCH($M$1,$C$109:$C$110,0),0)</f>
        <v>1314.7999948918005</v>
      </c>
      <c r="N30" s="24">
        <f t="shared" ca="1" si="0"/>
        <v>0.85129775477973646</v>
      </c>
      <c r="O30" s="24">
        <f t="shared" ca="1" si="1"/>
        <v>0.30764186926364612</v>
      </c>
    </row>
    <row r="31" spans="1:15" s="19" customFormat="1" ht="18" customHeight="1" x14ac:dyDescent="0.2">
      <c r="A31" s="148"/>
      <c r="B31" s="33" t="s">
        <v>39</v>
      </c>
      <c r="C31" s="25"/>
      <c r="D31" s="26">
        <f ca="1">223*OFFSET(D$108,MATCH($M$1,$C$109:$C$110,0),0)</f>
        <v>181.40157837490034</v>
      </c>
      <c r="E31" s="26">
        <f ca="1">297*OFFSET(E$108,MATCH($M$1,$C$109:$C$110,0),0)</f>
        <v>248.09299111828744</v>
      </c>
      <c r="F31" s="26">
        <f ca="1">286.4*OFFSET(F$108,MATCH($M$1,$C$109:$C$110,0),0)</f>
        <v>246.10924162809445</v>
      </c>
      <c r="G31" s="26">
        <f ca="1">288.7*OFFSET(G$108,MATCH($M$1,$C$109:$C$110,0),0)</f>
        <v>255.28875240223206</v>
      </c>
      <c r="H31" s="26">
        <f ca="1">285.4*OFFSET(H$108,MATCH($M$1,$C$109:$C$110,0),0)</f>
        <v>257.36801612486374</v>
      </c>
      <c r="I31" s="26">
        <f ca="1">345.2*OFFSET(I$108,MATCH($M$1,$C$109:$C$110,0),0)</f>
        <v>321.17062381742301</v>
      </c>
      <c r="J31" s="26">
        <f ca="1">306.7*OFFSET(J$108,MATCH($M$1,$C$109:$C$110,0),0)</f>
        <v>291.41406969991499</v>
      </c>
      <c r="K31" s="26">
        <f ca="1">272.8*OFFSET(K$108,MATCH($M$1,$C$109:$C$110,0),0)</f>
        <v>263.50842942466704</v>
      </c>
      <c r="L31" s="26">
        <f ca="1">278*OFFSET(L$108,MATCH($M$1,$C$109:$C$110,0),0)</f>
        <v>273.33793519200162</v>
      </c>
      <c r="M31" s="27">
        <f ca="1">315.5*OFFSET(M$108,MATCH($M$1,$C$109:$C$110,0),0)</f>
        <v>315.49999877423414</v>
      </c>
      <c r="N31" s="24">
        <f t="shared" ca="1" si="0"/>
        <v>0.50681122866030182</v>
      </c>
      <c r="O31" s="24">
        <f t="shared" ca="1" si="1"/>
        <v>6.2050907908424685E-2</v>
      </c>
    </row>
    <row r="32" spans="1:15" s="19" customFormat="1" ht="18" customHeight="1" x14ac:dyDescent="0.2">
      <c r="A32" s="148"/>
      <c r="B32" s="33" t="s">
        <v>40</v>
      </c>
      <c r="C32" s="25"/>
      <c r="D32" s="26">
        <f ca="1">1003.7*OFFSET(D$108,MATCH($M$1,$C$109:$C$110,0),0)</f>
        <v>816.46979468559402</v>
      </c>
      <c r="E32" s="26">
        <f ca="1">1241.2*OFFSET(E$108,MATCH($M$1,$C$109:$C$110,0),0)</f>
        <v>1036.8115170909709</v>
      </c>
      <c r="F32" s="26">
        <f ca="1">1283.6*OFFSET(F$108,MATCH($M$1,$C$109:$C$110,0),0)</f>
        <v>1103.023123442116</v>
      </c>
      <c r="G32" s="26">
        <f ca="1">1364.5*OFFSET(G$108,MATCH($M$1,$C$109:$C$110,0),0)</f>
        <v>1206.5864310801721</v>
      </c>
      <c r="H32" s="26">
        <f ca="1">1282.2*OFFSET(H$108,MATCH($M$1,$C$109:$C$110,0),0)</f>
        <v>1156.2623345315358</v>
      </c>
      <c r="I32" s="26">
        <f ca="1">1409.5*OFFSET(I$108,MATCH($M$1,$C$109:$C$110,0),0)</f>
        <v>1311.3846879219516</v>
      </c>
      <c r="J32" s="26">
        <f ca="1">1581.8*OFFSET(J$108,MATCH($M$1,$C$109:$C$110,0),0)</f>
        <v>1502.963076137351</v>
      </c>
      <c r="K32" s="26">
        <f ca="1">1445.5*OFFSET(K$108,MATCH($M$1,$C$109:$C$110,0),0)</f>
        <v>1396.266256353945</v>
      </c>
      <c r="L32" s="26">
        <f ca="1">1473.6*OFFSET(L$108,MATCH($M$1,$C$109:$C$110,0),0)</f>
        <v>1448.8877025141496</v>
      </c>
      <c r="M32" s="27">
        <f ca="1">1630.3*OFFSET(M$108,MATCH($M$1,$C$109:$C$110,0),0)</f>
        <v>1630.2999936660347</v>
      </c>
      <c r="N32" s="24">
        <f t="shared" ca="1" si="0"/>
        <v>0.77457600017167438</v>
      </c>
      <c r="O32" s="24">
        <f t="shared" ca="1" si="1"/>
        <v>0.25307869956792478</v>
      </c>
    </row>
    <row r="33" spans="1:15" s="19" customFormat="1" ht="18" customHeight="1" x14ac:dyDescent="0.2">
      <c r="A33" s="148"/>
      <c r="B33" s="45" t="s">
        <v>41</v>
      </c>
      <c r="C33" s="46"/>
      <c r="D33" s="47">
        <f ca="1">421*OFFSET(D$108,MATCH($M$1,$C$109:$C$110,0),0)</f>
        <v>342.46665693198673</v>
      </c>
      <c r="E33" s="47">
        <f ca="1">489.8*OFFSET(E$108,MATCH($M$1,$C$109:$C$110,0),0)</f>
        <v>409.14460286106799</v>
      </c>
      <c r="F33" s="47">
        <f ca="1">536.7*OFFSET(F$108,MATCH($M$1,$C$109:$C$110,0),0)</f>
        <v>461.19703205935167</v>
      </c>
      <c r="G33" s="47">
        <f ca="1">450.2*OFFSET(G$108,MATCH($M$1,$C$109:$C$110,0),0)</f>
        <v>398.09835930545506</v>
      </c>
      <c r="H33" s="47">
        <f ca="1">437.2*OFFSET(H$108,MATCH($M$1,$C$109:$C$110,0),0)</f>
        <v>394.25822231881722</v>
      </c>
      <c r="I33" s="47">
        <f ca="1">512.8*OFFSET(I$108,MATCH($M$1,$C$109:$C$110,0),0)</f>
        <v>477.10398578671641</v>
      </c>
      <c r="J33" s="47">
        <f ca="1">465.2*OFFSET(J$108,MATCH($M$1,$C$109:$C$110,0),0)</f>
        <v>442.01442851125029</v>
      </c>
      <c r="K33" s="47">
        <f ca="1">390*OFFSET(K$108,MATCH($M$1,$C$109:$C$110,0),0)</f>
        <v>376.71659631825565</v>
      </c>
      <c r="L33" s="47">
        <f ca="1">460.5*OFFSET(L$108,MATCH($M$1,$C$109:$C$110,0),0)</f>
        <v>452.77740703567173</v>
      </c>
      <c r="M33" s="48">
        <f ca="1">604.5*OFFSET(M$108,MATCH($M$1,$C$109:$C$110,0),0)</f>
        <v>604.49999765142491</v>
      </c>
      <c r="N33" s="49">
        <f t="shared" ca="1" si="0"/>
        <v>0.3221065405079494</v>
      </c>
      <c r="O33" s="49">
        <f t="shared" ca="1" si="1"/>
        <v>0.14842857143898175</v>
      </c>
    </row>
    <row r="34" spans="1:15" s="19" customFormat="1" ht="18" customHeight="1" x14ac:dyDescent="0.2">
      <c r="A34" s="148"/>
      <c r="B34" s="45" t="s">
        <v>42</v>
      </c>
      <c r="C34" s="46"/>
      <c r="D34" s="47">
        <f ca="1">166.5*OFFSET(D$108,MATCH($M$1,$C$109:$C$110,0),0)</f>
        <v>135.44108878664082</v>
      </c>
      <c r="E34" s="47">
        <f ca="1">207.3*OFFSET(E$108,MATCH($M$1,$C$109:$C$110,0),0)</f>
        <v>173.1638958209461</v>
      </c>
      <c r="F34" s="47">
        <f ca="1">212.6*OFFSET(F$108,MATCH($M$1,$C$109:$C$110,0),0)</f>
        <v>182.69142727001704</v>
      </c>
      <c r="G34" s="47">
        <f ca="1">125.7*OFFSET(G$108,MATCH($M$1,$C$109:$C$110,0),0)</f>
        <v>111.15274048133209</v>
      </c>
      <c r="H34" s="47">
        <f ca="1">118.4*OFFSET(H$108,MATCH($M$1,$C$109:$C$110,0),0)</f>
        <v>106.77075371122589</v>
      </c>
      <c r="I34" s="47">
        <f ca="1">168.2*OFFSET(I$108,MATCH($M$1,$C$109:$C$110,0),0)</f>
        <v>156.49159596202358</v>
      </c>
      <c r="J34" s="47">
        <f ca="1">122.8*OFFSET(J$108,MATCH($M$1,$C$109:$C$110,0),0)</f>
        <v>116.67964707906607</v>
      </c>
      <c r="K34" s="47">
        <f ca="1">93.6*OFFSET(K$108,MATCH($M$1,$C$109:$C$110,0),0)</f>
        <v>90.41198311638135</v>
      </c>
      <c r="L34" s="47">
        <f ca="1">123.3*OFFSET(L$108,MATCH($M$1,$C$109:$C$110,0),0)</f>
        <v>121.23225686753165</v>
      </c>
      <c r="M34" s="48">
        <f ca="1">182*OFFSET(M$108,MATCH($M$1,$C$109:$C$110,0),0)</f>
        <v>181.99999929290212</v>
      </c>
      <c r="N34" s="49">
        <f t="shared" ca="1" si="0"/>
        <v>-0.10490783887223636</v>
      </c>
      <c r="O34" s="49">
        <f t="shared" ca="1" si="1"/>
        <v>0.13544442324925976</v>
      </c>
    </row>
    <row r="35" spans="1:15" s="19" customFormat="1" ht="18" customHeight="1" x14ac:dyDescent="0.2">
      <c r="A35" s="148"/>
      <c r="B35" s="33" t="s">
        <v>43</v>
      </c>
      <c r="C35" s="25"/>
      <c r="D35" s="26">
        <f ca="1">107.7*OFFSET(D$108,MATCH($M$1,$C$109:$C$110,0),0)</f>
        <v>87.609641215142446</v>
      </c>
      <c r="E35" s="26">
        <f ca="1">50.7*OFFSET(E$108,MATCH($M$1,$C$109:$C$110,0),0)</f>
        <v>42.351227776758165</v>
      </c>
      <c r="F35" s="26">
        <f ca="1">48.8*OFFSET(F$108,MATCH($M$1,$C$109:$C$110,0),0)</f>
        <v>41.934814914284253</v>
      </c>
      <c r="G35" s="26">
        <f ca="1">80.1*OFFSET(G$108,MATCH($M$1,$C$109:$C$110,0),0)</f>
        <v>70.830027943951464</v>
      </c>
      <c r="H35" s="26">
        <f ca="1">89.4*OFFSET(H$108,MATCH($M$1,$C$109:$C$110,0),0)</f>
        <v>80.619133292091178</v>
      </c>
      <c r="I35" s="26">
        <f ca="1">83.8*OFFSET(I$108,MATCH($M$1,$C$109:$C$110,0),0)</f>
        <v>77.966680984646715</v>
      </c>
      <c r="J35" s="26">
        <f ca="1">85.5*OFFSET(J$108,MATCH($M$1,$C$109:$C$110,0),0)</f>
        <v>81.238679358796006</v>
      </c>
      <c r="K35" s="26">
        <f ca="1">90.2*OFFSET(K$108,MATCH($M$1,$C$109:$C$110,0),0)</f>
        <v>87.127787148478617</v>
      </c>
      <c r="L35" s="26">
        <f ca="1">74.1*OFFSET(L$108,MATCH($M$1,$C$109:$C$110,0),0)</f>
        <v>72.857341718443593</v>
      </c>
      <c r="M35" s="27"/>
      <c r="N35" s="24">
        <f t="shared" ca="1" si="0"/>
        <v>-0.16838671283302856</v>
      </c>
      <c r="O35" s="24">
        <f t="shared" ca="1" si="1"/>
        <v>-9.6277288736481934E-2</v>
      </c>
    </row>
    <row r="36" spans="1:15" s="19" customFormat="1" ht="18" customHeight="1" x14ac:dyDescent="0.2">
      <c r="A36" s="148"/>
      <c r="B36" s="33" t="s">
        <v>44</v>
      </c>
      <c r="C36" s="25"/>
      <c r="D36" s="26">
        <f ca="1">73.3*OFFSET(D$108,MATCH($M$1,$C$109:$C$110,0),0)</f>
        <v>59.626617465830464</v>
      </c>
      <c r="E36" s="26">
        <f ca="1">41.2*OFFSET(E$108,MATCH($M$1,$C$109:$C$110,0),0)</f>
        <v>34.415593380718661</v>
      </c>
      <c r="F36" s="26">
        <f ca="1">41*OFFSET(F$108,MATCH($M$1,$C$109:$C$110,0),0)</f>
        <v>35.232119087820784</v>
      </c>
      <c r="G36" s="26">
        <f ca="1">40.9*OFFSET(G$108,MATCH($M$1,$C$109:$C$110,0),0)</f>
        <v>36.166643481992701</v>
      </c>
      <c r="H36" s="26">
        <f ca="1">27.2*OFFSET(H$108,MATCH($M$1,$C$109:$C$110,0),0)</f>
        <v>24.528416393119461</v>
      </c>
      <c r="I36" s="26">
        <f ca="1">22*OFFSET(I$108,MATCH($M$1,$C$109:$C$110,0),0)</f>
        <v>20.468579733439473</v>
      </c>
      <c r="J36" s="26">
        <f ca="1">21.9*OFFSET(J$108,MATCH($M$1,$C$109:$C$110,0),0)</f>
        <v>20.808503835761783</v>
      </c>
      <c r="K36" s="26">
        <f ca="1">26.3*OFFSET(K$108,MATCH($M$1,$C$109:$C$110,0),0)</f>
        <v>25.404221751718268</v>
      </c>
      <c r="L36" s="26">
        <f ca="1">11.9*OFFSET(L$108,MATCH($M$1,$C$109:$C$110,0),0)</f>
        <v>11.700436794189997</v>
      </c>
      <c r="M36" s="27"/>
      <c r="N36" s="24">
        <f t="shared" ca="1" si="0"/>
        <v>-0.80377158236596213</v>
      </c>
      <c r="O36" s="24">
        <f t="shared" ca="1" si="1"/>
        <v>-0.52298441910533933</v>
      </c>
    </row>
    <row r="37" spans="1:15" s="19" customFormat="1" ht="18" customHeight="1" x14ac:dyDescent="0.2">
      <c r="A37" s="148"/>
      <c r="B37" s="33" t="s">
        <v>45</v>
      </c>
      <c r="C37" s="25"/>
      <c r="D37" s="26"/>
      <c r="E37" s="26"/>
      <c r="F37" s="26"/>
      <c r="G37" s="26"/>
      <c r="H37" s="26">
        <f ca="1">0.8*OFFSET(H$108,MATCH($M$1,$C$109:$C$110,0),0)</f>
        <v>0.72142401156233715</v>
      </c>
      <c r="I37" s="26">
        <f ca="1">0.3*OFFSET(I$108,MATCH($M$1,$C$109:$C$110,0),0)</f>
        <v>0.27911699636508369</v>
      </c>
      <c r="J37" s="26">
        <f ca="1">4.6*OFFSET(J$108,MATCH($M$1,$C$109:$C$110,0),0)</f>
        <v>4.3707359655024751</v>
      </c>
      <c r="K37" s="26">
        <f ca="1">1.9*OFFSET(K$108,MATCH($M$1,$C$109:$C$110,0),0)</f>
        <v>1.8352859820632967</v>
      </c>
      <c r="L37" s="26">
        <f ca="1">5*OFFSET(L$108,MATCH($M$1,$C$109:$C$110,0),0)</f>
        <v>4.9161499135252091</v>
      </c>
      <c r="M37" s="27"/>
      <c r="N37" s="24" t="str">
        <f t="shared" ca="1" si="0"/>
        <v/>
      </c>
      <c r="O37" s="24">
        <f t="shared" ca="1" si="1"/>
        <v>5.814508298495153</v>
      </c>
    </row>
    <row r="38" spans="1:15" s="19" customFormat="1" ht="18" customHeight="1" thickBot="1" x14ac:dyDescent="0.25">
      <c r="A38" s="149"/>
      <c r="B38" s="50" t="s">
        <v>46</v>
      </c>
      <c r="C38" s="51"/>
      <c r="D38" s="52">
        <f ca="1">-14.5*OFFSET(D$108,MATCH($M$1,$C$109:$C$110,0),0)</f>
        <v>-11.795169894332084</v>
      </c>
      <c r="E38" s="52">
        <f ca="1">115.4*OFFSET(E$108,MATCH($M$1,$C$109:$C$110,0),0)</f>
        <v>96.397074663469269</v>
      </c>
      <c r="F38" s="52">
        <f ca="1">122.7*OFFSET(F$108,MATCH($M$1,$C$109:$C$110,0),0)</f>
        <v>105.43856127013684</v>
      </c>
      <c r="G38" s="52">
        <f ca="1">4.7*OFFSET(G$108,MATCH($M$1,$C$109:$C$110,0),0)</f>
        <v>4.1560690553879143</v>
      </c>
      <c r="H38" s="52">
        <f ca="1">1.1*OFFSET(H$108,MATCH($M$1,$C$109:$C$110,0),0)</f>
        <v>0.99195801589821353</v>
      </c>
      <c r="I38" s="52">
        <f ca="1">62.2*OFFSET(I$108,MATCH($M$1,$C$109:$C$110,0),0)</f>
        <v>57.870257246360694</v>
      </c>
      <c r="J38" s="52">
        <f ca="1">10.8*OFFSET(J$108,MATCH($M$1,$C$109:$C$110,0),0)</f>
        <v>10.261727919005812</v>
      </c>
      <c r="K38" s="52">
        <f ca="1">-24.9*OFFSET(K$108,MATCH($M$1,$C$109:$C$110,0),0)</f>
        <v>-24.051905764934784</v>
      </c>
      <c r="L38" s="52">
        <f ca="1">32.2*OFFSET(L$108,MATCH($M$1,$C$109:$C$110,0),0)</f>
        <v>31.660005443102349</v>
      </c>
      <c r="M38" s="53"/>
      <c r="N38" s="54" t="str">
        <f t="shared" ca="1" si="0"/>
        <v>na</v>
      </c>
      <c r="O38" s="54">
        <f t="shared" ca="1" si="1"/>
        <v>30.916678867133662</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NSWOS demersal over 24m</v>
      </c>
      <c r="C45" s="61"/>
      <c r="D45" s="61"/>
      <c r="E45" s="61"/>
      <c r="F45" s="61" t="str">
        <f>$B21&amp;CHAR(10)&amp;$A$1</f>
        <v>Income per kW day at sea (£)
NSWOS demersal over 24m</v>
      </c>
      <c r="G45" s="61"/>
      <c r="K45" s="61" t="str">
        <f>$B23&amp;CHAR(10)&amp;$A$1</f>
        <v>Operating profit per kW day at sea (£)
NSWOS demersal over 24m</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NSWOS demersal over 24m</v>
      </c>
      <c r="F59" s="61" t="str">
        <f>$B19&amp;CHAR(10)&amp;$A$1</f>
        <v>Average price per tonne landed (£)
NSWOS demersal over 24m</v>
      </c>
      <c r="K59" s="61" t="str">
        <f>"Average annual operating profit per vessel (£'000)"&amp;CHAR(10)&amp;$A$1</f>
        <v>Average annual operating profit per vessel (£'000)
NSWOS demersal over 24m</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NSWOS demersal over 24m</v>
      </c>
      <c r="F73" s="61" t="str">
        <f>"Top 5 landed species by value in "&amp;A74&amp;CHAR(10)&amp;A1</f>
        <v>Top 5 landed species by value in 2013
NSWOS demersal over 24m</v>
      </c>
    </row>
    <row r="74" spans="1:9" s="61" customFormat="1" x14ac:dyDescent="0.2">
      <c r="A74" s="61">
        <v>2013</v>
      </c>
      <c r="B74" s="61" t="s">
        <v>286</v>
      </c>
      <c r="C74" s="62">
        <v>0.25661018712448314</v>
      </c>
      <c r="D74" s="63">
        <v>8211234</v>
      </c>
      <c r="G74" s="61" t="s">
        <v>287</v>
      </c>
      <c r="H74" s="62">
        <v>0.21610828815875588</v>
      </c>
      <c r="I74" s="63">
        <v>8211234</v>
      </c>
    </row>
    <row r="75" spans="1:9" s="61" customFormat="1" x14ac:dyDescent="0.2">
      <c r="B75" s="61" t="s">
        <v>288</v>
      </c>
      <c r="C75" s="62">
        <v>0.21365436724366804</v>
      </c>
      <c r="D75" s="63">
        <v>2783840</v>
      </c>
      <c r="G75" s="61" t="s">
        <v>289</v>
      </c>
      <c r="H75" s="62">
        <v>0.1359174867263595</v>
      </c>
      <c r="I75" s="63">
        <v>2171775</v>
      </c>
    </row>
    <row r="76" spans="1:9" s="61" customFormat="1" x14ac:dyDescent="0.2">
      <c r="B76" s="61" t="s">
        <v>290</v>
      </c>
      <c r="C76" s="62">
        <v>0.13965319854011224</v>
      </c>
      <c r="D76" s="63">
        <v>2764187</v>
      </c>
      <c r="G76" s="61" t="s">
        <v>291</v>
      </c>
      <c r="H76" s="62">
        <v>0.12817736006890659</v>
      </c>
      <c r="I76" s="63">
        <v>2783840</v>
      </c>
    </row>
    <row r="77" spans="1:9" s="61" customFormat="1" x14ac:dyDescent="0.2">
      <c r="B77" s="61" t="s">
        <v>292</v>
      </c>
      <c r="C77" s="62">
        <v>9.4044032394007659E-2</v>
      </c>
      <c r="D77" s="63">
        <v>2171775</v>
      </c>
      <c r="G77" s="61" t="s">
        <v>293</v>
      </c>
      <c r="H77" s="62">
        <v>0.11289376640777281</v>
      </c>
      <c r="I77" s="63">
        <v>6763595</v>
      </c>
    </row>
    <row r="78" spans="1:9" s="61" customFormat="1" x14ac:dyDescent="0.2">
      <c r="B78" s="61" t="s">
        <v>294</v>
      </c>
      <c r="C78" s="62">
        <v>6.1864239111957438E-2</v>
      </c>
      <c r="D78" s="63">
        <v>3511670</v>
      </c>
      <c r="G78" s="61" t="s">
        <v>295</v>
      </c>
      <c r="H78" s="62">
        <v>9.7805914032373598E-2</v>
      </c>
      <c r="I78" s="63">
        <v>2764187</v>
      </c>
    </row>
    <row r="79" spans="1:9" s="61" customFormat="1" x14ac:dyDescent="0.2">
      <c r="B79" s="61" t="s">
        <v>296</v>
      </c>
      <c r="C79" s="62">
        <v>0.23417397558577147</v>
      </c>
      <c r="D79" s="63">
        <v>32768</v>
      </c>
      <c r="G79" s="61" t="s">
        <v>297</v>
      </c>
      <c r="H79" s="62">
        <v>0.30909718460583158</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64</v>
      </c>
      <c r="D88" s="66">
        <v>0.22214668241476387</v>
      </c>
      <c r="E88" s="66">
        <v>0.27124597514102811</v>
      </c>
      <c r="F88" s="66">
        <v>0.26343934689705534</v>
      </c>
      <c r="G88" s="66">
        <v>0.21917748017593303</v>
      </c>
      <c r="H88" s="66">
        <v>0.20694651275986159</v>
      </c>
      <c r="I88" s="66">
        <v>0.1961126386051795</v>
      </c>
      <c r="J88" s="66">
        <v>0.1815505039372575</v>
      </c>
      <c r="K88" s="66">
        <v>0.20457288035356985</v>
      </c>
      <c r="L88" s="66">
        <v>0.21979423313733523</v>
      </c>
      <c r="M88" s="66">
        <v>0.25720604196719182</v>
      </c>
      <c r="N88" s="61"/>
      <c r="O88" s="61">
        <v>8211234</v>
      </c>
    </row>
    <row r="89" spans="1:15" s="65" customFormat="1" hidden="1" x14ac:dyDescent="0.2">
      <c r="A89" s="61"/>
      <c r="B89" s="61">
        <v>2</v>
      </c>
      <c r="C89" s="61" t="s">
        <v>65</v>
      </c>
      <c r="D89" s="66">
        <v>0.11650165527784884</v>
      </c>
      <c r="E89" s="66">
        <v>0.11743602745618799</v>
      </c>
      <c r="F89" s="66">
        <v>0.10562832566332477</v>
      </c>
      <c r="G89" s="66">
        <v>0.11475368887088397</v>
      </c>
      <c r="H89" s="66">
        <v>0.10547383575832647</v>
      </c>
      <c r="I89" s="66">
        <v>0.13692968797675142</v>
      </c>
      <c r="J89" s="66">
        <v>0.13683856272231096</v>
      </c>
      <c r="K89" s="66">
        <v>0.12777792547964831</v>
      </c>
      <c r="L89" s="66">
        <v>0.13823569664773061</v>
      </c>
      <c r="M89" s="66">
        <v>0.16222212259490201</v>
      </c>
      <c r="N89" s="61"/>
      <c r="O89" s="61">
        <v>2171775</v>
      </c>
    </row>
    <row r="90" spans="1:15" s="65" customFormat="1" hidden="1" x14ac:dyDescent="0.2">
      <c r="A90" s="61"/>
      <c r="B90" s="61">
        <v>3</v>
      </c>
      <c r="C90" s="61" t="s">
        <v>223</v>
      </c>
      <c r="D90" s="66">
        <v>7.9548997176080785E-2</v>
      </c>
      <c r="E90" s="66">
        <v>9.9810434241448726E-2</v>
      </c>
      <c r="F90" s="66">
        <v>7.9487934919414582E-2</v>
      </c>
      <c r="G90" s="66">
        <v>0.11074028841049621</v>
      </c>
      <c r="H90" s="66">
        <v>0.12891867350073527</v>
      </c>
      <c r="I90" s="66">
        <v>0.14154508323325607</v>
      </c>
      <c r="J90" s="66">
        <v>0.15264504626939282</v>
      </c>
      <c r="K90" s="66">
        <v>0.14708615102838724</v>
      </c>
      <c r="L90" s="66">
        <v>0.13036355431781238</v>
      </c>
      <c r="M90" s="66">
        <v>0.12155606898330264</v>
      </c>
      <c r="N90" s="61"/>
      <c r="O90" s="61">
        <v>2783840</v>
      </c>
    </row>
    <row r="91" spans="1:15" s="65" customFormat="1" hidden="1" x14ac:dyDescent="0.2">
      <c r="A91" s="61"/>
      <c r="B91" s="61">
        <v>4</v>
      </c>
      <c r="C91" s="61" t="s">
        <v>82</v>
      </c>
      <c r="D91" s="66">
        <v>0.24060964357498635</v>
      </c>
      <c r="E91" s="66">
        <v>0.21616906076454032</v>
      </c>
      <c r="F91" s="66">
        <v>0.20678150270891846</v>
      </c>
      <c r="G91" s="66">
        <v>0.19338102692433379</v>
      </c>
      <c r="H91" s="66">
        <v>0.21913474295620763</v>
      </c>
      <c r="I91" s="66">
        <v>0.18702041157507732</v>
      </c>
      <c r="J91" s="66">
        <v>0.16163689959028835</v>
      </c>
      <c r="K91" s="66">
        <v>0.13396331619969085</v>
      </c>
      <c r="L91" s="66">
        <v>0.11481928354063703</v>
      </c>
      <c r="M91" s="66">
        <v>0.12826057923828765</v>
      </c>
      <c r="N91" s="61"/>
      <c r="O91" s="61">
        <v>6763595</v>
      </c>
    </row>
    <row r="92" spans="1:15" s="65" customFormat="1" hidden="1" x14ac:dyDescent="0.2">
      <c r="A92" s="61"/>
      <c r="B92" s="61">
        <v>5</v>
      </c>
      <c r="C92" s="61" t="s">
        <v>85</v>
      </c>
      <c r="D92" s="66"/>
      <c r="E92" s="66">
        <v>4.1584766201669246E-2</v>
      </c>
      <c r="F92" s="66">
        <v>6.4129925878570665E-2</v>
      </c>
      <c r="G92" s="66">
        <v>8.3064323721875014E-2</v>
      </c>
      <c r="H92" s="66">
        <v>8.8394282883703476E-2</v>
      </c>
      <c r="I92" s="66">
        <v>6.808475097915033E-2</v>
      </c>
      <c r="J92" s="66">
        <v>8.67992783763228E-2</v>
      </c>
      <c r="K92" s="66">
        <v>0.11429988738352495</v>
      </c>
      <c r="L92" s="66">
        <v>9.9474092614391524E-2</v>
      </c>
      <c r="M92" s="66">
        <v>7.4164248425553567E-2</v>
      </c>
      <c r="N92" s="61"/>
      <c r="O92" s="61">
        <v>2764187</v>
      </c>
    </row>
    <row r="93" spans="1:15" s="65" customFormat="1" hidden="1" x14ac:dyDescent="0.2">
      <c r="A93" s="61"/>
      <c r="B93" s="61">
        <v>6</v>
      </c>
      <c r="C93" s="61" t="s">
        <v>116</v>
      </c>
      <c r="D93" s="66">
        <v>7.2057152785543838E-2</v>
      </c>
      <c r="E93" s="66"/>
      <c r="F93" s="66"/>
      <c r="G93" s="66"/>
      <c r="H93" s="66"/>
      <c r="I93" s="66"/>
      <c r="J93" s="66"/>
      <c r="K93" s="66"/>
      <c r="L93" s="66"/>
      <c r="M93" s="66"/>
      <c r="N93" s="61"/>
      <c r="O93" s="61">
        <v>3511670</v>
      </c>
    </row>
    <row r="94" spans="1:15" s="65" customFormat="1" hidden="1" x14ac:dyDescent="0.2">
      <c r="A94" s="61"/>
      <c r="B94" s="61">
        <v>7</v>
      </c>
      <c r="C94" s="61" t="s">
        <v>68</v>
      </c>
      <c r="D94" s="66">
        <v>0.26913586877077633</v>
      </c>
      <c r="E94" s="66">
        <v>0.25375373619512565</v>
      </c>
      <c r="F94" s="66">
        <v>0.28053296393271621</v>
      </c>
      <c r="G94" s="66">
        <v>0.27888319189647798</v>
      </c>
      <c r="H94" s="66">
        <v>0.25113195214116557</v>
      </c>
      <c r="I94" s="66">
        <v>0.27030742763058535</v>
      </c>
      <c r="J94" s="66">
        <v>0.28052970910442759</v>
      </c>
      <c r="K94" s="66">
        <v>0.27229983955517878</v>
      </c>
      <c r="L94" s="66">
        <v>0.29731313974209317</v>
      </c>
      <c r="M94" s="66">
        <v>0.25659093879076228</v>
      </c>
      <c r="N94" s="61"/>
      <c r="O94" s="61">
        <v>32768</v>
      </c>
    </row>
    <row r="95" spans="1:15" s="65" customFormat="1" hidden="1" x14ac:dyDescent="0.2">
      <c r="A95" s="61"/>
      <c r="B95" s="61">
        <v>8</v>
      </c>
      <c r="C95" s="61"/>
      <c r="D95" s="66"/>
      <c r="E95" s="66"/>
      <c r="F95" s="66"/>
      <c r="G95" s="66"/>
      <c r="H95" s="66"/>
      <c r="I95" s="66"/>
      <c r="J95" s="66"/>
      <c r="K95" s="66"/>
      <c r="L95" s="66"/>
      <c r="M95" s="66"/>
      <c r="N95" s="61"/>
      <c r="O95" s="61">
        <v>8274269</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8</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'NSWOS demersal over 24m'!D3:L3</xm:f>
              <xm:sqref>C3</xm:sqref>
            </x14:sparkline>
            <x14:sparkline>
              <xm:f>'NSWOS demersal over 24m'!D4:L4</xm:f>
              <xm:sqref>C4</xm:sqref>
            </x14:sparkline>
            <x14:sparkline>
              <xm:f>'NSWOS demersal over 24m'!D5:L5</xm:f>
              <xm:sqref>C5</xm:sqref>
            </x14:sparkline>
            <x14:sparkline>
              <xm:f>'NSWOS demersal over 24m'!D6:L6</xm:f>
              <xm:sqref>C6</xm:sqref>
            </x14:sparkline>
            <x14:sparkline>
              <xm:f>'NSWOS demersal over 24m'!D7:L7</xm:f>
              <xm:sqref>C7</xm:sqref>
            </x14:sparkline>
            <x14:sparkline>
              <xm:f>'NSWOS demersal over 24m'!D8:L8</xm:f>
              <xm:sqref>C8</xm:sqref>
            </x14:sparkline>
            <x14:sparkline>
              <xm:f>'NSWOS demersal over 24m'!D9:L9</xm:f>
              <xm:sqref>C9</xm:sqref>
            </x14:sparkline>
            <x14:sparkline>
              <xm:f>'NSWOS demersal over 24m'!D10:L10</xm:f>
              <xm:sqref>C10</xm:sqref>
            </x14:sparkline>
            <x14:sparkline>
              <xm:f>'NSWOS demersal over 24m'!D11:L11</xm:f>
              <xm:sqref>C11</xm:sqref>
            </x14:sparkline>
            <x14:sparkline>
              <xm:f>'NSWOS demersal over 24m'!D12:L12</xm:f>
              <xm:sqref>C12</xm:sqref>
            </x14:sparkline>
            <x14:sparkline>
              <xm:f>'NSWOS demersal over 24m'!D13:L13</xm:f>
              <xm:sqref>C13</xm:sqref>
            </x14:sparkline>
            <x14:sparkline>
              <xm:f>'NSWOS demersal over 24m'!D14:L14</xm:f>
              <xm:sqref>C14</xm:sqref>
            </x14:sparkline>
            <x14:sparkline>
              <xm:f>'NSWOS demersal over 24m'!D15:L15</xm:f>
              <xm:sqref>C15</xm:sqref>
            </x14:sparkline>
            <x14:sparkline>
              <xm:f>'NSWOS demersal over 24m'!D16:L16</xm:f>
              <xm:sqref>C16</xm:sqref>
            </x14:sparkline>
            <x14:sparkline>
              <xm:f>'NSWOS demersal over 24m'!D17:L17</xm:f>
              <xm:sqref>C17</xm:sqref>
            </x14:sparkline>
            <x14:sparkline>
              <xm:f>'NSWOS demersal over 24m'!D18:L18</xm:f>
              <xm:sqref>C18</xm:sqref>
            </x14:sparkline>
            <x14:sparkline>
              <xm:f>'NSWOS demersal over 24m'!D19:L19</xm:f>
              <xm:sqref>C19</xm:sqref>
            </x14:sparkline>
            <x14:sparkline>
              <xm:f>'NSWOS demersal over 24m'!D20:L20</xm:f>
              <xm:sqref>C20</xm:sqref>
            </x14:sparkline>
            <x14:sparkline>
              <xm:f>'NSWOS demersal over 24m'!D21:L21</xm:f>
              <xm:sqref>C21</xm:sqref>
            </x14:sparkline>
            <x14:sparkline>
              <xm:f>'NSWOS demersal over 24m'!D22:L22</xm:f>
              <xm:sqref>C22</xm:sqref>
            </x14:sparkline>
            <x14:sparkline>
              <xm:f>'NSWOS demersal over 24m'!D23:L23</xm:f>
              <xm:sqref>C23</xm:sqref>
            </x14:sparkline>
            <x14:sparkline>
              <xm:f>'NSWOS demersal over 24m'!D24:L24</xm:f>
              <xm:sqref>C24</xm:sqref>
            </x14:sparkline>
            <x14:sparkline>
              <xm:f>'NSWOS demersal over 24m'!D25:L25</xm:f>
              <xm:sqref>C25</xm:sqref>
            </x14:sparkline>
            <x14:sparkline>
              <xm:f>'NSWOS demersal over 24m'!D26:L26</xm:f>
              <xm:sqref>C26</xm:sqref>
            </x14:sparkline>
            <x14:sparkline>
              <xm:f>'NSWOS demersal over 24m'!D27:L27</xm:f>
              <xm:sqref>C27</xm:sqref>
            </x14:sparkline>
            <x14:sparkline>
              <xm:f>'NSWOS demersal over 24m'!D28:L28</xm:f>
              <xm:sqref>C28</xm:sqref>
            </x14:sparkline>
            <x14:sparkline>
              <xm:f>'NSWOS demersal over 24m'!D29:L29</xm:f>
              <xm:sqref>C29</xm:sqref>
            </x14:sparkline>
            <x14:sparkline>
              <xm:f>'NSWOS demersal over 24m'!D30:L30</xm:f>
              <xm:sqref>C30</xm:sqref>
            </x14:sparkline>
            <x14:sparkline>
              <xm:f>'NSWOS demersal over 24m'!D31:L31</xm:f>
              <xm:sqref>C31</xm:sqref>
            </x14:sparkline>
            <x14:sparkline>
              <xm:f>'NSWOS demersal over 24m'!D32:L32</xm:f>
              <xm:sqref>C32</xm:sqref>
            </x14:sparkline>
            <x14:sparkline>
              <xm:f>'NSWOS demersal over 24m'!D33:L33</xm:f>
              <xm:sqref>C33</xm:sqref>
            </x14:sparkline>
            <x14:sparkline>
              <xm:f>'NSWOS demersal over 24m'!D34:L34</xm:f>
              <xm:sqref>C34</xm:sqref>
            </x14:sparkline>
            <x14:sparkline>
              <xm:f>'NSWOS demersal over 24m'!D35:L35</xm:f>
              <xm:sqref>C35</xm:sqref>
            </x14:sparkline>
            <x14:sparkline>
              <xm:f>'NSWOS demersal over 24m'!D36:L36</xm:f>
              <xm:sqref>C36</xm:sqref>
            </x14:sparkline>
            <x14:sparkline>
              <xm:f>'NSWOS demersal over 24m'!D37:L37</xm:f>
              <xm:sqref>C37</xm:sqref>
            </x14:sparkline>
            <x14:sparkline>
              <xm:f>'NSWOS demersal over 24m'!D38:L38</xm:f>
              <xm:sqref>C38</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298</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42</v>
      </c>
      <c r="E3" s="16">
        <v>41</v>
      </c>
      <c r="F3" s="16">
        <v>36</v>
      </c>
      <c r="G3" s="16">
        <v>39</v>
      </c>
      <c r="H3" s="16">
        <v>37</v>
      </c>
      <c r="I3" s="16">
        <v>38</v>
      </c>
      <c r="J3" s="16">
        <v>34</v>
      </c>
      <c r="K3" s="16">
        <v>31</v>
      </c>
      <c r="L3" s="16">
        <v>27</v>
      </c>
      <c r="M3" s="17">
        <v>27</v>
      </c>
      <c r="N3" s="18">
        <f t="shared" ref="N3:N38" si="0">IF(L3=0,"",IFERROR(IF(AND(L3&gt;0,D3&lt;0),"na",IF(AND(L3&lt;0,D3&lt;0),-1,1)*(L3-D3)/D3),""))</f>
        <v>-0.35714285714285715</v>
      </c>
      <c r="O3" s="18">
        <f t="shared" ref="O3:O38" si="1">IF(L3=0,"",IFERROR(IF(AND(L3&gt;0,H3&lt;0),"na",IF(AND(L3&lt;0,H3&lt;0),-1,1)*(L3-H3)/H3),""))</f>
        <v>-0.27027027027027029</v>
      </c>
    </row>
    <row r="4" spans="1:15" s="19" customFormat="1" ht="18" customHeight="1" x14ac:dyDescent="0.2">
      <c r="A4" s="141"/>
      <c r="B4" s="20" t="s">
        <v>20</v>
      </c>
      <c r="C4" s="21"/>
      <c r="D4" s="22">
        <v>18016.490234375</v>
      </c>
      <c r="E4" s="22">
        <v>17783.490234375</v>
      </c>
      <c r="F4" s="22">
        <v>17361.55078125</v>
      </c>
      <c r="G4" s="22">
        <v>18573.55078125</v>
      </c>
      <c r="H4" s="22">
        <v>18384.55078125</v>
      </c>
      <c r="I4" s="22">
        <v>19197.55078125</v>
      </c>
      <c r="J4" s="22">
        <v>17396.05078125</v>
      </c>
      <c r="K4" s="22">
        <v>16489.05078125</v>
      </c>
      <c r="L4" s="22">
        <v>14625.5498046875</v>
      </c>
      <c r="M4" s="23">
        <v>14826.0498046875</v>
      </c>
      <c r="N4" s="24">
        <f t="shared" si="0"/>
        <v>-0.18821315281583939</v>
      </c>
      <c r="O4" s="24">
        <f t="shared" si="1"/>
        <v>-0.20446520675371752</v>
      </c>
    </row>
    <row r="5" spans="1:15" s="19" customFormat="1" ht="18" customHeight="1" x14ac:dyDescent="0.2">
      <c r="A5" s="141"/>
      <c r="B5" s="20" t="s">
        <v>21</v>
      </c>
      <c r="C5" s="21"/>
      <c r="D5" s="22">
        <v>7390.14013671875</v>
      </c>
      <c r="E5" s="22">
        <v>7344.330078125</v>
      </c>
      <c r="F5" s="22">
        <v>6936.16015625</v>
      </c>
      <c r="G5" s="22">
        <v>7419.39990234375</v>
      </c>
      <c r="H5" s="22">
        <v>7246.39990234375</v>
      </c>
      <c r="I5" s="22">
        <v>7665.39990234375</v>
      </c>
      <c r="J5" s="22">
        <v>7059.1201171875</v>
      </c>
      <c r="K5" s="22">
        <v>6618.1201171875</v>
      </c>
      <c r="L5" s="22">
        <v>6003.240234375</v>
      </c>
      <c r="M5" s="23">
        <v>6024</v>
      </c>
      <c r="N5" s="24">
        <f t="shared" si="0"/>
        <v>-0.1876689584616644</v>
      </c>
      <c r="O5" s="24">
        <f t="shared" si="1"/>
        <v>-0.17155548751410571</v>
      </c>
    </row>
    <row r="6" spans="1:15" s="19" customFormat="1" ht="18" customHeight="1" x14ac:dyDescent="0.2">
      <c r="A6" s="141"/>
      <c r="B6" s="20" t="s">
        <v>22</v>
      </c>
      <c r="C6" s="21"/>
      <c r="D6" s="22">
        <v>12567.4658203125</v>
      </c>
      <c r="E6" s="22">
        <v>14730.671875</v>
      </c>
      <c r="F6" s="22">
        <v>11849.390625</v>
      </c>
      <c r="G6" s="22">
        <v>14877.0380859375</v>
      </c>
      <c r="H6" s="22">
        <v>14543.4912109375</v>
      </c>
      <c r="I6" s="22">
        <v>15176.984375</v>
      </c>
      <c r="J6" s="22">
        <v>13714.4501953125</v>
      </c>
      <c r="K6" s="22">
        <v>13051.578125</v>
      </c>
      <c r="L6" s="22">
        <v>11386.3369140625</v>
      </c>
      <c r="M6" s="23">
        <v>11570.9111328125</v>
      </c>
      <c r="N6" s="24">
        <f t="shared" si="0"/>
        <v>-9.3983060955771136E-2</v>
      </c>
      <c r="O6" s="24">
        <f t="shared" si="1"/>
        <v>-0.21708365969930574</v>
      </c>
    </row>
    <row r="7" spans="1:15" s="19" customFormat="1" ht="18" customHeight="1" x14ac:dyDescent="0.2">
      <c r="A7" s="141"/>
      <c r="B7" s="20" t="s">
        <v>23</v>
      </c>
      <c r="C7" s="21"/>
      <c r="D7" s="22">
        <v>21051.876953125</v>
      </c>
      <c r="E7" s="22">
        <v>18812.11328125</v>
      </c>
      <c r="F7" s="22">
        <v>18895.64453125</v>
      </c>
      <c r="G7" s="22">
        <v>19065.8046875</v>
      </c>
      <c r="H7" s="22">
        <v>21055.984375</v>
      </c>
      <c r="I7" s="22">
        <v>22169.7265625</v>
      </c>
      <c r="J7" s="22">
        <v>18828.154296875</v>
      </c>
      <c r="K7" s="22">
        <v>21927.314453125</v>
      </c>
      <c r="L7" s="22">
        <v>23109.505859375</v>
      </c>
      <c r="M7" s="23">
        <v>21525.216796875</v>
      </c>
      <c r="N7" s="24">
        <f t="shared" si="0"/>
        <v>9.7740876541868624E-2</v>
      </c>
      <c r="O7" s="24">
        <f t="shared" si="1"/>
        <v>9.7526738612760774E-2</v>
      </c>
    </row>
    <row r="8" spans="1:15" s="19" customFormat="1" ht="18" customHeight="1" x14ac:dyDescent="0.2">
      <c r="A8" s="141"/>
      <c r="B8" s="20" t="s">
        <v>24</v>
      </c>
      <c r="C8" s="25"/>
      <c r="D8" s="26">
        <f ca="1">25.381464*OFFSET(D$108,MATCH($M$1,$C$109:$C$110,0),0)</f>
        <v>20.646805520474043</v>
      </c>
      <c r="E8" s="26">
        <f ca="1">29.073032*OFFSET(E$108,MATCH($M$1,$C$109:$C$110,0),0)</f>
        <v>24.285573972248105</v>
      </c>
      <c r="F8" s="26">
        <f ca="1">30.253248*OFFSET(F$108,MATCH($M$1,$C$109:$C$110,0),0)</f>
        <v>25.997220398277463</v>
      </c>
      <c r="G8" s="26">
        <f ca="1">27.87438*OFFSET(G$108,MATCH($M$1,$C$109:$C$110,0),0)</f>
        <v>24.648478331090161</v>
      </c>
      <c r="H8" s="26">
        <f ca="1">27.114896*OFFSET(H$108,MATCH($M$1,$C$109:$C$110,0),0)</f>
        <v>24.451671306769459</v>
      </c>
      <c r="I8" s="26">
        <f ca="1">33.162772*OFFSET(I$108,MATCH($M$1,$C$109:$C$110,0),0)</f>
        <v>30.854311039266996</v>
      </c>
      <c r="J8" s="26">
        <f ca="1">30.738918*OFFSET(J$108,MATCH($M$1,$C$109:$C$110,0),0)</f>
        <v>29.206890096354655</v>
      </c>
      <c r="K8" s="26">
        <f ca="1">30.654558*OFFSET(K$108,MATCH($M$1,$C$109:$C$110,0),0)</f>
        <v>29.610463465129627</v>
      </c>
      <c r="L8" s="26">
        <f ca="1">31.423542*OFFSET(L$108,MATCH($M$1,$C$109:$C$110,0),0)</f>
        <v>30.896568657191157</v>
      </c>
      <c r="M8" s="27">
        <f ca="1">32.11959*OFFSET(M$108,MATCH($M$1,$C$109:$C$110,0),0)</f>
        <v>32.119589875210472</v>
      </c>
      <c r="N8" s="24">
        <f t="shared" ca="1" si="0"/>
        <v>0.49643336479113515</v>
      </c>
      <c r="O8" s="24">
        <f t="shared" ca="1" si="1"/>
        <v>0.2635769665625034</v>
      </c>
    </row>
    <row r="9" spans="1:15" s="19" customFormat="1" ht="18" customHeight="1" x14ac:dyDescent="0.2">
      <c r="A9" s="141"/>
      <c r="B9" s="20" t="s">
        <v>25</v>
      </c>
      <c r="C9" s="25"/>
      <c r="D9" s="22">
        <v>7212</v>
      </c>
      <c r="E9" s="22">
        <v>7048</v>
      </c>
      <c r="F9" s="22">
        <v>6710</v>
      </c>
      <c r="G9" s="22">
        <v>6811</v>
      </c>
      <c r="H9" s="22">
        <v>6841</v>
      </c>
      <c r="I9" s="22">
        <v>6650</v>
      </c>
      <c r="J9" s="22">
        <v>5441</v>
      </c>
      <c r="K9" s="22">
        <v>4852</v>
      </c>
      <c r="L9" s="22">
        <v>4287</v>
      </c>
      <c r="M9" s="23">
        <v>4111</v>
      </c>
      <c r="N9" s="24">
        <f t="shared" si="0"/>
        <v>-0.40557404326123125</v>
      </c>
      <c r="O9" s="24">
        <f t="shared" si="1"/>
        <v>-0.37333723139891828</v>
      </c>
    </row>
    <row r="10" spans="1:15" s="19" customFormat="1" ht="18" customHeight="1" x14ac:dyDescent="0.2">
      <c r="A10" s="142" t="s">
        <v>7</v>
      </c>
      <c r="B10" s="28" t="s">
        <v>26</v>
      </c>
      <c r="C10" s="29"/>
      <c r="D10" s="30">
        <v>23.194761276245117</v>
      </c>
      <c r="E10" s="30">
        <v>23.417072296142578</v>
      </c>
      <c r="F10" s="30">
        <v>24.246665954589844</v>
      </c>
      <c r="G10" s="30">
        <v>24.10205078125</v>
      </c>
      <c r="H10" s="30">
        <v>24.390810012817383</v>
      </c>
      <c r="I10" s="30">
        <v>24.504999160766602</v>
      </c>
      <c r="J10" s="30">
        <v>24.523235321044922</v>
      </c>
      <c r="K10" s="30">
        <v>24.877418518066406</v>
      </c>
      <c r="L10" s="30">
        <v>24.95777702331543</v>
      </c>
      <c r="M10" s="31">
        <v>25.461481094360352</v>
      </c>
      <c r="N10" s="32">
        <f t="shared" si="0"/>
        <v>7.6009221482089689E-2</v>
      </c>
      <c r="O10" s="32">
        <f t="shared" si="1"/>
        <v>2.3245107899249981E-2</v>
      </c>
    </row>
    <row r="11" spans="1:15" s="19" customFormat="1" ht="18" customHeight="1" x14ac:dyDescent="0.2">
      <c r="A11" s="143"/>
      <c r="B11" s="33" t="s">
        <v>20</v>
      </c>
      <c r="C11" s="21"/>
      <c r="D11" s="22">
        <v>428.96405029296875</v>
      </c>
      <c r="E11" s="22">
        <v>433.74365234375</v>
      </c>
      <c r="F11" s="22">
        <v>482.26528930664062</v>
      </c>
      <c r="G11" s="22">
        <v>476.244873046875</v>
      </c>
      <c r="H11" s="22">
        <v>496.87973022460937</v>
      </c>
      <c r="I11" s="22">
        <v>505.19866943359375</v>
      </c>
      <c r="J11" s="22">
        <v>511.64852905273437</v>
      </c>
      <c r="K11" s="22">
        <v>531.90484619140625</v>
      </c>
      <c r="L11" s="22">
        <v>541.68701171875</v>
      </c>
      <c r="M11" s="23">
        <v>549.11297607421875</v>
      </c>
      <c r="N11" s="24">
        <f t="shared" si="0"/>
        <v>0.26277950646166054</v>
      </c>
      <c r="O11" s="24">
        <f t="shared" si="1"/>
        <v>9.0177318108520851E-2</v>
      </c>
    </row>
    <row r="12" spans="1:15" s="19" customFormat="1" ht="18" customHeight="1" x14ac:dyDescent="0.2">
      <c r="A12" s="143"/>
      <c r="B12" s="33" t="s">
        <v>21</v>
      </c>
      <c r="C12" s="21"/>
      <c r="D12" s="22">
        <v>175.95571899414062</v>
      </c>
      <c r="E12" s="22">
        <v>179.1300048828125</v>
      </c>
      <c r="F12" s="22">
        <v>192.67111206054687</v>
      </c>
      <c r="G12" s="22">
        <v>190.24102783203125</v>
      </c>
      <c r="H12" s="22">
        <v>195.84864807128906</v>
      </c>
      <c r="I12" s="22">
        <v>201.72105407714844</v>
      </c>
      <c r="J12" s="22">
        <v>207.62117004394531</v>
      </c>
      <c r="K12" s="22">
        <v>213.48774719238281</v>
      </c>
      <c r="L12" s="22">
        <v>222.34222412109375</v>
      </c>
      <c r="M12" s="23">
        <v>223.11111450195312</v>
      </c>
      <c r="N12" s="24">
        <f t="shared" si="0"/>
        <v>0.2636260156369104</v>
      </c>
      <c r="O12" s="24">
        <f t="shared" si="1"/>
        <v>0.13527576682664158</v>
      </c>
    </row>
    <row r="13" spans="1:15" s="19" customFormat="1" ht="18" customHeight="1" x14ac:dyDescent="0.2">
      <c r="A13" s="143"/>
      <c r="B13" s="33" t="s">
        <v>22</v>
      </c>
      <c r="C13" s="21"/>
      <c r="D13" s="22">
        <v>299.22537231445312</v>
      </c>
      <c r="E13" s="22">
        <v>359.28469848632812</v>
      </c>
      <c r="F13" s="22">
        <v>329.14971923828125</v>
      </c>
      <c r="G13" s="22">
        <v>381.4625244140625</v>
      </c>
      <c r="H13" s="22">
        <v>393.06732177734375</v>
      </c>
      <c r="I13" s="22">
        <v>399.39434814453125</v>
      </c>
      <c r="J13" s="22">
        <v>403.36618041992187</v>
      </c>
      <c r="K13" s="22">
        <v>421.01864624023437</v>
      </c>
      <c r="L13" s="22">
        <v>421.71615600585937</v>
      </c>
      <c r="M13" s="23">
        <v>428.55227661132812</v>
      </c>
      <c r="N13" s="24">
        <f t="shared" si="0"/>
        <v>0.4093596166125974</v>
      </c>
      <c r="O13" s="24">
        <f t="shared" si="1"/>
        <v>7.2885311602535086E-2</v>
      </c>
    </row>
    <row r="14" spans="1:15" s="19" customFormat="1" ht="18" customHeight="1" x14ac:dyDescent="0.2">
      <c r="A14" s="143"/>
      <c r="B14" s="33" t="s">
        <v>23</v>
      </c>
      <c r="C14" s="25"/>
      <c r="D14" s="26">
        <v>501.23516845703125</v>
      </c>
      <c r="E14" s="26">
        <v>458.83206176757812</v>
      </c>
      <c r="F14" s="26">
        <v>524.8790283203125</v>
      </c>
      <c r="G14" s="26">
        <v>488.86679077148437</v>
      </c>
      <c r="H14" s="26">
        <v>569.08062744140625</v>
      </c>
      <c r="I14" s="26">
        <v>583.41387939453125</v>
      </c>
      <c r="J14" s="26">
        <v>553.76922607421875</v>
      </c>
      <c r="K14" s="26">
        <v>707.332763671875</v>
      </c>
      <c r="L14" s="26">
        <v>855.90765380859375</v>
      </c>
      <c r="M14" s="27">
        <v>797.230224609375</v>
      </c>
      <c r="N14" s="24">
        <f t="shared" si="0"/>
        <v>0.7075969677933065</v>
      </c>
      <c r="O14" s="24">
        <f t="shared" si="1"/>
        <v>0.50401825775859821</v>
      </c>
    </row>
    <row r="15" spans="1:15" s="19" customFormat="1" ht="18" customHeight="1" x14ac:dyDescent="0.2">
      <c r="A15" s="143"/>
      <c r="B15" s="33" t="s">
        <v>27</v>
      </c>
      <c r="C15" s="25"/>
      <c r="D15" s="26">
        <f ca="1">604.3205625*OFFSET(D$108,MATCH($M$1,$C$109:$C$110,0),0)</f>
        <v>491.59060036729869</v>
      </c>
      <c r="E15" s="26">
        <f ca="1">709.098375*OFFSET(E$108,MATCH($M$1,$C$109:$C$110,0),0)</f>
        <v>592.33110050796995</v>
      </c>
      <c r="F15" s="26">
        <f ca="1">840.368*OFFSET(F$108,MATCH($M$1,$C$109:$C$110,0),0)</f>
        <v>722.14501106326293</v>
      </c>
      <c r="G15" s="26">
        <f ca="1">714.7276875*OFFSET(G$108,MATCH($M$1,$C$109:$C$110,0),0)</f>
        <v>632.01226064844968</v>
      </c>
      <c r="H15" s="26">
        <f ca="1">732.835*OFFSET(H$108,MATCH($M$1,$C$109:$C$110,0),0)</f>
        <v>660.85595689160664</v>
      </c>
      <c r="I15" s="26">
        <f ca="1">872.7045625*OFFSET(I$108,MATCH($M$1,$C$109:$C$110,0),0)</f>
        <v>811.95558733034818</v>
      </c>
      <c r="J15" s="26">
        <f ca="1">904.0858125*OFFSET(J$108,MATCH($M$1,$C$109:$C$110,0),0)</f>
        <v>859.02616882484278</v>
      </c>
      <c r="K15" s="26">
        <f ca="1">988.85675*OFFSET(K$108,MATCH($M$1,$C$109:$C$110,0),0)</f>
        <v>955.17627975982634</v>
      </c>
      <c r="L15" s="26">
        <f ca="1">1163.834875*OFFSET(L$108,MATCH($M$1,$C$109:$C$110,0),0)</f>
        <v>1144.3173440177745</v>
      </c>
      <c r="M15" s="27">
        <f ca="1">1189.6145*OFFSET(M$108,MATCH($M$1,$C$109:$C$110,0),0)</f>
        <v>1189.6144953781654</v>
      </c>
      <c r="N15" s="24">
        <f t="shared" ca="1" si="0"/>
        <v>1.327785240732394</v>
      </c>
      <c r="O15" s="24">
        <f t="shared" ca="1" si="1"/>
        <v>0.73156847885607401</v>
      </c>
    </row>
    <row r="16" spans="1:15" s="19" customFormat="1" ht="18" customHeight="1" x14ac:dyDescent="0.2">
      <c r="A16" s="143"/>
      <c r="B16" s="33" t="s">
        <v>25</v>
      </c>
      <c r="C16" s="21"/>
      <c r="D16" s="22">
        <v>171.71427917480469</v>
      </c>
      <c r="E16" s="22">
        <v>171.90243530273437</v>
      </c>
      <c r="F16" s="22">
        <v>186.38888549804687</v>
      </c>
      <c r="G16" s="22">
        <v>174.64102172851562</v>
      </c>
      <c r="H16" s="22">
        <v>184.89189147949219</v>
      </c>
      <c r="I16" s="22">
        <v>175</v>
      </c>
      <c r="J16" s="22">
        <v>160.0294189453125</v>
      </c>
      <c r="K16" s="22">
        <v>156.51612854003906</v>
      </c>
      <c r="L16" s="22">
        <v>158.77777099609375</v>
      </c>
      <c r="M16" s="23">
        <v>152.25926208496094</v>
      </c>
      <c r="N16" s="24">
        <f t="shared" si="0"/>
        <v>-7.5337404908194072E-2</v>
      </c>
      <c r="O16" s="24">
        <f t="shared" si="1"/>
        <v>-0.14123994445854302</v>
      </c>
    </row>
    <row r="17" spans="1:15" s="19" customFormat="1" ht="18" customHeight="1" x14ac:dyDescent="0.2">
      <c r="A17" s="143"/>
      <c r="B17" s="33" t="s">
        <v>28</v>
      </c>
      <c r="C17" s="21"/>
      <c r="D17" s="22">
        <v>22.261905670166016</v>
      </c>
      <c r="E17" s="22">
        <v>23.341463088989258</v>
      </c>
      <c r="F17" s="22">
        <v>20.583333969116211</v>
      </c>
      <c r="G17" s="22">
        <v>22</v>
      </c>
      <c r="H17" s="22">
        <v>22.54054069519043</v>
      </c>
      <c r="I17" s="22">
        <v>22.63157844543457</v>
      </c>
      <c r="J17" s="22">
        <v>21.794116973876953</v>
      </c>
      <c r="K17" s="22">
        <v>23.387096405029297</v>
      </c>
      <c r="L17" s="22">
        <v>24.185184478759766</v>
      </c>
      <c r="M17" s="23">
        <v>26.111110687255859</v>
      </c>
      <c r="N17" s="24">
        <f t="shared" si="0"/>
        <v>8.639326916074419E-2</v>
      </c>
      <c r="O17" s="24">
        <f t="shared" si="1"/>
        <v>7.2963812439524156E-2</v>
      </c>
    </row>
    <row r="18" spans="1:15" s="19" customFormat="1" ht="18" customHeight="1" x14ac:dyDescent="0.2">
      <c r="A18" s="143"/>
      <c r="B18" s="33" t="s">
        <v>29</v>
      </c>
      <c r="C18" s="21"/>
      <c r="D18" s="34">
        <v>2.9190068244934082</v>
      </c>
      <c r="E18" s="34">
        <v>2.6691422462463379</v>
      </c>
      <c r="F18" s="34">
        <v>2.816042423248291</v>
      </c>
      <c r="G18" s="34">
        <v>2.7992665767669678</v>
      </c>
      <c r="H18" s="34">
        <v>3.0779101848602295</v>
      </c>
      <c r="I18" s="34">
        <v>3.3337936401367187</v>
      </c>
      <c r="J18" s="34">
        <v>3.4604213237762451</v>
      </c>
      <c r="K18" s="34">
        <v>4.5192322731018066</v>
      </c>
      <c r="L18" s="34">
        <v>5.3906011581420898</v>
      </c>
      <c r="M18" s="35">
        <v>5.2360048294067383</v>
      </c>
      <c r="N18" s="24">
        <f t="shared" si="0"/>
        <v>0.84672441081997996</v>
      </c>
      <c r="O18" s="24">
        <f t="shared" si="1"/>
        <v>0.75138351491139488</v>
      </c>
    </row>
    <row r="19" spans="1:15" s="19" customFormat="1" ht="18" customHeight="1" x14ac:dyDescent="0.2">
      <c r="A19" s="144"/>
      <c r="B19" s="36" t="s">
        <v>8</v>
      </c>
      <c r="C19" s="37"/>
      <c r="D19" s="38">
        <f ca="1">1205.66275665184*OFFSET(D$108,MATCH($M$1,$C$109:$C$110,0),0)</f>
        <v>980.75841723980784</v>
      </c>
      <c r="E19" s="38">
        <f ca="1">1545.44210771775*OFFSET(E$108,MATCH($M$1,$C$109:$C$110,0),0)</f>
        <v>1290.9540575887111</v>
      </c>
      <c r="F19" s="38">
        <f ca="1">1601.06991587223*OFFSET(F$108,MATCH($M$1,$C$109:$C$110,0),0)</f>
        <v>1375.8313644862833</v>
      </c>
      <c r="G19" s="38">
        <f ca="1">1462.00910252034*OFFSET(G$108,MATCH($M$1,$C$109:$C$110,0),0)</f>
        <v>1292.810806314945</v>
      </c>
      <c r="H19" s="38">
        <f ca="1">1287.75247535773*OFFSET(H$108,MATCH($M$1,$C$109:$C$110,0),0)</f>
        <v>1161.2694458398789</v>
      </c>
      <c r="I19" s="38">
        <f ca="1">1495.85841334167*OFFSET(I$108,MATCH($M$1,$C$109:$C$110,0),0)</f>
        <v>1391.7316910645561</v>
      </c>
      <c r="J19" s="38">
        <f ca="1">1632.60389283627*OFFSET(J$108,MATCH($M$1,$C$109:$C$110,0),0)</f>
        <v>1551.2349025736596</v>
      </c>
      <c r="K19" s="38">
        <f ca="1">1398.00786209053*OFFSET(K$108,MATCH($M$1,$C$109:$C$110,0),0)</f>
        <v>1350.3917011100148</v>
      </c>
      <c r="L19" s="38">
        <f ca="1">1359.76693708715*OFFSET(L$108,MATCH($M$1,$C$109:$C$110,0),0)</f>
        <v>1336.963622035086</v>
      </c>
      <c r="M19" s="39">
        <f ca="1">1492.18427405865*OFFSET(M$108,MATCH($M$1,$C$109:$C$110,0),0)</f>
        <v>1492.1842682612855</v>
      </c>
      <c r="N19" s="40">
        <f ca="1">IF(L19=0,"",IFERROR(IF(AND(L19&gt;0,D19&lt;0),"na",IF(AND(L19&lt;0,D19&lt;0),-1,1)*(L19-D19)/D19),""))</f>
        <v>0.36319362498846797</v>
      </c>
      <c r="O19" s="40">
        <f ca="1">IF(L19=0,"",IFERROR(IF(AND(L19&gt;0,H19&lt;0),"na",IF(AND(L19&lt;0,H19&lt;0),-1,1)*(L19-H19)/H19),""))</f>
        <v>0.15129492713737738</v>
      </c>
    </row>
    <row r="20" spans="1:15" s="19" customFormat="1" ht="18" customHeight="1" x14ac:dyDescent="0.2">
      <c r="A20" s="145" t="s">
        <v>9</v>
      </c>
      <c r="B20" s="28" t="s">
        <v>30</v>
      </c>
      <c r="C20" s="41"/>
      <c r="D20" s="42">
        <v>6.4818085793861675</v>
      </c>
      <c r="E20" s="42">
        <v>5.8777796521331069</v>
      </c>
      <c r="F20" s="42">
        <v>5.7518271075716285</v>
      </c>
      <c r="G20" s="42">
        <v>5.7698486614493483</v>
      </c>
      <c r="H20" s="42">
        <v>6.1245193773822244</v>
      </c>
      <c r="I20" s="42">
        <v>6.497266570940921</v>
      </c>
      <c r="J20" s="42">
        <v>6.5679665906607827</v>
      </c>
      <c r="K20" s="42">
        <v>8.2249856260375065</v>
      </c>
      <c r="L20" s="42">
        <v>9.659050746301423</v>
      </c>
      <c r="M20" s="43">
        <v>9.4092012104799458</v>
      </c>
      <c r="N20" s="32">
        <f t="shared" si="0"/>
        <v>0.49017833957943618</v>
      </c>
      <c r="O20" s="32">
        <f t="shared" si="1"/>
        <v>0.57711163131790877</v>
      </c>
    </row>
    <row r="21" spans="1:15" s="19" customFormat="1" ht="18" customHeight="1" x14ac:dyDescent="0.2">
      <c r="A21" s="145"/>
      <c r="B21" s="33" t="s">
        <v>31</v>
      </c>
      <c r="C21" s="21"/>
      <c r="D21" s="34">
        <f ca="1">7.81487503913599*OFFSET(D$108,MATCH($M$1,$C$109:$C$110,0),0)</f>
        <v>6.3570881923851106</v>
      </c>
      <c r="E21" s="34">
        <f ca="1">9.08376799973258*OFFSET(E$108,MATCH($M$1,$C$109:$C$110,0),0)</f>
        <v>7.5879433457179744</v>
      </c>
      <c r="F21" s="34">
        <f ca="1">9.20907710526009*OFFSET(F$108,MATCH($M$1,$C$109:$C$110,0),0)</f>
        <v>7.913543933206034</v>
      </c>
      <c r="G21" s="34">
        <f ca="1">8.43557113894922*OFFSET(G$108,MATCH($M$1,$C$109:$C$110,0),0)</f>
        <v>7.4593225904489859</v>
      </c>
      <c r="H21" s="34">
        <f ca="1">7.88686513210472*OFFSET(H$108,MATCH($M$1,$C$109:$C$110,0),0)</f>
        <v>7.1122173528176358</v>
      </c>
      <c r="I21" s="34">
        <f ca="1">9.71899089223489*OFFSET(I$108,MATCH($M$1,$C$109:$C$110,0),0)</f>
        <v>9.0424518184673595</v>
      </c>
      <c r="J21" s="34">
        <f ca="1">10.7228880407207*OFFSET(J$108,MATCH($M$1,$C$109:$C$110,0),0)</f>
        <v>10.18845922035529</v>
      </c>
      <c r="K21" s="34">
        <f ca="1">11.4985943995281*OFFSET(K$108,MATCH($M$1,$C$109:$C$110,0),0)</f>
        <v>11.106952165729187</v>
      </c>
      <c r="L21" s="34">
        <f ca="1">13.134057240776*OFFSET(L$108,MATCH($M$1,$C$109:$C$110,0),0)</f>
        <v>12.913798873695216</v>
      </c>
      <c r="M21" s="35">
        <f ca="1">14.0402632111558*OFFSET(M$108,MATCH($M$1,$C$109:$C$110,0),0)</f>
        <v>14.040263156607226</v>
      </c>
      <c r="N21" s="24">
        <f t="shared" ca="1" si="0"/>
        <v>1.0314015604131643</v>
      </c>
      <c r="O21" s="24">
        <f t="shared" ca="1" si="1"/>
        <v>0.81572050361750781</v>
      </c>
    </row>
    <row r="22" spans="1:15" s="19" customFormat="1" ht="18" customHeight="1" x14ac:dyDescent="0.2">
      <c r="A22" s="145"/>
      <c r="B22" s="33" t="s">
        <v>10</v>
      </c>
      <c r="C22" s="21"/>
      <c r="D22" s="34">
        <f ca="1">6.49115165526912*OFFSET(D$108,MATCH($M$1,$C$109:$C$110,0),0)</f>
        <v>5.2802921781913241</v>
      </c>
      <c r="E22" s="34">
        <f ca="1">7.29108740892922*OFFSET(E$108,MATCH($M$1,$C$109:$C$110,0),0)</f>
        <v>6.0904635817714965</v>
      </c>
      <c r="F22" s="34">
        <f ca="1">7.63709574684484*OFFSET(F$108,MATCH($M$1,$C$109:$C$110,0),0)</f>
        <v>6.562708947266513</v>
      </c>
      <c r="G22" s="34">
        <f ca="1">7.77101690403362*OFFSET(G$108,MATCH($M$1,$C$109:$C$110,0),0)</f>
        <v>6.8716772093086211</v>
      </c>
      <c r="H22" s="34">
        <f ca="1">7.42895006094476*OFFSET(H$108,MATCH($M$1,$C$109:$C$110,0),0)</f>
        <v>6.6992786933287967</v>
      </c>
      <c r="I22" s="34">
        <f ca="1">8.72765171292299*OFFSET(I$108,MATCH($M$1,$C$109:$C$110,0),0)</f>
        <v>8.1201197714388087</v>
      </c>
      <c r="J22" s="34">
        <f ca="1">9.53682469299204*OFFSET(J$108,MATCH($M$1,$C$109:$C$110,0),0)</f>
        <v>9.0615092787722631</v>
      </c>
      <c r="K22" s="34">
        <f ca="1">10.3730088916437*OFFSET(K$108,MATCH($M$1,$C$109:$C$110,0),0)</f>
        <v>10.019704110869272</v>
      </c>
      <c r="L22" s="34">
        <f ca="1">12.1422157908593*OFFSET(L$108,MATCH($M$1,$C$109:$C$110,0),0)</f>
        <v>11.938590622047474</v>
      </c>
      <c r="M22" s="35">
        <f ca="1">12.9125896645409*OFFSET(M$108,MATCH($M$1,$C$109:$C$110,0),0)</f>
        <v>12.912589614373511</v>
      </c>
      <c r="N22" s="24">
        <f t="shared" ca="1" si="0"/>
        <v>1.2609715938364683</v>
      </c>
      <c r="O22" s="24">
        <f t="shared" ca="1" si="1"/>
        <v>0.78207105101270569</v>
      </c>
    </row>
    <row r="23" spans="1:15" s="19" customFormat="1" ht="18" customHeight="1" x14ac:dyDescent="0.2">
      <c r="A23" s="146"/>
      <c r="B23" s="33" t="s">
        <v>32</v>
      </c>
      <c r="C23" s="44"/>
      <c r="D23" s="34">
        <f ca="1">1.32372338386687*OFFSET(D$108,MATCH($M$1,$C$109:$C$110,0),0)</f>
        <v>1.076796014193786</v>
      </c>
      <c r="E23" s="34">
        <f ca="1">1.79268059080336*OFFSET(E$108,MATCH($M$1,$C$109:$C$110,0),0)</f>
        <v>1.4974797639464792</v>
      </c>
      <c r="F23" s="34">
        <f ca="1">1.57198135841525*OFFSET(F$108,MATCH($M$1,$C$109:$C$110,0),0)</f>
        <v>1.3508349859395214</v>
      </c>
      <c r="G23" s="34">
        <f ca="1">0.664554234915603*OFFSET(G$108,MATCH($M$1,$C$109:$C$110,0),0)</f>
        <v>0.58764538114036768</v>
      </c>
      <c r="H23" s="34">
        <f ca="1">0.457915071159957*OFFSET(H$108,MATCH($M$1,$C$109:$C$110,0),0)</f>
        <v>0.41293865948883651</v>
      </c>
      <c r="I23" s="34">
        <f ca="1">0.991339179311894*OFFSET(I$108,MATCH($M$1,$C$109:$C$110,0),0)</f>
        <v>0.92233204702854332</v>
      </c>
      <c r="J23" s="34">
        <f ca="1">1.18606334772868*OFFSET(J$108,MATCH($M$1,$C$109:$C$110,0),0)</f>
        <v>1.1269499415830455</v>
      </c>
      <c r="K23" s="34">
        <f ca="1">1.1255855078844*OFFSET(K$108,MATCH($M$1,$C$109:$C$110,0),0)</f>
        <v>1.0872480548599135</v>
      </c>
      <c r="L23" s="34">
        <f ca="1">0.991841449916746*OFFSET(L$108,MATCH($M$1,$C$109:$C$110,0),0)</f>
        <v>0.9752082516477858</v>
      </c>
      <c r="M23" s="35">
        <f ca="1">1.12767354661496*OFFSET(M$108,MATCH($M$1,$C$109:$C$110,0),0)</f>
        <v>1.1276735422337756</v>
      </c>
      <c r="N23" s="24">
        <f t="shared" ca="1" si="0"/>
        <v>-9.4342624979031481E-2</v>
      </c>
      <c r="O23" s="24">
        <f t="shared" ca="1" si="1"/>
        <v>1.3616298189541391</v>
      </c>
    </row>
    <row r="24" spans="1:15" s="19" customFormat="1" ht="18" customHeight="1" x14ac:dyDescent="0.2">
      <c r="A24" s="147" t="s">
        <v>11</v>
      </c>
      <c r="B24" s="28" t="s">
        <v>27</v>
      </c>
      <c r="C24" s="29"/>
      <c r="D24" s="30">
        <f ca="1">604.3*OFFSET(D$108,MATCH($M$1,$C$109:$C$110,0),0)</f>
        <v>491.5738735961985</v>
      </c>
      <c r="E24" s="30">
        <f ca="1">709.1*OFFSET(E$108,MATCH($M$1,$C$109:$C$110,0),0)</f>
        <v>592.33245791911656</v>
      </c>
      <c r="F24" s="30">
        <f ca="1">840.4*OFFSET(F$108,MATCH($M$1,$C$109:$C$110,0),0)</f>
        <v>722.17250930255091</v>
      </c>
      <c r="G24" s="30">
        <f ca="1">714.7*OFFSET(G$108,MATCH($M$1,$C$109:$C$110,0),0)</f>
        <v>631.98777742249843</v>
      </c>
      <c r="H24" s="30">
        <f ca="1">732.8*OFFSET(H$108,MATCH($M$1,$C$109:$C$110,0),0)</f>
        <v>660.82439459110071</v>
      </c>
      <c r="I24" s="30">
        <f ca="1">872.7*OFFSET(I$108,MATCH($M$1,$C$109:$C$110,0),0)</f>
        <v>811.95134242602853</v>
      </c>
      <c r="J24" s="30">
        <f ca="1">904.1*OFFSET(J$108,MATCH($M$1,$C$109:$C$110,0),0)</f>
        <v>859.03964921973648</v>
      </c>
      <c r="K24" s="30">
        <f ca="1">988.9*OFFSET(K$108,MATCH($M$1,$C$109:$C$110,0),0)</f>
        <v>955.21805666441799</v>
      </c>
      <c r="L24" s="30">
        <f ca="1">1163.8*OFFSET(L$108,MATCH($M$1,$C$109:$C$110,0),0)</f>
        <v>1144.2830538721275</v>
      </c>
      <c r="M24" s="31">
        <f ca="1">1189.6*OFFSET(M$108,MATCH($M$1,$C$109:$C$110,0),0)</f>
        <v>1189.5999953782216</v>
      </c>
      <c r="N24" s="32">
        <f t="shared" ca="1" si="0"/>
        <v>1.3277946923845154</v>
      </c>
      <c r="O24" s="32">
        <f t="shared" ca="1" si="1"/>
        <v>0.73159929209359353</v>
      </c>
    </row>
    <row r="25" spans="1:15" s="19" customFormat="1" ht="18" customHeight="1" x14ac:dyDescent="0.2">
      <c r="A25" s="148"/>
      <c r="B25" s="33" t="s">
        <v>33</v>
      </c>
      <c r="C25" s="25"/>
      <c r="D25" s="26">
        <f ca="1">28.8*OFFSET(D$108,MATCH($M$1,$C$109:$C$110,0),0)</f>
        <v>23.427647790121657</v>
      </c>
      <c r="E25" s="26">
        <f ca="1">25.2*OFFSET(E$108,MATCH($M$1,$C$109:$C$110,0),0)</f>
        <v>21.050314397915297</v>
      </c>
      <c r="F25" s="26">
        <f ca="1">27.8*OFFSET(F$108,MATCH($M$1,$C$109:$C$110,0),0)</f>
        <v>23.889095381497999</v>
      </c>
      <c r="G25" s="26">
        <f ca="1">9.6*OFFSET(G$108,MATCH($M$1,$C$109:$C$110,0),0)</f>
        <v>8.4889921131327597</v>
      </c>
      <c r="H25" s="26">
        <f ca="1">11.9*OFFSET(H$108,MATCH($M$1,$C$109:$C$110,0),0)</f>
        <v>10.731182171989763</v>
      </c>
      <c r="I25" s="26">
        <f ca="1">9.4*OFFSET(I$108,MATCH($M$1,$C$109:$C$110,0),0)</f>
        <v>8.7456658861059573</v>
      </c>
      <c r="J25" s="26">
        <f ca="1">39.7*OFFSET(J$108,MATCH($M$1,$C$109:$C$110,0),0)</f>
        <v>37.721351702271363</v>
      </c>
      <c r="K25" s="26">
        <f ca="1">36.1*OFFSET(K$108,MATCH($M$1,$C$109:$C$110,0),0)</f>
        <v>34.870433659202639</v>
      </c>
      <c r="L25" s="26">
        <f ca="1">168.6*OFFSET(L$108,MATCH($M$1,$C$109:$C$110,0),0)</f>
        <v>165.77257508407004</v>
      </c>
      <c r="M25" s="27">
        <f ca="1">172.3*OFFSET(M$108,MATCH($M$1,$C$109:$C$110,0),0)</f>
        <v>172.29999933058812</v>
      </c>
      <c r="N25" s="24">
        <f t="shared" ca="1" si="0"/>
        <v>6.0759376514943417</v>
      </c>
      <c r="O25" s="24">
        <f t="shared" ca="1" si="1"/>
        <v>14.447745870605484</v>
      </c>
    </row>
    <row r="26" spans="1:15" s="19" customFormat="1" ht="18" customHeight="1" x14ac:dyDescent="0.2">
      <c r="A26" s="148"/>
      <c r="B26" s="45" t="s">
        <v>34</v>
      </c>
      <c r="C26" s="46"/>
      <c r="D26" s="47">
        <f ca="1">633.1*OFFSET(D$108,MATCH($M$1,$C$109:$C$110,0),0)</f>
        <v>515.00152138632018</v>
      </c>
      <c r="E26" s="47">
        <f ca="1">734.3*OFFSET(E$108,MATCH($M$1,$C$109:$C$110,0),0)</f>
        <v>613.38277231703182</v>
      </c>
      <c r="F26" s="47">
        <f ca="1">868.2*OFFSET(F$108,MATCH($M$1,$C$109:$C$110,0),0)</f>
        <v>746.06160468404903</v>
      </c>
      <c r="G26" s="47">
        <f ca="1">724.4*OFFSET(G$108,MATCH($M$1,$C$109:$C$110,0),0)</f>
        <v>640.56519653680959</v>
      </c>
      <c r="H26" s="47">
        <f ca="1">744.8*OFFSET(H$108,MATCH($M$1,$C$109:$C$110,0),0)</f>
        <v>671.64575476453581</v>
      </c>
      <c r="I26" s="47">
        <f ca="1">882.1*OFFSET(I$108,MATCH($M$1,$C$109:$C$110,0),0)</f>
        <v>820.69700831213447</v>
      </c>
      <c r="J26" s="47">
        <f ca="1">943.8*OFFSET(J$108,MATCH($M$1,$C$109:$C$110,0),0)</f>
        <v>896.76100092200784</v>
      </c>
      <c r="K26" s="47">
        <f ca="1">1024.9*OFFSET(K$108,MATCH($M$1,$C$109:$C$110,0),0)</f>
        <v>989.99189632456478</v>
      </c>
      <c r="L26" s="47">
        <f ca="1">1332.4*OFFSET(L$108,MATCH($M$1,$C$109:$C$110,0),0)</f>
        <v>1310.0556289561978</v>
      </c>
      <c r="M26" s="48">
        <f ca="1">1361.9*OFFSET(M$108,MATCH($M$1,$C$109:$C$110,0),0)</f>
        <v>1361.89999470881</v>
      </c>
      <c r="N26" s="49">
        <f t="shared" ca="1" si="0"/>
        <v>1.5437898230469118</v>
      </c>
      <c r="O26" s="49">
        <f t="shared" ca="1" si="1"/>
        <v>0.95051575873575556</v>
      </c>
    </row>
    <row r="27" spans="1:15" s="19" customFormat="1" ht="18" customHeight="1" x14ac:dyDescent="0.2">
      <c r="A27" s="148"/>
      <c r="B27" s="33" t="s">
        <v>35</v>
      </c>
      <c r="C27" s="25"/>
      <c r="D27" s="26">
        <f ca="1">75.3*OFFSET(D$108,MATCH($M$1,$C$109:$C$110,0),0)</f>
        <v>61.253537451255582</v>
      </c>
      <c r="E27" s="26">
        <f ca="1">86.9*OFFSET(E$108,MATCH($M$1,$C$109:$C$110,0),0)</f>
        <v>72.590171475350772</v>
      </c>
      <c r="F27" s="26">
        <f ca="1">106.1*OFFSET(F$108,MATCH($M$1,$C$109:$C$110,0),0)</f>
        <v>91.173849639458183</v>
      </c>
      <c r="G27" s="26">
        <f ca="1">125*OFFSET(G$108,MATCH($M$1,$C$109:$C$110,0),0)</f>
        <v>110.53375147308282</v>
      </c>
      <c r="H27" s="26">
        <f ca="1">103.7*OFFSET(H$108,MATCH($M$1,$C$109:$C$110,0),0)</f>
        <v>93.514587498767938</v>
      </c>
      <c r="I27" s="26">
        <f ca="1">110.3*OFFSET(I$108,MATCH($M$1,$C$109:$C$110,0),0)</f>
        <v>102.62201566356244</v>
      </c>
      <c r="J27" s="26">
        <f ca="1">135.5*OFFSET(J$108,MATCH($M$1,$C$109:$C$110,0),0)</f>
        <v>128.7466789838229</v>
      </c>
      <c r="K27" s="26">
        <f ca="1">140.5*OFFSET(K$108,MATCH($M$1,$C$109:$C$110,0),0)</f>
        <v>135.71456867362801</v>
      </c>
      <c r="L27" s="26">
        <f ca="1">135.9*OFFSET(L$108,MATCH($M$1,$C$109:$C$110,0),0)</f>
        <v>133.62095464961519</v>
      </c>
      <c r="M27" s="27">
        <f ca="1">116.7*OFFSET(M$108,MATCH($M$1,$C$109:$C$110,0),0)</f>
        <v>116.69999954660263</v>
      </c>
      <c r="N27" s="24">
        <f t="shared" ca="1" si="0"/>
        <v>1.1814406189348368</v>
      </c>
      <c r="O27" s="24">
        <f t="shared" ca="1" si="1"/>
        <v>0.42887819134502042</v>
      </c>
    </row>
    <row r="28" spans="1:15" s="19" customFormat="1" ht="18" customHeight="1" x14ac:dyDescent="0.2">
      <c r="A28" s="148"/>
      <c r="B28" s="33" t="s">
        <v>36</v>
      </c>
      <c r="C28" s="25"/>
      <c r="D28" s="26">
        <f ca="1">167.4*OFFSET(D$108,MATCH($M$1,$C$109:$C$110,0),0)</f>
        <v>136.17320278008214</v>
      </c>
      <c r="E28" s="26">
        <f ca="1">201.2*OFFSET(E$108,MATCH($M$1,$C$109:$C$110,0),0)</f>
        <v>168.06838320875229</v>
      </c>
      <c r="F28" s="26">
        <f ca="1">260.1*OFFSET(F$108,MATCH($M$1,$C$109:$C$110,0),0)</f>
        <v>223.50912621322408</v>
      </c>
      <c r="G28" s="26">
        <f ca="1">207.7*OFFSET(G$108,MATCH($M$1,$C$109:$C$110,0),0)</f>
        <v>183.66288144767441</v>
      </c>
      <c r="H28" s="26">
        <f ca="1">215.2*OFFSET(H$108,MATCH($M$1,$C$109:$C$110,0),0)</f>
        <v>194.06305911026865</v>
      </c>
      <c r="I28" s="26">
        <f ca="1">220.8*OFFSET(I$108,MATCH($M$1,$C$109:$C$110,0),0)</f>
        <v>205.43010932470162</v>
      </c>
      <c r="J28" s="26">
        <f ca="1">214.6*OFFSET(J$108,MATCH($M$1,$C$109:$C$110,0),0)</f>
        <v>203.90433439061547</v>
      </c>
      <c r="K28" s="26">
        <f ca="1">250.2*OFFSET(K$108,MATCH($M$1,$C$109:$C$110,0),0)</f>
        <v>241.67818563801939</v>
      </c>
      <c r="L28" s="26">
        <f ca="1">267.3*OFFSET(L$108,MATCH($M$1,$C$109:$C$110,0),0)</f>
        <v>262.81737437705766</v>
      </c>
      <c r="M28" s="27">
        <f ca="1">289.7*OFFSET(M$108,MATCH($M$1,$C$109:$C$110,0),0)</f>
        <v>289.69999887447113</v>
      </c>
      <c r="N28" s="24">
        <f t="shared" ca="1" si="0"/>
        <v>0.93002271380444901</v>
      </c>
      <c r="O28" s="24">
        <f t="shared" ca="1" si="1"/>
        <v>0.3542885265336464</v>
      </c>
    </row>
    <row r="29" spans="1:15" s="19" customFormat="1" ht="18" customHeight="1" x14ac:dyDescent="0.2">
      <c r="A29" s="148"/>
      <c r="B29" s="33" t="s">
        <v>37</v>
      </c>
      <c r="C29" s="25"/>
      <c r="D29" s="26">
        <f ca="1">164.9*OFFSET(D$108,MATCH($M$1,$C$109:$C$110,0),0)</f>
        <v>134.13955279830074</v>
      </c>
      <c r="E29" s="26">
        <f ca="1">159.2*OFFSET(E$108,MATCH($M$1,$C$109:$C$110,0),0)</f>
        <v>132.98452587889346</v>
      </c>
      <c r="F29" s="26">
        <f ca="1">187.2*OFFSET(F$108,MATCH($M$1,$C$109:$C$110,0),0)</f>
        <v>160.86469983512319</v>
      </c>
      <c r="G29" s="26">
        <f ca="1">168.8*OFFSET(G$108,MATCH($M$1,$C$109:$C$110,0),0)</f>
        <v>149.26477798925106</v>
      </c>
      <c r="H29" s="26">
        <f ca="1">212.7*OFFSET(H$108,MATCH($M$1,$C$109:$C$110,0),0)</f>
        <v>191.80860907413637</v>
      </c>
      <c r="I29" s="26">
        <f ca="1">275.2*OFFSET(I$108,MATCH($M$1,$C$109:$C$110,0),0)</f>
        <v>256.04332466557014</v>
      </c>
      <c r="J29" s="26">
        <f ca="1">328*OFFSET(J$108,MATCH($M$1,$C$109:$C$110,0),0)</f>
        <v>311.65247754017651</v>
      </c>
      <c r="K29" s="26">
        <f ca="1">349.3*OFFSET(K$108,MATCH($M$1,$C$109:$C$110,0),0)</f>
        <v>337.40283870247873</v>
      </c>
      <c r="L29" s="26">
        <f ca="1">668.1*OFFSET(L$108,MATCH($M$1,$C$109:$C$110,0),0)</f>
        <v>656.89595144523844</v>
      </c>
      <c r="M29" s="27">
        <f ca="1">682.9*OFFSET(M$108,MATCH($M$1,$C$109:$C$110,0),0)</f>
        <v>682.89999734682885</v>
      </c>
      <c r="N29" s="24">
        <f t="shared" ca="1" si="0"/>
        <v>3.8971085540517758</v>
      </c>
      <c r="O29" s="24">
        <f t="shared" ca="1" si="1"/>
        <v>2.4247469632155045</v>
      </c>
    </row>
    <row r="30" spans="1:15" s="19" customFormat="1" ht="18" customHeight="1" x14ac:dyDescent="0.2">
      <c r="A30" s="148"/>
      <c r="B30" s="33" t="s">
        <v>38</v>
      </c>
      <c r="C30" s="25"/>
      <c r="D30" s="26">
        <f ca="1">407.6*OFFSET(D$108,MATCH($M$1,$C$109:$C$110,0),0)</f>
        <v>331.56629302963847</v>
      </c>
      <c r="E30" s="26">
        <f ca="1">447.3*OFFSET(E$108,MATCH($M$1,$C$109:$C$110,0),0)</f>
        <v>373.64308056299654</v>
      </c>
      <c r="F30" s="26">
        <f ca="1">553.4*OFFSET(F$108,MATCH($M$1,$C$109:$C$110,0),0)</f>
        <v>475.54767568780545</v>
      </c>
      <c r="G30" s="26">
        <f ca="1">501.5*OFFSET(G$108,MATCH($M$1,$C$109:$C$110,0),0)</f>
        <v>443.46141091000828</v>
      </c>
      <c r="H30" s="26">
        <f ca="1">531.6*OFFSET(H$108,MATCH($M$1,$C$109:$C$110,0),0)</f>
        <v>479.38625568317298</v>
      </c>
      <c r="I30" s="26">
        <f ca="1">606.3*OFFSET(I$108,MATCH($M$1,$C$109:$C$110,0),0)</f>
        <v>564.09544965383418</v>
      </c>
      <c r="J30" s="26">
        <f ca="1">678*OFFSET(J$108,MATCH($M$1,$C$109:$C$110,0),0)</f>
        <v>644.20847491536483</v>
      </c>
      <c r="K30" s="26">
        <f ca="1">740*OFFSET(K$108,MATCH($M$1,$C$109:$C$110,0),0)</f>
        <v>714.7955930141261</v>
      </c>
      <c r="L30" s="26">
        <f ca="1">1071.3*OFFSET(L$108,MATCH($M$1,$C$109:$C$110,0),0)</f>
        <v>1053.3342804719111</v>
      </c>
      <c r="M30" s="27">
        <f ca="1">1089.3*OFFSET(M$108,MATCH($M$1,$C$109:$C$110,0),0)</f>
        <v>1089.2999957679026</v>
      </c>
      <c r="N30" s="24">
        <f t="shared" ca="1" si="0"/>
        <v>2.1768436738464074</v>
      </c>
      <c r="O30" s="24">
        <f t="shared" ca="1" si="1"/>
        <v>1.1972559037405135</v>
      </c>
    </row>
    <row r="31" spans="1:15" s="19" customFormat="1" ht="18" customHeight="1" x14ac:dyDescent="0.2">
      <c r="A31" s="148"/>
      <c r="B31" s="33" t="s">
        <v>39</v>
      </c>
      <c r="C31" s="25"/>
      <c r="D31" s="26">
        <f ca="1">123.2*OFFSET(D$108,MATCH($M$1,$C$109:$C$110,0),0)</f>
        <v>100.21827110218709</v>
      </c>
      <c r="E31" s="26">
        <f ca="1">147*OFFSET(E$108,MATCH($M$1,$C$109:$C$110,0),0)</f>
        <v>122.79350065450591</v>
      </c>
      <c r="F31" s="26">
        <f ca="1">171.3*OFFSET(F$108,MATCH($M$1,$C$109:$C$110,0),0)</f>
        <v>147.20151218887077</v>
      </c>
      <c r="G31" s="26">
        <f ca="1">166.6*OFFSET(G$108,MATCH($M$1,$C$109:$C$110,0),0)</f>
        <v>147.31938396332478</v>
      </c>
      <c r="H31" s="26">
        <f ca="1">170.7*OFFSET(H$108,MATCH($M$1,$C$109:$C$110,0),0)</f>
        <v>153.93384846711365</v>
      </c>
      <c r="I31" s="26">
        <f ca="1">186.8*OFFSET(I$108,MATCH($M$1,$C$109:$C$110,0),0)</f>
        <v>173.7968497366588</v>
      </c>
      <c r="J31" s="26">
        <f ca="1">165.7*OFFSET(J$108,MATCH($M$1,$C$109:$C$110,0),0)</f>
        <v>157.44151075733916</v>
      </c>
      <c r="K31" s="26">
        <f ca="1">188.1*OFFSET(K$108,MATCH($M$1,$C$109:$C$110,0),0)</f>
        <v>181.69331222426638</v>
      </c>
      <c r="L31" s="26">
        <f ca="1">173.2*OFFSET(L$108,MATCH($M$1,$C$109:$C$110,0),0)</f>
        <v>170.29543300451323</v>
      </c>
      <c r="M31" s="27">
        <f ca="1">177.1*OFFSET(M$108,MATCH($M$1,$C$109:$C$110,0),0)</f>
        <v>177.09999931193937</v>
      </c>
      <c r="N31" s="24">
        <f t="shared" ca="1" si="0"/>
        <v>0.69924536845055218</v>
      </c>
      <c r="O31" s="24">
        <f t="shared" ca="1" si="1"/>
        <v>0.10628971275862735</v>
      </c>
    </row>
    <row r="32" spans="1:15" s="19" customFormat="1" ht="18" customHeight="1" x14ac:dyDescent="0.2">
      <c r="A32" s="148"/>
      <c r="B32" s="33" t="s">
        <v>40</v>
      </c>
      <c r="C32" s="25"/>
      <c r="D32" s="26">
        <f ca="1">530.8*OFFSET(D$108,MATCH($M$1,$C$109:$C$110,0),0)</f>
        <v>431.7845641318255</v>
      </c>
      <c r="E32" s="26">
        <f ca="1">594.4*OFFSET(E$108,MATCH($M$1,$C$109:$C$110,0),0)</f>
        <v>496.52011421114497</v>
      </c>
      <c r="F32" s="26">
        <f ca="1">724.7*OFFSET(F$108,MATCH($M$1,$C$109:$C$110,0),0)</f>
        <v>622.74918787667627</v>
      </c>
      <c r="G32" s="26">
        <f ca="1">668.1*OFFSET(G$108,MATCH($M$1,$C$109:$C$110,0),0)</f>
        <v>590.78079487333309</v>
      </c>
      <c r="H32" s="26">
        <f ca="1">702.2*OFFSET(H$108,MATCH($M$1,$C$109:$C$110,0),0)</f>
        <v>633.2299261488414</v>
      </c>
      <c r="I32" s="26">
        <f ca="1">793.1*OFFSET(I$108,MATCH($M$1,$C$109:$C$110,0),0)</f>
        <v>737.89229939049301</v>
      </c>
      <c r="J32" s="26">
        <f ca="1">843.8*OFFSET(J$108,MATCH($M$1,$C$109:$C$110,0),0)</f>
        <v>801.74500167195401</v>
      </c>
      <c r="K32" s="26">
        <f ca="1">928.1*OFFSET(K$108,MATCH($M$1,$C$109:$C$110,0),0)</f>
        <v>896.48890523839248</v>
      </c>
      <c r="L32" s="26">
        <f ca="1">1244.5*OFFSET(L$108,MATCH($M$1,$C$109:$C$110,0),0)</f>
        <v>1223.6297134764245</v>
      </c>
      <c r="M32" s="27">
        <f ca="1">1266.4*OFFSET(M$108,MATCH($M$1,$C$109:$C$110,0),0)</f>
        <v>1266.399995079842</v>
      </c>
      <c r="N32" s="24">
        <f t="shared" ca="1" si="0"/>
        <v>1.8338894326543032</v>
      </c>
      <c r="O32" s="24">
        <f t="shared" ca="1" si="1"/>
        <v>0.93236242152713578</v>
      </c>
    </row>
    <row r="33" spans="1:15" s="19" customFormat="1" ht="18" customHeight="1" x14ac:dyDescent="0.2">
      <c r="A33" s="148"/>
      <c r="B33" s="45" t="s">
        <v>41</v>
      </c>
      <c r="C33" s="46"/>
      <c r="D33" s="47">
        <f ca="1">269.8*OFFSET(D$108,MATCH($M$1,$C$109:$C$110,0),0)</f>
        <v>219.47150603384804</v>
      </c>
      <c r="E33" s="47">
        <f ca="1">341.1*OFFSET(E$108,MATCH($M$1,$C$109:$C$110,0),0)</f>
        <v>284.93104131463923</v>
      </c>
      <c r="F33" s="47">
        <f ca="1">403.6*OFFSET(F$108,MATCH($M$1,$C$109:$C$110,0),0)</f>
        <v>346.82154302059683</v>
      </c>
      <c r="G33" s="47">
        <f ca="1">264*OFFSET(G$108,MATCH($M$1,$C$109:$C$110,0),0)</f>
        <v>233.44728311115091</v>
      </c>
      <c r="H33" s="47">
        <f ca="1">257.7*OFFSET(H$108,MATCH($M$1,$C$109:$C$110,0),0)</f>
        <v>232.38870972451781</v>
      </c>
      <c r="I33" s="47">
        <f ca="1">309.8*OFFSET(I$108,MATCH($M$1,$C$109:$C$110,0),0)</f>
        <v>288.23481824634314</v>
      </c>
      <c r="J33" s="47">
        <f ca="1">314.6*OFFSET(J$108,MATCH($M$1,$C$109:$C$110,0),0)</f>
        <v>298.9203336406693</v>
      </c>
      <c r="K33" s="47">
        <f ca="1">347*OFFSET(K$108,MATCH($M$1,$C$109:$C$110,0),0)</f>
        <v>335.18117672419157</v>
      </c>
      <c r="L33" s="47">
        <f ca="1">355.2*OFFSET(L$108,MATCH($M$1,$C$109:$C$110,0),0)</f>
        <v>349.24328985683081</v>
      </c>
      <c r="M33" s="48">
        <f ca="1">385.2*OFFSET(M$108,MATCH($M$1,$C$109:$C$110,0),0)</f>
        <v>385.19999850343896</v>
      </c>
      <c r="N33" s="49">
        <f t="shared" ca="1" si="0"/>
        <v>0.59129217349503527</v>
      </c>
      <c r="O33" s="49">
        <f t="shared" ca="1" si="1"/>
        <v>0.50284103849467021</v>
      </c>
    </row>
    <row r="34" spans="1:15" s="19" customFormat="1" ht="18" customHeight="1" x14ac:dyDescent="0.2">
      <c r="A34" s="148"/>
      <c r="B34" s="45" t="s">
        <v>42</v>
      </c>
      <c r="C34" s="46"/>
      <c r="D34" s="47">
        <f ca="1">102.4*OFFSET(D$108,MATCH($M$1,$C$109:$C$110,0),0)</f>
        <v>83.298303253765894</v>
      </c>
      <c r="E34" s="47">
        <f ca="1">139.9*OFFSET(E$108,MATCH($M$1,$C$109:$C$110,0),0)</f>
        <v>116.86265810588692</v>
      </c>
      <c r="F34" s="47">
        <f ca="1">143.5*OFFSET(F$108,MATCH($M$1,$C$109:$C$110,0),0)</f>
        <v>123.31241680737276</v>
      </c>
      <c r="G34" s="47">
        <f ca="1">56.3*OFFSET(G$108,MATCH($M$1,$C$109:$C$110,0),0)</f>
        <v>49.784401663476501</v>
      </c>
      <c r="H34" s="47">
        <f ca="1">42.5*OFFSET(H$108,MATCH($M$1,$C$109:$C$110,0),0)</f>
        <v>38.325650614249156</v>
      </c>
      <c r="I34" s="47">
        <f ca="1">89*OFFSET(I$108,MATCH($M$1,$C$109:$C$110,0),0)</f>
        <v>82.804708921641506</v>
      </c>
      <c r="J34" s="47">
        <f ca="1">100*OFFSET(J$108,MATCH($M$1,$C$109:$C$110,0),0)</f>
        <v>95.01599925005381</v>
      </c>
      <c r="K34" s="47">
        <f ca="1">96.8*OFFSET(K$108,MATCH($M$1,$C$109:$C$110,0),0)</f>
        <v>93.502991086172173</v>
      </c>
      <c r="L34" s="47">
        <f ca="1">87.9*OFFSET(L$108,MATCH($M$1,$C$109:$C$110,0),0)</f>
        <v>86.425915479773181</v>
      </c>
      <c r="M34" s="48">
        <f ca="1">95.5*OFFSET(M$108,MATCH($M$1,$C$109:$C$110,0),0)</f>
        <v>95.499999628967871</v>
      </c>
      <c r="N34" s="49">
        <f t="shared" ca="1" si="0"/>
        <v>3.7547130059529615E-2</v>
      </c>
      <c r="O34" s="49">
        <f t="shared" ca="1" si="1"/>
        <v>1.2550410520008433</v>
      </c>
    </row>
    <row r="35" spans="1:15" s="19" customFormat="1" ht="18" customHeight="1" x14ac:dyDescent="0.2">
      <c r="A35" s="148"/>
      <c r="B35" s="33" t="s">
        <v>43</v>
      </c>
      <c r="C35" s="25"/>
      <c r="D35" s="26">
        <f ca="1">28.4*OFFSET(D$108,MATCH($M$1,$C$109:$C$110,0),0)</f>
        <v>23.102263793036634</v>
      </c>
      <c r="E35" s="26">
        <f ca="1">13.3*OFFSET(E$108,MATCH($M$1,$C$109:$C$110,0),0)</f>
        <v>11.109888154455296</v>
      </c>
      <c r="F35" s="26">
        <f ca="1">26*OFFSET(F$108,MATCH($M$1,$C$109:$C$110,0),0)</f>
        <v>22.342319421544889</v>
      </c>
      <c r="G35" s="26">
        <f ca="1">30.6*OFFSET(G$108,MATCH($M$1,$C$109:$C$110,0),0)</f>
        <v>27.058662360610676</v>
      </c>
      <c r="H35" s="26">
        <f ca="1">32.9*OFFSET(H$108,MATCH($M$1,$C$109:$C$110,0),0)</f>
        <v>29.668562475501112</v>
      </c>
      <c r="I35" s="26">
        <f ca="1">36.3*OFFSET(I$108,MATCH($M$1,$C$109:$C$110,0),0)</f>
        <v>33.773156560175124</v>
      </c>
      <c r="J35" s="26">
        <f ca="1">38*OFFSET(J$108,MATCH($M$1,$C$109:$C$110,0),0)</f>
        <v>36.106079715020449</v>
      </c>
      <c r="K35" s="26">
        <f ca="1">41.1*OFFSET(K$108,MATCH($M$1,$C$109:$C$110,0),0)</f>
        <v>39.700133612000791</v>
      </c>
      <c r="L35" s="26">
        <f ca="1">49*OFFSET(L$108,MATCH($M$1,$C$109:$C$110,0),0)</f>
        <v>48.178269152547045</v>
      </c>
      <c r="M35" s="27"/>
      <c r="N35" s="24">
        <f t="shared" ca="1" si="0"/>
        <v>1.0854349852532068</v>
      </c>
      <c r="O35" s="24">
        <f t="shared" ca="1" si="1"/>
        <v>0.62388282857756827</v>
      </c>
    </row>
    <row r="36" spans="1:15" s="19" customFormat="1" ht="18" customHeight="1" x14ac:dyDescent="0.2">
      <c r="A36" s="148"/>
      <c r="B36" s="33" t="s">
        <v>44</v>
      </c>
      <c r="C36" s="25"/>
      <c r="D36" s="26">
        <f ca="1">22.1*OFFSET(D$108,MATCH($M$1,$C$109:$C$110,0),0)</f>
        <v>17.977465838947523</v>
      </c>
      <c r="E36" s="26">
        <f ca="1">13.3*OFFSET(E$108,MATCH($M$1,$C$109:$C$110,0),0)</f>
        <v>11.109888154455296</v>
      </c>
      <c r="F36" s="26">
        <f ca="1">24.6*OFFSET(F$108,MATCH($M$1,$C$109:$C$110,0),0)</f>
        <v>21.139271452692473</v>
      </c>
      <c r="G36" s="26">
        <f ca="1">24.2*OFFSET(G$108,MATCH($M$1,$C$109:$C$110,0),0)</f>
        <v>21.399334285188832</v>
      </c>
      <c r="H36" s="26">
        <f ca="1">8.8*OFFSET(H$108,MATCH($M$1,$C$109:$C$110,0),0)</f>
        <v>7.9356641271857082</v>
      </c>
      <c r="I36" s="26">
        <f ca="1">10.2*OFFSET(I$108,MATCH($M$1,$C$109:$C$110,0),0)</f>
        <v>9.489977876412846</v>
      </c>
      <c r="J36" s="26">
        <f ca="1">9*OFFSET(J$108,MATCH($M$1,$C$109:$C$110,0),0)</f>
        <v>8.5514399325048434</v>
      </c>
      <c r="K36" s="26">
        <f ca="1">14.1*OFFSET(K$108,MATCH($M$1,$C$109:$C$110,0),0)</f>
        <v>13.619753866890781</v>
      </c>
      <c r="L36" s="26">
        <f ca="1">9.2*OFFSET(L$108,MATCH($M$1,$C$109:$C$110,0),0)</f>
        <v>9.045715840886384</v>
      </c>
      <c r="M36" s="27"/>
      <c r="N36" s="24">
        <f t="shared" ca="1" si="0"/>
        <v>-0.49683031402072414</v>
      </c>
      <c r="O36" s="24">
        <f t="shared" ca="1" si="1"/>
        <v>0.13988138811191633</v>
      </c>
    </row>
    <row r="37" spans="1:15" s="19" customFormat="1" ht="18" customHeight="1" x14ac:dyDescent="0.2">
      <c r="A37" s="148"/>
      <c r="B37" s="33" t="s">
        <v>45</v>
      </c>
      <c r="C37" s="25"/>
      <c r="D37" s="26"/>
      <c r="E37" s="26"/>
      <c r="F37" s="26"/>
      <c r="G37" s="26"/>
      <c r="H37" s="26">
        <f ca="1">0.8*OFFSET(H$108,MATCH($M$1,$C$109:$C$110,0),0)</f>
        <v>0.72142401156233715</v>
      </c>
      <c r="I37" s="26">
        <f ca="1">0.1*OFFSET(I$108,MATCH($M$1,$C$109:$C$110,0),0)</f>
        <v>9.3038998788361249E-2</v>
      </c>
      <c r="J37" s="26">
        <f ca="1">3.5*OFFSET(J$108,MATCH($M$1,$C$109:$C$110,0),0)</f>
        <v>3.3255599737518833</v>
      </c>
      <c r="K37" s="26">
        <f ca="1">1.9*OFFSET(K$108,MATCH($M$1,$C$109:$C$110,0),0)</f>
        <v>1.8352859820632967</v>
      </c>
      <c r="L37" s="26">
        <f ca="1">5*OFFSET(L$108,MATCH($M$1,$C$109:$C$110,0),0)</f>
        <v>4.9161499135252091</v>
      </c>
      <c r="M37" s="27"/>
      <c r="N37" s="24" t="str">
        <f t="shared" ca="1" si="0"/>
        <v/>
      </c>
      <c r="O37" s="24">
        <f t="shared" ca="1" si="1"/>
        <v>5.814508298495153</v>
      </c>
    </row>
    <row r="38" spans="1:15" s="19" customFormat="1" ht="18" customHeight="1" thickBot="1" x14ac:dyDescent="0.25">
      <c r="A38" s="149"/>
      <c r="B38" s="50" t="s">
        <v>46</v>
      </c>
      <c r="C38" s="51"/>
      <c r="D38" s="52">
        <f ca="1">51.9*OFFSET(D$108,MATCH($M$1,$C$109:$C$110,0),0)</f>
        <v>42.218573621781736</v>
      </c>
      <c r="E38" s="52">
        <f ca="1">113.4*OFFSET(E$108,MATCH($M$1,$C$109:$C$110,0),0)</f>
        <v>94.726414790618847</v>
      </c>
      <c r="F38" s="52">
        <f ca="1">92.8*OFFSET(F$108,MATCH($M$1,$C$109:$C$110,0),0)</f>
        <v>79.744893935360224</v>
      </c>
      <c r="G38" s="52">
        <f ca="1">1.5*OFFSET(G$108,MATCH($M$1,$C$109:$C$110,0),0)</f>
        <v>1.3264050176769939</v>
      </c>
      <c r="H38" s="52">
        <f ca="1">0.1*OFFSET(H$108,MATCH($M$1,$C$109:$C$110,0),0)</f>
        <v>9.0178001445292144E-2</v>
      </c>
      <c r="I38" s="52">
        <f ca="1">42.4*OFFSET(I$108,MATCH($M$1,$C$109:$C$110,0),0)</f>
        <v>39.448535486265165</v>
      </c>
      <c r="J38" s="52">
        <f ca="1">49.5*OFFSET(J$108,MATCH($M$1,$C$109:$C$110,0),0)</f>
        <v>47.032919628776632</v>
      </c>
      <c r="K38" s="52">
        <f ca="1">39.7*OFFSET(K$108,MATCH($M$1,$C$109:$C$110,0),0)</f>
        <v>38.34781762521731</v>
      </c>
      <c r="L38" s="52">
        <f ca="1">24.6*OFFSET(L$108,MATCH($M$1,$C$109:$C$110,0),0)</f>
        <v>24.18745757454403</v>
      </c>
      <c r="M38" s="53"/>
      <c r="N38" s="54">
        <f t="shared" ca="1" si="0"/>
        <v>-0.4270896551070345</v>
      </c>
      <c r="O38" s="54">
        <f t="shared" ca="1" si="1"/>
        <v>267.21904662876921</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NSWOS demersal pair trawl seine</v>
      </c>
      <c r="C45" s="61"/>
      <c r="D45" s="61"/>
      <c r="E45" s="61"/>
      <c r="F45" s="61" t="str">
        <f>$B21&amp;CHAR(10)&amp;$A$1</f>
        <v>Income per kW day at sea (£)
NSWOS demersal pair trawl seine</v>
      </c>
      <c r="G45" s="61"/>
      <c r="K45" s="61" t="str">
        <f>$B23&amp;CHAR(10)&amp;$A$1</f>
        <v>Operating profit per kW day at sea (£)
NSWOS demersal pair trawl seine</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NSWOS demersal pair trawl seine</v>
      </c>
      <c r="F59" s="61" t="str">
        <f>$B19&amp;CHAR(10)&amp;$A$1</f>
        <v>Average price per tonne landed (£)
NSWOS demersal pair trawl seine</v>
      </c>
      <c r="K59" s="61" t="str">
        <f>"Average annual operating profit per vessel (£'000)"&amp;CHAR(10)&amp;$A$1</f>
        <v>Average annual operating profit per vessel (£'000)
NSWOS demersal pair trawl seine</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NSWOS demersal pair trawl seine</v>
      </c>
      <c r="F73" s="61" t="str">
        <f>"Top 5 landed species by value in "&amp;A74&amp;CHAR(10)&amp;A1</f>
        <v>Top 5 landed species by value in 2013
NSWOS demersal pair trawl seine</v>
      </c>
    </row>
    <row r="74" spans="1:9" s="61" customFormat="1" x14ac:dyDescent="0.2">
      <c r="A74" s="61">
        <v>2013</v>
      </c>
      <c r="B74" s="61" t="s">
        <v>299</v>
      </c>
      <c r="C74" s="62">
        <v>0.48125390939723378</v>
      </c>
      <c r="D74" s="63">
        <v>8211234</v>
      </c>
      <c r="G74" s="61" t="s">
        <v>300</v>
      </c>
      <c r="H74" s="62">
        <v>0.40780794221097039</v>
      </c>
      <c r="I74" s="63">
        <v>8211234</v>
      </c>
    </row>
    <row r="75" spans="1:9" s="61" customFormat="1" x14ac:dyDescent="0.2">
      <c r="B75" s="61" t="s">
        <v>301</v>
      </c>
      <c r="C75" s="62">
        <v>0.1740693109665454</v>
      </c>
      <c r="D75" s="63">
        <v>2171775</v>
      </c>
      <c r="G75" s="61" t="s">
        <v>302</v>
      </c>
      <c r="H75" s="62">
        <v>0.25647528849548534</v>
      </c>
      <c r="I75" s="63">
        <v>2171775</v>
      </c>
    </row>
    <row r="76" spans="1:9" s="61" customFormat="1" x14ac:dyDescent="0.2">
      <c r="B76" s="61" t="s">
        <v>303</v>
      </c>
      <c r="C76" s="62">
        <v>0.11904927516046013</v>
      </c>
      <c r="D76" s="63">
        <v>2764187</v>
      </c>
      <c r="G76" s="61" t="s">
        <v>304</v>
      </c>
      <c r="H76" s="62">
        <v>9.5984270328278082E-2</v>
      </c>
      <c r="I76" s="63">
        <v>2783840</v>
      </c>
    </row>
    <row r="77" spans="1:9" s="61" customFormat="1" x14ac:dyDescent="0.2">
      <c r="B77" s="61" t="s">
        <v>305</v>
      </c>
      <c r="C77" s="62">
        <v>0.11821241799932336</v>
      </c>
      <c r="D77" s="63">
        <v>2783840</v>
      </c>
      <c r="G77" s="61" t="s">
        <v>306</v>
      </c>
      <c r="H77" s="62">
        <v>8.3230464598803025E-2</v>
      </c>
      <c r="I77" s="63">
        <v>6763595</v>
      </c>
    </row>
    <row r="78" spans="1:9" s="61" customFormat="1" x14ac:dyDescent="0.2">
      <c r="B78" s="61" t="s">
        <v>307</v>
      </c>
      <c r="C78" s="62">
        <v>6.9318224364348174E-2</v>
      </c>
      <c r="D78" s="63">
        <v>6763595</v>
      </c>
      <c r="G78" s="61" t="s">
        <v>308</v>
      </c>
      <c r="H78" s="62">
        <v>7.7781261895937759E-2</v>
      </c>
      <c r="I78" s="63">
        <v>2764187</v>
      </c>
    </row>
    <row r="79" spans="1:9" s="61" customFormat="1" x14ac:dyDescent="0.2">
      <c r="B79" s="61" t="s">
        <v>57</v>
      </c>
      <c r="C79" s="62">
        <v>3.8096862112089069E-2</v>
      </c>
      <c r="D79" s="63">
        <v>32768</v>
      </c>
      <c r="G79" s="61" t="s">
        <v>309</v>
      </c>
      <c r="H79" s="62">
        <v>7.8720772470525446E-2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64</v>
      </c>
      <c r="D88" s="66">
        <v>0.54773343634845995</v>
      </c>
      <c r="E88" s="66">
        <v>0.55716422432510759</v>
      </c>
      <c r="F88" s="66">
        <v>0.52583799344699167</v>
      </c>
      <c r="G88" s="66">
        <v>0.42423163004222819</v>
      </c>
      <c r="H88" s="66">
        <v>0.39153747850044773</v>
      </c>
      <c r="I88" s="66">
        <v>0.35628527383789987</v>
      </c>
      <c r="J88" s="66">
        <v>0.33517819495182094</v>
      </c>
      <c r="K88" s="66">
        <v>0.35513215868552417</v>
      </c>
      <c r="L88" s="66">
        <v>0.41476354266920518</v>
      </c>
      <c r="M88" s="66">
        <v>0.46495867475269764</v>
      </c>
      <c r="N88" s="61"/>
      <c r="O88" s="61">
        <v>8211234</v>
      </c>
    </row>
    <row r="89" spans="1:15" s="65" customFormat="1" hidden="1" x14ac:dyDescent="0.2">
      <c r="A89" s="61"/>
      <c r="B89" s="61">
        <v>2</v>
      </c>
      <c r="C89" s="61" t="s">
        <v>65</v>
      </c>
      <c r="D89" s="66">
        <v>0.17611500054778448</v>
      </c>
      <c r="E89" s="66">
        <v>0.15353334864557866</v>
      </c>
      <c r="F89" s="66">
        <v>0.17511795491979526</v>
      </c>
      <c r="G89" s="66">
        <v>0.18568109966059568</v>
      </c>
      <c r="H89" s="66">
        <v>0.22732523158334531</v>
      </c>
      <c r="I89" s="66">
        <v>0.29185706685016993</v>
      </c>
      <c r="J89" s="66">
        <v>0.27770728261086908</v>
      </c>
      <c r="K89" s="66">
        <v>0.26919861843434806</v>
      </c>
      <c r="L89" s="66">
        <v>0.26084974874879308</v>
      </c>
      <c r="M89" s="66">
        <v>0.24322175345326638</v>
      </c>
      <c r="N89" s="61"/>
      <c r="O89" s="61">
        <v>2171775</v>
      </c>
    </row>
    <row r="90" spans="1:15" s="65" customFormat="1" hidden="1" x14ac:dyDescent="0.2">
      <c r="A90" s="61"/>
      <c r="B90" s="61">
        <v>3</v>
      </c>
      <c r="C90" s="61" t="s">
        <v>271</v>
      </c>
      <c r="D90" s="66">
        <v>5.1042658849993552E-2</v>
      </c>
      <c r="E90" s="66">
        <v>9.0822539339609598E-2</v>
      </c>
      <c r="F90" s="66">
        <v>0.11859011271205151</v>
      </c>
      <c r="G90" s="66">
        <v>0.12136639836342025</v>
      </c>
      <c r="H90" s="66">
        <v>0.10309630359837969</v>
      </c>
      <c r="I90" s="66">
        <v>7.9474669537275694E-2</v>
      </c>
      <c r="J90" s="66">
        <v>0.10628561317453609</v>
      </c>
      <c r="K90" s="66">
        <v>0.10463549304732273</v>
      </c>
      <c r="L90" s="66">
        <v>9.7621384679359852E-2</v>
      </c>
      <c r="M90" s="66">
        <v>8.9601805315696739E-2</v>
      </c>
      <c r="N90" s="61"/>
      <c r="O90" s="61">
        <v>2783840</v>
      </c>
    </row>
    <row r="91" spans="1:15" s="65" customFormat="1" hidden="1" x14ac:dyDescent="0.2">
      <c r="A91" s="61"/>
      <c r="B91" s="61">
        <v>4</v>
      </c>
      <c r="C91" s="61" t="s">
        <v>66</v>
      </c>
      <c r="D91" s="66"/>
      <c r="E91" s="66"/>
      <c r="F91" s="66"/>
      <c r="G91" s="66">
        <v>6.1438418226066535E-2</v>
      </c>
      <c r="H91" s="66">
        <v>4.4610727438189092E-2</v>
      </c>
      <c r="I91" s="66">
        <v>4.3798424349893138E-2</v>
      </c>
      <c r="J91" s="66">
        <v>5.9538960467133646E-2</v>
      </c>
      <c r="K91" s="66">
        <v>0.10141480727894031</v>
      </c>
      <c r="L91" s="66">
        <v>8.4650049157563384E-2</v>
      </c>
      <c r="M91" s="66">
        <v>8.0362148146971984E-2</v>
      </c>
      <c r="N91" s="61"/>
      <c r="O91" s="61">
        <v>6763595</v>
      </c>
    </row>
    <row r="92" spans="1:15" s="65" customFormat="1" hidden="1" x14ac:dyDescent="0.2">
      <c r="A92" s="61"/>
      <c r="B92" s="61">
        <v>5</v>
      </c>
      <c r="C92" s="61" t="s">
        <v>223</v>
      </c>
      <c r="D92" s="66">
        <v>3.8085430744106377E-2</v>
      </c>
      <c r="E92" s="66">
        <v>3.5208759632364466E-2</v>
      </c>
      <c r="F92" s="66"/>
      <c r="G92" s="66">
        <v>6.1610857879338433E-2</v>
      </c>
      <c r="H92" s="66">
        <v>9.786929908106079E-2</v>
      </c>
      <c r="I92" s="66">
        <v>0.11212250495165797</v>
      </c>
      <c r="J92" s="66">
        <v>9.996878989641074E-2</v>
      </c>
      <c r="K92" s="66">
        <v>8.3186318863493661E-2</v>
      </c>
      <c r="L92" s="66">
        <v>7.9107904476639609E-2</v>
      </c>
      <c r="M92" s="66">
        <v>6.8048774906529011E-2</v>
      </c>
      <c r="N92" s="61"/>
      <c r="O92" s="61">
        <v>2764187</v>
      </c>
    </row>
    <row r="93" spans="1:15" s="65" customFormat="1" hidden="1" x14ac:dyDescent="0.2">
      <c r="A93" s="61"/>
      <c r="B93" s="61">
        <v>6</v>
      </c>
      <c r="C93" s="61" t="s">
        <v>132</v>
      </c>
      <c r="D93" s="66"/>
      <c r="E93" s="66"/>
      <c r="F93" s="66">
        <v>3.3815548354785625E-2</v>
      </c>
      <c r="G93" s="66"/>
      <c r="H93" s="66"/>
      <c r="I93" s="66"/>
      <c r="J93" s="66"/>
      <c r="K93" s="66"/>
      <c r="L93" s="66"/>
      <c r="M93" s="66"/>
      <c r="N93" s="61"/>
      <c r="O93" s="61">
        <v>3511670</v>
      </c>
    </row>
    <row r="94" spans="1:15" s="65" customFormat="1" hidden="1" x14ac:dyDescent="0.2">
      <c r="A94" s="61"/>
      <c r="B94" s="61">
        <v>7</v>
      </c>
      <c r="C94" s="61" t="s">
        <v>82</v>
      </c>
      <c r="D94" s="66">
        <v>4.5666451992622974E-2</v>
      </c>
      <c r="E94" s="66">
        <v>4.0050808558200021E-2</v>
      </c>
      <c r="F94" s="66">
        <v>2.9971820063837595E-2</v>
      </c>
      <c r="G94" s="66"/>
      <c r="H94" s="66"/>
      <c r="I94" s="66"/>
      <c r="J94" s="66"/>
      <c r="K94" s="66"/>
      <c r="L94" s="66"/>
      <c r="M94" s="66"/>
      <c r="N94" s="61"/>
      <c r="O94" s="61">
        <v>1464488</v>
      </c>
    </row>
    <row r="95" spans="1:15" s="65" customFormat="1" hidden="1" x14ac:dyDescent="0.2">
      <c r="A95" s="61"/>
      <c r="B95" s="61">
        <v>8</v>
      </c>
      <c r="C95" s="61" t="s">
        <v>68</v>
      </c>
      <c r="D95" s="66">
        <v>0.14135702151703269</v>
      </c>
      <c r="E95" s="66">
        <v>0.1232203194991397</v>
      </c>
      <c r="F95" s="66">
        <v>0.11666657050253834</v>
      </c>
      <c r="G95" s="66">
        <v>0.14567159582835093</v>
      </c>
      <c r="H95" s="66">
        <v>0.13556095979857738</v>
      </c>
      <c r="I95" s="66">
        <v>0.1164620604731034</v>
      </c>
      <c r="J95" s="66">
        <v>0.12132115889922952</v>
      </c>
      <c r="K95" s="66">
        <v>8.6432603690371076E-2</v>
      </c>
      <c r="L95" s="66">
        <v>6.3007370268438875E-2</v>
      </c>
      <c r="M95" s="66">
        <v>5.3806843424838234E-2</v>
      </c>
      <c r="N95" s="61"/>
      <c r="O95" s="61">
        <v>32768</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9</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'NSWOS dem pair trawl seine'!D3:L3</xm:f>
              <xm:sqref>C3</xm:sqref>
            </x14:sparkline>
            <x14:sparkline>
              <xm:f>'NSWOS dem pair trawl seine'!D4:L4</xm:f>
              <xm:sqref>C4</xm:sqref>
            </x14:sparkline>
            <x14:sparkline>
              <xm:f>'NSWOS dem pair trawl seine'!D5:L5</xm:f>
              <xm:sqref>C5</xm:sqref>
            </x14:sparkline>
            <x14:sparkline>
              <xm:f>'NSWOS dem pair trawl seine'!D6:L6</xm:f>
              <xm:sqref>C6</xm:sqref>
            </x14:sparkline>
            <x14:sparkline>
              <xm:f>'NSWOS dem pair trawl seine'!D7:L7</xm:f>
              <xm:sqref>C7</xm:sqref>
            </x14:sparkline>
            <x14:sparkline>
              <xm:f>'NSWOS dem pair trawl seine'!D8:L8</xm:f>
              <xm:sqref>C8</xm:sqref>
            </x14:sparkline>
            <x14:sparkline>
              <xm:f>'NSWOS dem pair trawl seine'!D9:L9</xm:f>
              <xm:sqref>C9</xm:sqref>
            </x14:sparkline>
            <x14:sparkline>
              <xm:f>'NSWOS dem pair trawl seine'!D10:L10</xm:f>
              <xm:sqref>C10</xm:sqref>
            </x14:sparkline>
            <x14:sparkline>
              <xm:f>'NSWOS dem pair trawl seine'!D11:L11</xm:f>
              <xm:sqref>C11</xm:sqref>
            </x14:sparkline>
            <x14:sparkline>
              <xm:f>'NSWOS dem pair trawl seine'!D12:L12</xm:f>
              <xm:sqref>C12</xm:sqref>
            </x14:sparkline>
            <x14:sparkline>
              <xm:f>'NSWOS dem pair trawl seine'!D13:L13</xm:f>
              <xm:sqref>C13</xm:sqref>
            </x14:sparkline>
            <x14:sparkline>
              <xm:f>'NSWOS dem pair trawl seine'!D14:L14</xm:f>
              <xm:sqref>C14</xm:sqref>
            </x14:sparkline>
            <x14:sparkline>
              <xm:f>'NSWOS dem pair trawl seine'!D15:L15</xm:f>
              <xm:sqref>C15</xm:sqref>
            </x14:sparkline>
            <x14:sparkline>
              <xm:f>'NSWOS dem pair trawl seine'!D16:L16</xm:f>
              <xm:sqref>C16</xm:sqref>
            </x14:sparkline>
            <x14:sparkline>
              <xm:f>'NSWOS dem pair trawl seine'!D17:L17</xm:f>
              <xm:sqref>C17</xm:sqref>
            </x14:sparkline>
            <x14:sparkline>
              <xm:f>'NSWOS dem pair trawl seine'!D18:L18</xm:f>
              <xm:sqref>C18</xm:sqref>
            </x14:sparkline>
            <x14:sparkline>
              <xm:f>'NSWOS dem pair trawl seine'!D19:L19</xm:f>
              <xm:sqref>C19</xm:sqref>
            </x14:sparkline>
            <x14:sparkline>
              <xm:f>'NSWOS dem pair trawl seine'!D20:L20</xm:f>
              <xm:sqref>C20</xm:sqref>
            </x14:sparkline>
            <x14:sparkline>
              <xm:f>'NSWOS dem pair trawl seine'!D21:L21</xm:f>
              <xm:sqref>C21</xm:sqref>
            </x14:sparkline>
            <x14:sparkline>
              <xm:f>'NSWOS dem pair trawl seine'!D22:L22</xm:f>
              <xm:sqref>C22</xm:sqref>
            </x14:sparkline>
            <x14:sparkline>
              <xm:f>'NSWOS dem pair trawl seine'!D23:L23</xm:f>
              <xm:sqref>C23</xm:sqref>
            </x14:sparkline>
            <x14:sparkline>
              <xm:f>'NSWOS dem pair trawl seine'!D24:L24</xm:f>
              <xm:sqref>C24</xm:sqref>
            </x14:sparkline>
            <x14:sparkline>
              <xm:f>'NSWOS dem pair trawl seine'!D25:L25</xm:f>
              <xm:sqref>C25</xm:sqref>
            </x14:sparkline>
            <x14:sparkline>
              <xm:f>'NSWOS dem pair trawl seine'!D26:L26</xm:f>
              <xm:sqref>C26</xm:sqref>
            </x14:sparkline>
            <x14:sparkline>
              <xm:f>'NSWOS dem pair trawl seine'!D27:L27</xm:f>
              <xm:sqref>C27</xm:sqref>
            </x14:sparkline>
            <x14:sparkline>
              <xm:f>'NSWOS dem pair trawl seine'!D28:L28</xm:f>
              <xm:sqref>C28</xm:sqref>
            </x14:sparkline>
            <x14:sparkline>
              <xm:f>'NSWOS dem pair trawl seine'!D29:L29</xm:f>
              <xm:sqref>C29</xm:sqref>
            </x14:sparkline>
            <x14:sparkline>
              <xm:f>'NSWOS dem pair trawl seine'!D30:L30</xm:f>
              <xm:sqref>C30</xm:sqref>
            </x14:sparkline>
            <x14:sparkline>
              <xm:f>'NSWOS dem pair trawl seine'!D31:L31</xm:f>
              <xm:sqref>C31</xm:sqref>
            </x14:sparkline>
            <x14:sparkline>
              <xm:f>'NSWOS dem pair trawl seine'!D32:L32</xm:f>
              <xm:sqref>C32</xm:sqref>
            </x14:sparkline>
            <x14:sparkline>
              <xm:f>'NSWOS dem pair trawl seine'!D33:L33</xm:f>
              <xm:sqref>C33</xm:sqref>
            </x14:sparkline>
            <x14:sparkline>
              <xm:f>'NSWOS dem pair trawl seine'!D34:L34</xm:f>
              <xm:sqref>C34</xm:sqref>
            </x14:sparkline>
            <x14:sparkline>
              <xm:f>'NSWOS dem pair trawl seine'!D35:L35</xm:f>
              <xm:sqref>C35</xm:sqref>
            </x14:sparkline>
            <x14:sparkline>
              <xm:f>'NSWOS dem pair trawl seine'!D36:L36</xm:f>
              <xm:sqref>C36</xm:sqref>
            </x14:sparkline>
            <x14:sparkline>
              <xm:f>'NSWOS dem pair trawl seine'!D37:L37</xm:f>
              <xm:sqref>C37</xm:sqref>
            </x14:sparkline>
            <x14:sparkline>
              <xm:f>'NSWOS dem pair trawl seine'!D38:L38</xm:f>
              <xm:sqref>C38</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310</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25</v>
      </c>
      <c r="E3" s="16">
        <v>27</v>
      </c>
      <c r="F3" s="16">
        <v>26</v>
      </c>
      <c r="G3" s="16">
        <v>24</v>
      </c>
      <c r="H3" s="16">
        <v>24</v>
      </c>
      <c r="I3" s="16">
        <v>23</v>
      </c>
      <c r="J3" s="16">
        <v>16</v>
      </c>
      <c r="K3" s="16">
        <v>16</v>
      </c>
      <c r="L3" s="16">
        <v>19</v>
      </c>
      <c r="M3" s="17">
        <v>17</v>
      </c>
      <c r="N3" s="18">
        <f t="shared" ref="N3:N38" si="0">IF(L3=0,"",IFERROR(IF(AND(L3&gt;0,D3&lt;0),"na",IF(AND(L3&lt;0,D3&lt;0),-1,1)*(L3-D3)/D3),""))</f>
        <v>-0.24</v>
      </c>
      <c r="O3" s="18">
        <f t="shared" ref="O3:O38" si="1">IF(L3=0,"",IFERROR(IF(AND(L3&gt;0,H3&lt;0),"na",IF(AND(L3&lt;0,H3&lt;0),-1,1)*(L3-H3)/H3),""))</f>
        <v>-0.20833333333333334</v>
      </c>
    </row>
    <row r="4" spans="1:15" s="19" customFormat="1" ht="18" customHeight="1" x14ac:dyDescent="0.2">
      <c r="A4" s="141"/>
      <c r="B4" s="20" t="s">
        <v>20</v>
      </c>
      <c r="C4" s="21"/>
      <c r="D4" s="22">
        <v>10416.099609375</v>
      </c>
      <c r="E4" s="22">
        <v>10983.2802734375</v>
      </c>
      <c r="F4" s="22">
        <v>12250.2802734375</v>
      </c>
      <c r="G4" s="22">
        <v>9536.2802734375</v>
      </c>
      <c r="H4" s="22">
        <v>10297.2802734375</v>
      </c>
      <c r="I4" s="22">
        <v>10656.2802734375</v>
      </c>
      <c r="J4" s="22">
        <v>7042</v>
      </c>
      <c r="K4" s="22">
        <v>6863</v>
      </c>
      <c r="L4" s="22">
        <v>9060</v>
      </c>
      <c r="M4" s="23">
        <v>7562</v>
      </c>
      <c r="N4" s="24">
        <f t="shared" si="0"/>
        <v>-0.13019264986237689</v>
      </c>
      <c r="O4" s="24">
        <f t="shared" si="1"/>
        <v>-0.12015602572546699</v>
      </c>
    </row>
    <row r="5" spans="1:15" s="19" customFormat="1" ht="18" customHeight="1" x14ac:dyDescent="0.2">
      <c r="A5" s="141"/>
      <c r="B5" s="20" t="s">
        <v>21</v>
      </c>
      <c r="C5" s="21"/>
      <c r="D5" s="22">
        <v>4097</v>
      </c>
      <c r="E5" s="22">
        <v>4300</v>
      </c>
      <c r="F5" s="22">
        <v>4891</v>
      </c>
      <c r="G5" s="22">
        <v>3759</v>
      </c>
      <c r="H5" s="22">
        <v>3862.840087890625</v>
      </c>
      <c r="I5" s="22">
        <v>4016.840087890625</v>
      </c>
      <c r="J5" s="22">
        <v>2856.840087890625</v>
      </c>
      <c r="K5" s="22">
        <v>2796.889892578125</v>
      </c>
      <c r="L5" s="22">
        <v>3887.889892578125</v>
      </c>
      <c r="M5" s="23">
        <v>3143.889892578125</v>
      </c>
      <c r="N5" s="24">
        <f t="shared" si="0"/>
        <v>-5.1039811428331708E-2</v>
      </c>
      <c r="O5" s="24">
        <f t="shared" si="1"/>
        <v>6.4848153476575595E-3</v>
      </c>
    </row>
    <row r="6" spans="1:15" s="19" customFormat="1" ht="18" customHeight="1" x14ac:dyDescent="0.2">
      <c r="A6" s="141"/>
      <c r="B6" s="20" t="s">
        <v>22</v>
      </c>
      <c r="C6" s="21"/>
      <c r="D6" s="22">
        <v>6689.63525390625</v>
      </c>
      <c r="E6" s="22">
        <v>9227.0556640625</v>
      </c>
      <c r="F6" s="22">
        <v>7976.94873046875</v>
      </c>
      <c r="G6" s="22">
        <v>8244.0986328125</v>
      </c>
      <c r="H6" s="22">
        <v>8270.529296875</v>
      </c>
      <c r="I6" s="22">
        <v>8645.47265625</v>
      </c>
      <c r="J6" s="22">
        <v>5881.14111328125</v>
      </c>
      <c r="K6" s="22">
        <v>5725.93603515625</v>
      </c>
      <c r="L6" s="22">
        <v>7546.630859375</v>
      </c>
      <c r="M6" s="23">
        <v>6317.36181640625</v>
      </c>
      <c r="N6" s="24">
        <f t="shared" si="0"/>
        <v>0.12810797195083667</v>
      </c>
      <c r="O6" s="24">
        <f t="shared" si="1"/>
        <v>-8.7527461848605423E-2</v>
      </c>
    </row>
    <row r="7" spans="1:15" s="19" customFormat="1" ht="18" customHeight="1" x14ac:dyDescent="0.2">
      <c r="A7" s="141"/>
      <c r="B7" s="20" t="s">
        <v>23</v>
      </c>
      <c r="C7" s="21"/>
      <c r="D7" s="22">
        <v>14407.5166015625</v>
      </c>
      <c r="E7" s="22">
        <v>12113.8427734375</v>
      </c>
      <c r="F7" s="22">
        <v>10141.06640625</v>
      </c>
      <c r="G7" s="22">
        <v>9829.8701171875</v>
      </c>
      <c r="H7" s="22">
        <v>11345.6748046875</v>
      </c>
      <c r="I7" s="22">
        <v>10805.7314453125</v>
      </c>
      <c r="J7" s="22">
        <v>9144.248046875</v>
      </c>
      <c r="K7" s="22">
        <v>10524.91796875</v>
      </c>
      <c r="L7" s="22">
        <v>14024.1005859375</v>
      </c>
      <c r="M7" s="23">
        <v>11634.94921875</v>
      </c>
      <c r="N7" s="24">
        <f t="shared" si="0"/>
        <v>-2.661222098355371E-2</v>
      </c>
      <c r="O7" s="24">
        <f t="shared" si="1"/>
        <v>0.23607461233979668</v>
      </c>
    </row>
    <row r="8" spans="1:15" s="19" customFormat="1" ht="18" customHeight="1" x14ac:dyDescent="0.2">
      <c r="A8" s="141"/>
      <c r="B8" s="20" t="s">
        <v>24</v>
      </c>
      <c r="C8" s="25"/>
      <c r="D8" s="26">
        <f ca="1">15.88312*OFFSET(D$108,MATCH($M$1,$C$109:$C$110,0),0)</f>
        <v>12.920282679452677</v>
      </c>
      <c r="E8" s="26">
        <f ca="1">17.956104*OFFSET(E$108,MATCH($M$1,$C$109:$C$110,0),0)</f>
        <v>14.999271212764464</v>
      </c>
      <c r="F8" s="26">
        <f ca="1">15.930592*OFFSET(F$108,MATCH($M$1,$C$109:$C$110,0),0)</f>
        <v>13.689475963011834</v>
      </c>
      <c r="G8" s="26">
        <f ca="1">14.437763*OFFSET(G$108,MATCH($M$1,$C$109:$C$110,0),0)</f>
        <v>12.766880858154165</v>
      </c>
      <c r="H8" s="26">
        <f ca="1">14.062093*OFFSET(H$108,MATCH($M$1,$C$109:$C$110,0),0)</f>
        <v>12.680914428778324</v>
      </c>
      <c r="I8" s="26">
        <f ca="1">15.658595*OFFSET(I$108,MATCH($M$1,$C$109:$C$110,0),0)</f>
        <v>14.568600012324394</v>
      </c>
      <c r="J8" s="26">
        <f ca="1">14.13204*OFFSET(J$108,MATCH($M$1,$C$109:$C$110,0),0)</f>
        <v>13.427699020417304</v>
      </c>
      <c r="K8" s="26">
        <f ca="1">13.881906*OFFSET(K$108,MATCH($M$1,$C$109:$C$110,0),0)</f>
        <v>13.409088150589669</v>
      </c>
      <c r="L8" s="26">
        <f ca="1">18.20331*OFFSET(L$108,MATCH($M$1,$C$109:$C$110,0),0)</f>
        <v>17.898040176474513</v>
      </c>
      <c r="M8" s="27">
        <f ca="1">16.686566*OFFSET(M$108,MATCH($M$1,$C$109:$C$110,0),0)</f>
        <v>16.686565935170133</v>
      </c>
      <c r="N8" s="24">
        <f t="shared" ca="1" si="0"/>
        <v>0.38526691872911106</v>
      </c>
      <c r="O8" s="24">
        <f t="shared" ca="1" si="1"/>
        <v>0.41141557866334449</v>
      </c>
    </row>
    <row r="9" spans="1:15" s="19" customFormat="1" ht="18" customHeight="1" x14ac:dyDescent="0.2">
      <c r="A9" s="141"/>
      <c r="B9" s="20" t="s">
        <v>25</v>
      </c>
      <c r="C9" s="25"/>
      <c r="D9" s="22">
        <v>4362</v>
      </c>
      <c r="E9" s="22">
        <v>4381</v>
      </c>
      <c r="F9" s="22">
        <v>3730</v>
      </c>
      <c r="G9" s="22">
        <v>3486</v>
      </c>
      <c r="H9" s="22">
        <v>3478</v>
      </c>
      <c r="I9" s="22">
        <v>3090</v>
      </c>
      <c r="J9" s="22">
        <v>2271</v>
      </c>
      <c r="K9" s="22">
        <v>2097</v>
      </c>
      <c r="L9" s="22">
        <v>2712</v>
      </c>
      <c r="M9" s="23">
        <v>2242</v>
      </c>
      <c r="N9" s="24">
        <f t="shared" si="0"/>
        <v>-0.37826685006877581</v>
      </c>
      <c r="O9" s="24">
        <f t="shared" si="1"/>
        <v>-0.22024151811385853</v>
      </c>
    </row>
    <row r="10" spans="1:15" s="19" customFormat="1" ht="18" customHeight="1" x14ac:dyDescent="0.2">
      <c r="A10" s="142" t="s">
        <v>7</v>
      </c>
      <c r="B10" s="28" t="s">
        <v>26</v>
      </c>
      <c r="C10" s="29"/>
      <c r="D10" s="30">
        <v>23.041200637817383</v>
      </c>
      <c r="E10" s="30">
        <v>23.068517684936523</v>
      </c>
      <c r="F10" s="30">
        <v>24.2984619140625</v>
      </c>
      <c r="G10" s="30">
        <v>23.092916488647461</v>
      </c>
      <c r="H10" s="30">
        <v>23.228750228881836</v>
      </c>
      <c r="I10" s="30">
        <v>23.724782943725586</v>
      </c>
      <c r="J10" s="30">
        <v>23.720624923706055</v>
      </c>
      <c r="K10" s="30">
        <v>23.223749160766602</v>
      </c>
      <c r="L10" s="30">
        <v>24.733158111572266</v>
      </c>
      <c r="M10" s="31">
        <v>23.746471405029297</v>
      </c>
      <c r="N10" s="32">
        <f t="shared" si="0"/>
        <v>7.3431827635660765E-2</v>
      </c>
      <c r="O10" s="32">
        <f t="shared" si="1"/>
        <v>6.4764908480521702E-2</v>
      </c>
    </row>
    <row r="11" spans="1:15" s="19" customFormat="1" ht="18" customHeight="1" x14ac:dyDescent="0.2">
      <c r="A11" s="143"/>
      <c r="B11" s="33" t="s">
        <v>20</v>
      </c>
      <c r="C11" s="21"/>
      <c r="D11" s="22">
        <v>416.64401245117187</v>
      </c>
      <c r="E11" s="22">
        <v>406.78814697265625</v>
      </c>
      <c r="F11" s="22">
        <v>471.16461181640625</v>
      </c>
      <c r="G11" s="22">
        <v>397.34500122070312</v>
      </c>
      <c r="H11" s="22">
        <v>429.0533447265625</v>
      </c>
      <c r="I11" s="22">
        <v>463.3165283203125</v>
      </c>
      <c r="J11" s="22">
        <v>440.125</v>
      </c>
      <c r="K11" s="22">
        <v>428.9375</v>
      </c>
      <c r="L11" s="22">
        <v>476.84210205078125</v>
      </c>
      <c r="M11" s="23">
        <v>444.82351684570312</v>
      </c>
      <c r="N11" s="24">
        <f t="shared" si="0"/>
        <v>0.14448327061141727</v>
      </c>
      <c r="O11" s="24">
        <f t="shared" si="1"/>
        <v>0.11138185475438893</v>
      </c>
    </row>
    <row r="12" spans="1:15" s="19" customFormat="1" ht="18" customHeight="1" x14ac:dyDescent="0.2">
      <c r="A12" s="143"/>
      <c r="B12" s="33" t="s">
        <v>21</v>
      </c>
      <c r="C12" s="21"/>
      <c r="D12" s="22">
        <v>163.8800048828125</v>
      </c>
      <c r="E12" s="22">
        <v>159.25926208496094</v>
      </c>
      <c r="F12" s="22">
        <v>188.11538696289062</v>
      </c>
      <c r="G12" s="22">
        <v>156.625</v>
      </c>
      <c r="H12" s="22">
        <v>160.95166015625</v>
      </c>
      <c r="I12" s="22">
        <v>174.64521789550781</v>
      </c>
      <c r="J12" s="22">
        <v>178.55250549316406</v>
      </c>
      <c r="K12" s="22">
        <v>174.80561828613281</v>
      </c>
      <c r="L12" s="22">
        <v>204.62579345703125</v>
      </c>
      <c r="M12" s="23">
        <v>184.93470764160156</v>
      </c>
      <c r="N12" s="24">
        <f t="shared" si="0"/>
        <v>0.24863184867095467</v>
      </c>
      <c r="O12" s="24">
        <f t="shared" si="1"/>
        <v>0.27134938066735631</v>
      </c>
    </row>
    <row r="13" spans="1:15" s="19" customFormat="1" ht="18" customHeight="1" x14ac:dyDescent="0.2">
      <c r="A13" s="143"/>
      <c r="B13" s="33" t="s">
        <v>22</v>
      </c>
      <c r="C13" s="21"/>
      <c r="D13" s="22">
        <v>267.58538818359375</v>
      </c>
      <c r="E13" s="22">
        <v>341.7427978515625</v>
      </c>
      <c r="F13" s="22">
        <v>306.80572509765625</v>
      </c>
      <c r="G13" s="22">
        <v>343.50408935546875</v>
      </c>
      <c r="H13" s="22">
        <v>344.60537719726562</v>
      </c>
      <c r="I13" s="22">
        <v>375.89010620117187</v>
      </c>
      <c r="J13" s="22">
        <v>367.57131958007812</v>
      </c>
      <c r="K13" s="22">
        <v>357.87100219726562</v>
      </c>
      <c r="L13" s="22">
        <v>397.19110107421875</v>
      </c>
      <c r="M13" s="23">
        <v>371.60952758789062</v>
      </c>
      <c r="N13" s="24">
        <f t="shared" si="0"/>
        <v>0.48435272856416534</v>
      </c>
      <c r="O13" s="24">
        <f t="shared" si="1"/>
        <v>0.15259693364230645</v>
      </c>
    </row>
    <row r="14" spans="1:15" s="19" customFormat="1" ht="18" customHeight="1" x14ac:dyDescent="0.2">
      <c r="A14" s="143"/>
      <c r="B14" s="33" t="s">
        <v>23</v>
      </c>
      <c r="C14" s="25"/>
      <c r="D14" s="26">
        <v>576.3006591796875</v>
      </c>
      <c r="E14" s="26">
        <v>448.66085815429687</v>
      </c>
      <c r="F14" s="26">
        <v>390.041015625</v>
      </c>
      <c r="G14" s="26">
        <v>409.57791137695312</v>
      </c>
      <c r="H14" s="26">
        <v>472.73648071289062</v>
      </c>
      <c r="I14" s="26">
        <v>469.81439208984375</v>
      </c>
      <c r="J14" s="26">
        <v>571.5155029296875</v>
      </c>
      <c r="K14" s="26">
        <v>657.807373046875</v>
      </c>
      <c r="L14" s="26">
        <v>738.110595703125</v>
      </c>
      <c r="M14" s="27">
        <v>684.40875244140625</v>
      </c>
      <c r="N14" s="24">
        <f t="shared" si="0"/>
        <v>0.28077347118387735</v>
      </c>
      <c r="O14" s="24">
        <f t="shared" si="1"/>
        <v>0.56135738581047934</v>
      </c>
    </row>
    <row r="15" spans="1:15" s="19" customFormat="1" ht="18" customHeight="1" x14ac:dyDescent="0.2">
      <c r="A15" s="143"/>
      <c r="B15" s="33" t="s">
        <v>27</v>
      </c>
      <c r="C15" s="25"/>
      <c r="D15" s="26">
        <f ca="1">635.3248125*OFFSET(D$108,MATCH($M$1,$C$109:$C$110,0),0)</f>
        <v>516.81131734635699</v>
      </c>
      <c r="E15" s="26">
        <f ca="1">665.040875*OFFSET(E$108,MATCH($M$1,$C$109:$C$110,0),0)</f>
        <v>555.52855183391625</v>
      </c>
      <c r="F15" s="26">
        <f ca="1">612.7150625*OFFSET(F$108,MATCH($M$1,$C$109:$C$110,0),0)</f>
        <v>526.51829387564771</v>
      </c>
      <c r="G15" s="26">
        <f ca="1">601.5734375*OFFSET(G$108,MATCH($M$1,$C$109:$C$110,0),0)</f>
        <v>531.95335066746497</v>
      </c>
      <c r="H15" s="26">
        <f ca="1">585.9205625*OFFSET(H$108,MATCH($M$1,$C$109:$C$110,0),0)</f>
        <v>528.37145331951376</v>
      </c>
      <c r="I15" s="26">
        <f ca="1">680.8085*OFFSET(I$108,MATCH($M$1,$C$109:$C$110,0),0)</f>
        <v>633.41741206606025</v>
      </c>
      <c r="J15" s="26">
        <f ca="1">883.2525*OFFSET(J$108,MATCH($M$1,$C$109:$C$110,0),0)</f>
        <v>839.23118877608158</v>
      </c>
      <c r="K15" s="26">
        <f ca="1">867.619125*OFFSET(K$108,MATCH($M$1,$C$109:$C$110,0),0)</f>
        <v>838.0680094118544</v>
      </c>
      <c r="L15" s="26">
        <f ca="1">958.0689375*OFFSET(L$108,MATCH($M$1,$C$109:$C$110,0),0)</f>
        <v>942.00210484836271</v>
      </c>
      <c r="M15" s="27">
        <f ca="1">981.56275*OFFSET(M$108,MATCH($M$1,$C$109:$C$110,0),0)</f>
        <v>981.56274618647842</v>
      </c>
      <c r="N15" s="24">
        <f t="shared" ca="1" si="0"/>
        <v>0.82271957527015815</v>
      </c>
      <c r="O15" s="24">
        <f t="shared" ca="1" si="1"/>
        <v>0.78284064918760965</v>
      </c>
    </row>
    <row r="16" spans="1:15" s="19" customFormat="1" ht="18" customHeight="1" x14ac:dyDescent="0.2">
      <c r="A16" s="143"/>
      <c r="B16" s="33" t="s">
        <v>25</v>
      </c>
      <c r="C16" s="21"/>
      <c r="D16" s="22">
        <v>174.47999572753906</v>
      </c>
      <c r="E16" s="22">
        <v>162.25926208496094</v>
      </c>
      <c r="F16" s="22">
        <v>143.46153259277344</v>
      </c>
      <c r="G16" s="22">
        <v>145.25</v>
      </c>
      <c r="H16" s="22">
        <v>144.91667175292969</v>
      </c>
      <c r="I16" s="22">
        <v>134.34782409667969</v>
      </c>
      <c r="J16" s="22">
        <v>141.9375</v>
      </c>
      <c r="K16" s="22">
        <v>131.0625</v>
      </c>
      <c r="L16" s="22">
        <v>142.73684692382812</v>
      </c>
      <c r="M16" s="23">
        <v>131.88235473632812</v>
      </c>
      <c r="N16" s="24">
        <f t="shared" si="0"/>
        <v>-0.18193001823131497</v>
      </c>
      <c r="O16" s="24">
        <f t="shared" si="1"/>
        <v>-1.5041918936821667E-2</v>
      </c>
    </row>
    <row r="17" spans="1:15" s="19" customFormat="1" ht="18" customHeight="1" x14ac:dyDescent="0.2">
      <c r="A17" s="143"/>
      <c r="B17" s="33" t="s">
        <v>28</v>
      </c>
      <c r="C17" s="21"/>
      <c r="D17" s="22">
        <v>21.479999542236328</v>
      </c>
      <c r="E17" s="22">
        <v>23.851852416992187</v>
      </c>
      <c r="F17" s="22">
        <v>24.769229888916016</v>
      </c>
      <c r="G17" s="22">
        <v>27.041666030883789</v>
      </c>
      <c r="H17" s="22">
        <v>26.791666030883789</v>
      </c>
      <c r="I17" s="22">
        <v>26.826086044311523</v>
      </c>
      <c r="J17" s="22">
        <v>24.625</v>
      </c>
      <c r="K17" s="22">
        <v>25.125</v>
      </c>
      <c r="L17" s="22">
        <v>26</v>
      </c>
      <c r="M17" s="23">
        <v>27.117647171020508</v>
      </c>
      <c r="N17" s="24">
        <f t="shared" si="0"/>
        <v>0.21042833119600174</v>
      </c>
      <c r="O17" s="24">
        <f t="shared" si="1"/>
        <v>-2.9548966084125005E-2</v>
      </c>
    </row>
    <row r="18" spans="1:15" s="19" customFormat="1" ht="18" customHeight="1" x14ac:dyDescent="0.2">
      <c r="A18" s="143"/>
      <c r="B18" s="33" t="s">
        <v>29</v>
      </c>
      <c r="C18" s="21"/>
      <c r="D18" s="34">
        <v>3.3029611110687256</v>
      </c>
      <c r="E18" s="34">
        <v>2.7650861740112305</v>
      </c>
      <c r="F18" s="34">
        <v>2.7187845706939697</v>
      </c>
      <c r="G18" s="34">
        <v>2.8198134899139404</v>
      </c>
      <c r="H18" s="34">
        <v>3.2621262073516846</v>
      </c>
      <c r="I18" s="34">
        <v>3.4970004558563232</v>
      </c>
      <c r="J18" s="34">
        <v>4.0265293121337891</v>
      </c>
      <c r="K18" s="34">
        <v>5.019035816192627</v>
      </c>
      <c r="L18" s="34">
        <v>5.1711287498474121</v>
      </c>
      <c r="M18" s="35">
        <v>5.189539909362793</v>
      </c>
      <c r="N18" s="24">
        <f t="shared" si="0"/>
        <v>0.5656038857127843</v>
      </c>
      <c r="O18" s="24">
        <f t="shared" si="1"/>
        <v>0.5852019269498242</v>
      </c>
    </row>
    <row r="19" spans="1:15" s="19" customFormat="1" ht="18" customHeight="1" x14ac:dyDescent="0.2">
      <c r="A19" s="144"/>
      <c r="B19" s="36" t="s">
        <v>8</v>
      </c>
      <c r="C19" s="37"/>
      <c r="D19" s="38">
        <f ca="1">1102.41899691981*OFFSET(D$108,MATCH($M$1,$C$109:$C$110,0),0)</f>
        <v>896.77374920057366</v>
      </c>
      <c r="E19" s="38">
        <f ca="1">1482.27976339375*OFFSET(E$108,MATCH($M$1,$C$109:$C$110,0),0)</f>
        <v>1238.192660520077</v>
      </c>
      <c r="F19" s="38">
        <f ca="1">1570.89909106422*OFFSET(F$108,MATCH($M$1,$C$109:$C$110,0),0)</f>
        <v>1349.904971983513</v>
      </c>
      <c r="G19" s="38">
        <f ca="1">1468.76437103229*OFFSET(G$108,MATCH($M$1,$C$109:$C$110,0),0)</f>
        <v>1298.7842876816155</v>
      </c>
      <c r="H19" s="38">
        <f ca="1">1239.42323767205*OFFSET(H$108,MATCH($M$1,$C$109:$C$110,0),0)</f>
        <v>1117.6871051811877</v>
      </c>
      <c r="I19" s="38">
        <f ca="1">1449.10088495607*OFFSET(I$108,MATCH($M$1,$C$109:$C$110,0),0)</f>
        <v>1348.2289547964101</v>
      </c>
      <c r="J19" s="38">
        <f ca="1">1545.45676446622*OFFSET(J$108,MATCH($M$1,$C$109:$C$110,0),0)</f>
        <v>1468.4311877351295</v>
      </c>
      <c r="K19" s="38">
        <f ca="1">1318.95621811185*OFFSET(K$108,MATCH($M$1,$C$109:$C$110,0),0)</f>
        <v>1274.0325568715255</v>
      </c>
      <c r="L19" s="38">
        <f ca="1">1298.00195659272*OFFSET(L$108,MATCH($M$1,$C$109:$C$110,0),0)</f>
        <v>1276.2344413317705</v>
      </c>
      <c r="M19" s="39">
        <f ca="1">1434.17609189984*OFFSET(M$108,MATCH($M$1,$C$109:$C$110,0),0)</f>
        <v>1434.1760863278462</v>
      </c>
      <c r="N19" s="40">
        <f ca="1">IF(L19=0,"",IFERROR(IF(AND(L19&gt;0,D19&lt;0),"na",IF(AND(L19&lt;0,D19&lt;0),-1,1)*(L19-D19)/D19),""))</f>
        <v>0.42313983038583142</v>
      </c>
      <c r="O19" s="40">
        <f ca="1">IF(L19=0,"",IFERROR(IF(AND(L19&gt;0,H19&lt;0),"na",IF(AND(L19&lt;0,H19&lt;0),-1,1)*(L19-H19)/H19),""))</f>
        <v>0.14185306014144344</v>
      </c>
    </row>
    <row r="20" spans="1:15" s="19" customFormat="1" ht="18" customHeight="1" x14ac:dyDescent="0.2">
      <c r="A20" s="145" t="s">
        <v>9</v>
      </c>
      <c r="B20" s="28" t="s">
        <v>30</v>
      </c>
      <c r="C20" s="41"/>
      <c r="D20" s="42">
        <v>7.5226779087977915</v>
      </c>
      <c r="E20" s="42">
        <v>6.453535186143494</v>
      </c>
      <c r="F20" s="42">
        <v>5.3638037402365564</v>
      </c>
      <c r="G20" s="42">
        <v>6.4356128306798661</v>
      </c>
      <c r="H20" s="42">
        <v>6.9013081440604873</v>
      </c>
      <c r="I20" s="42">
        <v>6.7220511012322106</v>
      </c>
      <c r="J20" s="42">
        <v>8.5492301758649738</v>
      </c>
      <c r="K20" s="42">
        <v>11.151415651464953</v>
      </c>
      <c r="L20" s="42">
        <v>9.8608223645895219</v>
      </c>
      <c r="M20" s="43">
        <v>11.024176022806838</v>
      </c>
      <c r="N20" s="32">
        <f t="shared" si="0"/>
        <v>0.31081278291301884</v>
      </c>
      <c r="O20" s="32">
        <f t="shared" si="1"/>
        <v>0.42883380349797862</v>
      </c>
    </row>
    <row r="21" spans="1:15" s="19" customFormat="1" ht="18" customHeight="1" x14ac:dyDescent="0.2">
      <c r="A21" s="145"/>
      <c r="B21" s="33" t="s">
        <v>31</v>
      </c>
      <c r="C21" s="21"/>
      <c r="D21" s="34">
        <f ca="1">8.29314326780021*OFFSET(D$108,MATCH($M$1,$C$109:$C$110,0),0)</f>
        <v>6.7461402621889537</v>
      </c>
      <c r="E21" s="34">
        <f ca="1">9.5659440957075*OFFSET(E$108,MATCH($M$1,$C$109:$C$110,0),0)</f>
        <v>7.9907194733144618</v>
      </c>
      <c r="F21" s="34">
        <f ca="1">8.4259942218398*OFFSET(F$108,MATCH($M$1,$C$109:$C$110,0),0)</f>
        <v>7.2406251672475523</v>
      </c>
      <c r="G21" s="34">
        <f ca="1">9.45239873887652*OFFSET(G$108,MATCH($M$1,$C$109:$C$110,0),0)</f>
        <v>8.3584727442196698</v>
      </c>
      <c r="H21" s="34">
        <f ca="1">8.55364143604052*OFFSET(H$108,MATCH($M$1,$C$109:$C$110,0),0)</f>
        <v>7.7135028978177269</v>
      </c>
      <c r="I21" s="34">
        <f ca="1">9.74093089570165*OFFSET(I$108,MATCH($M$1,$C$109:$C$110,0),0)</f>
        <v>9.0628645780269643</v>
      </c>
      <c r="J21" s="34">
        <f ca="1">13.2124656062693*OFFSET(J$108,MATCH($M$1,$C$109:$C$110,0),0)</f>
        <v>12.553956221366455</v>
      </c>
      <c r="K21" s="34">
        <f ca="1">14.7082290142496*OFFSET(K$108,MATCH($M$1,$C$109:$C$110,0),0)</f>
        <v>14.207266595173133</v>
      </c>
      <c r="L21" s="34">
        <f ca="1">12.7993659225539*OFFSET(L$108,MATCH($M$1,$C$109:$C$110,0),0)</f>
        <v>12.584720334668173</v>
      </c>
      <c r="M21" s="35">
        <f ca="1">15.8106109760143*OFFSET(M$108,MATCH($M$1,$C$109:$C$110,0),0)</f>
        <v>15.810610914587654</v>
      </c>
      <c r="N21" s="24">
        <f t="shared" ca="1" si="0"/>
        <v>0.86546971239295667</v>
      </c>
      <c r="O21" s="24">
        <f t="shared" ca="1" si="1"/>
        <v>0.63151819625666972</v>
      </c>
    </row>
    <row r="22" spans="1:15" s="19" customFormat="1" ht="18" customHeight="1" x14ac:dyDescent="0.2">
      <c r="A22" s="145"/>
      <c r="B22" s="33" t="s">
        <v>10</v>
      </c>
      <c r="C22" s="21"/>
      <c r="D22" s="34">
        <f ca="1">6.73619790001531*OFFSET(D$108,MATCH($M$1,$C$109:$C$110,0),0)</f>
        <v>5.4796274946567998</v>
      </c>
      <c r="E22" s="34">
        <f ca="1">7.54397861279861*OFFSET(E$108,MATCH($M$1,$C$109:$C$110,0),0)</f>
        <v>6.3017111750222092</v>
      </c>
      <c r="F22" s="34">
        <f ca="1">6.80956029707105*OFFSET(F$108,MATCH($M$1,$C$109:$C$110,0),0)</f>
        <v>5.8515912029781347</v>
      </c>
      <c r="G22" s="34">
        <f ca="1">8.48575957573496*OFFSET(G$108,MATCH($M$1,$C$109:$C$110,0),0)</f>
        <v>7.5037027200369666</v>
      </c>
      <c r="H22" s="34">
        <f ca="1">7.47284676381299*OFFSET(H$108,MATCH($M$1,$C$109:$C$110,0),0)</f>
        <v>6.7388638626757444</v>
      </c>
      <c r="I22" s="34">
        <f ca="1">7.98349808827631*OFFSET(I$108,MATCH($M$1,$C$109:$C$110,0),0)</f>
        <v>7.4277666896202383</v>
      </c>
      <c r="J22" s="34">
        <f ca="1">9.94118566864778*OFFSET(J$108,MATCH($M$1,$C$109:$C$110,0),0)</f>
        <v>9.445716900368831</v>
      </c>
      <c r="K22" s="34">
        <f ca="1">11.9080848658482*OFFSET(K$108,MATCH($M$1,$C$109:$C$110,0),0)</f>
        <v>11.502495382900682</v>
      </c>
      <c r="L22" s="34">
        <f ca="1">11.3989950490358*OFFSET(L$108,MATCH($M$1,$C$109:$C$110,0),0)</f>
        <v>11.207833704918327</v>
      </c>
      <c r="M22" s="35">
        <f ca="1">13.9538223060936*OFFSET(M$108,MATCH($M$1,$C$109:$C$110,0),0)</f>
        <v>13.953822251880863</v>
      </c>
      <c r="N22" s="24">
        <f t="shared" ca="1" si="0"/>
        <v>1.0453641631383004</v>
      </c>
      <c r="O22" s="24">
        <f t="shared" ca="1" si="1"/>
        <v>0.66316369247265461</v>
      </c>
    </row>
    <row r="23" spans="1:15" s="19" customFormat="1" ht="18" customHeight="1" x14ac:dyDescent="0.2">
      <c r="A23" s="146"/>
      <c r="B23" s="33" t="s">
        <v>32</v>
      </c>
      <c r="C23" s="44"/>
      <c r="D23" s="34">
        <f ca="1">1.5569453677849*OFFSET(D$108,MATCH($M$1,$C$109:$C$110,0),0)</f>
        <v>1.2665127675321548</v>
      </c>
      <c r="E23" s="34">
        <f ca="1">2.02196548290889*OFFSET(E$108,MATCH($M$1,$C$109:$C$110,0),0)</f>
        <v>1.6890082982922525</v>
      </c>
      <c r="F23" s="34">
        <f ca="1">1.61643392476875*OFFSET(F$108,MATCH($M$1,$C$109:$C$110,0),0)</f>
        <v>1.3890339642694183</v>
      </c>
      <c r="G23" s="34">
        <f ca="1">0.966639163141569*OFFSET(G$108,MATCH($M$1,$C$109:$C$110,0),0)</f>
        <v>0.85477002418271153</v>
      </c>
      <c r="H23" s="34">
        <f ca="1">1.08079467222753*OFFSET(H$108,MATCH($M$1,$C$109:$C$110,0),0)</f>
        <v>0.97463903514198225</v>
      </c>
      <c r="I23" s="34">
        <f ca="1">1.75743280742535*OFFSET(I$108,MATCH($M$1,$C$109:$C$110,0),0)</f>
        <v>1.6350978884067342</v>
      </c>
      <c r="J23" s="34">
        <f ca="1">3.27127993762148*OFFSET(J$108,MATCH($M$1,$C$109:$C$110,0),0)</f>
        <v>3.108239320997586</v>
      </c>
      <c r="K23" s="34">
        <f ca="1">2.80014414840134*OFFSET(K$108,MATCH($M$1,$C$109:$C$110,0),0)</f>
        <v>2.704771212272393</v>
      </c>
      <c r="L23" s="34">
        <f ca="1">1.40037087351808*OFFSET(L$108,MATCH($M$1,$C$109:$C$110,0),0)</f>
        <v>1.3768866297498261</v>
      </c>
      <c r="M23" s="35">
        <f ca="1">1.85678866992074*OFFSET(M$108,MATCH($M$1,$C$109:$C$110,0),0)</f>
        <v>1.8567886627068317</v>
      </c>
      <c r="N23" s="24">
        <f t="shared" ca="1" si="0"/>
        <v>8.7147848049521609E-2</v>
      </c>
      <c r="O23" s="24">
        <f t="shared" ca="1" si="1"/>
        <v>0.41271443078333686</v>
      </c>
    </row>
    <row r="24" spans="1:15" s="19" customFormat="1" ht="18" customHeight="1" x14ac:dyDescent="0.2">
      <c r="A24" s="147" t="s">
        <v>11</v>
      </c>
      <c r="B24" s="28" t="s">
        <v>27</v>
      </c>
      <c r="C24" s="29"/>
      <c r="D24" s="30">
        <f ca="1">635.3*OFFSET(D$108,MATCH($M$1,$C$109:$C$110,0),0)</f>
        <v>516.79113337028775</v>
      </c>
      <c r="E24" s="30">
        <f ca="1">665*OFFSET(E$108,MATCH($M$1,$C$109:$C$110,0),0)</f>
        <v>555.49440772276478</v>
      </c>
      <c r="F24" s="30">
        <f ca="1">612.7*OFFSET(F$108,MATCH($M$1,$C$109:$C$110,0),0)</f>
        <v>526.50535036848294</v>
      </c>
      <c r="G24" s="30">
        <f ca="1">601.6*OFFSET(G$108,MATCH($M$1,$C$109:$C$110,0),0)</f>
        <v>531.97683908965303</v>
      </c>
      <c r="H24" s="30">
        <f ca="1">585.9*OFFSET(H$108,MATCH($M$1,$C$109:$C$110,0),0)</f>
        <v>528.35291046796658</v>
      </c>
      <c r="I24" s="30">
        <f ca="1">680.8*OFFSET(I$108,MATCH($M$1,$C$109:$C$110,0),0)</f>
        <v>633.40950375116324</v>
      </c>
      <c r="J24" s="30">
        <f ca="1">883.3*OFFSET(J$108,MATCH($M$1,$C$109:$C$110,0),0)</f>
        <v>839.27632137572527</v>
      </c>
      <c r="K24" s="30">
        <f ca="1">867.6*OFFSET(K$108,MATCH($M$1,$C$109:$C$110,0),0)</f>
        <v>838.04953580953486</v>
      </c>
      <c r="L24" s="30">
        <f ca="1">958.1*OFFSET(L$108,MATCH($M$1,$C$109:$C$110,0),0)</f>
        <v>942.03264642970055</v>
      </c>
      <c r="M24" s="31">
        <f ca="1">981.6*OFFSET(M$108,MATCH($M$1,$C$109:$C$110,0),0)</f>
        <v>981.59999618633367</v>
      </c>
      <c r="N24" s="32">
        <f t="shared" ca="1" si="0"/>
        <v>0.82284986254731574</v>
      </c>
      <c r="O24" s="32">
        <f t="shared" ca="1" si="1"/>
        <v>0.78296102428078684</v>
      </c>
    </row>
    <row r="25" spans="1:15" s="19" customFormat="1" ht="18" customHeight="1" x14ac:dyDescent="0.2">
      <c r="A25" s="148"/>
      <c r="B25" s="33" t="s">
        <v>33</v>
      </c>
      <c r="C25" s="25"/>
      <c r="D25" s="26">
        <f ca="1">64*OFFSET(D$108,MATCH($M$1,$C$109:$C$110,0),0)</f>
        <v>52.061439533603682</v>
      </c>
      <c r="E25" s="26">
        <f ca="1">49.3*OFFSET(E$108,MATCH($M$1,$C$109:$C$110,0),0)</f>
        <v>41.181765865762863</v>
      </c>
      <c r="F25" s="26">
        <f ca="1">23.7*OFFSET(F$108,MATCH($M$1,$C$109:$C$110,0),0)</f>
        <v>20.365883472715918</v>
      </c>
      <c r="G25" s="26">
        <f ca="1">23.4*OFFSET(G$108,MATCH($M$1,$C$109:$C$110,0),0)</f>
        <v>20.691918275761104</v>
      </c>
      <c r="H25" s="26">
        <f ca="1">28.7*OFFSET(H$108,MATCH($M$1,$C$109:$C$110,0),0)</f>
        <v>25.88108641479884</v>
      </c>
      <c r="I25" s="26">
        <f ca="1">7.6*OFFSET(I$108,MATCH($M$1,$C$109:$C$110,0),0)</f>
        <v>7.0709639079154538</v>
      </c>
      <c r="J25" s="26">
        <f ca="1">19.8*OFFSET(J$108,MATCH($M$1,$C$109:$C$110,0),0)</f>
        <v>18.813167851510656</v>
      </c>
      <c r="K25" s="26">
        <f ca="1">94*OFFSET(K$108,MATCH($M$1,$C$109:$C$110,0),0)</f>
        <v>90.798359112605212</v>
      </c>
      <c r="L25" s="26">
        <f ca="1">103.4*OFFSET(L$108,MATCH($M$1,$C$109:$C$110,0),0)</f>
        <v>101.66598021170132</v>
      </c>
      <c r="M25" s="27">
        <f ca="1">105.9*OFFSET(M$108,MATCH($M$1,$C$109:$C$110,0),0)</f>
        <v>105.89999958856228</v>
      </c>
      <c r="N25" s="24">
        <f t="shared" ca="1" si="0"/>
        <v>0.95280770417575167</v>
      </c>
      <c r="O25" s="24">
        <f t="shared" ca="1" si="1"/>
        <v>2.9281960031464744</v>
      </c>
    </row>
    <row r="26" spans="1:15" s="19" customFormat="1" ht="18" customHeight="1" x14ac:dyDescent="0.2">
      <c r="A26" s="148"/>
      <c r="B26" s="45" t="s">
        <v>34</v>
      </c>
      <c r="C26" s="46"/>
      <c r="D26" s="47">
        <f ca="1">699.4*OFFSET(D$108,MATCH($M$1,$C$109:$C$110,0),0)</f>
        <v>568.93391890316275</v>
      </c>
      <c r="E26" s="47">
        <f ca="1">714.3*OFFSET(E$108,MATCH($M$1,$C$109:$C$110,0),0)</f>
        <v>596.6761735885276</v>
      </c>
      <c r="F26" s="47">
        <f ca="1">636.5*OFFSET(F$108,MATCH($M$1,$C$109:$C$110,0),0)</f>
        <v>546.95716583897388</v>
      </c>
      <c r="G26" s="47">
        <f ca="1">625*OFFSET(G$108,MATCH($M$1,$C$109:$C$110,0),0)</f>
        <v>552.66875736541408</v>
      </c>
      <c r="H26" s="47">
        <f ca="1">614.7*OFFSET(H$108,MATCH($M$1,$C$109:$C$110,0),0)</f>
        <v>554.32417488421083</v>
      </c>
      <c r="I26" s="47">
        <f ca="1">688.4*OFFSET(I$108,MATCH($M$1,$C$109:$C$110,0),0)</f>
        <v>640.48046765907873</v>
      </c>
      <c r="J26" s="47">
        <f ca="1">903*OFFSET(J$108,MATCH($M$1,$C$109:$C$110,0),0)</f>
        <v>857.99447322798585</v>
      </c>
      <c r="K26" s="47">
        <f ca="1">961.6*OFFSET(K$108,MATCH($M$1,$C$109:$C$110,0),0)</f>
        <v>928.84789492214009</v>
      </c>
      <c r="L26" s="47">
        <f ca="1">1061.5*OFFSET(L$108,MATCH($M$1,$C$109:$C$110,0),0)</f>
        <v>1043.6986266414019</v>
      </c>
      <c r="M26" s="48">
        <f ca="1">1087.5*OFFSET(M$108,MATCH($M$1,$C$109:$C$110,0),0)</f>
        <v>1087.499995774896</v>
      </c>
      <c r="N26" s="49">
        <f t="shared" ca="1" si="0"/>
        <v>0.83448128502081464</v>
      </c>
      <c r="O26" s="49">
        <f t="shared" ca="1" si="1"/>
        <v>0.88283079456062574</v>
      </c>
    </row>
    <row r="27" spans="1:15" s="19" customFormat="1" ht="18" customHeight="1" x14ac:dyDescent="0.2">
      <c r="A27" s="148"/>
      <c r="B27" s="33" t="s">
        <v>35</v>
      </c>
      <c r="C27" s="25"/>
      <c r="D27" s="26">
        <f ca="1">64.1*OFFSET(D$108,MATCH($M$1,$C$109:$C$110,0),0)</f>
        <v>52.142785532874932</v>
      </c>
      <c r="E27" s="26">
        <f ca="1">76.4*OFFSET(E$108,MATCH($M$1,$C$109:$C$110,0),0)</f>
        <v>63.819207142886071</v>
      </c>
      <c r="F27" s="26">
        <f ca="1">67.6*OFFSET(F$108,MATCH($M$1,$C$109:$C$110,0),0)</f>
        <v>58.090030496016709</v>
      </c>
      <c r="G27" s="26">
        <f ca="1">98.3*OFFSET(G$108,MATCH($M$1,$C$109:$C$110,0),0)</f>
        <v>86.923742158432333</v>
      </c>
      <c r="H27" s="26">
        <f ca="1">74.2*OFFSET(H$108,MATCH($M$1,$C$109:$C$110,0),0)</f>
        <v>66.91207707240676</v>
      </c>
      <c r="I27" s="26">
        <f ca="1">78.6*OFFSET(I$108,MATCH($M$1,$C$109:$C$110,0),0)</f>
        <v>73.128653047651923</v>
      </c>
      <c r="J27" s="26">
        <f ca="1">114.8*OFFSET(J$108,MATCH($M$1,$C$109:$C$110,0),0)</f>
        <v>109.07836713906177</v>
      </c>
      <c r="K27" s="26">
        <f ca="1">103.5*OFFSET(K$108,MATCH($M$1,$C$109:$C$110,0),0)</f>
        <v>99.974789022921698</v>
      </c>
      <c r="L27" s="26">
        <f ca="1">113.7*OFFSET(L$108,MATCH($M$1,$C$109:$C$110,0),0)</f>
        <v>111.79324903356326</v>
      </c>
      <c r="M27" s="27">
        <f ca="1">92.9*OFFSET(M$108,MATCH($M$1,$C$109:$C$110,0),0)</f>
        <v>92.899999639069279</v>
      </c>
      <c r="N27" s="24">
        <f t="shared" ca="1" si="0"/>
        <v>1.1439830628741527</v>
      </c>
      <c r="O27" s="24">
        <f t="shared" ca="1" si="1"/>
        <v>0.67074844967956648</v>
      </c>
    </row>
    <row r="28" spans="1:15" s="19" customFormat="1" ht="18" customHeight="1" x14ac:dyDescent="0.2">
      <c r="A28" s="148"/>
      <c r="B28" s="33" t="s">
        <v>36</v>
      </c>
      <c r="C28" s="25"/>
      <c r="D28" s="26">
        <f ca="1">190.8*OFFSET(D$108,MATCH($M$1,$C$109:$C$110,0),0)</f>
        <v>155.20816660955597</v>
      </c>
      <c r="E28" s="26">
        <f ca="1">203.1*OFFSET(E$108,MATCH($M$1,$C$109:$C$110,0),0)</f>
        <v>169.65551008796021</v>
      </c>
      <c r="F28" s="26">
        <f ca="1">168.3*OFFSET(F$108,MATCH($M$1,$C$109:$C$110,0),0)</f>
        <v>144.62355225561558</v>
      </c>
      <c r="G28" s="26">
        <f ca="1">173.4*OFFSET(G$108,MATCH($M$1,$C$109:$C$110,0),0)</f>
        <v>153.3324200434605</v>
      </c>
      <c r="H28" s="26">
        <f ca="1">169*OFFSET(H$108,MATCH($M$1,$C$109:$C$110,0),0)</f>
        <v>152.4008224425437</v>
      </c>
      <c r="I28" s="26">
        <f ca="1">157.8*OFFSET(I$108,MATCH($M$1,$C$109:$C$110,0),0)</f>
        <v>146.81554008803406</v>
      </c>
      <c r="J28" s="26">
        <f ca="1">188.1*OFFSET(J$108,MATCH($M$1,$C$109:$C$110,0),0)</f>
        <v>178.72509458935122</v>
      </c>
      <c r="K28" s="26">
        <f ca="1">204.1*OFFSET(K$108,MATCH($M$1,$C$109:$C$110,0),0)</f>
        <v>197.14835207322045</v>
      </c>
      <c r="L28" s="26">
        <f ca="1">280.4*OFFSET(L$108,MATCH($M$1,$C$109:$C$110,0),0)</f>
        <v>275.69768715049372</v>
      </c>
      <c r="M28" s="27">
        <f ca="1">302.9*OFFSET(M$108,MATCH($M$1,$C$109:$C$110,0),0)</f>
        <v>302.89999882318705</v>
      </c>
      <c r="N28" s="24">
        <f t="shared" ca="1" si="0"/>
        <v>0.77630915416998014</v>
      </c>
      <c r="O28" s="24">
        <f t="shared" ca="1" si="1"/>
        <v>0.80903017931175469</v>
      </c>
    </row>
    <row r="29" spans="1:15" s="19" customFormat="1" ht="18" customHeight="1" x14ac:dyDescent="0.2">
      <c r="A29" s="148"/>
      <c r="B29" s="33" t="s">
        <v>37</v>
      </c>
      <c r="C29" s="25"/>
      <c r="D29" s="26">
        <f ca="1">171.9*OFFSET(D$108,MATCH($M$1,$C$109:$C$110,0),0)</f>
        <v>139.83377274728863</v>
      </c>
      <c r="E29" s="26">
        <f ca="1">151*OFFSET(E$108,MATCH($M$1,$C$109:$C$110,0),0)</f>
        <v>126.13482040020675</v>
      </c>
      <c r="F29" s="26">
        <f ca="1">155.5*OFFSET(F$108,MATCH($M$1,$C$109:$C$110,0),0)</f>
        <v>133.62425654039347</v>
      </c>
      <c r="G29" s="26">
        <f ca="1">137*OFFSET(G$108,MATCH($M$1,$C$109:$C$110,0),0)</f>
        <v>121.14499161449878</v>
      </c>
      <c r="H29" s="26">
        <f ca="1">171.3*OFFSET(H$108,MATCH($M$1,$C$109:$C$110,0),0)</f>
        <v>154.47491647578542</v>
      </c>
      <c r="I29" s="26">
        <f ca="1">195.4*OFFSET(I$108,MATCH($M$1,$C$109:$C$110,0),0)</f>
        <v>181.79820363245787</v>
      </c>
      <c r="J29" s="26">
        <f ca="1">212.4*OFFSET(J$108,MATCH($M$1,$C$109:$C$110,0),0)</f>
        <v>201.81398240711428</v>
      </c>
      <c r="K29" s="26">
        <f ca="1">313.2*OFFSET(K$108,MATCH($M$1,$C$109:$C$110,0),0)</f>
        <v>302.53240504327607</v>
      </c>
      <c r="L29" s="26">
        <f ca="1">422.7*OFFSET(L$108,MATCH($M$1,$C$109:$C$110,0),0)</f>
        <v>415.61131368942114</v>
      </c>
      <c r="M29" s="27">
        <f ca="1">433*OFFSET(M$108,MATCH($M$1,$C$109:$C$110,0),0)</f>
        <v>432.99999831772868</v>
      </c>
      <c r="N29" s="24">
        <f t="shared" ca="1" si="0"/>
        <v>1.9721812229190523</v>
      </c>
      <c r="O29" s="24">
        <f t="shared" ca="1" si="1"/>
        <v>1.6904776721764401</v>
      </c>
    </row>
    <row r="30" spans="1:15" s="19" customFormat="1" ht="18" customHeight="1" x14ac:dyDescent="0.2">
      <c r="A30" s="148"/>
      <c r="B30" s="33" t="s">
        <v>38</v>
      </c>
      <c r="C30" s="25"/>
      <c r="D30" s="26">
        <f ca="1">426.8*OFFSET(D$108,MATCH($M$1,$C$109:$C$110,0),0)</f>
        <v>347.18472488971958</v>
      </c>
      <c r="E30" s="26">
        <f ca="1">430.5*OFFSET(E$108,MATCH($M$1,$C$109:$C$110,0),0)</f>
        <v>359.609537631053</v>
      </c>
      <c r="F30" s="26">
        <f ca="1">391.4*OFFSET(F$108,MATCH($M$1,$C$109:$C$110,0),0)</f>
        <v>336.33783929202576</v>
      </c>
      <c r="G30" s="26">
        <f ca="1">408.6*OFFSET(G$108,MATCH($M$1,$C$109:$C$110,0),0)</f>
        <v>361.31272681521313</v>
      </c>
      <c r="H30" s="26">
        <f ca="1">414.4*OFFSET(H$108,MATCH($M$1,$C$109:$C$110,0),0)</f>
        <v>373.69763798929057</v>
      </c>
      <c r="I30" s="26">
        <f ca="1">431.8*OFFSET(I$108,MATCH($M$1,$C$109:$C$110,0),0)</f>
        <v>401.74239676814386</v>
      </c>
      <c r="J30" s="26">
        <f ca="1">515.3*OFFSET(J$108,MATCH($M$1,$C$109:$C$110,0),0)</f>
        <v>489.61744413552719</v>
      </c>
      <c r="K30" s="26">
        <f ca="1">620.8*OFFSET(K$108,MATCH($M$1,$C$109:$C$110,0),0)</f>
        <v>599.65554613941822</v>
      </c>
      <c r="L30" s="26">
        <f ca="1">816.8*OFFSET(L$108,MATCH($M$1,$C$109:$C$110,0),0)</f>
        <v>803.10224987347806</v>
      </c>
      <c r="M30" s="27">
        <f ca="1">828.9*OFFSET(M$108,MATCH($M$1,$C$109:$C$110,0),0)</f>
        <v>828.89999677959645</v>
      </c>
      <c r="N30" s="24">
        <f t="shared" ca="1" si="0"/>
        <v>1.3131842857676903</v>
      </c>
      <c r="O30" s="24">
        <f t="shared" ca="1" si="1"/>
        <v>1.1490696440968498</v>
      </c>
    </row>
    <row r="31" spans="1:15" s="19" customFormat="1" ht="18" customHeight="1" x14ac:dyDescent="0.2">
      <c r="A31" s="148"/>
      <c r="B31" s="33" t="s">
        <v>39</v>
      </c>
      <c r="C31" s="25"/>
      <c r="D31" s="26">
        <f ca="1">153.3*OFFSET(D$108,MATCH($M$1,$C$109:$C$110,0),0)</f>
        <v>124.70341688283509</v>
      </c>
      <c r="E31" s="26">
        <f ca="1">143.3*OFFSET(E$108,MATCH($M$1,$C$109:$C$110,0),0)</f>
        <v>119.70277988973264</v>
      </c>
      <c r="F31" s="26">
        <f ca="1">127.6*OFFSET(F$108,MATCH($M$1,$C$109:$C$110,0),0)</f>
        <v>109.6492291611203</v>
      </c>
      <c r="G31" s="26">
        <f ca="1">154.8*OFFSET(G$108,MATCH($M$1,$C$109:$C$110,0),0)</f>
        <v>136.88499782426578</v>
      </c>
      <c r="H31" s="26">
        <f ca="1">126.2*OFFSET(H$108,MATCH($M$1,$C$109:$C$110,0),0)</f>
        <v>113.80463782395867</v>
      </c>
      <c r="I31" s="26">
        <f ca="1">133.8*OFFSET(I$108,MATCH($M$1,$C$109:$C$110,0),0)</f>
        <v>124.48618037882734</v>
      </c>
      <c r="J31" s="26">
        <f ca="1">169.1*OFFSET(J$108,MATCH($M$1,$C$109:$C$110,0),0)</f>
        <v>160.67205473184097</v>
      </c>
      <c r="K31" s="26">
        <f ca="1">175.7*OFFSET(K$108,MATCH($M$1,$C$109:$C$110,0),0)</f>
        <v>169.71565634132696</v>
      </c>
      <c r="L31" s="26">
        <f ca="1">139.9*OFFSET(L$108,MATCH($M$1,$C$109:$C$110,0),0)</f>
        <v>137.55387458043535</v>
      </c>
      <c r="M31" s="27">
        <f ca="1">143.3*OFFSET(M$108,MATCH($M$1,$C$109:$C$110,0),0)</f>
        <v>143.29999944325755</v>
      </c>
      <c r="N31" s="24">
        <f t="shared" ca="1" si="0"/>
        <v>0.1030481603376906</v>
      </c>
      <c r="O31" s="24">
        <f t="shared" ca="1" si="1"/>
        <v>0.20868426112135896</v>
      </c>
    </row>
    <row r="32" spans="1:15" s="19" customFormat="1" ht="18" customHeight="1" x14ac:dyDescent="0.2">
      <c r="A32" s="148"/>
      <c r="B32" s="33" t="s">
        <v>40</v>
      </c>
      <c r="C32" s="25"/>
      <c r="D32" s="26">
        <f ca="1">580.1*OFFSET(D$108,MATCH($M$1,$C$109:$C$110,0),0)</f>
        <v>471.88814177255466</v>
      </c>
      <c r="E32" s="26">
        <f ca="1">573.8*OFFSET(E$108,MATCH($M$1,$C$109:$C$110,0),0)</f>
        <v>479.3123175207856</v>
      </c>
      <c r="F32" s="26">
        <f ca="1">518.9*OFFSET(F$108,MATCH($M$1,$C$109:$C$110,0),0)</f>
        <v>445.90113645537087</v>
      </c>
      <c r="G32" s="26">
        <f ca="1">563.5*OFFSET(G$108,MATCH($M$1,$C$109:$C$110,0),0)</f>
        <v>498.28615164065735</v>
      </c>
      <c r="H32" s="26">
        <f ca="1">540.6*OFFSET(H$108,MATCH($M$1,$C$109:$C$110,0),0)</f>
        <v>487.5022758132493</v>
      </c>
      <c r="I32" s="26">
        <f ca="1">565.6*OFFSET(I$108,MATCH($M$1,$C$109:$C$110,0),0)</f>
        <v>526.22857714697113</v>
      </c>
      <c r="J32" s="26">
        <f ca="1">684.3*OFFSET(J$108,MATCH($M$1,$C$109:$C$110,0),0)</f>
        <v>650.19448286811814</v>
      </c>
      <c r="K32" s="26">
        <f ca="1">796.4*OFFSET(K$108,MATCH($M$1,$C$109:$C$110,0),0)</f>
        <v>769.27460848168926</v>
      </c>
      <c r="L32" s="26">
        <f ca="1">956.7*OFFSET(L$108,MATCH($M$1,$C$109:$C$110,0),0)</f>
        <v>940.65612445391355</v>
      </c>
      <c r="M32" s="27">
        <f ca="1">972.2*OFFSET(M$108,MATCH($M$1,$C$109:$C$110,0),0)</f>
        <v>972.19999622285411</v>
      </c>
      <c r="N32" s="24">
        <f t="shared" ca="1" si="0"/>
        <v>0.9933879264702955</v>
      </c>
      <c r="O32" s="24">
        <f t="shared" ca="1" si="1"/>
        <v>0.92954201677256754</v>
      </c>
    </row>
    <row r="33" spans="1:15" s="19" customFormat="1" ht="18" customHeight="1" x14ac:dyDescent="0.2">
      <c r="A33" s="148"/>
      <c r="B33" s="45" t="s">
        <v>41</v>
      </c>
      <c r="C33" s="46"/>
      <c r="D33" s="47">
        <f ca="1">310.1*OFFSET(D$108,MATCH($M$1,$C$109:$C$110,0),0)</f>
        <v>252.25394374016412</v>
      </c>
      <c r="E33" s="47">
        <f ca="1">343.7*OFFSET(E$108,MATCH($M$1,$C$109:$C$110,0),0)</f>
        <v>287.10289914934475</v>
      </c>
      <c r="F33" s="47">
        <f ca="1">285.8*OFFSET(F$108,MATCH($M$1,$C$109:$C$110,0),0)</f>
        <v>245.59364964144345</v>
      </c>
      <c r="G33" s="47">
        <f ca="1">234.9*OFFSET(G$108,MATCH($M$1,$C$109:$C$110,0),0)</f>
        <v>207.71502576821723</v>
      </c>
      <c r="H33" s="47">
        <f ca="1">243*OFFSET(H$108,MATCH($M$1,$C$109:$C$110,0),0)</f>
        <v>219.1325435120599</v>
      </c>
      <c r="I33" s="47">
        <f ca="1">280.6*OFFSET(I$108,MATCH($M$1,$C$109:$C$110,0),0)</f>
        <v>261.06743060014168</v>
      </c>
      <c r="J33" s="47">
        <f ca="1">406.8*OFFSET(J$108,MATCH($M$1,$C$109:$C$110,0),0)</f>
        <v>386.52508494921892</v>
      </c>
      <c r="K33" s="47">
        <f ca="1">369.3*OFFSET(K$108,MATCH($M$1,$C$109:$C$110,0),0)</f>
        <v>356.72163851367134</v>
      </c>
      <c r="L33" s="47">
        <f ca="1">385.2*OFFSET(L$108,MATCH($M$1,$C$109:$C$110,0),0)</f>
        <v>378.74018933798209</v>
      </c>
      <c r="M33" s="48">
        <f ca="1">418.2*OFFSET(M$108,MATCH($M$1,$C$109:$C$110,0),0)</f>
        <v>418.19999837522892</v>
      </c>
      <c r="N33" s="49">
        <f t="shared" ca="1" si="0"/>
        <v>0.50142425415598646</v>
      </c>
      <c r="O33" s="49">
        <f t="shared" ca="1" si="1"/>
        <v>0.72836121585536306</v>
      </c>
    </row>
    <row r="34" spans="1:15" s="19" customFormat="1" ht="18" customHeight="1" x14ac:dyDescent="0.2">
      <c r="A34" s="148"/>
      <c r="B34" s="45" t="s">
        <v>42</v>
      </c>
      <c r="C34" s="46"/>
      <c r="D34" s="47">
        <f ca="1">119.3*OFFSET(D$108,MATCH($M$1,$C$109:$C$110,0),0)</f>
        <v>97.045777130608116</v>
      </c>
      <c r="E34" s="47">
        <f ca="1">140.6*OFFSET(E$108,MATCH($M$1,$C$109:$C$110,0),0)</f>
        <v>117.44738906138456</v>
      </c>
      <c r="F34" s="47">
        <f ca="1">117.5*OFFSET(F$108,MATCH($M$1,$C$109:$C$110,0),0)</f>
        <v>100.97009738582787</v>
      </c>
      <c r="G34" s="47">
        <f ca="1">61.5*OFFSET(G$108,MATCH($M$1,$C$109:$C$110,0),0)</f>
        <v>54.38260572475675</v>
      </c>
      <c r="H34" s="47">
        <f ca="1">74*OFFSET(H$108,MATCH($M$1,$C$109:$C$110,0),0)</f>
        <v>66.731721069516183</v>
      </c>
      <c r="I34" s="47">
        <f ca="1">122.8*OFFSET(I$108,MATCH($M$1,$C$109:$C$110,0),0)</f>
        <v>114.25189051210759</v>
      </c>
      <c r="J34" s="47">
        <f ca="1">218.7*OFFSET(J$108,MATCH($M$1,$C$109:$C$110,0),0)</f>
        <v>207.79999035986765</v>
      </c>
      <c r="K34" s="47">
        <f ca="1">165.2*OFFSET(K$108,MATCH($M$1,$C$109:$C$110,0),0)</f>
        <v>159.57328644045083</v>
      </c>
      <c r="L34" s="47">
        <f ca="1">104.8*OFFSET(L$108,MATCH($M$1,$C$109:$C$110,0),0)</f>
        <v>103.04250218748838</v>
      </c>
      <c r="M34" s="48">
        <f ca="1">115.3*OFFSET(M$108,MATCH($M$1,$C$109:$C$110,0),0)</f>
        <v>115.29999955204184</v>
      </c>
      <c r="N34" s="49">
        <f t="shared" ca="1" si="0"/>
        <v>6.1792746002843908E-2</v>
      </c>
      <c r="O34" s="49">
        <f t="shared" ca="1" si="1"/>
        <v>0.54413074525900962</v>
      </c>
    </row>
    <row r="35" spans="1:15" s="19" customFormat="1" ht="18" customHeight="1" x14ac:dyDescent="0.2">
      <c r="A35" s="148"/>
      <c r="B35" s="33" t="s">
        <v>43</v>
      </c>
      <c r="C35" s="25"/>
      <c r="D35" s="26">
        <f ca="1">29.2*OFFSET(D$108,MATCH($M$1,$C$109:$C$110,0),0)</f>
        <v>23.75303178720668</v>
      </c>
      <c r="E35" s="26">
        <f ca="1">25.5*OFFSET(E$108,MATCH($M$1,$C$109:$C$110,0),0)</f>
        <v>21.300913378842861</v>
      </c>
      <c r="F35" s="26">
        <f ca="1">29.3*OFFSET(F$108,MATCH($M$1,$C$109:$C$110,0),0)</f>
        <v>25.178075348125589</v>
      </c>
      <c r="G35" s="26">
        <f ca="1">32.3*OFFSET(G$108,MATCH($M$1,$C$109:$C$110,0),0)</f>
        <v>28.561921380644598</v>
      </c>
      <c r="H35" s="26">
        <f ca="1">32.4*OFFSET(H$108,MATCH($M$1,$C$109:$C$110,0),0)</f>
        <v>29.21767246827465</v>
      </c>
      <c r="I35" s="26">
        <f ca="1">50.6*OFFSET(I$108,MATCH($M$1,$C$109:$C$110,0),0)</f>
        <v>47.077733386910786</v>
      </c>
      <c r="J35" s="26">
        <f ca="1">61.1*OFFSET(J$108,MATCH($M$1,$C$109:$C$110,0),0)</f>
        <v>58.054775541782874</v>
      </c>
      <c r="K35" s="26">
        <f ca="1">78.2*OFFSET(K$108,MATCH($M$1,$C$109:$C$110,0),0)</f>
        <v>75.536507261763063</v>
      </c>
      <c r="L35" s="26">
        <f ca="1">34.1*OFFSET(L$108,MATCH($M$1,$C$109:$C$110,0),0)</f>
        <v>33.528142410241927</v>
      </c>
      <c r="M35" s="27"/>
      <c r="N35" s="24">
        <f t="shared" ca="1" si="0"/>
        <v>0.41153107151147311</v>
      </c>
      <c r="O35" s="24">
        <f t="shared" ca="1" si="1"/>
        <v>0.14752954557375175</v>
      </c>
    </row>
    <row r="36" spans="1:15" s="19" customFormat="1" ht="18" customHeight="1" x14ac:dyDescent="0.2">
      <c r="A36" s="148"/>
      <c r="B36" s="33" t="s">
        <v>44</v>
      </c>
      <c r="C36" s="25"/>
      <c r="D36" s="26">
        <f ca="1">21.2*OFFSET(D$108,MATCH($M$1,$C$109:$C$110,0),0)</f>
        <v>17.245351845506221</v>
      </c>
      <c r="E36" s="26">
        <f ca="1">19.4*OFFSET(E$108,MATCH($M$1,$C$109:$C$110,0),0)</f>
        <v>16.205400766649078</v>
      </c>
      <c r="F36" s="26">
        <f ca="1">17.7*OFFSET(F$108,MATCH($M$1,$C$109:$C$110,0),0)</f>
        <v>15.209963606205559</v>
      </c>
      <c r="G36" s="26">
        <f ca="1">12.3*OFFSET(G$108,MATCH($M$1,$C$109:$C$110,0),0)</f>
        <v>10.876521144951351</v>
      </c>
      <c r="H36" s="26">
        <f ca="1">13.2*OFFSET(H$108,MATCH($M$1,$C$109:$C$110,0),0)</f>
        <v>11.903496190778561</v>
      </c>
      <c r="I36" s="26">
        <f ca="1">13.7*OFFSET(I$108,MATCH($M$1,$C$109:$C$110,0),0)</f>
        <v>12.746342834005489</v>
      </c>
      <c r="J36" s="26">
        <f ca="1">17.7*OFFSET(J$108,MATCH($M$1,$C$109:$C$110,0),0)</f>
        <v>16.817831867259525</v>
      </c>
      <c r="K36" s="26">
        <f ca="1">21.1*OFFSET(K$108,MATCH($M$1,$C$109:$C$110,0),0)</f>
        <v>20.381333800808193</v>
      </c>
      <c r="L36" s="26">
        <f ca="1">7.9*OFFSET(L$108,MATCH($M$1,$C$109:$C$110,0),0)</f>
        <v>7.7675168633698304</v>
      </c>
      <c r="M36" s="27"/>
      <c r="N36" s="24">
        <f t="shared" ca="1" si="0"/>
        <v>-0.54958780006602859</v>
      </c>
      <c r="O36" s="24">
        <f t="shared" ca="1" si="1"/>
        <v>-0.34745920535622171</v>
      </c>
    </row>
    <row r="37" spans="1:15" s="19" customFormat="1" ht="18" customHeight="1" x14ac:dyDescent="0.2">
      <c r="A37" s="148"/>
      <c r="B37" s="33" t="s">
        <v>45</v>
      </c>
      <c r="C37" s="25"/>
      <c r="D37" s="26"/>
      <c r="E37" s="26"/>
      <c r="F37" s="26"/>
      <c r="G37" s="26"/>
      <c r="H37" s="26">
        <f ca="1">2.6*OFFSET(H$108,MATCH($M$1,$C$109:$C$110,0),0)</f>
        <v>2.3446280375775954</v>
      </c>
      <c r="I37" s="26"/>
      <c r="J37" s="26">
        <f ca="1">8.9*OFFSET(J$108,MATCH($M$1,$C$109:$C$110,0),0)</f>
        <v>8.4564239332547899</v>
      </c>
      <c r="K37" s="26">
        <f ca="1">6.7*OFFSET(K$108,MATCH($M$1,$C$109:$C$110,0),0)</f>
        <v>6.4717979367495202</v>
      </c>
      <c r="L37" s="26">
        <f ca="1">5.1*OFFSET(L$108,MATCH($M$1,$C$109:$C$110,0),0)</f>
        <v>5.0144729117957132</v>
      </c>
      <c r="M37" s="27"/>
      <c r="N37" s="24" t="str">
        <f t="shared" ca="1" si="0"/>
        <v/>
      </c>
      <c r="O37" s="24">
        <f t="shared" ca="1" si="1"/>
        <v>1.1387072198354018</v>
      </c>
    </row>
    <row r="38" spans="1:15" s="19" customFormat="1" ht="18" customHeight="1" thickBot="1" x14ac:dyDescent="0.25">
      <c r="A38" s="149"/>
      <c r="B38" s="50" t="s">
        <v>46</v>
      </c>
      <c r="C38" s="51"/>
      <c r="D38" s="52">
        <f ca="1">68.8*OFFSET(D$108,MATCH($M$1,$C$109:$C$110,0),0)</f>
        <v>55.966047498623958</v>
      </c>
      <c r="E38" s="52">
        <f ca="1">95.7*OFFSET(E$108,MATCH($M$1,$C$109:$C$110,0),0)</f>
        <v>79.941074915892628</v>
      </c>
      <c r="F38" s="52">
        <f ca="1">70.6*OFFSET(F$108,MATCH($M$1,$C$109:$C$110,0),0)</f>
        <v>60.667990429271889</v>
      </c>
      <c r="G38" s="52">
        <f ca="1">17*OFFSET(G$108,MATCH($M$1,$C$109:$C$110,0),0)</f>
        <v>15.032590200339264</v>
      </c>
      <c r="H38" s="52">
        <f ca="1">25.9*OFFSET(H$108,MATCH($M$1,$C$109:$C$110,0),0)</f>
        <v>23.356102374330661</v>
      </c>
      <c r="I38" s="52">
        <f ca="1">58.5*OFFSET(I$108,MATCH($M$1,$C$109:$C$110,0),0)</f>
        <v>54.427814291191325</v>
      </c>
      <c r="J38" s="52">
        <f ca="1">130.9*OFFSET(J$108,MATCH($M$1,$C$109:$C$110,0),0)</f>
        <v>124.37594301832044</v>
      </c>
      <c r="K38" s="52">
        <f ca="1">59.2*OFFSET(K$108,MATCH($M$1,$C$109:$C$110,0),0)</f>
        <v>57.183647441130091</v>
      </c>
      <c r="L38" s="52">
        <f ca="1">57.8*OFFSET(L$108,MATCH($M$1,$C$109:$C$110,0),0)</f>
        <v>56.830693000351417</v>
      </c>
      <c r="M38" s="53"/>
      <c r="N38" s="54">
        <f t="shared" ca="1" si="0"/>
        <v>1.5449465173482514E-2</v>
      </c>
      <c r="O38" s="54">
        <f t="shared" ca="1" si="1"/>
        <v>1.4332267468912425</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NSWOS demersal seiners</v>
      </c>
      <c r="C45" s="61"/>
      <c r="D45" s="61"/>
      <c r="E45" s="61"/>
      <c r="F45" s="61" t="str">
        <f>$B21&amp;CHAR(10)&amp;$A$1</f>
        <v>Income per kW day at sea (£)
NSWOS demersal seiners</v>
      </c>
      <c r="G45" s="61"/>
      <c r="K45" s="61" t="str">
        <f>$B23&amp;CHAR(10)&amp;$A$1</f>
        <v>Operating profit per kW day at sea (£)
NSWOS demersal seiners</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NSWOS demersal seiners</v>
      </c>
      <c r="F59" s="61" t="str">
        <f>$B19&amp;CHAR(10)&amp;$A$1</f>
        <v>Average price per tonne landed (£)
NSWOS demersal seiners</v>
      </c>
      <c r="K59" s="61" t="str">
        <f>"Average annual operating profit per vessel (£'000)"&amp;CHAR(10)&amp;$A$1</f>
        <v>Average annual operating profit per vessel (£'000)
NSWOS demersal seiners</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NSWOS demersal seiners</v>
      </c>
      <c r="F73" s="61" t="str">
        <f>"Top 5 landed species by value in "&amp;A74&amp;CHAR(10)&amp;A1</f>
        <v>Top 5 landed species by value in 2013
NSWOS demersal seiners</v>
      </c>
    </row>
    <row r="74" spans="1:9" s="61" customFormat="1" x14ac:dyDescent="0.2">
      <c r="A74" s="61">
        <v>2013</v>
      </c>
      <c r="B74" s="61" t="s">
        <v>311</v>
      </c>
      <c r="C74" s="62">
        <v>0.45044809510748063</v>
      </c>
      <c r="D74" s="63">
        <v>8211234</v>
      </c>
      <c r="G74" s="61" t="s">
        <v>312</v>
      </c>
      <c r="H74" s="62">
        <v>0.35854171576488014</v>
      </c>
      <c r="I74" s="63">
        <v>8211234</v>
      </c>
    </row>
    <row r="75" spans="1:9" s="61" customFormat="1" x14ac:dyDescent="0.2">
      <c r="B75" s="61" t="s">
        <v>313</v>
      </c>
      <c r="C75" s="62">
        <v>0.14693758561137674</v>
      </c>
      <c r="D75" s="63">
        <v>2783840</v>
      </c>
      <c r="G75" s="61" t="s">
        <v>314</v>
      </c>
      <c r="H75" s="62">
        <v>0.1625441883921111</v>
      </c>
      <c r="I75" s="63">
        <v>2171775</v>
      </c>
    </row>
    <row r="76" spans="1:9" s="61" customFormat="1" x14ac:dyDescent="0.2">
      <c r="B76" s="61" t="s">
        <v>315</v>
      </c>
      <c r="C76" s="62">
        <v>0.13520586317680383</v>
      </c>
      <c r="D76" s="63">
        <v>6763595</v>
      </c>
      <c r="G76" s="61" t="s">
        <v>316</v>
      </c>
      <c r="H76" s="62">
        <v>0.11156753222353517</v>
      </c>
      <c r="I76" s="63">
        <v>2783840</v>
      </c>
    </row>
    <row r="77" spans="1:9" s="61" customFormat="1" x14ac:dyDescent="0.2">
      <c r="B77" s="61" t="s">
        <v>317</v>
      </c>
      <c r="C77" s="62">
        <v>0.1068275218741398</v>
      </c>
      <c r="D77" s="63">
        <v>2171775</v>
      </c>
      <c r="G77" s="61" t="s">
        <v>318</v>
      </c>
      <c r="H77" s="62">
        <v>0.10986591861590007</v>
      </c>
      <c r="I77" s="63">
        <v>6763595</v>
      </c>
    </row>
    <row r="78" spans="1:9" s="61" customFormat="1" x14ac:dyDescent="0.2">
      <c r="B78" s="61" t="s">
        <v>319</v>
      </c>
      <c r="C78" s="62">
        <v>3.3279774323345016E-2</v>
      </c>
      <c r="D78" s="63">
        <v>3511670</v>
      </c>
      <c r="G78" s="61" t="s">
        <v>320</v>
      </c>
      <c r="H78" s="62">
        <v>3.562216500735306E-2</v>
      </c>
      <c r="I78" s="63">
        <v>2764187</v>
      </c>
    </row>
    <row r="79" spans="1:9" s="61" customFormat="1" x14ac:dyDescent="0.2">
      <c r="B79" s="61" t="s">
        <v>321</v>
      </c>
      <c r="C79" s="62">
        <v>0.12730115990685398</v>
      </c>
      <c r="D79" s="63">
        <v>32768</v>
      </c>
      <c r="G79" s="61" t="s">
        <v>322</v>
      </c>
      <c r="H79" s="62">
        <v>0.22185847999622033</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64</v>
      </c>
      <c r="D88" s="66">
        <v>0.62516858183369517</v>
      </c>
      <c r="E88" s="66">
        <v>0.56792746794160864</v>
      </c>
      <c r="F88" s="66">
        <v>0.43017406217739818</v>
      </c>
      <c r="G88" s="66">
        <v>0.35532241586649083</v>
      </c>
      <c r="H88" s="66">
        <v>0.3842602355003748</v>
      </c>
      <c r="I88" s="66">
        <v>0.33289640047773977</v>
      </c>
      <c r="J88" s="66">
        <v>0.37758248825804036</v>
      </c>
      <c r="K88" s="66">
        <v>0.38147252210795229</v>
      </c>
      <c r="L88" s="66">
        <v>0.36465702389758881</v>
      </c>
      <c r="M88" s="66">
        <v>0.40719357715661808</v>
      </c>
      <c r="N88" s="61"/>
      <c r="O88" s="61">
        <v>8211234</v>
      </c>
    </row>
    <row r="89" spans="1:15" s="65" customFormat="1" hidden="1" x14ac:dyDescent="0.2">
      <c r="A89" s="61"/>
      <c r="B89" s="61">
        <v>2</v>
      </c>
      <c r="C89" s="61" t="s">
        <v>65</v>
      </c>
      <c r="D89" s="66">
        <v>0.12514969679843699</v>
      </c>
      <c r="E89" s="66">
        <v>0.12677616132144023</v>
      </c>
      <c r="F89" s="66">
        <v>0.15214311343984241</v>
      </c>
      <c r="G89" s="66">
        <v>0.15081471347622022</v>
      </c>
      <c r="H89" s="66">
        <v>0.15633368383383089</v>
      </c>
      <c r="I89" s="66">
        <v>0.20624596735444722</v>
      </c>
      <c r="J89" s="66">
        <v>0.20371258322069924</v>
      </c>
      <c r="K89" s="66">
        <v>0.2003919878524186</v>
      </c>
      <c r="L89" s="66">
        <v>0.16531655142127294</v>
      </c>
      <c r="M89" s="66">
        <v>0.15354555275183643</v>
      </c>
      <c r="N89" s="61"/>
      <c r="O89" s="61">
        <v>2171775</v>
      </c>
    </row>
    <row r="90" spans="1:15" s="65" customFormat="1" hidden="1" x14ac:dyDescent="0.2">
      <c r="A90" s="61"/>
      <c r="B90" s="61">
        <v>3</v>
      </c>
      <c r="C90" s="61" t="s">
        <v>85</v>
      </c>
      <c r="D90" s="66"/>
      <c r="E90" s="66">
        <v>2.8796243247421825E-2</v>
      </c>
      <c r="F90" s="66">
        <v>5.4357714276280555E-2</v>
      </c>
      <c r="G90" s="66">
        <v>6.2772076045825131E-2</v>
      </c>
      <c r="H90" s="66">
        <v>8.2739580128057016E-2</v>
      </c>
      <c r="I90" s="66">
        <v>0.103069658374861</v>
      </c>
      <c r="J90" s="66">
        <v>7.3131749899964252E-2</v>
      </c>
      <c r="K90" s="66">
        <v>0.10123614661667173</v>
      </c>
      <c r="L90" s="66">
        <v>0.11347043447215449</v>
      </c>
      <c r="M90" s="66">
        <v>9.2608187029014841E-2</v>
      </c>
      <c r="N90" s="61"/>
      <c r="O90" s="61">
        <v>2783840</v>
      </c>
    </row>
    <row r="91" spans="1:15" s="65" customFormat="1" hidden="1" x14ac:dyDescent="0.2">
      <c r="A91" s="61"/>
      <c r="B91" s="61">
        <v>4</v>
      </c>
      <c r="C91" s="61" t="s">
        <v>271</v>
      </c>
      <c r="D91" s="66">
        <v>7.0714375993157427E-2</v>
      </c>
      <c r="E91" s="66">
        <v>0.10205471819263749</v>
      </c>
      <c r="F91" s="66">
        <v>0.13896938056650232</v>
      </c>
      <c r="G91" s="66">
        <v>0.15608849569444566</v>
      </c>
      <c r="H91" s="66">
        <v>0.13854907264570993</v>
      </c>
      <c r="I91" s="66">
        <v>0.1189132191837239</v>
      </c>
      <c r="J91" s="66">
        <v>0.13706984532495106</v>
      </c>
      <c r="K91" s="66">
        <v>0.14246833808023796</v>
      </c>
      <c r="L91" s="66">
        <v>0.11173979804492559</v>
      </c>
      <c r="M91" s="66">
        <v>0.11401892846017569</v>
      </c>
      <c r="N91" s="61"/>
      <c r="O91" s="61">
        <v>6763595</v>
      </c>
    </row>
    <row r="92" spans="1:15" s="65" customFormat="1" hidden="1" x14ac:dyDescent="0.2">
      <c r="A92" s="61"/>
      <c r="B92" s="61">
        <v>5</v>
      </c>
      <c r="C92" s="61" t="s">
        <v>66</v>
      </c>
      <c r="D92" s="66"/>
      <c r="E92" s="66"/>
      <c r="F92" s="66"/>
      <c r="G92" s="66"/>
      <c r="H92" s="66"/>
      <c r="I92" s="66"/>
      <c r="J92" s="66"/>
      <c r="K92" s="66"/>
      <c r="L92" s="66">
        <v>3.622973870323231E-2</v>
      </c>
      <c r="M92" s="66"/>
      <c r="N92" s="61"/>
      <c r="O92" s="61">
        <v>2764187</v>
      </c>
    </row>
    <row r="93" spans="1:15" s="65" customFormat="1" hidden="1" x14ac:dyDescent="0.2">
      <c r="A93" s="61"/>
      <c r="B93" s="61">
        <v>6</v>
      </c>
      <c r="C93" s="61" t="s">
        <v>100</v>
      </c>
      <c r="D93" s="66"/>
      <c r="E93" s="66"/>
      <c r="F93" s="66"/>
      <c r="G93" s="66"/>
      <c r="H93" s="66"/>
      <c r="I93" s="66"/>
      <c r="J93" s="66"/>
      <c r="K93" s="66"/>
      <c r="L93" s="66"/>
      <c r="M93" s="66">
        <v>4.825056575451174E-2</v>
      </c>
      <c r="N93" s="61"/>
      <c r="O93" s="61">
        <v>3511670</v>
      </c>
    </row>
    <row r="94" spans="1:15" s="65" customFormat="1" hidden="1" x14ac:dyDescent="0.2">
      <c r="A94" s="61"/>
      <c r="B94" s="61">
        <v>7</v>
      </c>
      <c r="C94" s="61" t="s">
        <v>115</v>
      </c>
      <c r="D94" s="66"/>
      <c r="E94" s="66"/>
      <c r="F94" s="66"/>
      <c r="G94" s="66">
        <v>7.1573897923854699E-2</v>
      </c>
      <c r="H94" s="66">
        <v>5.8141057497905907E-2</v>
      </c>
      <c r="I94" s="66">
        <v>5.446566588416183E-2</v>
      </c>
      <c r="J94" s="66">
        <v>4.313218984875964E-2</v>
      </c>
      <c r="K94" s="66">
        <v>3.4089741294132656E-2</v>
      </c>
      <c r="L94" s="66"/>
      <c r="M94" s="66"/>
      <c r="N94" s="61"/>
      <c r="O94" s="61">
        <v>1464488</v>
      </c>
    </row>
    <row r="95" spans="1:15" s="65" customFormat="1" hidden="1" x14ac:dyDescent="0.2">
      <c r="A95" s="61"/>
      <c r="B95" s="61">
        <v>8</v>
      </c>
      <c r="C95" s="61" t="s">
        <v>82</v>
      </c>
      <c r="D95" s="66">
        <v>3.4949573085976522E-2</v>
      </c>
      <c r="E95" s="66">
        <v>3.4103365756909122E-2</v>
      </c>
      <c r="F95" s="66">
        <v>3.9124717045415036E-2</v>
      </c>
      <c r="G95" s="66"/>
      <c r="H95" s="66"/>
      <c r="I95" s="66"/>
      <c r="J95" s="66"/>
      <c r="K95" s="66"/>
      <c r="L95" s="66"/>
      <c r="M95" s="66"/>
      <c r="N95" s="61"/>
      <c r="O95" s="61">
        <v>8274269</v>
      </c>
    </row>
    <row r="96" spans="1:15" s="65" customFormat="1" hidden="1" x14ac:dyDescent="0.2">
      <c r="A96" s="61"/>
      <c r="B96" s="61">
        <v>9</v>
      </c>
      <c r="C96" s="61" t="s">
        <v>132</v>
      </c>
      <c r="D96" s="66">
        <v>2.1962442211985605E-2</v>
      </c>
      <c r="E96" s="66"/>
      <c r="F96" s="66"/>
      <c r="G96" s="66"/>
      <c r="H96" s="66"/>
      <c r="I96" s="66"/>
      <c r="J96" s="66"/>
      <c r="K96" s="66"/>
      <c r="L96" s="66"/>
      <c r="M96" s="66"/>
      <c r="N96" s="61"/>
      <c r="O96" s="61">
        <v>10520359</v>
      </c>
    </row>
    <row r="97" spans="1:15" s="65" customFormat="1" hidden="1" x14ac:dyDescent="0.2">
      <c r="A97" s="61"/>
      <c r="B97" s="61">
        <v>10</v>
      </c>
      <c r="C97" s="61" t="s">
        <v>68</v>
      </c>
      <c r="D97" s="66">
        <v>0.12205533007674832</v>
      </c>
      <c r="E97" s="66">
        <v>0.1403420435399827</v>
      </c>
      <c r="F97" s="66">
        <v>0.1852310124945615</v>
      </c>
      <c r="G97" s="66">
        <v>0.20342840099316348</v>
      </c>
      <c r="H97" s="66">
        <v>0.17997637039412143</v>
      </c>
      <c r="I97" s="66">
        <v>0.18440908872506623</v>
      </c>
      <c r="J97" s="66">
        <v>0.16537114344758547</v>
      </c>
      <c r="K97" s="66">
        <v>0.14034126404858674</v>
      </c>
      <c r="L97" s="66">
        <v>0.20858645346082588</v>
      </c>
      <c r="M97" s="66">
        <v>0.18438318884784322</v>
      </c>
      <c r="N97" s="61"/>
      <c r="O97" s="61">
        <v>32768</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11</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'NSWOS demersal seiners'!D3:L3</xm:f>
              <xm:sqref>C3</xm:sqref>
            </x14:sparkline>
            <x14:sparkline>
              <xm:f>'NSWOS demersal seiners'!D4:L4</xm:f>
              <xm:sqref>C4</xm:sqref>
            </x14:sparkline>
            <x14:sparkline>
              <xm:f>'NSWOS demersal seiners'!D5:L5</xm:f>
              <xm:sqref>C5</xm:sqref>
            </x14:sparkline>
            <x14:sparkline>
              <xm:f>'NSWOS demersal seiners'!D6:L6</xm:f>
              <xm:sqref>C6</xm:sqref>
            </x14:sparkline>
            <x14:sparkline>
              <xm:f>'NSWOS demersal seiners'!D7:L7</xm:f>
              <xm:sqref>C7</xm:sqref>
            </x14:sparkline>
            <x14:sparkline>
              <xm:f>'NSWOS demersal seiners'!D8:L8</xm:f>
              <xm:sqref>C8</xm:sqref>
            </x14:sparkline>
            <x14:sparkline>
              <xm:f>'NSWOS demersal seiners'!D9:L9</xm:f>
              <xm:sqref>C9</xm:sqref>
            </x14:sparkline>
            <x14:sparkline>
              <xm:f>'NSWOS demersal seiners'!D10:L10</xm:f>
              <xm:sqref>C10</xm:sqref>
            </x14:sparkline>
            <x14:sparkline>
              <xm:f>'NSWOS demersal seiners'!D11:L11</xm:f>
              <xm:sqref>C11</xm:sqref>
            </x14:sparkline>
            <x14:sparkline>
              <xm:f>'NSWOS demersal seiners'!D12:L12</xm:f>
              <xm:sqref>C12</xm:sqref>
            </x14:sparkline>
            <x14:sparkline>
              <xm:f>'NSWOS demersal seiners'!D13:L13</xm:f>
              <xm:sqref>C13</xm:sqref>
            </x14:sparkline>
            <x14:sparkline>
              <xm:f>'NSWOS demersal seiners'!D14:L14</xm:f>
              <xm:sqref>C14</xm:sqref>
            </x14:sparkline>
            <x14:sparkline>
              <xm:f>'NSWOS demersal seiners'!D15:L15</xm:f>
              <xm:sqref>C15</xm:sqref>
            </x14:sparkline>
            <x14:sparkline>
              <xm:f>'NSWOS demersal seiners'!D16:L16</xm:f>
              <xm:sqref>C16</xm:sqref>
            </x14:sparkline>
            <x14:sparkline>
              <xm:f>'NSWOS demersal seiners'!D17:L17</xm:f>
              <xm:sqref>C17</xm:sqref>
            </x14:sparkline>
            <x14:sparkline>
              <xm:f>'NSWOS demersal seiners'!D18:L18</xm:f>
              <xm:sqref>C18</xm:sqref>
            </x14:sparkline>
            <x14:sparkline>
              <xm:f>'NSWOS demersal seiners'!D19:L19</xm:f>
              <xm:sqref>C19</xm:sqref>
            </x14:sparkline>
            <x14:sparkline>
              <xm:f>'NSWOS demersal seiners'!D20:L20</xm:f>
              <xm:sqref>C20</xm:sqref>
            </x14:sparkline>
            <x14:sparkline>
              <xm:f>'NSWOS demersal seiners'!D21:L21</xm:f>
              <xm:sqref>C21</xm:sqref>
            </x14:sparkline>
            <x14:sparkline>
              <xm:f>'NSWOS demersal seiners'!D22:L22</xm:f>
              <xm:sqref>C22</xm:sqref>
            </x14:sparkline>
            <x14:sparkline>
              <xm:f>'NSWOS demersal seiners'!D23:L23</xm:f>
              <xm:sqref>C23</xm:sqref>
            </x14:sparkline>
            <x14:sparkline>
              <xm:f>'NSWOS demersal seiners'!D24:L24</xm:f>
              <xm:sqref>C24</xm:sqref>
            </x14:sparkline>
            <x14:sparkline>
              <xm:f>'NSWOS demersal seiners'!D25:L25</xm:f>
              <xm:sqref>C25</xm:sqref>
            </x14:sparkline>
            <x14:sparkline>
              <xm:f>'NSWOS demersal seiners'!D26:L26</xm:f>
              <xm:sqref>C26</xm:sqref>
            </x14:sparkline>
            <x14:sparkline>
              <xm:f>'NSWOS demersal seiners'!D27:L27</xm:f>
              <xm:sqref>C27</xm:sqref>
            </x14:sparkline>
            <x14:sparkline>
              <xm:f>'NSWOS demersal seiners'!D28:L28</xm:f>
              <xm:sqref>C28</xm:sqref>
            </x14:sparkline>
            <x14:sparkline>
              <xm:f>'NSWOS demersal seiners'!D29:L29</xm:f>
              <xm:sqref>C29</xm:sqref>
            </x14:sparkline>
            <x14:sparkline>
              <xm:f>'NSWOS demersal seiners'!D30:L30</xm:f>
              <xm:sqref>C30</xm:sqref>
            </x14:sparkline>
            <x14:sparkline>
              <xm:f>'NSWOS demersal seiners'!D31:L31</xm:f>
              <xm:sqref>C31</xm:sqref>
            </x14:sparkline>
            <x14:sparkline>
              <xm:f>'NSWOS demersal seiners'!D32:L32</xm:f>
              <xm:sqref>C32</xm:sqref>
            </x14:sparkline>
            <x14:sparkline>
              <xm:f>'NSWOS demersal seiners'!D33:L33</xm:f>
              <xm:sqref>C33</xm:sqref>
            </x14:sparkline>
            <x14:sparkline>
              <xm:f>'NSWOS demersal seiners'!D34:L34</xm:f>
              <xm:sqref>C34</xm:sqref>
            </x14:sparkline>
            <x14:sparkline>
              <xm:f>'NSWOS demersal seiners'!D35:L35</xm:f>
              <xm:sqref>C35</xm:sqref>
            </x14:sparkline>
            <x14:sparkline>
              <xm:f>'NSWOS demersal seiners'!D36:L36</xm:f>
              <xm:sqref>C36</xm:sqref>
            </x14:sparkline>
            <x14:sparkline>
              <xm:f>'NSWOS demersal seiners'!D37:L37</xm:f>
              <xm:sqref>C37</xm:sqref>
            </x14:sparkline>
            <x14:sparkline>
              <xm:f>'NSWOS demersal seiners'!D38:L38</xm:f>
              <xm:sqref>C38</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323</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37</v>
      </c>
      <c r="E3" s="16">
        <v>37</v>
      </c>
      <c r="F3" s="16">
        <v>30</v>
      </c>
      <c r="G3" s="16">
        <v>36</v>
      </c>
      <c r="H3" s="16">
        <v>48</v>
      </c>
      <c r="I3" s="16">
        <v>44</v>
      </c>
      <c r="J3" s="16">
        <v>37</v>
      </c>
      <c r="K3" s="16">
        <v>38</v>
      </c>
      <c r="L3" s="16">
        <v>41</v>
      </c>
      <c r="M3" s="17">
        <v>35</v>
      </c>
      <c r="N3" s="18">
        <f t="shared" ref="N3:N38" si="0">IF(L3=0,"",IFERROR(IF(AND(L3&gt;0,D3&lt;0),"na",IF(AND(L3&lt;0,D3&lt;0),-1,1)*(L3-D3)/D3),""))</f>
        <v>0.10810810810810811</v>
      </c>
      <c r="O3" s="18">
        <f t="shared" ref="O3:O38" si="1">IF(L3=0,"",IFERROR(IF(AND(L3&gt;0,H3&lt;0),"na",IF(AND(L3&lt;0,H3&lt;0),-1,1)*(L3-H3)/H3),""))</f>
        <v>-0.14583333333333334</v>
      </c>
    </row>
    <row r="4" spans="1:15" s="19" customFormat="1" ht="18" customHeight="1" x14ac:dyDescent="0.2">
      <c r="A4" s="141"/>
      <c r="B4" s="20" t="s">
        <v>20</v>
      </c>
      <c r="C4" s="21"/>
      <c r="D4" s="22">
        <v>16236.4599609375</v>
      </c>
      <c r="E4" s="22">
        <v>16409.69921875</v>
      </c>
      <c r="F4" s="22">
        <v>13297.7001953125</v>
      </c>
      <c r="G4" s="22">
        <v>16195.419921875</v>
      </c>
      <c r="H4" s="22">
        <v>21320.509765625</v>
      </c>
      <c r="I4" s="22">
        <v>19409.509765625</v>
      </c>
      <c r="J4" s="22">
        <v>16821.890625</v>
      </c>
      <c r="K4" s="22">
        <v>17438.009765625</v>
      </c>
      <c r="L4" s="22">
        <v>18530.009765625</v>
      </c>
      <c r="M4" s="23">
        <v>16028.009765625</v>
      </c>
      <c r="N4" s="24">
        <f t="shared" si="0"/>
        <v>0.14125922831734494</v>
      </c>
      <c r="O4" s="24">
        <f t="shared" si="1"/>
        <v>-0.13088336210887019</v>
      </c>
    </row>
    <row r="5" spans="1:15" s="19" customFormat="1" ht="18" customHeight="1" x14ac:dyDescent="0.2">
      <c r="A5" s="141"/>
      <c r="B5" s="20" t="s">
        <v>21</v>
      </c>
      <c r="C5" s="21"/>
      <c r="D5" s="22">
        <v>5812.58984375</v>
      </c>
      <c r="E5" s="22">
        <v>5948.2099609375</v>
      </c>
      <c r="F5" s="22">
        <v>4767.93994140625</v>
      </c>
      <c r="G5" s="22">
        <v>5863.8798828125</v>
      </c>
      <c r="H5" s="22">
        <v>7839.4599609375</v>
      </c>
      <c r="I5" s="22">
        <v>6973.2099609375</v>
      </c>
      <c r="J5" s="22">
        <v>6238.4599609375</v>
      </c>
      <c r="K5" s="22">
        <v>6278.56005859375</v>
      </c>
      <c r="L5" s="22">
        <v>6860.7998046875</v>
      </c>
      <c r="M5" s="23">
        <v>6020.72998046875</v>
      </c>
      <c r="N5" s="24">
        <f t="shared" si="0"/>
        <v>0.18033441015360649</v>
      </c>
      <c r="O5" s="24">
        <f t="shared" si="1"/>
        <v>-0.12483770069959828</v>
      </c>
    </row>
    <row r="6" spans="1:15" s="19" customFormat="1" ht="18" customHeight="1" x14ac:dyDescent="0.2">
      <c r="A6" s="141"/>
      <c r="B6" s="20" t="s">
        <v>22</v>
      </c>
      <c r="C6" s="21"/>
      <c r="D6" s="22">
        <v>9525.861328125</v>
      </c>
      <c r="E6" s="22">
        <v>12826.8681640625</v>
      </c>
      <c r="F6" s="22">
        <v>9703.87109375</v>
      </c>
      <c r="G6" s="22">
        <v>12718</v>
      </c>
      <c r="H6" s="22">
        <v>16742.154296875</v>
      </c>
      <c r="I6" s="22">
        <v>15170.6875</v>
      </c>
      <c r="J6" s="22">
        <v>13101.5322265625</v>
      </c>
      <c r="K6" s="22">
        <v>13392.62109375</v>
      </c>
      <c r="L6" s="22">
        <v>14342.3251953125</v>
      </c>
      <c r="M6" s="23">
        <v>12417.466796875</v>
      </c>
      <c r="N6" s="24">
        <f t="shared" si="0"/>
        <v>0.50561977560674165</v>
      </c>
      <c r="O6" s="24">
        <f t="shared" si="1"/>
        <v>-0.14334051992403624</v>
      </c>
    </row>
    <row r="7" spans="1:15" s="19" customFormat="1" ht="18" customHeight="1" x14ac:dyDescent="0.2">
      <c r="A7" s="141"/>
      <c r="B7" s="20" t="s">
        <v>23</v>
      </c>
      <c r="C7" s="21"/>
      <c r="D7" s="22">
        <v>13371.4990234375</v>
      </c>
      <c r="E7" s="22">
        <v>13514.751953125</v>
      </c>
      <c r="F7" s="22">
        <v>10844.2587890625</v>
      </c>
      <c r="G7" s="22">
        <v>13906.6728515625</v>
      </c>
      <c r="H7" s="22">
        <v>16931.986328125</v>
      </c>
      <c r="I7" s="22">
        <v>15420.5029296875</v>
      </c>
      <c r="J7" s="22">
        <v>13393.857421875</v>
      </c>
      <c r="K7" s="22">
        <v>12283.7109375</v>
      </c>
      <c r="L7" s="22">
        <v>17752.3359375</v>
      </c>
      <c r="M7" s="23">
        <v>15655.9951171875</v>
      </c>
      <c r="N7" s="24">
        <f t="shared" si="0"/>
        <v>0.32762496608523772</v>
      </c>
      <c r="O7" s="24">
        <f t="shared" si="1"/>
        <v>4.8449697128112625E-2</v>
      </c>
    </row>
    <row r="8" spans="1:15" s="19" customFormat="1" ht="18" customHeight="1" x14ac:dyDescent="0.2">
      <c r="A8" s="141"/>
      <c r="B8" s="20" t="s">
        <v>24</v>
      </c>
      <c r="C8" s="25"/>
      <c r="D8" s="26">
        <f ca="1">21.589876*OFFSET(D$108,MATCH($M$1,$C$109:$C$110,0),0)</f>
        <v>17.562500373625021</v>
      </c>
      <c r="E8" s="26">
        <f ca="1">25.97298*OFFSET(E$108,MATCH($M$1,$C$109:$C$110,0),0)</f>
        <v>21.696007732173257</v>
      </c>
      <c r="F8" s="26">
        <f ca="1">22.426936*OFFSET(F$108,MATCH($M$1,$C$109:$C$110,0),0)</f>
        <v>19.271914144559396</v>
      </c>
      <c r="G8" s="26">
        <f ca="1">28.334564*OFFSET(G$108,MATCH($M$1,$C$109:$C$110,0),0)</f>
        <v>25.055405242193277</v>
      </c>
      <c r="H8" s="26">
        <f ca="1">32.30324*OFFSET(H$108,MATCH($M$1,$C$109:$C$110,0),0)</f>
        <v>29.13041623407619</v>
      </c>
      <c r="I8" s="26">
        <f ca="1">29.978538*OFFSET(I$108,MATCH($M$1,$C$109:$C$110,0),0)</f>
        <v>27.891731606588415</v>
      </c>
      <c r="J8" s="26">
        <f ca="1">29.346548*OFFSET(J$108,MATCH($M$1,$C$109:$C$110,0),0)</f>
        <v>27.883915827596677</v>
      </c>
      <c r="K8" s="26">
        <f ca="1">23.970922*OFFSET(K$108,MATCH($M$1,$C$109:$C$110,0),0)</f>
        <v>23.154472170385624</v>
      </c>
      <c r="L8" s="26">
        <f ca="1">29.198944*OFFSET(L$108,MATCH($M$1,$C$109:$C$110,0),0)</f>
        <v>28.709277204125485</v>
      </c>
      <c r="M8" s="27">
        <f ca="1">28.856362*OFFSET(M$108,MATCH($M$1,$C$109:$C$110,0),0)</f>
        <v>28.856361887888614</v>
      </c>
      <c r="N8" s="24">
        <f t="shared" ca="1" si="0"/>
        <v>0.63469190567195377</v>
      </c>
      <c r="O8" s="24">
        <f t="shared" ca="1" si="1"/>
        <v>-1.4457020681292737E-2</v>
      </c>
    </row>
    <row r="9" spans="1:15" s="19" customFormat="1" ht="18" customHeight="1" x14ac:dyDescent="0.2">
      <c r="A9" s="141"/>
      <c r="B9" s="20" t="s">
        <v>25</v>
      </c>
      <c r="C9" s="25"/>
      <c r="D9" s="22">
        <v>7333.5</v>
      </c>
      <c r="E9" s="22">
        <v>6786.5</v>
      </c>
      <c r="F9" s="22">
        <v>5488</v>
      </c>
      <c r="G9" s="22">
        <v>6962</v>
      </c>
      <c r="H9" s="22">
        <v>9160</v>
      </c>
      <c r="I9" s="22">
        <v>7692</v>
      </c>
      <c r="J9" s="22">
        <v>6122.5</v>
      </c>
      <c r="K9" s="22">
        <v>5851.5</v>
      </c>
      <c r="L9" s="22">
        <v>7142</v>
      </c>
      <c r="M9" s="23">
        <v>6112</v>
      </c>
      <c r="N9" s="24">
        <f t="shared" si="0"/>
        <v>-2.611304288538897E-2</v>
      </c>
      <c r="O9" s="24">
        <f t="shared" si="1"/>
        <v>-0.22030567685589519</v>
      </c>
    </row>
    <row r="10" spans="1:15" s="19" customFormat="1" ht="18" customHeight="1" x14ac:dyDescent="0.2">
      <c r="A10" s="142" t="s">
        <v>7</v>
      </c>
      <c r="B10" s="28" t="s">
        <v>26</v>
      </c>
      <c r="C10" s="29"/>
      <c r="D10" s="30">
        <v>20.908107757568359</v>
      </c>
      <c r="E10" s="30">
        <v>21.016216278076172</v>
      </c>
      <c r="F10" s="30">
        <v>20.772666931152344</v>
      </c>
      <c r="G10" s="30">
        <v>21.026945114135742</v>
      </c>
      <c r="H10" s="30">
        <v>20.759792327880859</v>
      </c>
      <c r="I10" s="30">
        <v>20.694318771362305</v>
      </c>
      <c r="J10" s="30">
        <v>20.870000839233398</v>
      </c>
      <c r="K10" s="30">
        <v>20.769210815429688</v>
      </c>
      <c r="L10" s="30">
        <v>20.906585693359375</v>
      </c>
      <c r="M10" s="31">
        <v>20.985143661499023</v>
      </c>
      <c r="N10" s="32">
        <f t="shared" si="0"/>
        <v>-7.2797798185893466E-5</v>
      </c>
      <c r="O10" s="32">
        <f t="shared" si="1"/>
        <v>7.071042097148963E-3</v>
      </c>
    </row>
    <row r="11" spans="1:15" s="19" customFormat="1" ht="18" customHeight="1" x14ac:dyDescent="0.2">
      <c r="A11" s="143"/>
      <c r="B11" s="33" t="s">
        <v>20</v>
      </c>
      <c r="C11" s="21"/>
      <c r="D11" s="22">
        <v>438.8232421875</v>
      </c>
      <c r="E11" s="22">
        <v>443.50540161132812</v>
      </c>
      <c r="F11" s="22">
        <v>443.25665283203125</v>
      </c>
      <c r="G11" s="22">
        <v>449.87277221679687</v>
      </c>
      <c r="H11" s="22">
        <v>444.17727661132812</v>
      </c>
      <c r="I11" s="22">
        <v>441.12521362304687</v>
      </c>
      <c r="J11" s="22">
        <v>454.64569091796875</v>
      </c>
      <c r="K11" s="22">
        <v>458.89498901367187</v>
      </c>
      <c r="L11" s="22">
        <v>451.95147705078125</v>
      </c>
      <c r="M11" s="23">
        <v>457.94314575195312</v>
      </c>
      <c r="N11" s="24">
        <f t="shared" si="0"/>
        <v>2.9916908680219425E-2</v>
      </c>
      <c r="O11" s="24">
        <f t="shared" si="1"/>
        <v>1.7502472208311196E-2</v>
      </c>
    </row>
    <row r="12" spans="1:15" s="19" customFormat="1" ht="18" customHeight="1" x14ac:dyDescent="0.2">
      <c r="A12" s="143"/>
      <c r="B12" s="33" t="s">
        <v>21</v>
      </c>
      <c r="C12" s="21"/>
      <c r="D12" s="22">
        <v>157.09703063964844</v>
      </c>
      <c r="E12" s="22">
        <v>160.76243591308594</v>
      </c>
      <c r="F12" s="22">
        <v>158.93133544921875</v>
      </c>
      <c r="G12" s="22">
        <v>162.88555908203125</v>
      </c>
      <c r="H12" s="22">
        <v>163.32208251953125</v>
      </c>
      <c r="I12" s="22">
        <v>158.48204040527344</v>
      </c>
      <c r="J12" s="22">
        <v>168.60702514648437</v>
      </c>
      <c r="K12" s="22">
        <v>165.22526550292969</v>
      </c>
      <c r="L12" s="22">
        <v>167.33657836914062</v>
      </c>
      <c r="M12" s="23">
        <v>172.02085876464844</v>
      </c>
      <c r="N12" s="24">
        <f t="shared" si="0"/>
        <v>6.51797662107301E-2</v>
      </c>
      <c r="O12" s="24">
        <f t="shared" si="1"/>
        <v>2.4580239167164012E-2</v>
      </c>
    </row>
    <row r="13" spans="1:15" s="19" customFormat="1" ht="18" customHeight="1" x14ac:dyDescent="0.2">
      <c r="A13" s="143"/>
      <c r="B13" s="33" t="s">
        <v>22</v>
      </c>
      <c r="C13" s="21"/>
      <c r="D13" s="22">
        <v>257.45571899414062</v>
      </c>
      <c r="E13" s="22">
        <v>346.672119140625</v>
      </c>
      <c r="F13" s="22">
        <v>323.46237182617187</v>
      </c>
      <c r="G13" s="22">
        <v>353.27777099609375</v>
      </c>
      <c r="H13" s="22">
        <v>348.79489135742187</v>
      </c>
      <c r="I13" s="22">
        <v>344.78836059570312</v>
      </c>
      <c r="J13" s="22">
        <v>354.095458984375</v>
      </c>
      <c r="K13" s="22">
        <v>352.43740844726562</v>
      </c>
      <c r="L13" s="22">
        <v>349.81280517578125</v>
      </c>
      <c r="M13" s="23">
        <v>354.78475952148437</v>
      </c>
      <c r="N13" s="24">
        <f t="shared" si="0"/>
        <v>0.35872998487845809</v>
      </c>
      <c r="O13" s="24">
        <f t="shared" si="1"/>
        <v>2.9183736447455145E-3</v>
      </c>
    </row>
    <row r="14" spans="1:15" s="19" customFormat="1" ht="18" customHeight="1" x14ac:dyDescent="0.2">
      <c r="A14" s="143"/>
      <c r="B14" s="33" t="s">
        <v>23</v>
      </c>
      <c r="C14" s="25"/>
      <c r="D14" s="26">
        <v>361.391845703125</v>
      </c>
      <c r="E14" s="26">
        <v>365.2635498046875</v>
      </c>
      <c r="F14" s="26">
        <v>361.47528076171875</v>
      </c>
      <c r="G14" s="26">
        <v>386.29647827148437</v>
      </c>
      <c r="H14" s="26">
        <v>352.74972534179687</v>
      </c>
      <c r="I14" s="26">
        <v>350.46597290039062</v>
      </c>
      <c r="J14" s="26">
        <v>361.99615478515625</v>
      </c>
      <c r="K14" s="26">
        <v>323.25555419921875</v>
      </c>
      <c r="L14" s="26">
        <v>432.98382568359375</v>
      </c>
      <c r="M14" s="27">
        <v>447.31414794921875</v>
      </c>
      <c r="N14" s="24">
        <f t="shared" si="0"/>
        <v>0.19810070656458556</v>
      </c>
      <c r="O14" s="24">
        <f t="shared" si="1"/>
        <v>0.22745333186029851</v>
      </c>
    </row>
    <row r="15" spans="1:15" s="19" customFormat="1" ht="18" customHeight="1" x14ac:dyDescent="0.2">
      <c r="A15" s="143"/>
      <c r="B15" s="33" t="s">
        <v>27</v>
      </c>
      <c r="C15" s="25"/>
      <c r="D15" s="26">
        <f ca="1">583.5101875*OFFSET(D$108,MATCH($M$1,$C$109:$C$110,0),0)</f>
        <v>474.6621928714531</v>
      </c>
      <c r="E15" s="26">
        <f ca="1">701.9724375*OFFSET(E$108,MATCH($M$1,$C$109:$C$110,0),0)</f>
        <v>586.37859158912488</v>
      </c>
      <c r="F15" s="26">
        <f ca="1">747.5645625*OFFSET(F$108,MATCH($M$1,$C$109:$C$110,0),0)</f>
        <v>642.39716321547917</v>
      </c>
      <c r="G15" s="26">
        <f ca="1">787.07125*OFFSET(G$108,MATCH($M$1,$C$109:$C$110,0),0)</f>
        <v>695.98350351286911</v>
      </c>
      <c r="H15" s="26">
        <f ca="1">672.9841875*OFFSET(H$108,MATCH($M$1,$C$109:$C$110,0),0)</f>
        <v>606.88369033033746</v>
      </c>
      <c r="I15" s="26">
        <f ca="1">681.330375*OFFSET(I$108,MATCH($M$1,$C$109:$C$110,0),0)</f>
        <v>633.90295934098708</v>
      </c>
      <c r="J15" s="26">
        <f ca="1">793.1499375*OFFSET(J$108,MATCH($M$1,$C$109:$C$110,0),0)</f>
        <v>753.61933866680215</v>
      </c>
      <c r="K15" s="26">
        <f ca="1">630.81375*OFFSET(K$108,MATCH($M$1,$C$109:$C$110,0),0)</f>
        <v>609.32822771988469</v>
      </c>
      <c r="L15" s="26">
        <f ca="1">712.169375*OFFSET(L$108,MATCH($M$1,$C$109:$C$110,0),0)</f>
        <v>700.22628226431038</v>
      </c>
      <c r="M15" s="27">
        <f ca="1">824.4675*OFFSET(M$108,MATCH($M$1,$C$109:$C$110,0),0)</f>
        <v>824.46749679681739</v>
      </c>
      <c r="N15" s="24">
        <f t="shared" ca="1" si="0"/>
        <v>0.4752097234210183</v>
      </c>
      <c r="O15" s="24">
        <f t="shared" ca="1" si="1"/>
        <v>0.15380639391242318</v>
      </c>
    </row>
    <row r="16" spans="1:15" s="19" customFormat="1" ht="18" customHeight="1" x14ac:dyDescent="0.2">
      <c r="A16" s="143"/>
      <c r="B16" s="33" t="s">
        <v>25</v>
      </c>
      <c r="C16" s="21"/>
      <c r="D16" s="22">
        <v>198.20269775390625</v>
      </c>
      <c r="E16" s="22">
        <v>183.41891479492187</v>
      </c>
      <c r="F16" s="22">
        <v>182.93333435058594</v>
      </c>
      <c r="G16" s="22">
        <v>193.38888549804687</v>
      </c>
      <c r="H16" s="22">
        <v>190.83332824707031</v>
      </c>
      <c r="I16" s="22">
        <v>174.81817626953125</v>
      </c>
      <c r="J16" s="22">
        <v>165.47297668457031</v>
      </c>
      <c r="K16" s="22">
        <v>153.98684692382812</v>
      </c>
      <c r="L16" s="22">
        <v>174.19512939453125</v>
      </c>
      <c r="M16" s="23">
        <v>174.62857055664062</v>
      </c>
      <c r="N16" s="24">
        <f t="shared" si="0"/>
        <v>-0.12112634505703568</v>
      </c>
      <c r="O16" s="24">
        <f t="shared" si="1"/>
        <v>-8.7187070546700968E-2</v>
      </c>
    </row>
    <row r="17" spans="1:15" s="19" customFormat="1" ht="18" customHeight="1" x14ac:dyDescent="0.2">
      <c r="A17" s="143"/>
      <c r="B17" s="33" t="s">
        <v>28</v>
      </c>
      <c r="C17" s="21"/>
      <c r="D17" s="22">
        <v>15.297297477722168</v>
      </c>
      <c r="E17" s="22">
        <v>15.729729652404785</v>
      </c>
      <c r="F17" s="22">
        <v>15.566666603088379</v>
      </c>
      <c r="G17" s="22">
        <v>16.25</v>
      </c>
      <c r="H17" s="22">
        <v>16.145833969116211</v>
      </c>
      <c r="I17" s="22">
        <v>17.659090042114258</v>
      </c>
      <c r="J17" s="22">
        <v>17</v>
      </c>
      <c r="K17" s="22">
        <v>17.026315689086914</v>
      </c>
      <c r="L17" s="22">
        <v>18.024391174316406</v>
      </c>
      <c r="M17" s="23">
        <v>18.885713577270508</v>
      </c>
      <c r="N17" s="24">
        <f t="shared" si="0"/>
        <v>0.17827290739202609</v>
      </c>
      <c r="O17" s="24">
        <f t="shared" si="1"/>
        <v>0.11634934490181827</v>
      </c>
    </row>
    <row r="18" spans="1:15" s="19" customFormat="1" ht="18" customHeight="1" x14ac:dyDescent="0.2">
      <c r="A18" s="143"/>
      <c r="B18" s="33" t="s">
        <v>29</v>
      </c>
      <c r="C18" s="21"/>
      <c r="D18" s="34">
        <v>1.8233447074890137</v>
      </c>
      <c r="E18" s="34">
        <v>1.9914170503616333</v>
      </c>
      <c r="F18" s="34">
        <v>1.9759945869445801</v>
      </c>
      <c r="G18" s="34">
        <v>1.9975112676620483</v>
      </c>
      <c r="H18" s="34">
        <v>1.8484702110290527</v>
      </c>
      <c r="I18" s="34">
        <v>2.0047457218170166</v>
      </c>
      <c r="J18" s="34">
        <v>2.1876451969146729</v>
      </c>
      <c r="K18" s="34">
        <v>2.0992412567138672</v>
      </c>
      <c r="L18" s="34">
        <v>2.4856252670288086</v>
      </c>
      <c r="M18" s="35">
        <v>2.5615174770355225</v>
      </c>
      <c r="N18" s="24">
        <f t="shared" si="0"/>
        <v>0.36322290394109991</v>
      </c>
      <c r="O18" s="24">
        <f t="shared" si="1"/>
        <v>0.3446931696264926</v>
      </c>
    </row>
    <row r="19" spans="1:15" s="19" customFormat="1" ht="18" customHeight="1" x14ac:dyDescent="0.2">
      <c r="A19" s="144"/>
      <c r="B19" s="36" t="s">
        <v>8</v>
      </c>
      <c r="C19" s="37"/>
      <c r="D19" s="38">
        <f ca="1">1614.61897145244*OFFSET(D$108,MATCH($M$1,$C$109:$C$110,0),0)</f>
        <v>1313.427936751259</v>
      </c>
      <c r="E19" s="38">
        <f ca="1">1921.82439530415*OFFSET(E$108,MATCH($M$1,$C$109:$C$110,0),0)</f>
        <v>1605.3574499498336</v>
      </c>
      <c r="F19" s="38">
        <f ca="1">2068.09302841608*OFFSET(F$108,MATCH($M$1,$C$109:$C$110,0),0)</f>
        <v>1777.1536551670065</v>
      </c>
      <c r="G19" s="38">
        <f ca="1">2037.47972663472*OFFSET(G$108,MATCH($M$1,$C$109:$C$110,0),0)</f>
        <v>1801.6822218822949</v>
      </c>
      <c r="H19" s="38">
        <f ca="1">1907.82341622509*OFFSET(H$108,MATCH($M$1,$C$109:$C$110,0),0)</f>
        <v>1720.4370278570834</v>
      </c>
      <c r="I19" s="38">
        <f ca="1">1944.07005638483*OFFSET(I$108,MATCH($M$1,$C$109:$C$110,0),0)</f>
        <v>1808.7433162047755</v>
      </c>
      <c r="J19" s="38">
        <f ca="1">2191.04527363946*OFFSET(J$108,MATCH($M$1,$C$109:$C$110,0),0)</f>
        <v>2081.8435607696088</v>
      </c>
      <c r="K19" s="38">
        <f ca="1">1951.43976620461*OFFSET(K$108,MATCH($M$1,$C$109:$C$110,0),0)</f>
        <v>1884.9737093453673</v>
      </c>
      <c r="L19" s="38">
        <f ca="1">1644.79447115014*OFFSET(L$108,MATCH($M$1,$C$109:$C$110,0),0)</f>
        <v>1617.2112394223004</v>
      </c>
      <c r="M19" s="39">
        <f ca="1">1843.15093253452*OFFSET(M$108,MATCH($M$1,$C$109:$C$110,0),0)</f>
        <v>1843.1509253735962</v>
      </c>
      <c r="N19" s="40">
        <f ca="1">IF(L19=0,"",IFERROR(IF(AND(L19&gt;0,D19&lt;0),"na",IF(AND(L19&lt;0,D19&lt;0),-1,1)*(L19-D19)/D19),""))</f>
        <v>0.23129042269532049</v>
      </c>
      <c r="O19" s="40">
        <f ca="1">IF(L19=0,"",IFERROR(IF(AND(L19&gt;0,H19&lt;0),"na",IF(AND(L19&lt;0,H19&lt;0),-1,1)*(L19-H19)/H19),""))</f>
        <v>-5.9999748182214756E-2</v>
      </c>
    </row>
    <row r="20" spans="1:15" s="19" customFormat="1" ht="18" customHeight="1" x14ac:dyDescent="0.2">
      <c r="A20" s="145" t="s">
        <v>9</v>
      </c>
      <c r="B20" s="28" t="s">
        <v>30</v>
      </c>
      <c r="C20" s="41"/>
      <c r="D20" s="42">
        <v>4.0815088676211388</v>
      </c>
      <c r="E20" s="42">
        <v>4.356461707710265</v>
      </c>
      <c r="F20" s="42">
        <v>4.3367746217505356</v>
      </c>
      <c r="G20" s="42">
        <v>4.3612152230743675</v>
      </c>
      <c r="H20" s="42">
        <v>4.0738152993348011</v>
      </c>
      <c r="I20" s="42">
        <v>4.4024992312003652</v>
      </c>
      <c r="J20" s="42">
        <v>4.6638659096628086</v>
      </c>
      <c r="K20" s="42">
        <v>4.462573679302678</v>
      </c>
      <c r="L20" s="42">
        <v>5.3758642659479952</v>
      </c>
      <c r="M20" s="43">
        <v>5.5208159370161072</v>
      </c>
      <c r="N20" s="32">
        <f t="shared" si="0"/>
        <v>0.31712669022847345</v>
      </c>
      <c r="O20" s="32">
        <f t="shared" si="1"/>
        <v>0.31961413833017932</v>
      </c>
    </row>
    <row r="21" spans="1:15" s="19" customFormat="1" ht="18" customHeight="1" x14ac:dyDescent="0.2">
      <c r="A21" s="145"/>
      <c r="B21" s="33" t="s">
        <v>31</v>
      </c>
      <c r="C21" s="21"/>
      <c r="D21" s="34">
        <f ca="1">6.59008229694522*OFFSET(D$108,MATCH($M$1,$C$109:$C$110,0),0)</f>
        <v>5.3607682972482129</v>
      </c>
      <c r="E21" s="34">
        <f ca="1">8.37235482563758*OFFSET(E$108,MATCH($M$1,$C$109:$C$110,0),0)</f>
        <v>6.9936786242291413</v>
      </c>
      <c r="F21" s="34">
        <f ca="1">8.96885401385759*OFFSET(F$108,MATCH($M$1,$C$109:$C$110,0),0)</f>
        <v>7.7071154316465869</v>
      </c>
      <c r="G21" s="34">
        <f ca="1">8.88588768011442*OFFSET(G$108,MATCH($M$1,$C$109:$C$110,0),0)</f>
        <v>7.8575240036119665</v>
      </c>
      <c r="H21" s="34">
        <f ca="1">7.7721202379149*OFFSET(H$108,MATCH($M$1,$C$109:$C$110,0),0)</f>
        <v>7.0087427004767413</v>
      </c>
      <c r="I21" s="34">
        <f ca="1">8.55876656814124*OFFSET(I$108,MATCH($M$1,$C$109:$C$110,0),0)</f>
        <v>7.9629907236315942</v>
      </c>
      <c r="J21" s="34">
        <f ca="1">10.218741016608*OFFSET(J$108,MATCH($M$1,$C$109:$C$110,0),0)</f>
        <v>9.7094388877051987</v>
      </c>
      <c r="K21" s="34">
        <f ca="1">8.70844383251443*OFFSET(K$108,MATCH($M$1,$C$109:$C$110,0),0)</f>
        <v>8.411834153368055</v>
      </c>
      <c r="L21" s="34">
        <f ca="1">8.84219147983311*OFFSET(L$108,MATCH($M$1,$C$109:$C$110,0),0)</f>
        <v>8.6939077757909757</v>
      </c>
      <c r="M21" s="35">
        <f ca="1">10.1756971793089*OFFSET(M$108,MATCH($M$1,$C$109:$C$110,0),0)</f>
        <v>10.175697139774757</v>
      </c>
      <c r="N21" s="24">
        <f t="shared" ca="1" si="0"/>
        <v>0.62176525709080332</v>
      </c>
      <c r="O21" s="24">
        <f t="shared" ca="1" si="1"/>
        <v>0.24043757166311838</v>
      </c>
    </row>
    <row r="22" spans="1:15" s="19" customFormat="1" ht="18" customHeight="1" x14ac:dyDescent="0.2">
      <c r="A22" s="145"/>
      <c r="B22" s="33" t="s">
        <v>10</v>
      </c>
      <c r="C22" s="21"/>
      <c r="D22" s="34">
        <f ca="1">5.73284727383869*OFFSET(D$108,MATCH($M$1,$C$109:$C$110,0),0)</f>
        <v>4.6634419015990263</v>
      </c>
      <c r="E22" s="34">
        <f ca="1">6.87333530065058*OFFSET(E$108,MATCH($M$1,$C$109:$C$110,0),0)</f>
        <v>5.7415027397216027</v>
      </c>
      <c r="F22" s="34">
        <f ca="1">6.99550630610263*OFFSET(F$108,MATCH($M$1,$C$109:$C$110,0),0)</f>
        <v>6.0113783233221749</v>
      </c>
      <c r="G22" s="34">
        <f ca="1">7.56439515617605*OFFSET(G$108,MATCH($M$1,$C$109:$C$110,0),0)</f>
        <v>6.6889677938956407</v>
      </c>
      <c r="H22" s="34">
        <f ca="1">6.96225158589931*OFFSET(H$108,MATCH($M$1,$C$109:$C$110,0),0)</f>
        <v>6.2784193357571541</v>
      </c>
      <c r="I22" s="34">
        <f ca="1">7.15126532127998*OFFSET(I$108,MATCH($M$1,$C$109:$C$110,0),0)</f>
        <v>6.6534656556181782</v>
      </c>
      <c r="J22" s="34">
        <f ca="1">8.56894011071968*OFFSET(J$108,MATCH($M$1,$C$109:$C$110,0),0)</f>
        <v>8.1418640713389703</v>
      </c>
      <c r="K22" s="34">
        <f ca="1">7.63238983776748*OFFSET(K$108,MATCH($M$1,$C$109:$C$110,0),0)</f>
        <v>7.3724305678405351</v>
      </c>
      <c r="L22" s="34">
        <f ca="1">6.97224193185267*OFFSET(L$108,MATCH($M$1,$C$109:$C$110,0),0)</f>
        <v>6.8553173140708683</v>
      </c>
      <c r="M22" s="35">
        <f ca="1">7.72145399335395*OFFSET(M$108,MATCH($M$1,$C$109:$C$110,0),0)</f>
        <v>7.721453963354918</v>
      </c>
      <c r="N22" s="24">
        <f t="shared" ca="1" si="0"/>
        <v>0.47001237684987129</v>
      </c>
      <c r="O22" s="24">
        <f t="shared" ca="1" si="1"/>
        <v>9.188586289994001E-2</v>
      </c>
    </row>
    <row r="23" spans="1:15" s="19" customFormat="1" ht="18" customHeight="1" x14ac:dyDescent="0.2">
      <c r="A23" s="146"/>
      <c r="B23" s="33" t="s">
        <v>32</v>
      </c>
      <c r="C23" s="44"/>
      <c r="D23" s="34">
        <f ca="1">0.857235023106531*OFFSET(D$108,MATCH($M$1,$C$109:$C$110,0),0)</f>
        <v>0.69732639564918775</v>
      </c>
      <c r="E23" s="34">
        <f ca="1">1.49901952498699*OFFSET(E$108,MATCH($M$1,$C$109:$C$110,0),0)</f>
        <v>1.2521758845075313</v>
      </c>
      <c r="F23" s="34">
        <f ca="1">1.97334770775496*OFFSET(F$108,MATCH($M$1,$C$109:$C$110,0),0)</f>
        <v>1.6957371083244126</v>
      </c>
      <c r="G23" s="34">
        <f ca="1">1.32149252393837*OFFSET(G$108,MATCH($M$1,$C$109:$C$110,0),0)</f>
        <v>1.1685562097163258</v>
      </c>
      <c r="H23" s="34">
        <f ca="1">0.809868652015585*OFFSET(H$108,MATCH($M$1,$C$109:$C$110,0),0)</f>
        <v>0.73032336471958215</v>
      </c>
      <c r="I23" s="34">
        <f ca="1">1.40750124686126*OFFSET(I$108,MATCH($M$1,$C$109:$C$110,0),0)</f>
        <v>1.3095250680134169</v>
      </c>
      <c r="J23" s="34">
        <f ca="1">1.64980090588827*OFFSET(J$108,MATCH($M$1,$C$109:$C$110,0),0)</f>
        <v>1.5675748163661796</v>
      </c>
      <c r="K23" s="34">
        <f ca="1">1.07605399474695*OFFSET(K$108,MATCH($M$1,$C$109:$C$110,0),0)</f>
        <v>1.039403585527521</v>
      </c>
      <c r="L23" s="34">
        <f ca="1">1.86994954798044*OFFSET(L$108,MATCH($M$1,$C$109:$C$110,0),0)</f>
        <v>1.8385904617201088</v>
      </c>
      <c r="M23" s="35">
        <f ca="1">2.45424318595495*OFFSET(M$108,MATCH($M$1,$C$109:$C$110,0),0)</f>
        <v>2.4542431764198391</v>
      </c>
      <c r="N23" s="24">
        <f t="shared" ca="1" si="0"/>
        <v>1.6366282320468337</v>
      </c>
      <c r="O23" s="24">
        <f t="shared" ca="1" si="1"/>
        <v>1.5175019046885638</v>
      </c>
    </row>
    <row r="24" spans="1:15" s="19" customFormat="1" ht="18" customHeight="1" x14ac:dyDescent="0.2">
      <c r="A24" s="147" t="s">
        <v>11</v>
      </c>
      <c r="B24" s="28" t="s">
        <v>27</v>
      </c>
      <c r="C24" s="29"/>
      <c r="D24" s="30">
        <f ca="1">583.5*OFFSET(D$108,MATCH($M$1,$C$109:$C$110,0),0)</f>
        <v>474.65390574777734</v>
      </c>
      <c r="E24" s="30">
        <f ca="1">702*OFFSET(E$108,MATCH($M$1,$C$109:$C$110,0),0)</f>
        <v>586.40161537049755</v>
      </c>
      <c r="F24" s="30">
        <f ca="1">747.6*OFFSET(F$108,MATCH($M$1,$C$109:$C$110,0),0)</f>
        <v>642.42761536719081</v>
      </c>
      <c r="G24" s="30">
        <f ca="1">787.1*OFFSET(G$108,MATCH($M$1,$C$109:$C$110,0),0)</f>
        <v>696.00892627570795</v>
      </c>
      <c r="H24" s="30">
        <f ca="1">673*OFFSET(H$108,MATCH($M$1,$C$109:$C$110,0),0)</f>
        <v>606.89794972681602</v>
      </c>
      <c r="I24" s="30">
        <f ca="1">681.3*OFFSET(I$108,MATCH($M$1,$C$109:$C$110,0),0)</f>
        <v>633.87469874510509</v>
      </c>
      <c r="J24" s="30">
        <f ca="1">793.1*OFFSET(J$108,MATCH($M$1,$C$109:$C$110,0),0)</f>
        <v>753.57189005217674</v>
      </c>
      <c r="K24" s="30">
        <f ca="1">630.8*OFFSET(K$108,MATCH($M$1,$C$109:$C$110,0),0)</f>
        <v>609.31494604501449</v>
      </c>
      <c r="L24" s="30">
        <f ca="1">712.2*OFFSET(L$108,MATCH($M$1,$C$109:$C$110,0),0)</f>
        <v>700.25639368253087</v>
      </c>
      <c r="M24" s="31">
        <f ca="1">824.5*OFFSET(M$108,MATCH($M$1,$C$109:$C$110,0),0)</f>
        <v>824.49999679669122</v>
      </c>
      <c r="N24" s="32">
        <f t="shared" ca="1" si="0"/>
        <v>0.47529891822829473</v>
      </c>
      <c r="O24" s="32">
        <f t="shared" ca="1" si="1"/>
        <v>0.15382889989616613</v>
      </c>
    </row>
    <row r="25" spans="1:15" s="19" customFormat="1" ht="18" customHeight="1" x14ac:dyDescent="0.2">
      <c r="A25" s="148"/>
      <c r="B25" s="33" t="s">
        <v>33</v>
      </c>
      <c r="C25" s="25"/>
      <c r="D25" s="26">
        <f ca="1">33.2*OFFSET(D$108,MATCH($M$1,$C$109:$C$110,0),0)</f>
        <v>27.006871758056914</v>
      </c>
      <c r="E25" s="26">
        <f ca="1">65*OFFSET(E$108,MATCH($M$1,$C$109:$C$110,0),0)</f>
        <v>54.296445867638667</v>
      </c>
      <c r="F25" s="26">
        <f ca="1">43.6*OFFSET(F$108,MATCH($M$1,$C$109:$C$110,0),0)</f>
        <v>37.466351029975279</v>
      </c>
      <c r="G25" s="26">
        <f ca="1">23.5*OFFSET(G$108,MATCH($M$1,$C$109:$C$110,0),0)</f>
        <v>20.78034527693957</v>
      </c>
      <c r="H25" s="26">
        <f ca="1">9.7*OFFSET(H$108,MATCH($M$1,$C$109:$C$110,0),0)</f>
        <v>8.7472661401933358</v>
      </c>
      <c r="I25" s="26">
        <f ca="1">17.9*OFFSET(I$108,MATCH($M$1,$C$109:$C$110,0),0)</f>
        <v>16.653980783116662</v>
      </c>
      <c r="J25" s="26">
        <f ca="1">50*OFFSET(J$108,MATCH($M$1,$C$109:$C$110,0),0)</f>
        <v>47.507999625026905</v>
      </c>
      <c r="K25" s="26">
        <f ca="1">94.1*OFFSET(K$108,MATCH($M$1,$C$109:$C$110,0),0)</f>
        <v>90.894953111661167</v>
      </c>
      <c r="L25" s="26">
        <f ca="1">109.2*OFFSET(L$108,MATCH($M$1,$C$109:$C$110,0),0)</f>
        <v>107.36871411139057</v>
      </c>
      <c r="M25" s="27">
        <f ca="1">126.4*OFFSET(M$108,MATCH($M$1,$C$109:$C$110,0),0)</f>
        <v>126.39999950891664</v>
      </c>
      <c r="N25" s="24">
        <f t="shared" ca="1" si="0"/>
        <v>2.9756072111298653</v>
      </c>
      <c r="O25" s="24">
        <f t="shared" ca="1" si="1"/>
        <v>11.274545256835808</v>
      </c>
    </row>
    <row r="26" spans="1:15" s="19" customFormat="1" ht="18" customHeight="1" x14ac:dyDescent="0.2">
      <c r="A26" s="148"/>
      <c r="B26" s="45" t="s">
        <v>34</v>
      </c>
      <c r="C26" s="46"/>
      <c r="D26" s="47">
        <f ca="1">616.7*OFFSET(D$108,MATCH($M$1,$C$109:$C$110,0),0)</f>
        <v>501.66077750583429</v>
      </c>
      <c r="E26" s="47">
        <f ca="1">767*OFFSET(E$108,MATCH($M$1,$C$109:$C$110,0),0)</f>
        <v>640.69806123813623</v>
      </c>
      <c r="F26" s="47">
        <f ca="1">791.2*OFFSET(F$108,MATCH($M$1,$C$109:$C$110,0),0)</f>
        <v>679.89396639716608</v>
      </c>
      <c r="G26" s="47">
        <f ca="1">810.6*OFFSET(G$108,MATCH($M$1,$C$109:$C$110,0),0)</f>
        <v>716.78927155264751</v>
      </c>
      <c r="H26" s="47">
        <f ca="1">682.7*OFFSET(H$108,MATCH($M$1,$C$109:$C$110,0),0)</f>
        <v>615.64521586700948</v>
      </c>
      <c r="I26" s="47">
        <f ca="1">699.3*OFFSET(I$108,MATCH($M$1,$C$109:$C$110,0),0)</f>
        <v>650.6217185270101</v>
      </c>
      <c r="J26" s="47">
        <f ca="1">843.2*OFFSET(J$108,MATCH($M$1,$C$109:$C$110,0),0)</f>
        <v>801.1749056764537</v>
      </c>
      <c r="K26" s="47">
        <f ca="1">724.9*OFFSET(K$108,MATCH($M$1,$C$109:$C$110,0),0)</f>
        <v>700.20989915667565</v>
      </c>
      <c r="L26" s="47">
        <f ca="1">821.4*OFFSET(L$108,MATCH($M$1,$C$109:$C$110,0),0)</f>
        <v>807.6251077939213</v>
      </c>
      <c r="M26" s="48">
        <f ca="1">950.9*OFFSET(M$108,MATCH($M$1,$C$109:$C$110,0),0)</f>
        <v>950.89999630560783</v>
      </c>
      <c r="N26" s="49">
        <f t="shared" ca="1" si="0"/>
        <v>0.60990283475875018</v>
      </c>
      <c r="O26" s="49">
        <f t="shared" ca="1" si="1"/>
        <v>0.31183526969595254</v>
      </c>
    </row>
    <row r="27" spans="1:15" s="19" customFormat="1" ht="18" customHeight="1" x14ac:dyDescent="0.2">
      <c r="A27" s="148"/>
      <c r="B27" s="33" t="s">
        <v>35</v>
      </c>
      <c r="C27" s="25"/>
      <c r="D27" s="26">
        <f ca="1">101.9*OFFSET(D$108,MATCH($M$1,$C$109:$C$110,0),0)</f>
        <v>82.891573257409618</v>
      </c>
      <c r="E27" s="26">
        <f ca="1">125.4*OFFSET(E$108,MATCH($M$1,$C$109:$C$110,0),0)</f>
        <v>104.75037402772136</v>
      </c>
      <c r="F27" s="26">
        <f ca="1">139.7*OFFSET(F$108,MATCH($M$1,$C$109:$C$110,0),0)</f>
        <v>120.04700089191618</v>
      </c>
      <c r="G27" s="26">
        <f ca="1">189.6*OFFSET(G$108,MATCH($M$1,$C$109:$C$110,0),0)</f>
        <v>167.65759423437203</v>
      </c>
      <c r="H27" s="26">
        <f ca="1">143.4*OFFSET(H$108,MATCH($M$1,$C$109:$C$110,0),0)</f>
        <v>129.31525407254892</v>
      </c>
      <c r="I27" s="26">
        <f ca="1">143.3*OFFSET(I$108,MATCH($M$1,$C$109:$C$110,0),0)</f>
        <v>133.32488526372165</v>
      </c>
      <c r="J27" s="26">
        <f ca="1">184.4*OFFSET(J$108,MATCH($M$1,$C$109:$C$110,0),0)</f>
        <v>175.20950261709922</v>
      </c>
      <c r="K27" s="26">
        <f ca="1">170.1*OFFSET(K$108,MATCH($M$1,$C$109:$C$110,0),0)</f>
        <v>164.30639239419304</v>
      </c>
      <c r="L27" s="26">
        <f ca="1">181.4*OFFSET(L$108,MATCH($M$1,$C$109:$C$110,0),0)</f>
        <v>178.35791886269459</v>
      </c>
      <c r="M27" s="27">
        <f ca="1">167.3*OFFSET(M$108,MATCH($M$1,$C$109:$C$110,0),0)</f>
        <v>167.29999935001388</v>
      </c>
      <c r="N27" s="24">
        <f t="shared" ca="1" si="0"/>
        <v>1.1517014559348022</v>
      </c>
      <c r="O27" s="24">
        <f t="shared" ca="1" si="1"/>
        <v>0.37924887625887943</v>
      </c>
    </row>
    <row r="28" spans="1:15" s="19" customFormat="1" ht="18" customHeight="1" x14ac:dyDescent="0.2">
      <c r="A28" s="148"/>
      <c r="B28" s="33" t="s">
        <v>36</v>
      </c>
      <c r="C28" s="25"/>
      <c r="D28" s="26">
        <f ca="1">162.5*OFFSET(D$108,MATCH($M$1,$C$109:$C$110,0),0)</f>
        <v>132.18724881579061</v>
      </c>
      <c r="E28" s="26">
        <f ca="1">182.4*OFFSET(E$108,MATCH($M$1,$C$109:$C$110,0),0)</f>
        <v>152.36418040395836</v>
      </c>
      <c r="F28" s="26">
        <f ca="1">199.7*OFFSET(F$108,MATCH($M$1,$C$109:$C$110,0),0)</f>
        <v>171.60619955701978</v>
      </c>
      <c r="G28" s="26">
        <f ca="1">194.4*OFFSET(G$108,MATCH($M$1,$C$109:$C$110,0),0)</f>
        <v>171.90209029093842</v>
      </c>
      <c r="H28" s="26">
        <f ca="1">157.8*OFFSET(H$108,MATCH($M$1,$C$109:$C$110,0),0)</f>
        <v>142.30088628067099</v>
      </c>
      <c r="I28" s="26">
        <f ca="1">142.9*OFFSET(I$108,MATCH($M$1,$C$109:$C$110,0),0)</f>
        <v>132.95272926856822</v>
      </c>
      <c r="J28" s="26">
        <f ca="1">176.2*OFFSET(J$108,MATCH($M$1,$C$109:$C$110,0),0)</f>
        <v>167.41819067859478</v>
      </c>
      <c r="K28" s="26">
        <f ca="1">154*OFFSET(K$108,MATCH($M$1,$C$109:$C$110,0),0)</f>
        <v>148.75475854618301</v>
      </c>
      <c r="L28" s="26">
        <f ca="1">153*OFFSET(L$108,MATCH($M$1,$C$109:$C$110,0),0)</f>
        <v>150.43418735387141</v>
      </c>
      <c r="M28" s="27">
        <f ca="1">195.4*OFFSET(M$108,MATCH($M$1,$C$109:$C$110,0),0)</f>
        <v>195.39999924084108</v>
      </c>
      <c r="N28" s="24">
        <f t="shared" ca="1" si="0"/>
        <v>0.13803856802791015</v>
      </c>
      <c r="O28" s="24">
        <f t="shared" ca="1" si="1"/>
        <v>5.7155659994685332E-2</v>
      </c>
    </row>
    <row r="29" spans="1:15" s="19" customFormat="1" ht="18" customHeight="1" x14ac:dyDescent="0.2">
      <c r="A29" s="148"/>
      <c r="B29" s="33" t="s">
        <v>37</v>
      </c>
      <c r="C29" s="25"/>
      <c r="D29" s="26">
        <f ca="1">147.7*OFFSET(D$108,MATCH($M$1,$C$109:$C$110,0),0)</f>
        <v>120.14804092364474</v>
      </c>
      <c r="E29" s="26">
        <f ca="1">164.5*OFFSET(E$108,MATCH($M$1,$C$109:$C$110,0),0)</f>
        <v>137.4117745419471</v>
      </c>
      <c r="F29" s="26">
        <f ca="1">147.4*OFFSET(F$108,MATCH($M$1,$C$109:$C$110,0),0)</f>
        <v>126.66376472060449</v>
      </c>
      <c r="G29" s="26">
        <f ca="1">157.2*OFFSET(G$108,MATCH($M$1,$C$109:$C$110,0),0)</f>
        <v>139.00724585254895</v>
      </c>
      <c r="H29" s="26">
        <f ca="1">155.7*OFFSET(H$108,MATCH($M$1,$C$109:$C$110,0),0)</f>
        <v>140.40714825031984</v>
      </c>
      <c r="I29" s="26">
        <f ca="1">150.2*OFFSET(I$108,MATCH($M$1,$C$109:$C$110,0),0)</f>
        <v>139.74457618011857</v>
      </c>
      <c r="J29" s="26">
        <f ca="1">188*OFFSET(J$108,MATCH($M$1,$C$109:$C$110,0),0)</f>
        <v>178.63007859010116</v>
      </c>
      <c r="K29" s="26">
        <f ca="1">167.7*OFFSET(K$108,MATCH($M$1,$C$109:$C$110,0),0)</f>
        <v>161.98813641684993</v>
      </c>
      <c r="L29" s="26">
        <f ca="1">172.3*OFFSET(L$108,MATCH($M$1,$C$109:$C$110,0),0)</f>
        <v>169.41052602007872</v>
      </c>
      <c r="M29" s="27">
        <f ca="1">199.5*OFFSET(M$108,MATCH($M$1,$C$109:$C$110,0),0)</f>
        <v>199.49999922491193</v>
      </c>
      <c r="N29" s="24">
        <f t="shared" ca="1" si="0"/>
        <v>0.41001488428546884</v>
      </c>
      <c r="O29" s="24">
        <f t="shared" ca="1" si="1"/>
        <v>0.20656624773869245</v>
      </c>
    </row>
    <row r="30" spans="1:15" s="19" customFormat="1" ht="18" customHeight="1" x14ac:dyDescent="0.2">
      <c r="A30" s="148"/>
      <c r="B30" s="33" t="s">
        <v>38</v>
      </c>
      <c r="C30" s="25"/>
      <c r="D30" s="26">
        <f ca="1">412.1*OFFSET(D$108,MATCH($M$1,$C$109:$C$110,0),0)</f>
        <v>335.226862996845</v>
      </c>
      <c r="E30" s="26">
        <f ca="1">472.3*OFFSET(E$108,MATCH($M$1,$C$109:$C$110,0),0)</f>
        <v>394.52632897362679</v>
      </c>
      <c r="F30" s="26">
        <f ca="1">486.8*OFFSET(F$108,MATCH($M$1,$C$109:$C$110,0),0)</f>
        <v>418.31696516954048</v>
      </c>
      <c r="G30" s="26">
        <f ca="1">541.2*OFFSET(G$108,MATCH($M$1,$C$109:$C$110,0),0)</f>
        <v>478.56693037785942</v>
      </c>
      <c r="H30" s="26">
        <f ca="1">457*OFFSET(H$108,MATCH($M$1,$C$109:$C$110,0),0)</f>
        <v>412.11346660498504</v>
      </c>
      <c r="I30" s="26">
        <f ca="1">436.4*OFFSET(I$108,MATCH($M$1,$C$109:$C$110,0),0)</f>
        <v>406.02219071240842</v>
      </c>
      <c r="J30" s="26">
        <f ca="1">548.6*OFFSET(J$108,MATCH($M$1,$C$109:$C$110,0),0)</f>
        <v>521.25777188579525</v>
      </c>
      <c r="K30" s="26">
        <f ca="1">491.7*OFFSET(K$108,MATCH($M$1,$C$109:$C$110,0),0)</f>
        <v>474.95269335817</v>
      </c>
      <c r="L30" s="26">
        <f ca="1">506.7*OFFSET(L$108,MATCH($M$1,$C$109:$C$110,0),0)</f>
        <v>498.20263223664466</v>
      </c>
      <c r="M30" s="27">
        <f ca="1">562.2*OFFSET(M$108,MATCH($M$1,$C$109:$C$110,0),0)</f>
        <v>562.19999781576689</v>
      </c>
      <c r="N30" s="24">
        <f t="shared" ca="1" si="0"/>
        <v>0.48616560076014409</v>
      </c>
      <c r="O30" s="24">
        <f t="shared" ca="1" si="1"/>
        <v>0.20889675443238298</v>
      </c>
    </row>
    <row r="31" spans="1:15" s="19" customFormat="1" ht="18" customHeight="1" x14ac:dyDescent="0.2">
      <c r="A31" s="148"/>
      <c r="B31" s="33" t="s">
        <v>39</v>
      </c>
      <c r="C31" s="25"/>
      <c r="D31" s="26">
        <f ca="1">128.6*OFFSET(D$108,MATCH($M$1,$C$109:$C$110,0),0)</f>
        <v>104.61095506283489</v>
      </c>
      <c r="E31" s="26">
        <f ca="1">169.1*OFFSET(E$108,MATCH($M$1,$C$109:$C$110,0),0)</f>
        <v>141.25429224950304</v>
      </c>
      <c r="F31" s="26">
        <f ca="1">139.9*OFFSET(F$108,MATCH($M$1,$C$109:$C$110,0),0)</f>
        <v>120.21886488746655</v>
      </c>
      <c r="G31" s="26">
        <f ca="1">152.3*OFFSET(G$108,MATCH($M$1,$C$109:$C$110,0),0)</f>
        <v>134.67432279480411</v>
      </c>
      <c r="H31" s="26">
        <f ca="1">155.6*OFFSET(H$108,MATCH($M$1,$C$109:$C$110,0),0)</f>
        <v>140.31697024887455</v>
      </c>
      <c r="I31" s="26">
        <f ca="1">150.8*OFFSET(I$108,MATCH($M$1,$C$109:$C$110,0),0)</f>
        <v>140.30281017284875</v>
      </c>
      <c r="J31" s="26">
        <f ca="1">166.5*OFFSET(J$108,MATCH($M$1,$C$109:$C$110,0),0)</f>
        <v>158.2016387513396</v>
      </c>
      <c r="K31" s="26">
        <f ca="1">155.2*OFFSET(K$108,MATCH($M$1,$C$109:$C$110,0),0)</f>
        <v>149.91388653485456</v>
      </c>
      <c r="L31" s="26">
        <f ca="1">164*OFFSET(L$108,MATCH($M$1,$C$109:$C$110,0),0)</f>
        <v>161.24971716362685</v>
      </c>
      <c r="M31" s="27">
        <f ca="1">189.9*OFFSET(M$108,MATCH($M$1,$C$109:$C$110,0),0)</f>
        <v>189.89999926220941</v>
      </c>
      <c r="N31" s="24">
        <f t="shared" ca="1" si="0"/>
        <v>0.54142285639942511</v>
      </c>
      <c r="O31" s="24">
        <f t="shared" ca="1" si="1"/>
        <v>0.14918186216267876</v>
      </c>
    </row>
    <row r="32" spans="1:15" s="19" customFormat="1" ht="18" customHeight="1" x14ac:dyDescent="0.2">
      <c r="A32" s="148"/>
      <c r="B32" s="33" t="s">
        <v>40</v>
      </c>
      <c r="C32" s="25"/>
      <c r="D32" s="26">
        <f ca="1">540.8*OFFSET(D$108,MATCH($M$1,$C$109:$C$110,0),0)</f>
        <v>439.91916405895108</v>
      </c>
      <c r="E32" s="26">
        <f ca="1">641.3*OFFSET(E$108,MATCH($M$1,$C$109:$C$110,0),0)</f>
        <v>535.69708822948735</v>
      </c>
      <c r="F32" s="26">
        <f ca="1">626.7*OFFSET(F$108,MATCH($M$1,$C$109:$C$110,0),0)</f>
        <v>538.53583005700705</v>
      </c>
      <c r="G32" s="26">
        <f ca="1">693.5*OFFSET(G$108,MATCH($M$1,$C$109:$C$110,0),0)</f>
        <v>613.24125317266351</v>
      </c>
      <c r="H32" s="26">
        <f ca="1">612.6*OFFSET(H$108,MATCH($M$1,$C$109:$C$110,0),0)</f>
        <v>552.43043685385965</v>
      </c>
      <c r="I32" s="26">
        <f ca="1">587.2*OFFSET(I$108,MATCH($M$1,$C$109:$C$110,0),0)</f>
        <v>546.32500088525728</v>
      </c>
      <c r="J32" s="26">
        <f ca="1">715.1*OFFSET(J$108,MATCH($M$1,$C$109:$C$110,0),0)</f>
        <v>679.45941063713474</v>
      </c>
      <c r="K32" s="26">
        <f ca="1">646.9*OFFSET(K$108,MATCH($M$1,$C$109:$C$110,0),0)</f>
        <v>624.86657989302455</v>
      </c>
      <c r="L32" s="26">
        <f ca="1">670.8*OFFSET(L$108,MATCH($M$1,$C$109:$C$110,0),0)</f>
        <v>659.55067239854202</v>
      </c>
      <c r="M32" s="27">
        <f ca="1">752*OFFSET(M$108,MATCH($M$1,$C$109:$C$110,0),0)</f>
        <v>751.9999970783648</v>
      </c>
      <c r="N32" s="24">
        <f t="shared" ca="1" si="0"/>
        <v>0.49925424096814147</v>
      </c>
      <c r="O32" s="24">
        <f t="shared" ca="1" si="1"/>
        <v>0.19390719337395965</v>
      </c>
    </row>
    <row r="33" spans="1:15" s="19" customFormat="1" ht="18" customHeight="1" x14ac:dyDescent="0.2">
      <c r="A33" s="148"/>
      <c r="B33" s="45" t="s">
        <v>41</v>
      </c>
      <c r="C33" s="46"/>
      <c r="D33" s="47">
        <f ca="1">238.4*OFFSET(D$108,MATCH($M$1,$C$109:$C$110,0),0)</f>
        <v>193.92886226267373</v>
      </c>
      <c r="E33" s="47">
        <f ca="1">308.1*OFFSET(E$108,MATCH($M$1,$C$109:$C$110,0),0)</f>
        <v>257.3651534126073</v>
      </c>
      <c r="F33" s="47">
        <f ca="1">364.2*OFFSET(F$108,MATCH($M$1,$C$109:$C$110,0),0)</f>
        <v>312.96433589717878</v>
      </c>
      <c r="G33" s="47">
        <f ca="1">311.5*OFFSET(G$108,MATCH($M$1,$C$109:$C$110,0),0)</f>
        <v>275.45010867092242</v>
      </c>
      <c r="H33" s="47">
        <f ca="1">227.9*OFFSET(H$108,MATCH($M$1,$C$109:$C$110,0),0)</f>
        <v>205.51566529382077</v>
      </c>
      <c r="I33" s="47">
        <f ca="1">254.9*OFFSET(I$108,MATCH($M$1,$C$109:$C$110,0),0)</f>
        <v>237.1564079115328</v>
      </c>
      <c r="J33" s="47">
        <f ca="1">304.3*OFFSET(J$108,MATCH($M$1,$C$109:$C$110,0),0)</f>
        <v>289.13368571791375</v>
      </c>
      <c r="K33" s="47">
        <f ca="1">231.9*OFFSET(K$108,MATCH($M$1,$C$109:$C$110,0),0)</f>
        <v>224.00148381077818</v>
      </c>
      <c r="L33" s="47">
        <f ca="1">303.6*OFFSET(L$108,MATCH($M$1,$C$109:$C$110,0),0)</f>
        <v>298.50862274925072</v>
      </c>
      <c r="M33" s="48">
        <f ca="1">394.3*OFFSET(M$108,MATCH($M$1,$C$109:$C$110,0),0)</f>
        <v>394.29999846808408</v>
      </c>
      <c r="N33" s="49">
        <f t="shared" ca="1" si="0"/>
        <v>0.53926867443240745</v>
      </c>
      <c r="O33" s="49">
        <f t="shared" ca="1" si="1"/>
        <v>0.45248598116586475</v>
      </c>
    </row>
    <row r="34" spans="1:15" s="19" customFormat="1" ht="18" customHeight="1" x14ac:dyDescent="0.2">
      <c r="A34" s="148"/>
      <c r="B34" s="45" t="s">
        <v>42</v>
      </c>
      <c r="C34" s="46"/>
      <c r="D34" s="47">
        <f ca="1">75.9*OFFSET(D$108,MATCH($M$1,$C$109:$C$110,0),0)</f>
        <v>61.741613446883122</v>
      </c>
      <c r="E34" s="47">
        <f ca="1">125.7*OFFSET(E$108,MATCH($M$1,$C$109:$C$110,0),0)</f>
        <v>105.00097300864893</v>
      </c>
      <c r="F34" s="47">
        <f ca="1">164.5*OFFSET(F$108,MATCH($M$1,$C$109:$C$110,0),0)</f>
        <v>141.35813634015901</v>
      </c>
      <c r="G34" s="47">
        <f ca="1">117.1*OFFSET(G$108,MATCH($M$1,$C$109:$C$110,0),0)</f>
        <v>103.54801837998399</v>
      </c>
      <c r="H34" s="47">
        <f ca="1">70.1*OFFSET(H$108,MATCH($M$1,$C$109:$C$110,0),0)</f>
        <v>63.21477901314978</v>
      </c>
      <c r="I34" s="47">
        <f ca="1">112*OFFSET(I$108,MATCH($M$1,$C$109:$C$110,0),0)</f>
        <v>104.20367864296459</v>
      </c>
      <c r="J34" s="47">
        <f ca="1">128.1*OFFSET(J$108,MATCH($M$1,$C$109:$C$110,0),0)</f>
        <v>121.71549503931892</v>
      </c>
      <c r="K34" s="47">
        <f ca="1">77.9*OFFSET(K$108,MATCH($M$1,$C$109:$C$110,0),0)</f>
        <v>75.24672526459517</v>
      </c>
      <c r="L34" s="47">
        <f ca="1">150.6*OFFSET(L$108,MATCH($M$1,$C$109:$C$110,0),0)</f>
        <v>148.07443539537928</v>
      </c>
      <c r="M34" s="48">
        <f ca="1">198.9*OFFSET(M$108,MATCH($M$1,$C$109:$C$110,0),0)</f>
        <v>198.89999922724303</v>
      </c>
      <c r="N34" s="49">
        <f t="shared" ca="1" si="0"/>
        <v>1.3982922882760276</v>
      </c>
      <c r="O34" s="49">
        <f t="shared" ca="1" si="1"/>
        <v>1.3424021677680342</v>
      </c>
    </row>
    <row r="35" spans="1:15" s="19" customFormat="1" ht="18" customHeight="1" x14ac:dyDescent="0.2">
      <c r="A35" s="148"/>
      <c r="B35" s="33" t="s">
        <v>43</v>
      </c>
      <c r="C35" s="25"/>
      <c r="D35" s="26">
        <f ca="1">46.2*OFFSET(D$108,MATCH($M$1,$C$109:$C$110,0),0)</f>
        <v>37.581851663320158</v>
      </c>
      <c r="E35" s="26">
        <f ca="1">36.9*OFFSET(E$108,MATCH($M$1,$C$109:$C$110,0),0)</f>
        <v>30.823674654090258</v>
      </c>
      <c r="F35" s="26">
        <f ca="1">31.6*OFFSET(F$108,MATCH($M$1,$C$109:$C$110,0),0)</f>
        <v>27.15451129695456</v>
      </c>
      <c r="G35" s="26">
        <f ca="1">59.1*OFFSET(G$108,MATCH($M$1,$C$109:$C$110,0),0)</f>
        <v>52.260357696473562</v>
      </c>
      <c r="H35" s="26">
        <f ca="1">53.5*OFFSET(H$108,MATCH($M$1,$C$109:$C$110,0),0)</f>
        <v>48.245230773231292</v>
      </c>
      <c r="I35" s="26">
        <f ca="1">52.1*OFFSET(I$108,MATCH($M$1,$C$109:$C$110,0),0)</f>
        <v>48.473318368736209</v>
      </c>
      <c r="J35" s="26">
        <f ca="1">51.8*OFFSET(J$108,MATCH($M$1,$C$109:$C$110,0),0)</f>
        <v>49.21828761152787</v>
      </c>
      <c r="K35" s="26">
        <f ca="1">39.1*OFFSET(K$108,MATCH($M$1,$C$109:$C$110,0),0)</f>
        <v>37.768253630881532</v>
      </c>
      <c r="L35" s="26">
        <f ca="1">50.4*OFFSET(L$108,MATCH($M$1,$C$109:$C$110,0),0)</f>
        <v>49.554791128334102</v>
      </c>
      <c r="M35" s="27"/>
      <c r="N35" s="24">
        <f t="shared" ca="1" si="0"/>
        <v>0.31858301108403125</v>
      </c>
      <c r="O35" s="24">
        <f t="shared" ca="1" si="1"/>
        <v>2.7143830262895453E-2</v>
      </c>
    </row>
    <row r="36" spans="1:15" s="19" customFormat="1" ht="18" customHeight="1" x14ac:dyDescent="0.2">
      <c r="A36" s="148"/>
      <c r="B36" s="33" t="s">
        <v>44</v>
      </c>
      <c r="C36" s="25"/>
      <c r="D36" s="26">
        <f ca="1">19.8*OFFSET(D$108,MATCH($M$1,$C$109:$C$110,0),0)</f>
        <v>16.106507855708639</v>
      </c>
      <c r="E36" s="26">
        <f ca="1">22.1*OFFSET(E$108,MATCH($M$1,$C$109:$C$110,0),0)</f>
        <v>18.460791594997147</v>
      </c>
      <c r="F36" s="26">
        <f ca="1">21.9*OFFSET(F$108,MATCH($M$1,$C$109:$C$110,0),0)</f>
        <v>18.819107512762809</v>
      </c>
      <c r="G36" s="26">
        <f ca="1">26.9*OFFSET(G$108,MATCH($M$1,$C$109:$C$110,0),0)</f>
        <v>23.786863317007423</v>
      </c>
      <c r="H36" s="26">
        <f ca="1">18.2*OFFSET(H$108,MATCH($M$1,$C$109:$C$110,0),0)</f>
        <v>16.412396263043167</v>
      </c>
      <c r="I36" s="26">
        <f ca="1">14.3*OFFSET(I$108,MATCH($M$1,$C$109:$C$110,0),0)</f>
        <v>13.304576826735659</v>
      </c>
      <c r="J36" s="26">
        <f ca="1">15.3*OFFSET(J$108,MATCH($M$1,$C$109:$C$110,0),0)</f>
        <v>14.537447885258233</v>
      </c>
      <c r="K36" s="26">
        <f ca="1">20*OFFSET(K$108,MATCH($M$1,$C$109:$C$110,0),0)</f>
        <v>19.318799811192598</v>
      </c>
      <c r="L36" s="26">
        <f ca="1">12.4*OFFSET(L$108,MATCH($M$1,$C$109:$C$110,0),0)</f>
        <v>12.192051785542519</v>
      </c>
      <c r="M36" s="27"/>
      <c r="N36" s="24">
        <f t="shared" ca="1" si="0"/>
        <v>-0.24303567882213006</v>
      </c>
      <c r="O36" s="24">
        <f t="shared" ca="1" si="1"/>
        <v>-0.25714371075745135</v>
      </c>
    </row>
    <row r="37" spans="1:15" s="19" customFormat="1" ht="18" customHeight="1" x14ac:dyDescent="0.2">
      <c r="A37" s="148"/>
      <c r="B37" s="33" t="s">
        <v>45</v>
      </c>
      <c r="C37" s="25"/>
      <c r="D37" s="26"/>
      <c r="E37" s="26"/>
      <c r="F37" s="26"/>
      <c r="G37" s="26"/>
      <c r="H37" s="26">
        <f ca="1">4.5*OFFSET(H$108,MATCH($M$1,$C$109:$C$110,0),0)</f>
        <v>4.0580100650381459</v>
      </c>
      <c r="I37" s="26">
        <f ca="1">0.1*OFFSET(I$108,MATCH($M$1,$C$109:$C$110,0),0)</f>
        <v>9.3038998788361249E-2</v>
      </c>
      <c r="J37" s="26">
        <f ca="1">6*OFFSET(J$108,MATCH($M$1,$C$109:$C$110,0),0)</f>
        <v>5.7009599550032286</v>
      </c>
      <c r="K37" s="26">
        <f ca="1">1.5*OFFSET(K$108,MATCH($M$1,$C$109:$C$110,0),0)</f>
        <v>1.4489099858394447</v>
      </c>
      <c r="L37" s="26">
        <f ca="1">3.2*OFFSET(L$108,MATCH($M$1,$C$109:$C$110,0),0)</f>
        <v>3.1463359446561339</v>
      </c>
      <c r="M37" s="27"/>
      <c r="N37" s="24" t="str">
        <f t="shared" ca="1" si="0"/>
        <v/>
      </c>
      <c r="O37" s="24">
        <f t="shared" ca="1" si="1"/>
        <v>-0.22466038914899589</v>
      </c>
    </row>
    <row r="38" spans="1:15" s="19" customFormat="1" ht="18" customHeight="1" thickBot="1" x14ac:dyDescent="0.25">
      <c r="A38" s="149"/>
      <c r="B38" s="50" t="s">
        <v>46</v>
      </c>
      <c r="C38" s="51"/>
      <c r="D38" s="52">
        <f ca="1">9.9*OFFSET(D$108,MATCH($M$1,$C$109:$C$110,0),0)</f>
        <v>8.0532539278543194</v>
      </c>
      <c r="E38" s="52">
        <f ca="1">66.8*OFFSET(E$108,MATCH($M$1,$C$109:$C$110,0),0)</f>
        <v>55.80003975320404</v>
      </c>
      <c r="F38" s="52">
        <f ca="1">111*OFFSET(F$108,MATCH($M$1,$C$109:$C$110,0),0)</f>
        <v>95.384517530441641</v>
      </c>
      <c r="G38" s="52">
        <f ca="1">31.1*OFFSET(G$108,MATCH($M$1,$C$109:$C$110,0),0)</f>
        <v>27.500797366503008</v>
      </c>
      <c r="H38" s="52">
        <f ca="1">-6.1*OFFSET(H$108,MATCH($M$1,$C$109:$C$110,0),0)</f>
        <v>-5.5008580881628202</v>
      </c>
      <c r="I38" s="52">
        <f ca="1">45.6*OFFSET(I$108,MATCH($M$1,$C$109:$C$110,0),0)</f>
        <v>42.425783447492726</v>
      </c>
      <c r="J38" s="52">
        <f ca="1">55*OFFSET(J$108,MATCH($M$1,$C$109:$C$110,0),0)</f>
        <v>52.258799587529595</v>
      </c>
      <c r="K38" s="52">
        <f ca="1">17.2*OFFSET(K$108,MATCH($M$1,$C$109:$C$110,0),0)</f>
        <v>16.614167837625633</v>
      </c>
      <c r="L38" s="52">
        <f ca="1">84.6*OFFSET(L$108,MATCH($M$1,$C$109:$C$110,0),0)</f>
        <v>83.181256536846533</v>
      </c>
      <c r="M38" s="53"/>
      <c r="N38" s="54">
        <f t="shared" ca="1" si="0"/>
        <v>9.3289002534915788</v>
      </c>
      <c r="O38" s="54" t="str">
        <f t="shared" ca="1" si="1"/>
        <v>na</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NSWOS demersal under 24m over 300kW</v>
      </c>
      <c r="C45" s="61"/>
      <c r="D45" s="61"/>
      <c r="E45" s="61"/>
      <c r="F45" s="61" t="str">
        <f>$B21&amp;CHAR(10)&amp;$A$1</f>
        <v>Income per kW day at sea (£)
NSWOS demersal under 24m over 300kW</v>
      </c>
      <c r="G45" s="61"/>
      <c r="K45" s="61" t="str">
        <f>$B23&amp;CHAR(10)&amp;$A$1</f>
        <v>Operating profit per kW day at sea (£)
NSWOS demersal under 24m over 300kW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NSWOS demersal under 24m over 300kW</v>
      </c>
      <c r="F59" s="61" t="str">
        <f>$B19&amp;CHAR(10)&amp;$A$1</f>
        <v>Average price per tonne landed (£)
NSWOS demersal under 24m over 300kW</v>
      </c>
      <c r="K59" s="61" t="str">
        <f>"Average annual operating profit per vessel (£'000)"&amp;CHAR(10)&amp;$A$1</f>
        <v>Average annual operating profit per vessel (£'000)
NSWOS demersal under 24m over 300kW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NSWOS demersal under 24m over 300kW</v>
      </c>
      <c r="F73" s="61" t="str">
        <f>"Top 5 landed species by value in "&amp;A74&amp;CHAR(10)&amp;A1</f>
        <v>Top 5 landed species by value in 2013
NSWOS demersal under 24m over 300kW</v>
      </c>
    </row>
    <row r="74" spans="1:9" s="61" customFormat="1" x14ac:dyDescent="0.2">
      <c r="A74" s="61">
        <v>2013</v>
      </c>
      <c r="B74" s="61" t="s">
        <v>324</v>
      </c>
      <c r="C74" s="62">
        <v>0.29594306251069952</v>
      </c>
      <c r="D74" s="63">
        <v>2171775</v>
      </c>
      <c r="G74" s="61" t="s">
        <v>325</v>
      </c>
      <c r="H74" s="62">
        <v>0.20002057266180584</v>
      </c>
      <c r="I74" s="63">
        <v>8211234</v>
      </c>
    </row>
    <row r="75" spans="1:9" s="61" customFormat="1" x14ac:dyDescent="0.2">
      <c r="B75" s="61" t="s">
        <v>326</v>
      </c>
      <c r="C75" s="62">
        <v>0.13232248484904496</v>
      </c>
      <c r="D75" s="63">
        <v>2783840</v>
      </c>
      <c r="G75" s="61" t="s">
        <v>327</v>
      </c>
      <c r="H75" s="62">
        <v>0.19103093248851738</v>
      </c>
      <c r="I75" s="63">
        <v>2171775</v>
      </c>
    </row>
    <row r="76" spans="1:9" s="61" customFormat="1" x14ac:dyDescent="0.2">
      <c r="B76" s="61" t="s">
        <v>328</v>
      </c>
      <c r="C76" s="62">
        <v>0.10552076058212409</v>
      </c>
      <c r="D76" s="63">
        <v>3511670</v>
      </c>
      <c r="G76" s="61" t="s">
        <v>329</v>
      </c>
      <c r="H76" s="62">
        <v>0.14972294888472679</v>
      </c>
      <c r="I76" s="63">
        <v>2783840</v>
      </c>
    </row>
    <row r="77" spans="1:9" s="61" customFormat="1" x14ac:dyDescent="0.2">
      <c r="B77" s="61" t="s">
        <v>330</v>
      </c>
      <c r="C77" s="62">
        <v>0.10477157440548097</v>
      </c>
      <c r="D77" s="63">
        <v>8211234</v>
      </c>
      <c r="G77" s="61" t="s">
        <v>331</v>
      </c>
      <c r="H77" s="62">
        <v>9.1628245185853302E-2</v>
      </c>
      <c r="I77" s="63">
        <v>6763595</v>
      </c>
    </row>
    <row r="78" spans="1:9" s="61" customFormat="1" x14ac:dyDescent="0.2">
      <c r="B78" s="61" t="s">
        <v>332</v>
      </c>
      <c r="C78" s="62">
        <v>9.3951681754909894E-2</v>
      </c>
      <c r="D78" s="63">
        <v>1464488</v>
      </c>
      <c r="G78" s="61" t="s">
        <v>333</v>
      </c>
      <c r="H78" s="62">
        <v>8.657549396306935E-2</v>
      </c>
      <c r="I78" s="63">
        <v>2764187</v>
      </c>
    </row>
    <row r="79" spans="1:9" s="61" customFormat="1" x14ac:dyDescent="0.2">
      <c r="B79" s="61" t="s">
        <v>334</v>
      </c>
      <c r="C79" s="62">
        <v>0.26749043589774057</v>
      </c>
      <c r="D79" s="63">
        <v>32768</v>
      </c>
      <c r="G79" s="61" t="s">
        <v>335</v>
      </c>
      <c r="H79" s="62">
        <v>0.28102180681602729</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82</v>
      </c>
      <c r="D88" s="66">
        <v>0.25163860479560374</v>
      </c>
      <c r="E88" s="66">
        <v>0.22906375218888195</v>
      </c>
      <c r="F88" s="66">
        <v>0.31674842986534707</v>
      </c>
      <c r="G88" s="66">
        <v>0.29711131003025854</v>
      </c>
      <c r="H88" s="66">
        <v>0.31414906673492066</v>
      </c>
      <c r="I88" s="66">
        <v>0.24120662352556665</v>
      </c>
      <c r="J88" s="66">
        <v>0.25950463701009574</v>
      </c>
      <c r="K88" s="66">
        <v>0.23842944896346588</v>
      </c>
      <c r="L88" s="66">
        <v>0.20343212741191194</v>
      </c>
      <c r="M88" s="66">
        <v>0.2043787605658676</v>
      </c>
      <c r="N88" s="61"/>
      <c r="O88" s="61">
        <v>8211234</v>
      </c>
    </row>
    <row r="89" spans="1:15" s="65" customFormat="1" hidden="1" x14ac:dyDescent="0.2">
      <c r="A89" s="61"/>
      <c r="B89" s="61">
        <v>2</v>
      </c>
      <c r="C89" s="61" t="s">
        <v>64</v>
      </c>
      <c r="D89" s="66">
        <v>0.2711189726839604</v>
      </c>
      <c r="E89" s="66">
        <v>0.25272241326607181</v>
      </c>
      <c r="F89" s="66">
        <v>0.11087541694094318</v>
      </c>
      <c r="G89" s="66">
        <v>0.1268957984556307</v>
      </c>
      <c r="H89" s="66">
        <v>0.113014211674835</v>
      </c>
      <c r="I89" s="66">
        <v>0.1189126404914546</v>
      </c>
      <c r="J89" s="66">
        <v>0.1034519864426503</v>
      </c>
      <c r="K89" s="66">
        <v>0.11296802621972982</v>
      </c>
      <c r="L89" s="66">
        <v>0.19428915976222041</v>
      </c>
      <c r="M89" s="66">
        <v>0.19543861766081255</v>
      </c>
      <c r="N89" s="61"/>
      <c r="O89" s="61">
        <v>2171775</v>
      </c>
    </row>
    <row r="90" spans="1:15" s="65" customFormat="1" hidden="1" x14ac:dyDescent="0.2">
      <c r="A90" s="61"/>
      <c r="B90" s="61">
        <v>3</v>
      </c>
      <c r="C90" s="61" t="s">
        <v>65</v>
      </c>
      <c r="D90" s="66">
        <v>0.11347336786068409</v>
      </c>
      <c r="E90" s="66">
        <v>0.10814913508512718</v>
      </c>
      <c r="F90" s="66">
        <v>0.12038300918113271</v>
      </c>
      <c r="G90" s="66">
        <v>0.12434041180573965</v>
      </c>
      <c r="H90" s="66">
        <v>0.12950422678481488</v>
      </c>
      <c r="I90" s="66">
        <v>0.16324654919242734</v>
      </c>
      <c r="J90" s="66">
        <v>0.156479939905141</v>
      </c>
      <c r="K90" s="66">
        <v>0.15284235373624586</v>
      </c>
      <c r="L90" s="66">
        <v>0.15227662639234604</v>
      </c>
      <c r="M90" s="66">
        <v>0.159360074565186</v>
      </c>
      <c r="N90" s="61"/>
      <c r="O90" s="61">
        <v>2783840</v>
      </c>
    </row>
    <row r="91" spans="1:15" s="65" customFormat="1" hidden="1" x14ac:dyDescent="0.2">
      <c r="A91" s="61"/>
      <c r="B91" s="61">
        <v>4</v>
      </c>
      <c r="C91" s="61" t="s">
        <v>60</v>
      </c>
      <c r="D91" s="66">
        <v>9.0989050136478275E-2</v>
      </c>
      <c r="E91" s="66">
        <v>0.13608175061513619</v>
      </c>
      <c r="F91" s="66">
        <v>0.13309209972605732</v>
      </c>
      <c r="G91" s="66">
        <v>0.10409467122584244</v>
      </c>
      <c r="H91" s="66">
        <v>0.12293387777229134</v>
      </c>
      <c r="I91" s="66"/>
      <c r="J91" s="66">
        <v>6.7544095133552973E-2</v>
      </c>
      <c r="K91" s="66">
        <v>0.11792629086942687</v>
      </c>
      <c r="L91" s="66">
        <v>9.319105830526285E-2</v>
      </c>
      <c r="M91" s="66">
        <v>0.11609458947042597</v>
      </c>
      <c r="N91" s="61"/>
      <c r="O91" s="61">
        <v>6763595</v>
      </c>
    </row>
    <row r="92" spans="1:15" s="65" customFormat="1" hidden="1" x14ac:dyDescent="0.2">
      <c r="A92" s="61"/>
      <c r="B92" s="61">
        <v>5</v>
      </c>
      <c r="C92" s="61" t="s">
        <v>115</v>
      </c>
      <c r="D92" s="66">
        <v>6.8609871190334959E-2</v>
      </c>
      <c r="E92" s="66">
        <v>7.6135054430289659E-2</v>
      </c>
      <c r="F92" s="66">
        <v>0.12038828888505833</v>
      </c>
      <c r="G92" s="66">
        <v>0.12694201602640165</v>
      </c>
      <c r="H92" s="66">
        <v>0.11213511334681935</v>
      </c>
      <c r="I92" s="66">
        <v>9.6867084123710923E-2</v>
      </c>
      <c r="J92" s="66">
        <v>0.11292318123465872</v>
      </c>
      <c r="K92" s="66">
        <v>0.12316703874741777</v>
      </c>
      <c r="L92" s="66">
        <v>8.8052127260044646E-2</v>
      </c>
      <c r="M92" s="66">
        <v>7.7399699587910625E-2</v>
      </c>
      <c r="N92" s="61"/>
      <c r="O92" s="61">
        <v>2764187</v>
      </c>
    </row>
    <row r="93" spans="1:15" s="65" customFormat="1" hidden="1" x14ac:dyDescent="0.2">
      <c r="A93" s="61"/>
      <c r="B93" s="61">
        <v>6</v>
      </c>
      <c r="C93" s="61" t="s">
        <v>100</v>
      </c>
      <c r="D93" s="66"/>
      <c r="E93" s="66"/>
      <c r="F93" s="66"/>
      <c r="G93" s="66"/>
      <c r="H93" s="66"/>
      <c r="I93" s="66">
        <v>8.3438785730480997E-2</v>
      </c>
      <c r="J93" s="66"/>
      <c r="K93" s="66"/>
      <c r="L93" s="66"/>
      <c r="M93" s="66"/>
      <c r="N93" s="61"/>
      <c r="O93" s="61">
        <v>3511670</v>
      </c>
    </row>
    <row r="94" spans="1:15" s="65" customFormat="1" hidden="1" x14ac:dyDescent="0.2">
      <c r="A94" s="61"/>
      <c r="B94" s="61">
        <v>7</v>
      </c>
      <c r="C94" s="61" t="s">
        <v>68</v>
      </c>
      <c r="D94" s="66">
        <v>0.20417013333293854</v>
      </c>
      <c r="E94" s="66">
        <v>0.19784789441449321</v>
      </c>
      <c r="F94" s="66">
        <v>0.19851275540146143</v>
      </c>
      <c r="G94" s="66">
        <v>0.22061579245612703</v>
      </c>
      <c r="H94" s="66">
        <v>0.2082635036863188</v>
      </c>
      <c r="I94" s="66">
        <v>0.29632831693635947</v>
      </c>
      <c r="J94" s="66">
        <v>0.30009616027390129</v>
      </c>
      <c r="K94" s="66">
        <v>0.25466684146371377</v>
      </c>
      <c r="L94" s="66">
        <v>0.26875890086821408</v>
      </c>
      <c r="M94" s="66">
        <v>0.24732825814979725</v>
      </c>
      <c r="N94" s="61"/>
      <c r="O94" s="61">
        <v>32768</v>
      </c>
    </row>
    <row r="95" spans="1:15" s="65" customFormat="1" hidden="1" x14ac:dyDescent="0.2">
      <c r="A95" s="61"/>
      <c r="B95" s="61">
        <v>8</v>
      </c>
      <c r="C95" s="61"/>
      <c r="D95" s="66"/>
      <c r="E95" s="66"/>
      <c r="F95" s="66"/>
      <c r="G95" s="66"/>
      <c r="H95" s="66"/>
      <c r="I95" s="66"/>
      <c r="J95" s="66"/>
      <c r="K95" s="66"/>
      <c r="L95" s="66"/>
      <c r="M95" s="66"/>
      <c r="N95" s="61"/>
      <c r="O95" s="61">
        <v>8274269</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8</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'NSWOS demersal u24m o300kW'!D3:L3</xm:f>
              <xm:sqref>C3</xm:sqref>
            </x14:sparkline>
            <x14:sparkline>
              <xm:f>'NSWOS demersal u24m o300kW'!D4:L4</xm:f>
              <xm:sqref>C4</xm:sqref>
            </x14:sparkline>
            <x14:sparkline>
              <xm:f>'NSWOS demersal u24m o300kW'!D5:L5</xm:f>
              <xm:sqref>C5</xm:sqref>
            </x14:sparkline>
            <x14:sparkline>
              <xm:f>'NSWOS demersal u24m o300kW'!D6:L6</xm:f>
              <xm:sqref>C6</xm:sqref>
            </x14:sparkline>
            <x14:sparkline>
              <xm:f>'NSWOS demersal u24m o300kW'!D7:L7</xm:f>
              <xm:sqref>C7</xm:sqref>
            </x14:sparkline>
            <x14:sparkline>
              <xm:f>'NSWOS demersal u24m o300kW'!D8:L8</xm:f>
              <xm:sqref>C8</xm:sqref>
            </x14:sparkline>
            <x14:sparkline>
              <xm:f>'NSWOS demersal u24m o300kW'!D9:L9</xm:f>
              <xm:sqref>C9</xm:sqref>
            </x14:sparkline>
            <x14:sparkline>
              <xm:f>'NSWOS demersal u24m o300kW'!D10:L10</xm:f>
              <xm:sqref>C10</xm:sqref>
            </x14:sparkline>
            <x14:sparkline>
              <xm:f>'NSWOS demersal u24m o300kW'!D11:L11</xm:f>
              <xm:sqref>C11</xm:sqref>
            </x14:sparkline>
            <x14:sparkline>
              <xm:f>'NSWOS demersal u24m o300kW'!D12:L12</xm:f>
              <xm:sqref>C12</xm:sqref>
            </x14:sparkline>
            <x14:sparkline>
              <xm:f>'NSWOS demersal u24m o300kW'!D13:L13</xm:f>
              <xm:sqref>C13</xm:sqref>
            </x14:sparkline>
            <x14:sparkline>
              <xm:f>'NSWOS demersal u24m o300kW'!D14:L14</xm:f>
              <xm:sqref>C14</xm:sqref>
            </x14:sparkline>
            <x14:sparkline>
              <xm:f>'NSWOS demersal u24m o300kW'!D15:L15</xm:f>
              <xm:sqref>C15</xm:sqref>
            </x14:sparkline>
            <x14:sparkline>
              <xm:f>'NSWOS demersal u24m o300kW'!D16:L16</xm:f>
              <xm:sqref>C16</xm:sqref>
            </x14:sparkline>
            <x14:sparkline>
              <xm:f>'NSWOS demersal u24m o300kW'!D17:L17</xm:f>
              <xm:sqref>C17</xm:sqref>
            </x14:sparkline>
            <x14:sparkline>
              <xm:f>'NSWOS demersal u24m o300kW'!D18:L18</xm:f>
              <xm:sqref>C18</xm:sqref>
            </x14:sparkline>
            <x14:sparkline>
              <xm:f>'NSWOS demersal u24m o300kW'!D19:L19</xm:f>
              <xm:sqref>C19</xm:sqref>
            </x14:sparkline>
            <x14:sparkline>
              <xm:f>'NSWOS demersal u24m o300kW'!D20:L20</xm:f>
              <xm:sqref>C20</xm:sqref>
            </x14:sparkline>
            <x14:sparkline>
              <xm:f>'NSWOS demersal u24m o300kW'!D21:L21</xm:f>
              <xm:sqref>C21</xm:sqref>
            </x14:sparkline>
            <x14:sparkline>
              <xm:f>'NSWOS demersal u24m o300kW'!D22:L22</xm:f>
              <xm:sqref>C22</xm:sqref>
            </x14:sparkline>
            <x14:sparkline>
              <xm:f>'NSWOS demersal u24m o300kW'!D23:L23</xm:f>
              <xm:sqref>C23</xm:sqref>
            </x14:sparkline>
            <x14:sparkline>
              <xm:f>'NSWOS demersal u24m o300kW'!D24:L24</xm:f>
              <xm:sqref>C24</xm:sqref>
            </x14:sparkline>
            <x14:sparkline>
              <xm:f>'NSWOS demersal u24m o300kW'!D25:L25</xm:f>
              <xm:sqref>C25</xm:sqref>
            </x14:sparkline>
            <x14:sparkline>
              <xm:f>'NSWOS demersal u24m o300kW'!D26:L26</xm:f>
              <xm:sqref>C26</xm:sqref>
            </x14:sparkline>
            <x14:sparkline>
              <xm:f>'NSWOS demersal u24m o300kW'!D27:L27</xm:f>
              <xm:sqref>C27</xm:sqref>
            </x14:sparkline>
            <x14:sparkline>
              <xm:f>'NSWOS demersal u24m o300kW'!D28:L28</xm:f>
              <xm:sqref>C28</xm:sqref>
            </x14:sparkline>
            <x14:sparkline>
              <xm:f>'NSWOS demersal u24m o300kW'!D29:L29</xm:f>
              <xm:sqref>C29</xm:sqref>
            </x14:sparkline>
            <x14:sparkline>
              <xm:f>'NSWOS demersal u24m o300kW'!D30:L30</xm:f>
              <xm:sqref>C30</xm:sqref>
            </x14:sparkline>
            <x14:sparkline>
              <xm:f>'NSWOS demersal u24m o300kW'!D31:L31</xm:f>
              <xm:sqref>C31</xm:sqref>
            </x14:sparkline>
            <x14:sparkline>
              <xm:f>'NSWOS demersal u24m o300kW'!D32:L32</xm:f>
              <xm:sqref>C32</xm:sqref>
            </x14:sparkline>
            <x14:sparkline>
              <xm:f>'NSWOS demersal u24m o300kW'!D33:L33</xm:f>
              <xm:sqref>C33</xm:sqref>
            </x14:sparkline>
            <x14:sparkline>
              <xm:f>'NSWOS demersal u24m o300kW'!D34:L34</xm:f>
              <xm:sqref>C34</xm:sqref>
            </x14:sparkline>
            <x14:sparkline>
              <xm:f>'NSWOS demersal u24m o300kW'!D35:L35</xm:f>
              <xm:sqref>C35</xm:sqref>
            </x14:sparkline>
            <x14:sparkline>
              <xm:f>'NSWOS demersal u24m o300kW'!D36:L36</xm:f>
              <xm:sqref>C36</xm:sqref>
            </x14:sparkline>
            <x14:sparkline>
              <xm:f>'NSWOS demersal u24m o300kW'!D37:L37</xm:f>
              <xm:sqref>C37</xm:sqref>
            </x14:sparkline>
            <x14:sparkline>
              <xm:f>'NSWOS demersal u24m o300kW'!D38:L38</xm:f>
              <xm:sqref>C38</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336</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21</v>
      </c>
      <c r="E3" s="16">
        <v>24</v>
      </c>
      <c r="F3" s="16">
        <v>28</v>
      </c>
      <c r="G3" s="16">
        <v>33</v>
      </c>
      <c r="H3" s="16">
        <v>32</v>
      </c>
      <c r="I3" s="16">
        <v>32</v>
      </c>
      <c r="J3" s="16">
        <v>28</v>
      </c>
      <c r="K3" s="16">
        <v>19</v>
      </c>
      <c r="L3" s="16">
        <v>19</v>
      </c>
      <c r="M3" s="17">
        <v>14</v>
      </c>
      <c r="N3" s="18">
        <f t="shared" ref="N3:N38" si="0">IF(L3=0,"",IFERROR(IF(AND(L3&gt;0,D3&lt;0),"na",IF(AND(L3&lt;0,D3&lt;0),-1,1)*(L3-D3)/D3),""))</f>
        <v>-9.5238095238095233E-2</v>
      </c>
      <c r="O3" s="18">
        <f t="shared" ref="O3:O38" si="1">IF(L3=0,"",IFERROR(IF(AND(L3&gt;0,H3&lt;0),"na",IF(AND(L3&lt;0,H3&lt;0),-1,1)*(L3-H3)/H3),""))</f>
        <v>-0.40625</v>
      </c>
    </row>
    <row r="4" spans="1:15" s="19" customFormat="1" ht="18" customHeight="1" x14ac:dyDescent="0.2">
      <c r="A4" s="141"/>
      <c r="B4" s="20" t="s">
        <v>20</v>
      </c>
      <c r="C4" s="21"/>
      <c r="D4" s="22">
        <v>4700.39990234375</v>
      </c>
      <c r="E4" s="22">
        <v>5256.5</v>
      </c>
      <c r="F4" s="22">
        <v>5727.18994140625</v>
      </c>
      <c r="G4" s="22">
        <v>6570.33984375</v>
      </c>
      <c r="H4" s="22">
        <v>6090.39013671875</v>
      </c>
      <c r="I4" s="22">
        <v>6643.10009765625</v>
      </c>
      <c r="J4" s="22">
        <v>5617.259765625</v>
      </c>
      <c r="K4" s="22">
        <v>4025.5</v>
      </c>
      <c r="L4" s="22">
        <v>4102</v>
      </c>
      <c r="M4" s="23">
        <v>2858.590087890625</v>
      </c>
      <c r="N4" s="24">
        <f t="shared" si="0"/>
        <v>-0.12730829605484656</v>
      </c>
      <c r="O4" s="24">
        <f t="shared" si="1"/>
        <v>-0.32647992855676272</v>
      </c>
    </row>
    <row r="5" spans="1:15" s="19" customFormat="1" ht="18" customHeight="1" x14ac:dyDescent="0.2">
      <c r="A5" s="141"/>
      <c r="B5" s="20" t="s">
        <v>21</v>
      </c>
      <c r="C5" s="21"/>
      <c r="D5" s="22">
        <v>1136.02001953125</v>
      </c>
      <c r="E5" s="22">
        <v>1293.06005859375</v>
      </c>
      <c r="F5" s="22">
        <v>1426.6500244140625</v>
      </c>
      <c r="G5" s="22">
        <v>1683.0799560546875</v>
      </c>
      <c r="H5" s="22">
        <v>1640.3800048828125</v>
      </c>
      <c r="I5" s="22">
        <v>1698.8800048828125</v>
      </c>
      <c r="J5" s="22">
        <v>1417.25</v>
      </c>
      <c r="K5" s="22">
        <v>1025.050048828125</v>
      </c>
      <c r="L5" s="22">
        <v>1201.6300048828125</v>
      </c>
      <c r="M5" s="23">
        <v>766.20001220703125</v>
      </c>
      <c r="N5" s="24">
        <f t="shared" si="0"/>
        <v>5.7754251002226885E-2</v>
      </c>
      <c r="O5" s="24">
        <f t="shared" si="1"/>
        <v>-0.26746851259708204</v>
      </c>
    </row>
    <row r="6" spans="1:15" s="19" customFormat="1" ht="18" customHeight="1" x14ac:dyDescent="0.2">
      <c r="A6" s="141"/>
      <c r="B6" s="20" t="s">
        <v>22</v>
      </c>
      <c r="C6" s="21"/>
      <c r="D6" s="22">
        <v>3327.73388671875</v>
      </c>
      <c r="E6" s="22">
        <v>4460.7685546875</v>
      </c>
      <c r="F6" s="22">
        <v>3962.752197265625</v>
      </c>
      <c r="G6" s="22">
        <v>5678.857421875</v>
      </c>
      <c r="H6" s="22">
        <v>5417.38623046875</v>
      </c>
      <c r="I6" s="22">
        <v>5679.5361328125</v>
      </c>
      <c r="J6" s="22">
        <v>4873.58642578125</v>
      </c>
      <c r="K6" s="22">
        <v>3478.860107421875</v>
      </c>
      <c r="L6" s="22">
        <v>3472.5712890625</v>
      </c>
      <c r="M6" s="23">
        <v>2494.419189453125</v>
      </c>
      <c r="N6" s="24">
        <f t="shared" si="0"/>
        <v>4.3524334359128766E-2</v>
      </c>
      <c r="O6" s="24">
        <f t="shared" si="1"/>
        <v>-0.35899506859380248</v>
      </c>
    </row>
    <row r="7" spans="1:15" s="19" customFormat="1" ht="18" customHeight="1" x14ac:dyDescent="0.2">
      <c r="A7" s="141"/>
      <c r="B7" s="20" t="s">
        <v>23</v>
      </c>
      <c r="C7" s="21"/>
      <c r="D7" s="22">
        <v>3190.098388671875</v>
      </c>
      <c r="E7" s="22">
        <v>3288.722900390625</v>
      </c>
      <c r="F7" s="22">
        <v>3575.17041015625</v>
      </c>
      <c r="G7" s="22">
        <v>3829.12451171875</v>
      </c>
      <c r="H7" s="22">
        <v>3730.60009765625</v>
      </c>
      <c r="I7" s="22">
        <v>4941.2197265625</v>
      </c>
      <c r="J7" s="22">
        <v>3925.123291015625</v>
      </c>
      <c r="K7" s="22">
        <v>2273.0126953125</v>
      </c>
      <c r="L7" s="22">
        <v>2955.57470703125</v>
      </c>
      <c r="M7" s="23">
        <v>1715.9937744140625</v>
      </c>
      <c r="N7" s="24">
        <f t="shared" si="0"/>
        <v>-7.3516128052170712E-2</v>
      </c>
      <c r="O7" s="24">
        <f t="shared" si="1"/>
        <v>-0.20774818268833203</v>
      </c>
    </row>
    <row r="8" spans="1:15" s="19" customFormat="1" ht="18" customHeight="1" x14ac:dyDescent="0.2">
      <c r="A8" s="141"/>
      <c r="B8" s="20" t="s">
        <v>24</v>
      </c>
      <c r="C8" s="25"/>
      <c r="D8" s="26">
        <f ca="1">4.6619705*OFFSET(D$108,MATCH($M$1,$C$109:$C$110,0),0)</f>
        <v>3.7923264889561579</v>
      </c>
      <c r="E8" s="26">
        <f ca="1">5.35893*OFFSET(E$108,MATCH($M$1,$C$109:$C$110,0),0)</f>
        <v>4.4764746562071522</v>
      </c>
      <c r="F8" s="26">
        <f ca="1">6.3328785*OFFSET(F$108,MATCH($M$1,$C$109:$C$110,0),0)</f>
        <v>5.4419690117243871</v>
      </c>
      <c r="G8" s="26">
        <f ca="1">6.537366*OFFSET(G$108,MATCH($M$1,$C$109:$C$110,0),0)</f>
        <v>5.7807967098606525</v>
      </c>
      <c r="H8" s="26">
        <f ca="1">6.3112775*OFFSET(H$108,MATCH($M$1,$C$109:$C$110,0),0)</f>
        <v>5.691383915166397</v>
      </c>
      <c r="I8" s="26">
        <f ca="1">7.9559775*OFFSET(I$108,MATCH($M$1,$C$109:$C$110,0),0)</f>
        <v>7.4021618098272928</v>
      </c>
      <c r="J8" s="26">
        <f ca="1">7.054532*OFFSET(J$108,MATCH($M$1,$C$109:$C$110,0),0)</f>
        <v>6.7029340722148056</v>
      </c>
      <c r="K8" s="26">
        <f ca="1">3.7158225*OFFSET(K$108,MATCH($M$1,$C$109:$C$110,0),0)</f>
        <v>3.5892615505712602</v>
      </c>
      <c r="L8" s="26">
        <f ca="1">4.332266*OFFSET(L$108,MATCH($M$1,$C$109:$C$110,0),0)</f>
        <v>4.2596138242536403</v>
      </c>
      <c r="M8" s="27">
        <f ca="1">2.96275975*OFFSET(M$108,MATCH($M$1,$C$109:$C$110,0),0)</f>
        <v>2.9627597384892246</v>
      </c>
      <c r="N8" s="24">
        <f t="shared" ca="1" si="0"/>
        <v>0.1232191734172402</v>
      </c>
      <c r="O8" s="24">
        <f t="shared" ca="1" si="1"/>
        <v>-0.25156800389047318</v>
      </c>
    </row>
    <row r="9" spans="1:15" s="19" customFormat="1" ht="18" customHeight="1" x14ac:dyDescent="0.2">
      <c r="A9" s="141"/>
      <c r="B9" s="20" t="s">
        <v>25</v>
      </c>
      <c r="C9" s="25"/>
      <c r="D9" s="22">
        <v>3249</v>
      </c>
      <c r="E9" s="22">
        <v>3432</v>
      </c>
      <c r="F9" s="22">
        <v>3728</v>
      </c>
      <c r="G9" s="22">
        <v>4585</v>
      </c>
      <c r="H9" s="22">
        <v>4290.7998046875</v>
      </c>
      <c r="I9" s="22">
        <v>4541</v>
      </c>
      <c r="J9" s="22">
        <v>3539</v>
      </c>
      <c r="K9" s="22">
        <v>1920</v>
      </c>
      <c r="L9" s="22">
        <v>2401</v>
      </c>
      <c r="M9" s="23">
        <v>1615</v>
      </c>
      <c r="N9" s="24">
        <f t="shared" si="0"/>
        <v>-0.26100338565712528</v>
      </c>
      <c r="O9" s="24">
        <f t="shared" si="1"/>
        <v>-0.44043066344483872</v>
      </c>
    </row>
    <row r="10" spans="1:15" s="19" customFormat="1" ht="18" customHeight="1" x14ac:dyDescent="0.2">
      <c r="A10" s="142" t="s">
        <v>7</v>
      </c>
      <c r="B10" s="28" t="s">
        <v>26</v>
      </c>
      <c r="C10" s="29"/>
      <c r="D10" s="30">
        <v>15.743332862854004</v>
      </c>
      <c r="E10" s="30">
        <v>15.886249542236328</v>
      </c>
      <c r="F10" s="30">
        <v>15.410714149475098</v>
      </c>
      <c r="G10" s="30">
        <v>15.470000267028809</v>
      </c>
      <c r="H10" s="30">
        <v>15.595624923706055</v>
      </c>
      <c r="I10" s="30">
        <v>15.365937232971191</v>
      </c>
      <c r="J10" s="30">
        <v>15.535357475280762</v>
      </c>
      <c r="K10" s="30">
        <v>15.753684043884277</v>
      </c>
      <c r="L10" s="30">
        <v>16.446315765380859</v>
      </c>
      <c r="M10" s="31">
        <v>15.333571434020996</v>
      </c>
      <c r="N10" s="32">
        <f t="shared" si="0"/>
        <v>4.4652737044360277E-2</v>
      </c>
      <c r="O10" s="32">
        <f t="shared" si="1"/>
        <v>5.4546762046175923E-2</v>
      </c>
    </row>
    <row r="11" spans="1:15" s="19" customFormat="1" ht="18" customHeight="1" x14ac:dyDescent="0.2">
      <c r="A11" s="143"/>
      <c r="B11" s="33" t="s">
        <v>20</v>
      </c>
      <c r="C11" s="21"/>
      <c r="D11" s="22">
        <v>223.82856750488281</v>
      </c>
      <c r="E11" s="22">
        <v>219.02082824707031</v>
      </c>
      <c r="F11" s="22">
        <v>204.54249572753906</v>
      </c>
      <c r="G11" s="22">
        <v>199.10121154785156</v>
      </c>
      <c r="H11" s="22">
        <v>190.32469177246094</v>
      </c>
      <c r="I11" s="22">
        <v>207.59687805175781</v>
      </c>
      <c r="J11" s="22">
        <v>200.61642456054687</v>
      </c>
      <c r="K11" s="22">
        <v>211.86842346191406</v>
      </c>
      <c r="L11" s="22">
        <v>215.89472961425781</v>
      </c>
      <c r="M11" s="23">
        <v>204.18499755859375</v>
      </c>
      <c r="N11" s="24">
        <f t="shared" si="0"/>
        <v>-3.5446046852137959E-2</v>
      </c>
      <c r="O11" s="24">
        <f t="shared" si="1"/>
        <v>0.1343495560332584</v>
      </c>
    </row>
    <row r="12" spans="1:15" s="19" customFormat="1" ht="18" customHeight="1" x14ac:dyDescent="0.2">
      <c r="A12" s="143"/>
      <c r="B12" s="33" t="s">
        <v>21</v>
      </c>
      <c r="C12" s="21"/>
      <c r="D12" s="22">
        <v>54.09619140625</v>
      </c>
      <c r="E12" s="22">
        <v>53.877498626708984</v>
      </c>
      <c r="F12" s="22">
        <v>50.951786041259766</v>
      </c>
      <c r="G12" s="22">
        <v>51.002426147460937</v>
      </c>
      <c r="H12" s="22">
        <v>51.261875152587891</v>
      </c>
      <c r="I12" s="22">
        <v>53.090000152587891</v>
      </c>
      <c r="J12" s="22">
        <v>50.616069793701172</v>
      </c>
      <c r="K12" s="22">
        <v>53.950000762939453</v>
      </c>
      <c r="L12" s="22">
        <v>63.243682861328125</v>
      </c>
      <c r="M12" s="23">
        <v>54.728572845458984</v>
      </c>
      <c r="N12" s="24">
        <f t="shared" si="0"/>
        <v>0.16909677404796505</v>
      </c>
      <c r="O12" s="24">
        <f t="shared" si="1"/>
        <v>0.23373721060875682</v>
      </c>
    </row>
    <row r="13" spans="1:15" s="19" customFormat="1" ht="18" customHeight="1" x14ac:dyDescent="0.2">
      <c r="A13" s="143"/>
      <c r="B13" s="33" t="s">
        <v>22</v>
      </c>
      <c r="C13" s="21"/>
      <c r="D13" s="22">
        <v>158.46351623535156</v>
      </c>
      <c r="E13" s="22">
        <v>185.8653564453125</v>
      </c>
      <c r="F13" s="22">
        <v>141.52687072753906</v>
      </c>
      <c r="G13" s="22">
        <v>172.08659362792969</v>
      </c>
      <c r="H13" s="22">
        <v>169.29331970214844</v>
      </c>
      <c r="I13" s="22">
        <v>177.48550415039062</v>
      </c>
      <c r="J13" s="22">
        <v>174.05665588378906</v>
      </c>
      <c r="K13" s="22">
        <v>183.097900390625</v>
      </c>
      <c r="L13" s="22">
        <v>192.92062377929687</v>
      </c>
      <c r="M13" s="23">
        <v>178.17280578613281</v>
      </c>
      <c r="N13" s="24">
        <f t="shared" si="0"/>
        <v>0.21744505210126272</v>
      </c>
      <c r="O13" s="24">
        <f t="shared" si="1"/>
        <v>0.13956430247051616</v>
      </c>
    </row>
    <row r="14" spans="1:15" s="19" customFormat="1" ht="18" customHeight="1" x14ac:dyDescent="0.2">
      <c r="A14" s="143"/>
      <c r="B14" s="33" t="s">
        <v>23</v>
      </c>
      <c r="C14" s="25"/>
      <c r="D14" s="26">
        <v>151.90945434570312</v>
      </c>
      <c r="E14" s="26">
        <v>137.03012084960937</v>
      </c>
      <c r="F14" s="26">
        <v>127.68465423583984</v>
      </c>
      <c r="G14" s="26">
        <v>116.03408050537109</v>
      </c>
      <c r="H14" s="26">
        <v>116.58125305175781</v>
      </c>
      <c r="I14" s="26">
        <v>154.41311645507812</v>
      </c>
      <c r="J14" s="26">
        <v>140.1829833984375</v>
      </c>
      <c r="K14" s="26">
        <v>119.63224792480469</v>
      </c>
      <c r="L14" s="26">
        <v>155.55656433105469</v>
      </c>
      <c r="M14" s="27">
        <v>122.57098388671875</v>
      </c>
      <c r="N14" s="24">
        <f t="shared" si="0"/>
        <v>2.4008446354179955E-2</v>
      </c>
      <c r="O14" s="24">
        <f t="shared" si="1"/>
        <v>0.33431885709783254</v>
      </c>
    </row>
    <row r="15" spans="1:15" s="19" customFormat="1" ht="18" customHeight="1" x14ac:dyDescent="0.2">
      <c r="A15" s="143"/>
      <c r="B15" s="33" t="s">
        <v>27</v>
      </c>
      <c r="C15" s="25"/>
      <c r="D15" s="26">
        <f ca="1">221.99859375*OFFSET(D$108,MATCH($M$1,$C$109:$C$110,0),0)</f>
        <v>180.58697445407302</v>
      </c>
      <c r="E15" s="26">
        <f ca="1">223.28875*OFFSET(E$108,MATCH($M$1,$C$109:$C$110,0),0)</f>
        <v>186.51977734196467</v>
      </c>
      <c r="F15" s="26">
        <f ca="1">226.174234375*OFFSET(F$108,MATCH($M$1,$C$109:$C$110,0),0)</f>
        <v>194.35603805113877</v>
      </c>
      <c r="G15" s="26">
        <f ca="1">198.102*OFFSET(G$108,MATCH($M$1,$C$109:$C$110,0),0)</f>
        <v>175.17565787456522</v>
      </c>
      <c r="H15" s="26">
        <f ca="1">197.227421875*OFFSET(H$108,MATCH($M$1,$C$109:$C$110,0),0)</f>
        <v>177.8557473489499</v>
      </c>
      <c r="I15" s="26">
        <f ca="1">248.624296875*OFFSET(I$108,MATCH($M$1,$C$109:$C$110,0),0)</f>
        <v>231.3175565571029</v>
      </c>
      <c r="J15" s="26">
        <f ca="1">251.9475625*OFFSET(J$108,MATCH($M$1,$C$109:$C$110,0),0)</f>
        <v>239.39049409552885</v>
      </c>
      <c r="K15" s="26">
        <f ca="1">195.56959375*OFFSET(K$108,MATCH($M$1,$C$109:$C$110,0),0)</f>
        <v>188.90849154062565</v>
      </c>
      <c r="L15" s="26">
        <f ca="1">228.014*OFFSET(L$108,MATCH($M$1,$C$109:$C$110,0),0)</f>
        <v>224.19020127650742</v>
      </c>
      <c r="M15" s="27">
        <f ca="1">211.625703125*OFFSET(M$108,MATCH($M$1,$C$109:$C$110,0),0)</f>
        <v>211.62570230280173</v>
      </c>
      <c r="N15" s="24">
        <f t="shared" ca="1" si="0"/>
        <v>0.24145277894072922</v>
      </c>
      <c r="O15" s="24">
        <f t="shared" ca="1" si="1"/>
        <v>0.26051704607920328</v>
      </c>
    </row>
    <row r="16" spans="1:15" s="19" customFormat="1" ht="18" customHeight="1" x14ac:dyDescent="0.2">
      <c r="A16" s="143"/>
      <c r="B16" s="33" t="s">
        <v>25</v>
      </c>
      <c r="C16" s="21"/>
      <c r="D16" s="22">
        <v>154.71427917480469</v>
      </c>
      <c r="E16" s="22">
        <v>143</v>
      </c>
      <c r="F16" s="22">
        <v>133.14285278320312</v>
      </c>
      <c r="G16" s="22">
        <v>138.93939208984375</v>
      </c>
      <c r="H16" s="22">
        <v>134.08749389648437</v>
      </c>
      <c r="I16" s="22">
        <v>141.90625</v>
      </c>
      <c r="J16" s="22">
        <v>126.39286041259766</v>
      </c>
      <c r="K16" s="22">
        <v>101.05263519287109</v>
      </c>
      <c r="L16" s="22">
        <v>126.36842346191406</v>
      </c>
      <c r="M16" s="23">
        <v>115.35713958740234</v>
      </c>
      <c r="N16" s="24">
        <f t="shared" si="0"/>
        <v>-0.18321421826141801</v>
      </c>
      <c r="O16" s="24">
        <f t="shared" si="1"/>
        <v>-5.7567415202266659E-2</v>
      </c>
    </row>
    <row r="17" spans="1:15" s="19" customFormat="1" ht="18" customHeight="1" x14ac:dyDescent="0.2">
      <c r="A17" s="143"/>
      <c r="B17" s="33" t="s">
        <v>28</v>
      </c>
      <c r="C17" s="21"/>
      <c r="D17" s="22">
        <v>23.476190567016602</v>
      </c>
      <c r="E17" s="22">
        <v>25.208333969116211</v>
      </c>
      <c r="F17" s="22">
        <v>24.607143402099609</v>
      </c>
      <c r="G17" s="22">
        <v>29.333333969116211</v>
      </c>
      <c r="H17" s="22">
        <v>27.5625</v>
      </c>
      <c r="I17" s="22">
        <v>26.53125</v>
      </c>
      <c r="J17" s="22">
        <v>27.178571701049805</v>
      </c>
      <c r="K17" s="22">
        <v>29.105262756347656</v>
      </c>
      <c r="L17" s="22">
        <v>26.210525512695313</v>
      </c>
      <c r="M17" s="23">
        <v>26.357143402099609</v>
      </c>
      <c r="N17" s="24">
        <f t="shared" si="0"/>
        <v>0.1164726848622696</v>
      </c>
      <c r="O17" s="24">
        <f t="shared" si="1"/>
        <v>-4.9051228564342401E-2</v>
      </c>
    </row>
    <row r="18" spans="1:15" s="19" customFormat="1" ht="18" customHeight="1" x14ac:dyDescent="0.2">
      <c r="A18" s="143"/>
      <c r="B18" s="33" t="s">
        <v>29</v>
      </c>
      <c r="C18" s="21"/>
      <c r="D18" s="34">
        <v>0.98187094926834106</v>
      </c>
      <c r="E18" s="34">
        <v>0.95825260877609253</v>
      </c>
      <c r="F18" s="34">
        <v>0.95900493860244751</v>
      </c>
      <c r="G18" s="34">
        <v>0.83514171838760376</v>
      </c>
      <c r="H18" s="34">
        <v>0.8694416880607605</v>
      </c>
      <c r="I18" s="34">
        <v>1.088134765625</v>
      </c>
      <c r="J18" s="34">
        <v>1.1091052293777466</v>
      </c>
      <c r="K18" s="34">
        <v>1.1838607788085937</v>
      </c>
      <c r="L18" s="34">
        <v>1.2309765815734863</v>
      </c>
      <c r="M18" s="35">
        <v>1.0625349283218384</v>
      </c>
      <c r="N18" s="24">
        <f t="shared" si="0"/>
        <v>0.25370506428647355</v>
      </c>
      <c r="O18" s="24">
        <f t="shared" si="1"/>
        <v>0.41582419899729967</v>
      </c>
    </row>
    <row r="19" spans="1:15" s="19" customFormat="1" ht="18" customHeight="1" x14ac:dyDescent="0.2">
      <c r="A19" s="144"/>
      <c r="B19" s="36" t="s">
        <v>8</v>
      </c>
      <c r="C19" s="37"/>
      <c r="D19" s="38">
        <f ca="1">1461.38768526851*OFFSET(D$108,MATCH($M$1,$C$109:$C$110,0),0)</f>
        <v>1188.7804158087436</v>
      </c>
      <c r="E19" s="38">
        <f ca="1">1629.48663122803*OFFSET(E$108,MATCH($M$1,$C$109:$C$110,0),0)</f>
        <v>1361.1589640694403</v>
      </c>
      <c r="F19" s="38">
        <f ca="1">1771.35011019607*OFFSET(F$108,MATCH($M$1,$C$109:$C$110,0),0)</f>
        <v>1522.1565372842053</v>
      </c>
      <c r="G19" s="38">
        <f ca="1">1707.27433385696*OFFSET(G$108,MATCH($M$1,$C$109:$C$110,0),0)</f>
        <v>1509.6914953193461</v>
      </c>
      <c r="H19" s="38">
        <f ca="1">1691.75932418086*OFFSET(H$108,MATCH($M$1,$C$109:$C$110,0),0)</f>
        <v>1525.5947478106802</v>
      </c>
      <c r="I19" s="38">
        <f ca="1">1610.12420824581*OFFSET(I$108,MATCH($M$1,$C$109:$C$110,0),0)</f>
        <v>1498.0434426009301</v>
      </c>
      <c r="J19" s="38">
        <f ca="1">1797.2765380765*OFFSET(J$108,MATCH($M$1,$C$109:$C$110,0),0)</f>
        <v>1707.7002619401603</v>
      </c>
      <c r="K19" s="38">
        <f ca="1">1634.75659756011*OFFSET(K$108,MATCH($M$1,$C$109:$C$110,0),0)</f>
        <v>1579.0767724145053</v>
      </c>
      <c r="L19" s="38">
        <f ca="1">1465.79478762409*OFFSET(L$108,MATCH($M$1,$C$109:$C$110,0),0)</f>
        <v>1441.2133836847745</v>
      </c>
      <c r="M19" s="39">
        <f ca="1">1726.55623474605*OFFSET(M$108,MATCH($M$1,$C$109:$C$110,0),0)</f>
        <v>1726.5562280381146</v>
      </c>
      <c r="N19" s="40">
        <f ca="1">IF(L19=0,"",IFERROR(IF(AND(L19&gt;0,D19&lt;0),"na",IF(AND(L19&lt;0,D19&lt;0),-1,1)*(L19-D19)/D19),""))</f>
        <v>0.21234616967028125</v>
      </c>
      <c r="O19" s="40">
        <f ca="1">IF(L19=0,"",IFERROR(IF(AND(L19&gt;0,H19&lt;0),"na",IF(AND(L19&lt;0,H19&lt;0),-1,1)*(L19-H19)/H19),""))</f>
        <v>-5.5310471045471321E-2</v>
      </c>
    </row>
    <row r="20" spans="1:15" s="19" customFormat="1" ht="18" customHeight="1" x14ac:dyDescent="0.2">
      <c r="A20" s="145" t="s">
        <v>9</v>
      </c>
      <c r="B20" s="28" t="s">
        <v>30</v>
      </c>
      <c r="C20" s="41"/>
      <c r="D20" s="42">
        <v>4.3727293430620984</v>
      </c>
      <c r="E20" s="42">
        <v>4.3585567339852629</v>
      </c>
      <c r="F20" s="42">
        <v>4.5840367242107831</v>
      </c>
      <c r="G20" s="42">
        <v>3.9330040033962774</v>
      </c>
      <c r="H20" s="42">
        <v>4.319640911079067</v>
      </c>
      <c r="I20" s="42">
        <v>5.0540472244346333</v>
      </c>
      <c r="J20" s="42">
        <v>5.4304861605378667</v>
      </c>
      <c r="K20" s="42">
        <v>5.5390764313771914</v>
      </c>
      <c r="L20" s="42">
        <v>5.7104390445734241</v>
      </c>
      <c r="M20" s="43">
        <v>5.018256510859489</v>
      </c>
      <c r="N20" s="32">
        <f t="shared" si="0"/>
        <v>0.30592099271677436</v>
      </c>
      <c r="O20" s="32">
        <f t="shared" si="1"/>
        <v>0.32197077537793045</v>
      </c>
    </row>
    <row r="21" spans="1:15" s="19" customFormat="1" ht="18" customHeight="1" x14ac:dyDescent="0.2">
      <c r="A21" s="145"/>
      <c r="B21" s="33" t="s">
        <v>31</v>
      </c>
      <c r="C21" s="21"/>
      <c r="D21" s="34">
        <f ca="1">6.39025246447148*OFFSET(D$108,MATCH($M$1,$C$109:$C$110,0),0)</f>
        <v>5.1982147231803735</v>
      </c>
      <c r="E21" s="34">
        <f ca="1">7.1022099294779*OFFSET(E$108,MATCH($M$1,$C$109:$C$110,0),0)</f>
        <v>5.9326885688692714</v>
      </c>
      <c r="F21" s="34">
        <f ca="1">8.11993424464504*OFFSET(F$108,MATCH($M$1,$C$109:$C$110,0),0)</f>
        <v>6.9776217144538588</v>
      </c>
      <c r="G21" s="34">
        <f ca="1">6.7147165357573*OFFSET(G$108,MATCH($M$1,$C$109:$C$110,0),0)</f>
        <v>5.9376224702047766</v>
      </c>
      <c r="H21" s="34">
        <f ca="1">7.30779278843113*OFFSET(H$108,MATCH($M$1,$C$109:$C$110,0),0)</f>
        <v>6.5900214863703788</v>
      </c>
      <c r="I21" s="34">
        <f ca="1">8.13764378567972*OFFSET(I$108,MATCH($M$1,$C$109:$C$110,0),0)</f>
        <v>7.5711823031597074</v>
      </c>
      <c r="J21" s="34">
        <f ca="1">9.7600844137317*OFFSET(J$108,MATCH($M$1,$C$109:$C$110,0),0)</f>
        <v>9.2736417333559302</v>
      </c>
      <c r="K21" s="34">
        <f ca="1">9.05504114672771*OFFSET(K$108,MATCH($M$1,$C$109:$C$110,0),0)</f>
        <v>8.7466263597872249</v>
      </c>
      <c r="L21" s="34">
        <f ca="1">8.37033174336717*OFFSET(L$108,MATCH($M$1,$C$109:$C$110,0),0)</f>
        <v>8.2299611352663664</v>
      </c>
      <c r="M21" s="35">
        <f ca="1">8.66430234054213*OFFSET(M$108,MATCH($M$1,$C$109:$C$110,0),0)</f>
        <v>8.6643023068799891</v>
      </c>
      <c r="N21" s="24">
        <f t="shared" ca="1" si="0"/>
        <v>0.58322839157962081</v>
      </c>
      <c r="O21" s="24">
        <f t="shared" ca="1" si="1"/>
        <v>0.24885194263596036</v>
      </c>
    </row>
    <row r="22" spans="1:15" s="19" customFormat="1" ht="18" customHeight="1" x14ac:dyDescent="0.2">
      <c r="A22" s="145"/>
      <c r="B22" s="33" t="s">
        <v>10</v>
      </c>
      <c r="C22" s="21"/>
      <c r="D22" s="34">
        <f ca="1">5.6745193590502*OFFSET(D$108,MATCH($M$1,$C$109:$C$110,0),0)</f>
        <v>4.6159944764602425</v>
      </c>
      <c r="E22" s="34">
        <f ca="1">5.66269959773097*OFFSET(E$108,MATCH($M$1,$C$109:$C$110,0),0)</f>
        <v>4.7302224949676752</v>
      </c>
      <c r="F22" s="34">
        <f ca="1">6.51838157234505*OFFSET(F$108,MATCH($M$1,$C$109:$C$110,0),0)</f>
        <v>5.6013755077248124</v>
      </c>
      <c r="G22" s="34">
        <f ca="1">5.66568401339869*OFFSET(G$108,MATCH($M$1,$C$109:$C$110,0),0)</f>
        <v>5.0099944692962337</v>
      </c>
      <c r="H22" s="34">
        <f ca="1">6.30924145904535*OFFSET(H$108,MATCH($M$1,$C$109:$C$110,0),0)</f>
        <v>5.6895478541248865</v>
      </c>
      <c r="I22" s="34">
        <f ca="1">6.65035745169363*OFFSET(I$108,MATCH($M$1,$C$109:$C$110,0),0)</f>
        <v>6.1874259889029277</v>
      </c>
      <c r="J22" s="34">
        <f ca="1">6.89874551395053*OFFSET(J$108,MATCH($M$1,$C$109:$C$110,0),0)</f>
        <v>6.5549119857983564</v>
      </c>
      <c r="K22" s="34">
        <f ca="1">7.08190649956516*OFFSET(K$108,MATCH($M$1,$C$109:$C$110,0),0)</f>
        <v>6.8406966973341516</v>
      </c>
      <c r="L22" s="34">
        <f ca="1">7.06366233876668*OFFSET(L$108,MATCH($M$1,$C$109:$C$110,0),0)</f>
        <v>6.9452045991798181</v>
      </c>
      <c r="M22" s="35">
        <f ca="1">7.12272998823648*OFFSET(M$108,MATCH($M$1,$C$109:$C$110,0),0)</f>
        <v>7.122729960563583</v>
      </c>
      <c r="N22" s="24">
        <f t="shared" ca="1" si="0"/>
        <v>0.50459551773678057</v>
      </c>
      <c r="O22" s="24">
        <f t="shared" ca="1" si="1"/>
        <v>0.22069534825066783</v>
      </c>
    </row>
    <row r="23" spans="1:15" s="19" customFormat="1" ht="18" customHeight="1" x14ac:dyDescent="0.2">
      <c r="A23" s="146"/>
      <c r="B23" s="33" t="s">
        <v>32</v>
      </c>
      <c r="C23" s="44"/>
      <c r="D23" s="34">
        <f ca="1">0.715733105421281*OFFSET(D$108,MATCH($M$1,$C$109:$C$110,0),0)</f>
        <v>0.5822202467201314</v>
      </c>
      <c r="E23" s="34">
        <f ca="1">1.43951033174692*OFFSET(E$108,MATCH($M$1,$C$109:$C$110,0),0)</f>
        <v>1.202466073901588</v>
      </c>
      <c r="F23" s="34">
        <f ca="1">1.60155267229998*OFFSET(F$108,MATCH($M$1,$C$109:$C$110,0),0)</f>
        <v>1.3762462067290371</v>
      </c>
      <c r="G23" s="34">
        <f ca="1">1.04903252235862*OFFSET(G$108,MATCH($M$1,$C$109:$C$110,0),0)</f>
        <v>0.92762800090855135</v>
      </c>
      <c r="H23" s="34">
        <f ca="1">0.998551329385782*OFFSET(H$108,MATCH($M$1,$C$109:$C$110,0),0)</f>
        <v>0.90047363224549426</v>
      </c>
      <c r="I23" s="34">
        <f ca="1">1.48728633398609*OFFSET(I$108,MATCH($M$1,$C$109:$C$110,0),0)</f>
        <v>1.3837563142567806</v>
      </c>
      <c r="J23" s="34">
        <f ca="1">2.86133889978117*OFFSET(J$108,MATCH($M$1,$C$109:$C$110,0),0)</f>
        <v>2.7187297475575742</v>
      </c>
      <c r="K23" s="34">
        <f ca="1">1.97313464716255*OFFSET(K$108,MATCH($M$1,$C$109:$C$110,0),0)</f>
        <v>1.9059296624530722</v>
      </c>
      <c r="L23" s="34">
        <f ca="1">1.30666940460049*OFFSET(L$108,MATCH($M$1,$C$109:$C$110,0),0)</f>
        <v>1.2847565360865472</v>
      </c>
      <c r="M23" s="35">
        <f ca="1">1.54157235230565*OFFSET(M$108,MATCH($M$1,$C$109:$C$110,0),0)</f>
        <v>1.5415723463164053</v>
      </c>
      <c r="N23" s="24">
        <f t="shared" ca="1" si="0"/>
        <v>1.2066503927406691</v>
      </c>
      <c r="O23" s="24">
        <f t="shared" ca="1" si="1"/>
        <v>0.42675642026604799</v>
      </c>
    </row>
    <row r="24" spans="1:15" s="19" customFormat="1" ht="18" customHeight="1" x14ac:dyDescent="0.2">
      <c r="A24" s="147" t="s">
        <v>11</v>
      </c>
      <c r="B24" s="28" t="s">
        <v>27</v>
      </c>
      <c r="C24" s="29"/>
      <c r="D24" s="30">
        <f ca="1">222*OFFSET(D$108,MATCH($M$1,$C$109:$C$110,0),0)</f>
        <v>180.58811838218776</v>
      </c>
      <c r="E24" s="30">
        <f ca="1">223.3*OFFSET(E$108,MATCH($M$1,$C$109:$C$110,0),0)</f>
        <v>186.52917480374947</v>
      </c>
      <c r="F24" s="30">
        <f ca="1">226.2*OFFSET(F$108,MATCH($M$1,$C$109:$C$110,0),0)</f>
        <v>194.37817896744053</v>
      </c>
      <c r="G24" s="30">
        <f ca="1">198.1*OFFSET(G$108,MATCH($M$1,$C$109:$C$110,0),0)</f>
        <v>175.17388933454166</v>
      </c>
      <c r="H24" s="30">
        <f ca="1">197.2*OFFSET(H$108,MATCH($M$1,$C$109:$C$110,0),0)</f>
        <v>177.83101885011607</v>
      </c>
      <c r="I24" s="30">
        <f ca="1">248.6*OFFSET(I$108,MATCH($M$1,$C$109:$C$110,0),0)</f>
        <v>231.29495098786603</v>
      </c>
      <c r="J24" s="30">
        <f ca="1">251.9*OFFSET(J$108,MATCH($M$1,$C$109:$C$110,0),0)</f>
        <v>239.34530211088554</v>
      </c>
      <c r="K24" s="30">
        <f ca="1">195.6*OFFSET(K$108,MATCH($M$1,$C$109:$C$110,0),0)</f>
        <v>188.93786215346358</v>
      </c>
      <c r="L24" s="30">
        <f ca="1">228*OFFSET(L$108,MATCH($M$1,$C$109:$C$110,0),0)</f>
        <v>224.17643605674954</v>
      </c>
      <c r="M24" s="31">
        <f ca="1">211.6*OFFSET(M$108,MATCH($M$1,$C$109:$C$110,0),0)</f>
        <v>211.59999917790157</v>
      </c>
      <c r="N24" s="32">
        <f t="shared" ca="1" si="0"/>
        <v>0.24136869061514679</v>
      </c>
      <c r="O24" s="32">
        <f t="shared" ca="1" si="1"/>
        <v>0.26061492256137531</v>
      </c>
    </row>
    <row r="25" spans="1:15" s="19" customFormat="1" ht="18" customHeight="1" x14ac:dyDescent="0.2">
      <c r="A25" s="148"/>
      <c r="B25" s="33" t="s">
        <v>33</v>
      </c>
      <c r="C25" s="25"/>
      <c r="D25" s="26"/>
      <c r="E25" s="26">
        <f ca="1">68*OFFSET(E$108,MATCH($M$1,$C$109:$C$110,0),0)</f>
        <v>56.8024356769143</v>
      </c>
      <c r="F25" s="26">
        <f ca="1">14.4*OFFSET(F$108,MATCH($M$1,$C$109:$C$110,0),0)</f>
        <v>12.374207679624861</v>
      </c>
      <c r="G25" s="26">
        <f ca="1">46.3*OFFSET(G$108,MATCH($M$1,$C$109:$C$110,0),0)</f>
        <v>40.941701545629876</v>
      </c>
      <c r="H25" s="26">
        <f ca="1">10.5*OFFSET(H$108,MATCH($M$1,$C$109:$C$110,0),0)</f>
        <v>9.4686901517556734</v>
      </c>
      <c r="I25" s="26">
        <f ca="1">22.3*OFFSET(I$108,MATCH($M$1,$C$109:$C$110,0),0)</f>
        <v>20.747696729804556</v>
      </c>
      <c r="J25" s="26">
        <f ca="1">85.1*OFFSET(J$108,MATCH($M$1,$C$109:$C$110,0),0)</f>
        <v>80.858615361795785</v>
      </c>
      <c r="K25" s="26">
        <f ca="1">48.6*OFFSET(K$108,MATCH($M$1,$C$109:$C$110,0),0)</f>
        <v>46.94468354119801</v>
      </c>
      <c r="L25" s="26">
        <f ca="1">35.7*OFFSET(L$108,MATCH($M$1,$C$109:$C$110,0),0)</f>
        <v>35.101310382569999</v>
      </c>
      <c r="M25" s="27">
        <f ca="1">33.1*OFFSET(M$108,MATCH($M$1,$C$109:$C$110,0),0)</f>
        <v>33.09999987140143</v>
      </c>
      <c r="N25" s="24" t="str">
        <f t="shared" ca="1" si="0"/>
        <v/>
      </c>
      <c r="O25" s="24">
        <f t="shared" ca="1" si="1"/>
        <v>2.707092514381364</v>
      </c>
    </row>
    <row r="26" spans="1:15" s="19" customFormat="1" ht="18" customHeight="1" x14ac:dyDescent="0.2">
      <c r="A26" s="148"/>
      <c r="B26" s="45" t="s">
        <v>34</v>
      </c>
      <c r="C26" s="46"/>
      <c r="D26" s="47">
        <f ca="1">222*OFFSET(D$108,MATCH($M$1,$C$109:$C$110,0),0)</f>
        <v>180.58811838218776</v>
      </c>
      <c r="E26" s="47">
        <f ca="1">291.3*OFFSET(E$108,MATCH($M$1,$C$109:$C$110,0),0)</f>
        <v>243.33161048066376</v>
      </c>
      <c r="F26" s="47">
        <f ca="1">240.6*OFFSET(F$108,MATCH($M$1,$C$109:$C$110,0),0)</f>
        <v>206.75238664706541</v>
      </c>
      <c r="G26" s="47">
        <f ca="1">244.4*OFFSET(G$108,MATCH($M$1,$C$109:$C$110,0),0)</f>
        <v>216.11559088017154</v>
      </c>
      <c r="H26" s="47">
        <f ca="1">207.7*OFFSET(H$108,MATCH($M$1,$C$109:$C$110,0),0)</f>
        <v>187.29970900187175</v>
      </c>
      <c r="I26" s="47">
        <f ca="1">270.9*OFFSET(I$108,MATCH($M$1,$C$109:$C$110,0),0)</f>
        <v>252.04264771767058</v>
      </c>
      <c r="J26" s="47">
        <f ca="1">337.1*OFFSET(J$108,MATCH($M$1,$C$109:$C$110,0),0)</f>
        <v>320.29893347193138</v>
      </c>
      <c r="K26" s="47">
        <f ca="1">244.1*OFFSET(K$108,MATCH($M$1,$C$109:$C$110,0),0)</f>
        <v>235.78595169560563</v>
      </c>
      <c r="L26" s="47">
        <f ca="1">263.7*OFFSET(L$108,MATCH($M$1,$C$109:$C$110,0),0)</f>
        <v>259.27774643931951</v>
      </c>
      <c r="M26" s="48">
        <f ca="1">244.7*OFFSET(M$108,MATCH($M$1,$C$109:$C$110,0),0)</f>
        <v>244.69999904930299</v>
      </c>
      <c r="N26" s="49">
        <f t="shared" ca="1" si="0"/>
        <v>0.4357408934877815</v>
      </c>
      <c r="O26" s="49">
        <f t="shared" ca="1" si="1"/>
        <v>0.38429337568660327</v>
      </c>
    </row>
    <row r="27" spans="1:15" s="19" customFormat="1" ht="18" customHeight="1" x14ac:dyDescent="0.2">
      <c r="A27" s="148"/>
      <c r="B27" s="33" t="s">
        <v>35</v>
      </c>
      <c r="C27" s="25"/>
      <c r="D27" s="26">
        <f ca="1">29.5*OFFSET(D$108,MATCH($M$1,$C$109:$C$110,0),0)</f>
        <v>23.997069785020447</v>
      </c>
      <c r="E27" s="26">
        <f ca="1">33.5*OFFSET(E$108,MATCH($M$1,$C$109:$C$110,0),0)</f>
        <v>27.983552870244544</v>
      </c>
      <c r="F27" s="26">
        <f ca="1">32*OFFSET(F$108,MATCH($M$1,$C$109:$C$110,0),0)</f>
        <v>27.498239288055249</v>
      </c>
      <c r="G27" s="26">
        <f ca="1">46.6*OFFSET(G$108,MATCH($M$1,$C$109:$C$110,0),0)</f>
        <v>41.206982549165275</v>
      </c>
      <c r="H27" s="26">
        <f ca="1">33.4*OFFSET(H$108,MATCH($M$1,$C$109:$C$110,0),0)</f>
        <v>30.119452482727571</v>
      </c>
      <c r="I27" s="26">
        <f ca="1">40.9*OFFSET(I$108,MATCH($M$1,$C$109:$C$110,0),0)</f>
        <v>38.052950504439742</v>
      </c>
      <c r="J27" s="26">
        <f ca="1">45.7*OFFSET(J$108,MATCH($M$1,$C$109:$C$110,0),0)</f>
        <v>43.422311657274591</v>
      </c>
      <c r="K27" s="26">
        <f ca="1">38.3*OFFSET(K$108,MATCH($M$1,$C$109:$C$110,0),0)</f>
        <v>36.995501638433822</v>
      </c>
      <c r="L27" s="26">
        <f ca="1">49.6*OFFSET(L$108,MATCH($M$1,$C$109:$C$110,0),0)</f>
        <v>48.768207142170077</v>
      </c>
      <c r="M27" s="27">
        <f ca="1">37.5*OFFSET(M$108,MATCH($M$1,$C$109:$C$110,0),0)</f>
        <v>37.499999854306758</v>
      </c>
      <c r="N27" s="24">
        <f t="shared" ca="1" si="0"/>
        <v>1.0322567538063492</v>
      </c>
      <c r="O27" s="24">
        <f t="shared" ca="1" si="1"/>
        <v>0.61915981607357906</v>
      </c>
    </row>
    <row r="28" spans="1:15" s="19" customFormat="1" ht="18" customHeight="1" x14ac:dyDescent="0.2">
      <c r="A28" s="148"/>
      <c r="B28" s="33" t="s">
        <v>36</v>
      </c>
      <c r="C28" s="25"/>
      <c r="D28" s="26">
        <f ca="1">65.6*OFFSET(D$108,MATCH($M$1,$C$109:$C$110,0),0)</f>
        <v>53.362975521943767</v>
      </c>
      <c r="E28" s="26">
        <f ca="1">78.9*OFFSET(E$108,MATCH($M$1,$C$109:$C$110,0),0)</f>
        <v>65.907531983949099</v>
      </c>
      <c r="F28" s="26">
        <f ca="1">63.6*OFFSET(F$108,MATCH($M$1,$C$109:$C$110,0),0)</f>
        <v>54.652750585009805</v>
      </c>
      <c r="G28" s="26">
        <f ca="1">71.3*OFFSET(G$108,MATCH($M$1,$C$109:$C$110,0),0)</f>
        <v>63.048451840246436</v>
      </c>
      <c r="H28" s="26">
        <f ca="1">47.3*OFFSET(H$108,MATCH($M$1,$C$109:$C$110,0),0)</f>
        <v>42.654194683623174</v>
      </c>
      <c r="I28" s="26">
        <f ca="1">64.3*OFFSET(I$108,MATCH($M$1,$C$109:$C$110,0),0)</f>
        <v>59.824076220916275</v>
      </c>
      <c r="J28" s="26">
        <f ca="1">88.5*OFFSET(J$108,MATCH($M$1,$C$109:$C$110,0),0)</f>
        <v>84.089159336297612</v>
      </c>
      <c r="K28" s="26">
        <f ca="1">58.8*OFFSET(K$108,MATCH($M$1,$C$109:$C$110,0),0)</f>
        <v>56.797271444906237</v>
      </c>
      <c r="L28" s="26">
        <f ca="1">54.4*OFFSET(L$108,MATCH($M$1,$C$109:$C$110,0),0)</f>
        <v>53.487711059154272</v>
      </c>
      <c r="M28" s="27">
        <f ca="1">54.4*OFFSET(M$108,MATCH($M$1,$C$109:$C$110,0),0)</f>
        <v>54.399999788647662</v>
      </c>
      <c r="N28" s="24">
        <f t="shared" ca="1" si="0"/>
        <v>2.3374921655036161E-3</v>
      </c>
      <c r="O28" s="24">
        <f t="shared" ca="1" si="1"/>
        <v>0.25398478287741677</v>
      </c>
    </row>
    <row r="29" spans="1:15" s="19" customFormat="1" ht="18" customHeight="1" x14ac:dyDescent="0.2">
      <c r="A29" s="148"/>
      <c r="B29" s="33" t="s">
        <v>37</v>
      </c>
      <c r="C29" s="25"/>
      <c r="D29" s="26">
        <f ca="1">41.7*OFFSET(D$108,MATCH($M$1,$C$109:$C$110,0),0)</f>
        <v>33.921281696113653</v>
      </c>
      <c r="E29" s="26">
        <f ca="1">55.5*OFFSET(E$108,MATCH($M$1,$C$109:$C$110,0),0)</f>
        <v>46.36081147159917</v>
      </c>
      <c r="F29" s="26">
        <f ca="1">39.9*OFFSET(F$108,MATCH($M$1,$C$109:$C$110,0),0)</f>
        <v>34.286867112293891</v>
      </c>
      <c r="G29" s="26">
        <f ca="1">32.8*OFFSET(G$108,MATCH($M$1,$C$109:$C$110,0),0)</f>
        <v>29.004056386536931</v>
      </c>
      <c r="H29" s="26">
        <f ca="1">43.7*OFFSET(H$108,MATCH($M$1,$C$109:$C$110,0),0)</f>
        <v>39.407786631592664</v>
      </c>
      <c r="I29" s="26">
        <f ca="1">56.3*OFFSET(I$108,MATCH($M$1,$C$109:$C$110,0),0)</f>
        <v>52.380956317847371</v>
      </c>
      <c r="J29" s="26">
        <f ca="1">52.6*OFFSET(J$108,MATCH($M$1,$C$109:$C$110,0),0)</f>
        <v>49.978415605528305</v>
      </c>
      <c r="K29" s="26">
        <f ca="1">48.4*OFFSET(K$108,MATCH($M$1,$C$109:$C$110,0),0)</f>
        <v>46.751495543086087</v>
      </c>
      <c r="L29" s="26">
        <f ca="1">60.4*OFFSET(L$108,MATCH($M$1,$C$109:$C$110,0),0)</f>
        <v>59.387090955384522</v>
      </c>
      <c r="M29" s="27">
        <f ca="1">56.1*OFFSET(M$108,MATCH($M$1,$C$109:$C$110,0),0)</f>
        <v>56.099999782042907</v>
      </c>
      <c r="N29" s="24">
        <f t="shared" ca="1" si="0"/>
        <v>0.75073251911317007</v>
      </c>
      <c r="O29" s="24">
        <f t="shared" ca="1" si="1"/>
        <v>0.50698874591892795</v>
      </c>
    </row>
    <row r="30" spans="1:15" s="19" customFormat="1" ht="18" customHeight="1" x14ac:dyDescent="0.2">
      <c r="A30" s="148"/>
      <c r="B30" s="33" t="s">
        <v>38</v>
      </c>
      <c r="C30" s="25"/>
      <c r="D30" s="26">
        <f ca="1">136.7*OFFSET(D$108,MATCH($M$1,$C$109:$C$110,0),0)</f>
        <v>111.1999810038066</v>
      </c>
      <c r="E30" s="26">
        <f ca="1">168*OFFSET(E$108,MATCH($M$1,$C$109:$C$110,0),0)</f>
        <v>140.33542931943532</v>
      </c>
      <c r="F30" s="26">
        <f ca="1">135.5*OFFSET(F$108,MATCH($M$1,$C$109:$C$110,0),0)</f>
        <v>116.43785698535895</v>
      </c>
      <c r="G30" s="26">
        <f ca="1">150.7*OFFSET(G$108,MATCH($M$1,$C$109:$C$110,0),0)</f>
        <v>133.25949077594865</v>
      </c>
      <c r="H30" s="26">
        <f ca="1">124.4*OFFSET(H$108,MATCH($M$1,$C$109:$C$110,0),0)</f>
        <v>112.18143379794341</v>
      </c>
      <c r="I30" s="26">
        <f ca="1">161.5*OFFSET(I$108,MATCH($M$1,$C$109:$C$110,0),0)</f>
        <v>150.25798304320341</v>
      </c>
      <c r="J30" s="26">
        <f ca="1">186.8*OFFSET(J$108,MATCH($M$1,$C$109:$C$110,0),0)</f>
        <v>177.48988659910052</v>
      </c>
      <c r="K30" s="26">
        <f ca="1">145.5*OFFSET(K$108,MATCH($M$1,$C$109:$C$110,0),0)</f>
        <v>140.54426862642615</v>
      </c>
      <c r="L30" s="26">
        <f ca="1">164.4*OFFSET(L$108,MATCH($M$1,$C$109:$C$110,0),0)</f>
        <v>161.64300915670887</v>
      </c>
      <c r="M30" s="27">
        <f ca="1">148*OFFSET(M$108,MATCH($M$1,$C$109:$C$110,0),0)</f>
        <v>147.99999942499733</v>
      </c>
      <c r="N30" s="24">
        <f t="shared" ca="1" si="0"/>
        <v>0.45362443138524911</v>
      </c>
      <c r="O30" s="24">
        <f t="shared" ca="1" si="1"/>
        <v>0.44090696369466642</v>
      </c>
    </row>
    <row r="31" spans="1:15" s="19" customFormat="1" ht="18" customHeight="1" x14ac:dyDescent="0.2">
      <c r="A31" s="148"/>
      <c r="B31" s="33" t="s">
        <v>39</v>
      </c>
      <c r="C31" s="25"/>
      <c r="D31" s="26">
        <f ca="1">60.4*OFFSET(D$108,MATCH($M$1,$C$109:$C$110,0),0)</f>
        <v>49.132983559838472</v>
      </c>
      <c r="E31" s="26">
        <f ca="1">78.1*OFFSET(E$108,MATCH($M$1,$C$109:$C$110,0),0)</f>
        <v>65.239268034808916</v>
      </c>
      <c r="F31" s="26">
        <f ca="1">60.5*OFFSET(F$108,MATCH($M$1,$C$109:$C$110,0),0)</f>
        <v>51.988858653979456</v>
      </c>
      <c r="G31" s="26">
        <f ca="1">62.8*OFFSET(G$108,MATCH($M$1,$C$109:$C$110,0),0)</f>
        <v>55.532156740076807</v>
      </c>
      <c r="H31" s="26">
        <f ca="1">56.3*OFFSET(H$108,MATCH($M$1,$C$109:$C$110,0),0)</f>
        <v>50.770214813699468</v>
      </c>
      <c r="I31" s="26">
        <f ca="1">64.1*OFFSET(I$108,MATCH($M$1,$C$109:$C$110,0),0)</f>
        <v>59.637998223339551</v>
      </c>
      <c r="J31" s="26">
        <f ca="1">76.4*OFFSET(J$108,MATCH($M$1,$C$109:$C$110,0),0)</f>
        <v>72.59222342704112</v>
      </c>
      <c r="K31" s="26">
        <f ca="1">56*OFFSET(K$108,MATCH($M$1,$C$109:$C$110,0),0)</f>
        <v>54.092639471339275</v>
      </c>
      <c r="L31" s="26">
        <f ca="1">63.7*OFFSET(L$108,MATCH($M$1,$C$109:$C$110,0),0)</f>
        <v>62.631749898311163</v>
      </c>
      <c r="M31" s="27">
        <f ca="1">59.1*OFFSET(M$108,MATCH($M$1,$C$109:$C$110,0),0)</f>
        <v>59.099999770387448</v>
      </c>
      <c r="N31" s="24">
        <f t="shared" ca="1" si="0"/>
        <v>0.27473939827066896</v>
      </c>
      <c r="O31" s="24">
        <f t="shared" ca="1" si="1"/>
        <v>0.23363176870803912</v>
      </c>
    </row>
    <row r="32" spans="1:15" s="19" customFormat="1" ht="18" customHeight="1" x14ac:dyDescent="0.2">
      <c r="A32" s="148"/>
      <c r="B32" s="33" t="s">
        <v>40</v>
      </c>
      <c r="C32" s="25"/>
      <c r="D32" s="26">
        <f ca="1">197.1*OFFSET(D$108,MATCH($M$1,$C$109:$C$110,0),0)</f>
        <v>160.33296456364508</v>
      </c>
      <c r="E32" s="26">
        <f ca="1">246*OFFSET(E$108,MATCH($M$1,$C$109:$C$110,0),0)</f>
        <v>205.49116436060172</v>
      </c>
      <c r="F32" s="26">
        <f ca="1">196*OFFSET(F$108,MATCH($M$1,$C$109:$C$110,0),0)</f>
        <v>168.4267156393384</v>
      </c>
      <c r="G32" s="26">
        <f ca="1">213.5*OFFSET(G$108,MATCH($M$1,$C$109:$C$110,0),0)</f>
        <v>188.79164751602545</v>
      </c>
      <c r="H32" s="26">
        <f ca="1">180.7*OFFSET(H$108,MATCH($M$1,$C$109:$C$110,0),0)</f>
        <v>162.95164861164287</v>
      </c>
      <c r="I32" s="26">
        <f ca="1">225.5*OFFSET(I$108,MATCH($M$1,$C$109:$C$110,0),0)</f>
        <v>209.80294226775459</v>
      </c>
      <c r="J32" s="26">
        <f ca="1">263.2*OFFSET(J$108,MATCH($M$1,$C$109:$C$110,0),0)</f>
        <v>250.08211002614161</v>
      </c>
      <c r="K32" s="26">
        <f ca="1">201.5*OFFSET(K$108,MATCH($M$1,$C$109:$C$110,0),0)</f>
        <v>194.63690809776543</v>
      </c>
      <c r="L32" s="26">
        <f ca="1">228.1*OFFSET(L$108,MATCH($M$1,$C$109:$C$110,0),0)</f>
        <v>224.27475905502004</v>
      </c>
      <c r="M32" s="27">
        <f ca="1">207.1*OFFSET(M$108,MATCH($M$1,$C$109:$C$110,0),0)</f>
        <v>207.09999919538475</v>
      </c>
      <c r="N32" s="24">
        <f t="shared" ca="1" si="0"/>
        <v>0.3988062883100556</v>
      </c>
      <c r="O32" s="24">
        <f t="shared" ca="1" si="1"/>
        <v>0.37632703299324366</v>
      </c>
    </row>
    <row r="33" spans="1:15" s="19" customFormat="1" ht="18" customHeight="1" x14ac:dyDescent="0.2">
      <c r="A33" s="148"/>
      <c r="B33" s="45" t="s">
        <v>41</v>
      </c>
      <c r="C33" s="46"/>
      <c r="D33" s="47">
        <f ca="1">90.5*OFFSET(D$108,MATCH($M$1,$C$109:$C$110,0),0)</f>
        <v>73.618129340486462</v>
      </c>
      <c r="E33" s="47">
        <f ca="1">124.2*OFFSET(E$108,MATCH($M$1,$C$109:$C$110,0),0)</f>
        <v>103.74797810401111</v>
      </c>
      <c r="F33" s="47">
        <f ca="1">108.2*OFFSET(F$108,MATCH($M$1,$C$109:$C$110,0),0)</f>
        <v>92.978421592736808</v>
      </c>
      <c r="G33" s="47">
        <f ca="1">102.2*OFFSET(G$108,MATCH($M$1,$C$109:$C$110,0),0)</f>
        <v>90.372395204392518</v>
      </c>
      <c r="H33" s="47">
        <f ca="1">74.2*OFFSET(H$108,MATCH($M$1,$C$109:$C$110,0),0)</f>
        <v>66.91207707240676</v>
      </c>
      <c r="I33" s="47">
        <f ca="1">109.7*OFFSET(I$108,MATCH($M$1,$C$109:$C$110,0),0)</f>
        <v>102.06378167083228</v>
      </c>
      <c r="J33" s="47">
        <f ca="1">162.4*OFFSET(J$108,MATCH($M$1,$C$109:$C$110,0),0)</f>
        <v>154.3059827820874</v>
      </c>
      <c r="K33" s="47">
        <f ca="1">101.4*OFFSET(K$108,MATCH($M$1,$C$109:$C$110,0),0)</f>
        <v>97.946315042746477</v>
      </c>
      <c r="L33" s="47">
        <f ca="1">90*OFFSET(L$108,MATCH($M$1,$C$109:$C$110,0),0)</f>
        <v>88.490698443453766</v>
      </c>
      <c r="M33" s="48">
        <f ca="1">92.1*OFFSET(M$108,MATCH($M$1,$C$109:$C$110,0),0)</f>
        <v>92.09999964217738</v>
      </c>
      <c r="N33" s="49">
        <f t="shared" ca="1" si="0"/>
        <v>0.20202318689980758</v>
      </c>
      <c r="O33" s="49">
        <f t="shared" ca="1" si="1"/>
        <v>0.32249217652736134</v>
      </c>
    </row>
    <row r="34" spans="1:15" s="19" customFormat="1" ht="18" customHeight="1" x14ac:dyDescent="0.2">
      <c r="A34" s="148"/>
      <c r="B34" s="45" t="s">
        <v>42</v>
      </c>
      <c r="C34" s="46"/>
      <c r="D34" s="47">
        <f ca="1">24.9*OFFSET(D$108,MATCH($M$1,$C$109:$C$110,0),0)</f>
        <v>20.255153818542681</v>
      </c>
      <c r="E34" s="47">
        <f ca="1">45.3*OFFSET(E$108,MATCH($M$1,$C$109:$C$110,0),0)</f>
        <v>37.840446120062019</v>
      </c>
      <c r="F34" s="47">
        <f ca="1">44.6*OFFSET(F$108,MATCH($M$1,$C$109:$C$110,0),0)</f>
        <v>38.325671007727003</v>
      </c>
      <c r="G34" s="47">
        <f ca="1">30.9*OFFSET(G$108,MATCH($M$1,$C$109:$C$110,0),0)</f>
        <v>27.323943364146071</v>
      </c>
      <c r="H34" s="47">
        <f ca="1">26.9*OFFSET(H$108,MATCH($M$1,$C$109:$C$110,0),0)</f>
        <v>24.257882388783582</v>
      </c>
      <c r="I34" s="47">
        <f ca="1">45.4*OFFSET(I$108,MATCH($M$1,$C$109:$C$110,0),0)</f>
        <v>42.239705449916002</v>
      </c>
      <c r="J34" s="47">
        <f ca="1">73.9*OFFSET(J$108,MATCH($M$1,$C$109:$C$110,0),0)</f>
        <v>70.216823445789771</v>
      </c>
      <c r="K34" s="47">
        <f ca="1">42.6*OFFSET(K$108,MATCH($M$1,$C$109:$C$110,0),0)</f>
        <v>41.149043597840233</v>
      </c>
      <c r="L34" s="47">
        <f ca="1">35.6*OFFSET(L$108,MATCH($M$1,$C$109:$C$110,0),0)</f>
        <v>35.002987384299487</v>
      </c>
      <c r="M34" s="48">
        <f ca="1">37.7*OFFSET(M$108,MATCH($M$1,$C$109:$C$110,0),0)</f>
        <v>37.699999853529725</v>
      </c>
      <c r="N34" s="49">
        <f t="shared" ca="1" si="0"/>
        <v>0.7281027682078538</v>
      </c>
      <c r="O34" s="49">
        <f t="shared" ca="1" si="1"/>
        <v>0.44295313264789565</v>
      </c>
    </row>
    <row r="35" spans="1:15" s="19" customFormat="1" ht="18" customHeight="1" x14ac:dyDescent="0.2">
      <c r="A35" s="148"/>
      <c r="B35" s="33" t="s">
        <v>43</v>
      </c>
      <c r="C35" s="25"/>
      <c r="D35" s="26"/>
      <c r="E35" s="26">
        <f ca="1">0.2*OFFSET(E$108,MATCH($M$1,$C$109:$C$110,0),0)</f>
        <v>0.16706598728504207</v>
      </c>
      <c r="F35" s="26">
        <f ca="1">12.7*OFFSET(F$108,MATCH($M$1,$C$109:$C$110,0),0)</f>
        <v>10.913363717446927</v>
      </c>
      <c r="G35" s="26">
        <f ca="1">9.8*OFFSET(G$108,MATCH($M$1,$C$109:$C$110,0),0)</f>
        <v>8.6658461154896944</v>
      </c>
      <c r="H35" s="26">
        <f ca="1">7.3*OFFSET(H$108,MATCH($M$1,$C$109:$C$110,0),0)</f>
        <v>6.5829941055063257</v>
      </c>
      <c r="I35" s="26">
        <f ca="1">8.2*OFFSET(I$108,MATCH($M$1,$C$109:$C$110,0),0)</f>
        <v>7.6291979006456208</v>
      </c>
      <c r="J35" s="26">
        <f ca="1">10.8*OFFSET(J$108,MATCH($M$1,$C$109:$C$110,0),0)</f>
        <v>10.261727919005812</v>
      </c>
      <c r="K35" s="26">
        <f ca="1">14.3*OFFSET(K$108,MATCH($M$1,$C$109:$C$110,0),0)</f>
        <v>13.812941865002708</v>
      </c>
      <c r="L35" s="26">
        <f ca="1">12.9*OFFSET(L$108,MATCH($M$1,$C$109:$C$110,0),0)</f>
        <v>12.68366677689504</v>
      </c>
      <c r="M35" s="27"/>
      <c r="N35" s="24" t="str">
        <f t="shared" ca="1" si="0"/>
        <v/>
      </c>
      <c r="O35" s="24">
        <f t="shared" ca="1" si="1"/>
        <v>0.92673220932794464</v>
      </c>
    </row>
    <row r="36" spans="1:15" s="19" customFormat="1" ht="18" customHeight="1" x14ac:dyDescent="0.2">
      <c r="A36" s="148"/>
      <c r="B36" s="33" t="s">
        <v>44</v>
      </c>
      <c r="C36" s="25"/>
      <c r="D36" s="26">
        <f ca="1">0.1*OFFSET(D$108,MATCH($M$1,$C$109:$C$110,0),0)</f>
        <v>8.1345999271255756E-2</v>
      </c>
      <c r="E36" s="26">
        <f ca="1">0.5*OFFSET(E$108,MATCH($M$1,$C$109:$C$110,0),0)</f>
        <v>0.41766496821260513</v>
      </c>
      <c r="F36" s="26">
        <f ca="1">1.4*OFFSET(F$108,MATCH($M$1,$C$109:$C$110,0),0)</f>
        <v>1.2030479688524172</v>
      </c>
      <c r="G36" s="26">
        <f ca="1">13.5*OFFSET(G$108,MATCH($M$1,$C$109:$C$110,0),0)</f>
        <v>11.937645159092945</v>
      </c>
      <c r="H36" s="26">
        <f ca="1">4.9*OFFSET(H$108,MATCH($M$1,$C$109:$C$110,0),0)</f>
        <v>4.4187220708193147</v>
      </c>
      <c r="I36" s="26">
        <f ca="1">5.1*OFFSET(I$108,MATCH($M$1,$C$109:$C$110,0),0)</f>
        <v>4.744988938206423</v>
      </c>
      <c r="J36" s="26">
        <f ca="1">3.1*OFFSET(J$108,MATCH($M$1,$C$109:$C$110,0),0)</f>
        <v>2.9454959767516682</v>
      </c>
      <c r="K36" s="26">
        <f ca="1">3.4*OFFSET(K$108,MATCH($M$1,$C$109:$C$110,0),0)</f>
        <v>3.2841959679027415</v>
      </c>
      <c r="L36" s="26">
        <f ca="1">3.4*OFFSET(L$108,MATCH($M$1,$C$109:$C$110,0),0)</f>
        <v>3.342981941197142</v>
      </c>
      <c r="M36" s="27"/>
      <c r="N36" s="24">
        <f t="shared" ca="1" si="0"/>
        <v>40.095837178785644</v>
      </c>
      <c r="O36" s="24">
        <f t="shared" ca="1" si="1"/>
        <v>-0.24345050726910963</v>
      </c>
    </row>
    <row r="37" spans="1:15" s="19" customFormat="1" ht="18" customHeight="1" x14ac:dyDescent="0.2">
      <c r="A37" s="148"/>
      <c r="B37" s="33" t="s">
        <v>45</v>
      </c>
      <c r="C37" s="25"/>
      <c r="D37" s="26"/>
      <c r="E37" s="26"/>
      <c r="F37" s="26"/>
      <c r="G37" s="26"/>
      <c r="H37" s="26">
        <f ca="1">0.2*OFFSET(H$108,MATCH($M$1,$C$109:$C$110,0),0)</f>
        <v>0.18035600289058429</v>
      </c>
      <c r="I37" s="26">
        <f ca="1">0.4*OFFSET(I$108,MATCH($M$1,$C$109:$C$110,0),0)</f>
        <v>0.372155995153445</v>
      </c>
      <c r="J37" s="26">
        <f ca="1">1.9*OFFSET(J$108,MATCH($M$1,$C$109:$C$110,0),0)</f>
        <v>1.8053039857510222</v>
      </c>
      <c r="K37" s="26">
        <f ca="1">1*OFFSET(K$108,MATCH($M$1,$C$109:$C$110,0),0)</f>
        <v>0.96593999055962987</v>
      </c>
      <c r="L37" s="26">
        <f ca="1">0.9*OFFSET(L$108,MATCH($M$1,$C$109:$C$110,0),0)</f>
        <v>0.88490698443453764</v>
      </c>
      <c r="M37" s="27"/>
      <c r="N37" s="24" t="str">
        <f t="shared" ca="1" si="0"/>
        <v/>
      </c>
      <c r="O37" s="24">
        <f t="shared" ca="1" si="1"/>
        <v>3.9064459749165095</v>
      </c>
    </row>
    <row r="38" spans="1:15" s="19" customFormat="1" ht="18" customHeight="1" thickBot="1" x14ac:dyDescent="0.25">
      <c r="A38" s="149"/>
      <c r="B38" s="50" t="s">
        <v>46</v>
      </c>
      <c r="C38" s="51"/>
      <c r="D38" s="52">
        <f ca="1">24.8*OFFSET(D$108,MATCH($M$1,$C$109:$C$110,0),0)</f>
        <v>20.173807819271428</v>
      </c>
      <c r="E38" s="52">
        <f ca="1">44.6*OFFSET(E$108,MATCH($M$1,$C$109:$C$110,0),0)</f>
        <v>37.255715164564378</v>
      </c>
      <c r="F38" s="52">
        <f ca="1">30.5*OFFSET(F$108,MATCH($M$1,$C$109:$C$110,0),0)</f>
        <v>26.209259321427659</v>
      </c>
      <c r="G38" s="52">
        <f ca="1">7.6*OFFSET(G$108,MATCH($M$1,$C$109:$C$110,0),0)</f>
        <v>6.7204520895634356</v>
      </c>
      <c r="H38" s="52">
        <f ca="1">14.5*OFFSET(H$108,MATCH($M$1,$C$109:$C$110,0),0)</f>
        <v>13.07581020956736</v>
      </c>
      <c r="I38" s="52">
        <f ca="1">31.7*OFFSET(I$108,MATCH($M$1,$C$109:$C$110,0),0)</f>
        <v>29.493362615910513</v>
      </c>
      <c r="J38" s="52">
        <f ca="1">58.1*OFFSET(J$108,MATCH($M$1,$C$109:$C$110,0),0)</f>
        <v>55.20429556428126</v>
      </c>
      <c r="K38" s="52">
        <f ca="1">23.9*OFFSET(K$108,MATCH($M$1,$C$109:$C$110,0),0)</f>
        <v>23.085965774375154</v>
      </c>
      <c r="L38" s="52">
        <f ca="1">18.3*OFFSET(L$108,MATCH($M$1,$C$109:$C$110,0),0)</f>
        <v>17.993108683502264</v>
      </c>
      <c r="M38" s="53"/>
      <c r="N38" s="54">
        <f t="shared" ca="1" si="0"/>
        <v>-0.10809556407521677</v>
      </c>
      <c r="O38" s="54">
        <f t="shared" ca="1" si="1"/>
        <v>0.37606071020646936</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NSWOS demersal under 24m under 300kW</v>
      </c>
      <c r="C45" s="61"/>
      <c r="D45" s="61"/>
      <c r="E45" s="61"/>
      <c r="F45" s="61" t="str">
        <f>$B21&amp;CHAR(10)&amp;$A$1</f>
        <v>Income per kW day at sea (£)
NSWOS demersal under 24m under 300kW</v>
      </c>
      <c r="G45" s="61"/>
      <c r="K45" s="61" t="str">
        <f>$B23&amp;CHAR(10)&amp;$A$1</f>
        <v>Operating profit per kW day at sea (£)
NSWOS demersal under 24m under 300kW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NSWOS demersal under 24m under 300kW</v>
      </c>
      <c r="F59" s="61" t="str">
        <f>$B19&amp;CHAR(10)&amp;$A$1</f>
        <v>Average price per tonne landed (£)
NSWOS demersal under 24m under 300kW</v>
      </c>
      <c r="K59" s="61" t="str">
        <f>"Average annual operating profit per vessel (£'000)"&amp;CHAR(10)&amp;$A$1</f>
        <v>Average annual operating profit per vessel (£'000)
NSWOS demersal under 24m under 300kW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NSWOS demersal under 24m under 300kW</v>
      </c>
      <c r="F73" s="61" t="str">
        <f>"Top 5 landed species by value in "&amp;A74&amp;CHAR(10)&amp;A1</f>
        <v>Top 5 landed species by value in 2013
NSWOS demersal under 24m under 300kW</v>
      </c>
    </row>
    <row r="74" spans="1:9" s="61" customFormat="1" x14ac:dyDescent="0.2">
      <c r="A74" s="61">
        <v>2013</v>
      </c>
      <c r="B74" s="61" t="s">
        <v>337</v>
      </c>
      <c r="C74" s="62">
        <v>0.21116281764944655</v>
      </c>
      <c r="D74" s="63">
        <v>8211234</v>
      </c>
      <c r="G74" s="61" t="s">
        <v>338</v>
      </c>
      <c r="H74" s="62">
        <v>0.15075560341862665</v>
      </c>
      <c r="I74" s="63">
        <v>8211234</v>
      </c>
    </row>
    <row r="75" spans="1:9" s="61" customFormat="1" x14ac:dyDescent="0.2">
      <c r="B75" s="61" t="s">
        <v>339</v>
      </c>
      <c r="C75" s="62">
        <v>0.18208981570677896</v>
      </c>
      <c r="D75" s="63">
        <v>3511670</v>
      </c>
      <c r="G75" s="61" t="s">
        <v>340</v>
      </c>
      <c r="H75" s="62">
        <v>0.14846494305751309</v>
      </c>
      <c r="I75" s="63">
        <v>2171775</v>
      </c>
    </row>
    <row r="76" spans="1:9" s="61" customFormat="1" x14ac:dyDescent="0.2">
      <c r="B76" s="61" t="s">
        <v>341</v>
      </c>
      <c r="C76" s="62">
        <v>0.16275405512655919</v>
      </c>
      <c r="D76" s="63">
        <v>2783840</v>
      </c>
      <c r="G76" s="61" t="s">
        <v>316</v>
      </c>
      <c r="H76" s="62">
        <v>0.11169728353475987</v>
      </c>
      <c r="I76" s="63">
        <v>2783840</v>
      </c>
    </row>
    <row r="77" spans="1:9" s="61" customFormat="1" x14ac:dyDescent="0.2">
      <c r="B77" s="61" t="s">
        <v>342</v>
      </c>
      <c r="C77" s="62">
        <v>6.9307400755689266E-2</v>
      </c>
      <c r="D77" s="63">
        <v>1464488</v>
      </c>
      <c r="G77" s="61" t="s">
        <v>343</v>
      </c>
      <c r="H77" s="62">
        <v>8.9555601502770144E-2</v>
      </c>
      <c r="I77" s="63">
        <v>6763595</v>
      </c>
    </row>
    <row r="78" spans="1:9" s="61" customFormat="1" x14ac:dyDescent="0.2">
      <c r="B78" s="61" t="s">
        <v>344</v>
      </c>
      <c r="C78" s="62">
        <v>6.4821332072915044E-2</v>
      </c>
      <c r="D78" s="63">
        <v>2171775</v>
      </c>
      <c r="G78" s="61" t="s">
        <v>345</v>
      </c>
      <c r="H78" s="62">
        <v>6.6797440704241151E-2</v>
      </c>
      <c r="I78" s="63">
        <v>2764187</v>
      </c>
    </row>
    <row r="79" spans="1:9" s="61" customFormat="1" x14ac:dyDescent="0.2">
      <c r="B79" s="61" t="s">
        <v>346</v>
      </c>
      <c r="C79" s="62">
        <v>0.30986457868861095</v>
      </c>
      <c r="D79" s="63">
        <v>32768</v>
      </c>
      <c r="G79" s="61" t="s">
        <v>347</v>
      </c>
      <c r="H79" s="62">
        <v>0.43272912778208905</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64</v>
      </c>
      <c r="D88" s="66"/>
      <c r="E88" s="66"/>
      <c r="F88" s="66">
        <v>0.11166104354875965</v>
      </c>
      <c r="G88" s="66">
        <v>0.15725933854795454</v>
      </c>
      <c r="H88" s="66"/>
      <c r="I88" s="66"/>
      <c r="J88" s="66"/>
      <c r="K88" s="66">
        <v>8.684902869294979E-2</v>
      </c>
      <c r="L88" s="66">
        <v>0.15332689182634859</v>
      </c>
      <c r="M88" s="66">
        <v>0.11613239142998348</v>
      </c>
      <c r="N88" s="61"/>
      <c r="O88" s="61">
        <v>8211234</v>
      </c>
    </row>
    <row r="89" spans="1:15" s="65" customFormat="1" hidden="1" x14ac:dyDescent="0.2">
      <c r="A89" s="61"/>
      <c r="B89" s="61">
        <v>2</v>
      </c>
      <c r="C89" s="61" t="s">
        <v>60</v>
      </c>
      <c r="D89" s="66">
        <v>0.11104482044497095</v>
      </c>
      <c r="E89" s="66">
        <v>0.16936985853824718</v>
      </c>
      <c r="F89" s="66">
        <v>0.18930351771573856</v>
      </c>
      <c r="G89" s="66">
        <v>0.1476274162541947</v>
      </c>
      <c r="H89" s="66">
        <v>0.14099076121027856</v>
      </c>
      <c r="I89" s="66">
        <v>0.1582576482384471</v>
      </c>
      <c r="J89" s="66">
        <v>0.12777444756090747</v>
      </c>
      <c r="K89" s="66">
        <v>0.15683745110240643</v>
      </c>
      <c r="L89" s="66">
        <v>0.15099716194941606</v>
      </c>
      <c r="M89" s="66">
        <v>9.0914391556723428E-2</v>
      </c>
      <c r="N89" s="61"/>
      <c r="O89" s="61">
        <v>2171775</v>
      </c>
    </row>
    <row r="90" spans="1:15" s="65" customFormat="1" hidden="1" x14ac:dyDescent="0.2">
      <c r="A90" s="61"/>
      <c r="B90" s="61">
        <v>3</v>
      </c>
      <c r="C90" s="61" t="s">
        <v>85</v>
      </c>
      <c r="D90" s="66"/>
      <c r="E90" s="66"/>
      <c r="F90" s="66"/>
      <c r="G90" s="66"/>
      <c r="H90" s="66"/>
      <c r="I90" s="66"/>
      <c r="J90" s="66">
        <v>8.693898723596169E-2</v>
      </c>
      <c r="K90" s="66">
        <v>0.14892311412807341</v>
      </c>
      <c r="L90" s="66">
        <v>0.11360239302199683</v>
      </c>
      <c r="M90" s="66"/>
      <c r="N90" s="61"/>
      <c r="O90" s="61">
        <v>2783840</v>
      </c>
    </row>
    <row r="91" spans="1:15" s="65" customFormat="1" hidden="1" x14ac:dyDescent="0.2">
      <c r="A91" s="61"/>
      <c r="B91" s="61">
        <v>4</v>
      </c>
      <c r="C91" s="61" t="s">
        <v>82</v>
      </c>
      <c r="D91" s="66">
        <v>0.19465562199454753</v>
      </c>
      <c r="E91" s="66">
        <v>0.14679940689940188</v>
      </c>
      <c r="F91" s="66">
        <v>0.13792520455371943</v>
      </c>
      <c r="G91" s="66">
        <v>0.14995598790270614</v>
      </c>
      <c r="H91" s="66">
        <v>9.5219139580109163E-2</v>
      </c>
      <c r="I91" s="66">
        <v>8.9069779545489544E-2</v>
      </c>
      <c r="J91" s="66">
        <v>0.13996422238114103</v>
      </c>
      <c r="K91" s="66">
        <v>0.10591286501415402</v>
      </c>
      <c r="L91" s="66">
        <v>9.1083062338512363E-2</v>
      </c>
      <c r="M91" s="66">
        <v>0.15221952269332673</v>
      </c>
      <c r="N91" s="61"/>
      <c r="O91" s="61">
        <v>6763595</v>
      </c>
    </row>
    <row r="92" spans="1:15" s="65" customFormat="1" hidden="1" x14ac:dyDescent="0.2">
      <c r="A92" s="61"/>
      <c r="B92" s="61">
        <v>5</v>
      </c>
      <c r="C92" s="61" t="s">
        <v>65</v>
      </c>
      <c r="D92" s="66">
        <v>0.14829571954680851</v>
      </c>
      <c r="E92" s="66">
        <v>0.16495077041645492</v>
      </c>
      <c r="F92" s="66">
        <v>0.12168815873445805</v>
      </c>
      <c r="G92" s="66">
        <v>0.10420242442348347</v>
      </c>
      <c r="H92" s="66">
        <v>0.10745258754285425</v>
      </c>
      <c r="I92" s="66"/>
      <c r="J92" s="66"/>
      <c r="K92" s="66"/>
      <c r="L92" s="66">
        <v>6.7936738223228682E-2</v>
      </c>
      <c r="M92" s="66"/>
      <c r="N92" s="61"/>
      <c r="O92" s="61">
        <v>2764187</v>
      </c>
    </row>
    <row r="93" spans="1:15" s="65" customFormat="1" hidden="1" x14ac:dyDescent="0.2">
      <c r="A93" s="61"/>
      <c r="B93" s="61">
        <v>6</v>
      </c>
      <c r="C93" s="61" t="s">
        <v>115</v>
      </c>
      <c r="D93" s="66"/>
      <c r="E93" s="66">
        <v>6.6402233342082784E-2</v>
      </c>
      <c r="F93" s="66"/>
      <c r="G93" s="66"/>
      <c r="H93" s="66">
        <v>0.10033299896826502</v>
      </c>
      <c r="I93" s="66">
        <v>0.14322575620474126</v>
      </c>
      <c r="J93" s="66">
        <v>0.14031188732515398</v>
      </c>
      <c r="K93" s="66">
        <v>0.11610693627365963</v>
      </c>
      <c r="L93" s="66"/>
      <c r="M93" s="66">
        <v>0.11420109452006698</v>
      </c>
      <c r="N93" s="61"/>
      <c r="O93" s="61">
        <v>3511670</v>
      </c>
    </row>
    <row r="94" spans="1:15" s="65" customFormat="1" hidden="1" x14ac:dyDescent="0.2">
      <c r="A94" s="61"/>
      <c r="B94" s="61">
        <v>7</v>
      </c>
      <c r="C94" s="61" t="s">
        <v>100</v>
      </c>
      <c r="D94" s="66">
        <v>8.7027025958011914E-2</v>
      </c>
      <c r="E94" s="66"/>
      <c r="F94" s="66"/>
      <c r="G94" s="66"/>
      <c r="H94" s="66"/>
      <c r="I94" s="66">
        <v>0.16391878143169522</v>
      </c>
      <c r="J94" s="66">
        <v>8.4546545926496214E-2</v>
      </c>
      <c r="K94" s="66"/>
      <c r="L94" s="66"/>
      <c r="M94" s="66">
        <v>0.10202720411265206</v>
      </c>
      <c r="N94" s="61"/>
      <c r="O94" s="61">
        <v>1464488</v>
      </c>
    </row>
    <row r="95" spans="1:15" s="65" customFormat="1" hidden="1" x14ac:dyDescent="0.2">
      <c r="A95" s="61"/>
      <c r="B95" s="61">
        <v>8</v>
      </c>
      <c r="C95" s="61" t="s">
        <v>62</v>
      </c>
      <c r="D95" s="66"/>
      <c r="E95" s="66"/>
      <c r="F95" s="66"/>
      <c r="G95" s="66"/>
      <c r="H95" s="66"/>
      <c r="I95" s="66">
        <v>9.6513981320592551E-2</v>
      </c>
      <c r="J95" s="66"/>
      <c r="K95" s="66"/>
      <c r="L95" s="66"/>
      <c r="M95" s="66"/>
      <c r="N95" s="61"/>
      <c r="O95" s="61">
        <v>8274269</v>
      </c>
    </row>
    <row r="96" spans="1:15" s="65" customFormat="1" hidden="1" x14ac:dyDescent="0.2">
      <c r="A96" s="61"/>
      <c r="B96" s="61">
        <v>9</v>
      </c>
      <c r="C96" s="61" t="s">
        <v>84</v>
      </c>
      <c r="D96" s="66"/>
      <c r="E96" s="66"/>
      <c r="F96" s="66"/>
      <c r="G96" s="66"/>
      <c r="H96" s="66">
        <v>0.1210010934950093</v>
      </c>
      <c r="I96" s="66"/>
      <c r="J96" s="66"/>
      <c r="K96" s="66"/>
      <c r="L96" s="66"/>
      <c r="M96" s="66"/>
      <c r="N96" s="61"/>
      <c r="O96" s="61">
        <v>10520359</v>
      </c>
    </row>
    <row r="97" spans="1:15" s="65" customFormat="1" hidden="1" x14ac:dyDescent="0.2">
      <c r="A97" s="61"/>
      <c r="B97" s="61">
        <v>10</v>
      </c>
      <c r="C97" s="61" t="s">
        <v>271</v>
      </c>
      <c r="D97" s="66">
        <v>9.3680758610892187E-2</v>
      </c>
      <c r="E97" s="66">
        <v>0.15088448500215013</v>
      </c>
      <c r="F97" s="66">
        <v>0.14540168043956148</v>
      </c>
      <c r="G97" s="66">
        <v>9.1955129630049287E-2</v>
      </c>
      <c r="H97" s="66"/>
      <c r="I97" s="66"/>
      <c r="J97" s="66"/>
      <c r="K97" s="66"/>
      <c r="L97" s="66"/>
      <c r="M97" s="66"/>
      <c r="N97" s="61"/>
      <c r="O97" s="61">
        <v>1928395</v>
      </c>
    </row>
    <row r="98" spans="1:15" s="65" customFormat="1" hidden="1" x14ac:dyDescent="0.2">
      <c r="A98" s="61"/>
      <c r="B98" s="61">
        <v>11</v>
      </c>
      <c r="C98" s="61" t="s">
        <v>68</v>
      </c>
      <c r="D98" s="66">
        <v>0.3652960534447689</v>
      </c>
      <c r="E98" s="66">
        <v>0.30159324580166313</v>
      </c>
      <c r="F98" s="66">
        <v>0.29402039500776284</v>
      </c>
      <c r="G98" s="66">
        <v>0.34899970324161184</v>
      </c>
      <c r="H98" s="66">
        <v>0.43500341920348373</v>
      </c>
      <c r="I98" s="66">
        <v>0.34901405325903434</v>
      </c>
      <c r="J98" s="66">
        <v>0.42046390957033963</v>
      </c>
      <c r="K98" s="66">
        <v>0.38537060478875668</v>
      </c>
      <c r="L98" s="66">
        <v>0.42305375264049749</v>
      </c>
      <c r="M98" s="66">
        <v>0.42450539568724732</v>
      </c>
      <c r="N98" s="61"/>
      <c r="O98" s="61">
        <v>32768</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12</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'NSWOS demersal u24m u300kW'!D3:L3</xm:f>
              <xm:sqref>C3</xm:sqref>
            </x14:sparkline>
            <x14:sparkline>
              <xm:f>'NSWOS demersal u24m u300kW'!D4:L4</xm:f>
              <xm:sqref>C4</xm:sqref>
            </x14:sparkline>
            <x14:sparkline>
              <xm:f>'NSWOS demersal u24m u300kW'!D5:L5</xm:f>
              <xm:sqref>C5</xm:sqref>
            </x14:sparkline>
            <x14:sparkline>
              <xm:f>'NSWOS demersal u24m u300kW'!D6:L6</xm:f>
              <xm:sqref>C6</xm:sqref>
            </x14:sparkline>
            <x14:sparkline>
              <xm:f>'NSWOS demersal u24m u300kW'!D7:L7</xm:f>
              <xm:sqref>C7</xm:sqref>
            </x14:sparkline>
            <x14:sparkline>
              <xm:f>'NSWOS demersal u24m u300kW'!D8:L8</xm:f>
              <xm:sqref>C8</xm:sqref>
            </x14:sparkline>
            <x14:sparkline>
              <xm:f>'NSWOS demersal u24m u300kW'!D9:L9</xm:f>
              <xm:sqref>C9</xm:sqref>
            </x14:sparkline>
            <x14:sparkline>
              <xm:f>'NSWOS demersal u24m u300kW'!D10:L10</xm:f>
              <xm:sqref>C10</xm:sqref>
            </x14:sparkline>
            <x14:sparkline>
              <xm:f>'NSWOS demersal u24m u300kW'!D11:L11</xm:f>
              <xm:sqref>C11</xm:sqref>
            </x14:sparkline>
            <x14:sparkline>
              <xm:f>'NSWOS demersal u24m u300kW'!D12:L12</xm:f>
              <xm:sqref>C12</xm:sqref>
            </x14:sparkline>
            <x14:sparkline>
              <xm:f>'NSWOS demersal u24m u300kW'!D13:L13</xm:f>
              <xm:sqref>C13</xm:sqref>
            </x14:sparkline>
            <x14:sparkline>
              <xm:f>'NSWOS demersal u24m u300kW'!D14:L14</xm:f>
              <xm:sqref>C14</xm:sqref>
            </x14:sparkline>
            <x14:sparkline>
              <xm:f>'NSWOS demersal u24m u300kW'!D15:L15</xm:f>
              <xm:sqref>C15</xm:sqref>
            </x14:sparkline>
            <x14:sparkline>
              <xm:f>'NSWOS demersal u24m u300kW'!D16:L16</xm:f>
              <xm:sqref>C16</xm:sqref>
            </x14:sparkline>
            <x14:sparkline>
              <xm:f>'NSWOS demersal u24m u300kW'!D17:L17</xm:f>
              <xm:sqref>C17</xm:sqref>
            </x14:sparkline>
            <x14:sparkline>
              <xm:f>'NSWOS demersal u24m u300kW'!D18:L18</xm:f>
              <xm:sqref>C18</xm:sqref>
            </x14:sparkline>
            <x14:sparkline>
              <xm:f>'NSWOS demersal u24m u300kW'!D19:L19</xm:f>
              <xm:sqref>C19</xm:sqref>
            </x14:sparkline>
            <x14:sparkline>
              <xm:f>'NSWOS demersal u24m u300kW'!D20:L20</xm:f>
              <xm:sqref>C20</xm:sqref>
            </x14:sparkline>
            <x14:sparkline>
              <xm:f>'NSWOS demersal u24m u300kW'!D21:L21</xm:f>
              <xm:sqref>C21</xm:sqref>
            </x14:sparkline>
            <x14:sparkline>
              <xm:f>'NSWOS demersal u24m u300kW'!D22:L22</xm:f>
              <xm:sqref>C22</xm:sqref>
            </x14:sparkline>
            <x14:sparkline>
              <xm:f>'NSWOS demersal u24m u300kW'!D23:L23</xm:f>
              <xm:sqref>C23</xm:sqref>
            </x14:sparkline>
            <x14:sparkline>
              <xm:f>'NSWOS demersal u24m u300kW'!D24:L24</xm:f>
              <xm:sqref>C24</xm:sqref>
            </x14:sparkline>
            <x14:sparkline>
              <xm:f>'NSWOS demersal u24m u300kW'!D25:L25</xm:f>
              <xm:sqref>C25</xm:sqref>
            </x14:sparkline>
            <x14:sparkline>
              <xm:f>'NSWOS demersal u24m u300kW'!D26:L26</xm:f>
              <xm:sqref>C26</xm:sqref>
            </x14:sparkline>
            <x14:sparkline>
              <xm:f>'NSWOS demersal u24m u300kW'!D27:L27</xm:f>
              <xm:sqref>C27</xm:sqref>
            </x14:sparkline>
            <x14:sparkline>
              <xm:f>'NSWOS demersal u24m u300kW'!D28:L28</xm:f>
              <xm:sqref>C28</xm:sqref>
            </x14:sparkline>
            <x14:sparkline>
              <xm:f>'NSWOS demersal u24m u300kW'!D29:L29</xm:f>
              <xm:sqref>C29</xm:sqref>
            </x14:sparkline>
            <x14:sparkline>
              <xm:f>'NSWOS demersal u24m u300kW'!D30:L30</xm:f>
              <xm:sqref>C30</xm:sqref>
            </x14:sparkline>
            <x14:sparkline>
              <xm:f>'NSWOS demersal u24m u300kW'!D31:L31</xm:f>
              <xm:sqref>C31</xm:sqref>
            </x14:sparkline>
            <x14:sparkline>
              <xm:f>'NSWOS demersal u24m u300kW'!D32:L32</xm:f>
              <xm:sqref>C32</xm:sqref>
            </x14:sparkline>
            <x14:sparkline>
              <xm:f>'NSWOS demersal u24m u300kW'!D33:L33</xm:f>
              <xm:sqref>C33</xm:sqref>
            </x14:sparkline>
            <x14:sparkline>
              <xm:f>'NSWOS demersal u24m u300kW'!D34:L34</xm:f>
              <xm:sqref>C34</xm:sqref>
            </x14:sparkline>
            <x14:sparkline>
              <xm:f>'NSWOS demersal u24m u300kW'!D35:L35</xm:f>
              <xm:sqref>C35</xm:sqref>
            </x14:sparkline>
            <x14:sparkline>
              <xm:f>'NSWOS demersal u24m u300kW'!D36:L36</xm:f>
              <xm:sqref>C36</xm:sqref>
            </x14:sparkline>
            <x14:sparkline>
              <xm:f>'NSWOS demersal u24m u300kW'!D37:L37</xm:f>
              <xm:sqref>C37</xm:sqref>
            </x14:sparkline>
            <x14:sparkline>
              <xm:f>'NSWOS demersal u24m u300kW'!D38:L38</xm:f>
              <xm:sqref>C38</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O300"/>
  <sheetViews>
    <sheetView zoomScale="90" zoomScaleNormal="90" zoomScalePageLayoutView="75" workbookViewId="0">
      <selection activeCell="O1" sqref="O1"/>
    </sheetView>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348</v>
      </c>
      <c r="B1" s="57"/>
      <c r="M1" s="7" t="s">
        <v>16</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32</v>
      </c>
      <c r="E3" s="16">
        <v>32</v>
      </c>
      <c r="F3" s="16">
        <v>29</v>
      </c>
      <c r="G3" s="16">
        <v>31</v>
      </c>
      <c r="H3" s="16">
        <v>31</v>
      </c>
      <c r="I3" s="16">
        <v>33</v>
      </c>
      <c r="J3" s="16">
        <v>31</v>
      </c>
      <c r="K3" s="16">
        <v>31</v>
      </c>
      <c r="L3" s="16">
        <v>30</v>
      </c>
      <c r="M3" s="17">
        <v>27</v>
      </c>
      <c r="N3" s="18">
        <f t="shared" ref="N3:N24" si="0">IF(L3=0,"",IFERROR(IF(AND(L3&gt;0,D3&lt;0),"na",IF(AND(L3&lt;0,D3&lt;0),-1,1)*(L3-D3)/D3),""))</f>
        <v>-6.25E-2</v>
      </c>
      <c r="O3" s="18">
        <f t="shared" ref="O3:O24" si="1">IF(L3=0,"",IFERROR(IF(AND(L3&gt;0,H3&lt;0),"na",IF(AND(L3&lt;0,H3&lt;0),-1,1)*(L3-H3)/H3),""))</f>
        <v>-3.2258064516129031E-2</v>
      </c>
    </row>
    <row r="4" spans="1:15" s="19" customFormat="1" ht="18" customHeight="1" x14ac:dyDescent="0.2">
      <c r="A4" s="141"/>
      <c r="B4" s="20" t="s">
        <v>20</v>
      </c>
      <c r="C4" s="21"/>
      <c r="D4" s="22">
        <v>129231.6796875</v>
      </c>
      <c r="E4" s="22">
        <v>134790.6875</v>
      </c>
      <c r="F4" s="22">
        <v>124781.328125</v>
      </c>
      <c r="G4" s="22">
        <v>136552.328125</v>
      </c>
      <c r="H4" s="22">
        <v>137046.625</v>
      </c>
      <c r="I4" s="22">
        <v>155577.625</v>
      </c>
      <c r="J4" s="22">
        <v>142250.625</v>
      </c>
      <c r="K4" s="22">
        <v>142250.625</v>
      </c>
      <c r="L4" s="22">
        <v>140437.625</v>
      </c>
      <c r="M4" s="23">
        <v>128311.6328125</v>
      </c>
      <c r="N4" s="24">
        <f t="shared" si="0"/>
        <v>8.6712061157121226E-2</v>
      </c>
      <c r="O4" s="24">
        <f t="shared" si="1"/>
        <v>2.4743403932785648E-2</v>
      </c>
    </row>
    <row r="5" spans="1:15" s="19" customFormat="1" ht="18" customHeight="1" x14ac:dyDescent="0.2">
      <c r="A5" s="141"/>
      <c r="B5" s="20" t="s">
        <v>21</v>
      </c>
      <c r="C5" s="21"/>
      <c r="D5" s="22">
        <v>53179</v>
      </c>
      <c r="E5" s="22">
        <v>57979</v>
      </c>
      <c r="F5" s="22">
        <v>53719</v>
      </c>
      <c r="G5" s="22">
        <v>58214</v>
      </c>
      <c r="H5" s="22">
        <v>59430</v>
      </c>
      <c r="I5" s="22">
        <v>69277</v>
      </c>
      <c r="J5" s="22">
        <v>61956</v>
      </c>
      <c r="K5" s="22">
        <v>61956</v>
      </c>
      <c r="L5" s="22">
        <v>60652</v>
      </c>
      <c r="M5" s="23">
        <v>55430</v>
      </c>
      <c r="N5" s="24">
        <f t="shared" si="0"/>
        <v>0.14052539536283118</v>
      </c>
      <c r="O5" s="24">
        <f t="shared" si="1"/>
        <v>2.0562005721016321E-2</v>
      </c>
    </row>
    <row r="6" spans="1:15" s="19" customFormat="1" ht="18" customHeight="1" x14ac:dyDescent="0.2">
      <c r="A6" s="141"/>
      <c r="B6" s="20" t="s">
        <v>22</v>
      </c>
      <c r="C6" s="21"/>
      <c r="D6" s="22">
        <v>53574.44921875</v>
      </c>
      <c r="E6" s="22">
        <v>81452.046875</v>
      </c>
      <c r="F6" s="22">
        <v>55546.56640625</v>
      </c>
      <c r="G6" s="22">
        <v>90475.9375</v>
      </c>
      <c r="H6" s="22">
        <v>91053.1171875</v>
      </c>
      <c r="I6" s="22">
        <v>100969.5</v>
      </c>
      <c r="J6" s="22">
        <v>92214.4609375</v>
      </c>
      <c r="K6" s="22">
        <v>92017.8125</v>
      </c>
      <c r="L6" s="22">
        <v>90539.7578125</v>
      </c>
      <c r="M6" s="23">
        <v>82451.7890625</v>
      </c>
      <c r="N6" s="24">
        <f t="shared" si="0"/>
        <v>0.68998018892955548</v>
      </c>
      <c r="O6" s="24">
        <f t="shared" si="1"/>
        <v>-5.6380208702011938E-3</v>
      </c>
    </row>
    <row r="7" spans="1:15" s="19" customFormat="1" ht="18" customHeight="1" x14ac:dyDescent="0.2">
      <c r="A7" s="141"/>
      <c r="B7" s="20" t="s">
        <v>23</v>
      </c>
      <c r="C7" s="21"/>
      <c r="D7" s="22">
        <v>415482.21875</v>
      </c>
      <c r="E7" s="22">
        <v>335290.125</v>
      </c>
      <c r="F7" s="22">
        <v>311084.65625</v>
      </c>
      <c r="G7" s="22">
        <v>283686.375</v>
      </c>
      <c r="H7" s="22">
        <v>282390.5625</v>
      </c>
      <c r="I7" s="22">
        <v>288877.1875</v>
      </c>
      <c r="J7" s="22">
        <v>280702.1875</v>
      </c>
      <c r="K7" s="22">
        <v>292532.1875</v>
      </c>
      <c r="L7" s="22">
        <v>287399.84375</v>
      </c>
      <c r="M7" s="23">
        <v>397302.15625</v>
      </c>
      <c r="N7" s="24">
        <f t="shared" si="0"/>
        <v>-0.30827402285792765</v>
      </c>
      <c r="O7" s="24">
        <f t="shared" si="1"/>
        <v>1.773884086512275E-2</v>
      </c>
    </row>
    <row r="8" spans="1:15" s="19" customFormat="1" ht="18" customHeight="1" x14ac:dyDescent="0.2">
      <c r="A8" s="141"/>
      <c r="B8" s="20" t="s">
        <v>24</v>
      </c>
      <c r="C8" s="25"/>
      <c r="D8" s="26">
        <f ca="1">172.156176*OFFSET(D$108,MATCH($M$1,$C$109:$C$110,0),0)</f>
        <v>172.15617599999999</v>
      </c>
      <c r="E8" s="26">
        <f ca="1">159.365152*OFFSET(E$108,MATCH($M$1,$C$109:$C$110,0),0)</f>
        <v>159.36515199999999</v>
      </c>
      <c r="F8" s="26">
        <f ca="1">155.29984*OFFSET(F$108,MATCH($M$1,$C$109:$C$110,0),0)</f>
        <v>155.29983999999999</v>
      </c>
      <c r="G8" s="26">
        <f ca="1">149.158288*OFFSET(G$108,MATCH($M$1,$C$109:$C$110,0),0)</f>
        <v>149.158288</v>
      </c>
      <c r="H8" s="26">
        <f ca="1">205.417472*OFFSET(H$108,MATCH($M$1,$C$109:$C$110,0),0)</f>
        <v>205.417472</v>
      </c>
      <c r="I8" s="26">
        <f ca="1">187.179952*OFFSET(I$108,MATCH($M$1,$C$109:$C$110,0),0)</f>
        <v>187.17995199999999</v>
      </c>
      <c r="J8" s="26">
        <f ca="1">257.090783999999*OFFSET(J$108,MATCH($M$1,$C$109:$C$110,0),0)</f>
        <v>257.09078399999902</v>
      </c>
      <c r="K8" s="26">
        <f ca="1">209.128208*OFFSET(K$108,MATCH($M$1,$C$109:$C$110,0),0)</f>
        <v>209.128208</v>
      </c>
      <c r="L8" s="26">
        <f ca="1">200.68976*OFFSET(L$108,MATCH($M$1,$C$109:$C$110,0),0)</f>
        <v>200.68976000000001</v>
      </c>
      <c r="M8" s="27">
        <f ca="1">260.225424*OFFSET(M$108,MATCH($M$1,$C$109:$C$110,0),0)</f>
        <v>260.22542399999998</v>
      </c>
      <c r="N8" s="24">
        <f t="shared" ca="1" si="0"/>
        <v>0.16574243610057893</v>
      </c>
      <c r="O8" s="24">
        <f t="shared" ca="1" si="1"/>
        <v>-2.3015140601087704E-2</v>
      </c>
    </row>
    <row r="9" spans="1:15" s="19" customFormat="1" ht="18" customHeight="1" x14ac:dyDescent="0.2">
      <c r="A9" s="141"/>
      <c r="B9" s="20" t="s">
        <v>25</v>
      </c>
      <c r="C9" s="25"/>
      <c r="D9" s="22">
        <v>3404</v>
      </c>
      <c r="E9" s="22">
        <v>2480</v>
      </c>
      <c r="F9" s="22">
        <v>2540</v>
      </c>
      <c r="G9" s="22">
        <v>2304</v>
      </c>
      <c r="H9" s="22">
        <v>2188</v>
      </c>
      <c r="I9" s="22">
        <v>2311</v>
      </c>
      <c r="J9" s="22">
        <v>2002</v>
      </c>
      <c r="K9" s="22">
        <v>2046</v>
      </c>
      <c r="L9" s="22">
        <v>1936</v>
      </c>
      <c r="M9" s="23">
        <v>1682</v>
      </c>
      <c r="N9" s="24">
        <f t="shared" si="0"/>
        <v>-0.43125734430082258</v>
      </c>
      <c r="O9" s="24">
        <f t="shared" si="1"/>
        <v>-0.11517367458866545</v>
      </c>
    </row>
    <row r="10" spans="1:15" s="19" customFormat="1" ht="18" customHeight="1" x14ac:dyDescent="0.2">
      <c r="A10" s="142" t="s">
        <v>7</v>
      </c>
      <c r="B10" s="28" t="s">
        <v>26</v>
      </c>
      <c r="C10" s="29"/>
      <c r="D10" s="30">
        <v>62.973438262939453</v>
      </c>
      <c r="E10" s="30">
        <v>64.76312255859375</v>
      </c>
      <c r="F10" s="30">
        <v>64.7362060546875</v>
      </c>
      <c r="G10" s="30">
        <v>64.99322509765625</v>
      </c>
      <c r="H10" s="30">
        <v>65.288711547851563</v>
      </c>
      <c r="I10" s="30">
        <v>67.87030029296875</v>
      </c>
      <c r="J10" s="30">
        <v>66.682258605957031</v>
      </c>
      <c r="K10" s="30">
        <v>66.682258605957031</v>
      </c>
      <c r="L10" s="30">
        <v>66.898330688476563</v>
      </c>
      <c r="M10" s="31">
        <v>66.914817810058594</v>
      </c>
      <c r="N10" s="32">
        <f t="shared" si="0"/>
        <v>6.2326157405430266E-2</v>
      </c>
      <c r="O10" s="32">
        <f t="shared" si="1"/>
        <v>2.4653865920531669E-2</v>
      </c>
    </row>
    <row r="11" spans="1:15" s="19" customFormat="1" ht="18" customHeight="1" x14ac:dyDescent="0.2">
      <c r="A11" s="143"/>
      <c r="B11" s="33" t="s">
        <v>20</v>
      </c>
      <c r="C11" s="21"/>
      <c r="D11" s="22">
        <v>4038.489990234375</v>
      </c>
      <c r="E11" s="22">
        <v>4212.208984375</v>
      </c>
      <c r="F11" s="22">
        <v>4302.8046875</v>
      </c>
      <c r="G11" s="22">
        <v>4404.9140625</v>
      </c>
      <c r="H11" s="22">
        <v>4420.85888671875</v>
      </c>
      <c r="I11" s="22">
        <v>4714.4736328125</v>
      </c>
      <c r="J11" s="22">
        <v>4588.72998046875</v>
      </c>
      <c r="K11" s="22">
        <v>4588.72998046875</v>
      </c>
      <c r="L11" s="22">
        <v>4681.25439453125</v>
      </c>
      <c r="M11" s="23">
        <v>4752.28271484375</v>
      </c>
      <c r="N11" s="24">
        <f t="shared" si="0"/>
        <v>0.1591595883241429</v>
      </c>
      <c r="O11" s="24">
        <f t="shared" si="1"/>
        <v>5.8901565167525795E-2</v>
      </c>
    </row>
    <row r="12" spans="1:15" s="19" customFormat="1" ht="18" customHeight="1" x14ac:dyDescent="0.2">
      <c r="A12" s="143"/>
      <c r="B12" s="33" t="s">
        <v>21</v>
      </c>
      <c r="C12" s="21"/>
      <c r="D12" s="22">
        <v>1661.84375</v>
      </c>
      <c r="E12" s="22">
        <v>1811.84375</v>
      </c>
      <c r="F12" s="22">
        <v>1852.3792724609375</v>
      </c>
      <c r="G12" s="22">
        <v>1877.8709716796875</v>
      </c>
      <c r="H12" s="22">
        <v>1917.0968017578125</v>
      </c>
      <c r="I12" s="22">
        <v>2099.302978515625</v>
      </c>
      <c r="J12" s="22">
        <v>1998.5806884765625</v>
      </c>
      <c r="K12" s="22">
        <v>1998.5806884765625</v>
      </c>
      <c r="L12" s="22">
        <v>2021.7332763671875</v>
      </c>
      <c r="M12" s="23">
        <v>2052.962890625</v>
      </c>
      <c r="N12" s="24">
        <f t="shared" si="0"/>
        <v>0.21656038744147127</v>
      </c>
      <c r="O12" s="24">
        <f t="shared" si="1"/>
        <v>5.4580694367354E-2</v>
      </c>
    </row>
    <row r="13" spans="1:15" s="19" customFormat="1" ht="18" customHeight="1" x14ac:dyDescent="0.2">
      <c r="A13" s="143"/>
      <c r="B13" s="33" t="s">
        <v>22</v>
      </c>
      <c r="C13" s="21"/>
      <c r="D13" s="22">
        <v>1674.2015380859375</v>
      </c>
      <c r="E13" s="22">
        <v>2545.37646484375</v>
      </c>
      <c r="F13" s="22">
        <v>1915.3988037109375</v>
      </c>
      <c r="G13" s="22">
        <v>2918.57861328125</v>
      </c>
      <c r="H13" s="22">
        <v>2937.197509765625</v>
      </c>
      <c r="I13" s="22">
        <v>3059.681884765625</v>
      </c>
      <c r="J13" s="22">
        <v>2974.659912109375</v>
      </c>
      <c r="K13" s="22">
        <v>2968.31640625</v>
      </c>
      <c r="L13" s="22">
        <v>3017.991943359375</v>
      </c>
      <c r="M13" s="23">
        <v>3053.769775390625</v>
      </c>
      <c r="N13" s="24">
        <f t="shared" si="0"/>
        <v>0.80264554457986659</v>
      </c>
      <c r="O13" s="24">
        <f t="shared" si="1"/>
        <v>2.7507320609228295E-2</v>
      </c>
    </row>
    <row r="14" spans="1:15" s="19" customFormat="1" ht="18" customHeight="1" x14ac:dyDescent="0.2">
      <c r="A14" s="143"/>
      <c r="B14" s="33" t="s">
        <v>23</v>
      </c>
      <c r="C14" s="25"/>
      <c r="D14" s="26">
        <v>12983.8193359375</v>
      </c>
      <c r="E14" s="26">
        <v>10477.81640625</v>
      </c>
      <c r="F14" s="26">
        <v>10727.0576171875</v>
      </c>
      <c r="G14" s="26">
        <v>9151.1728515625</v>
      </c>
      <c r="H14" s="26">
        <v>9109.373046875</v>
      </c>
      <c r="I14" s="26">
        <v>8753.8544921875</v>
      </c>
      <c r="J14" s="26">
        <v>9054.9091796875</v>
      </c>
      <c r="K14" s="26">
        <v>9436.5224609375</v>
      </c>
      <c r="L14" s="26">
        <v>9579.994140625</v>
      </c>
      <c r="M14" s="27">
        <v>14714.89453125</v>
      </c>
      <c r="N14" s="24">
        <f t="shared" si="0"/>
        <v>-0.26215900785766177</v>
      </c>
      <c r="O14" s="24">
        <f t="shared" si="1"/>
        <v>5.1663390150812637E-2</v>
      </c>
    </row>
    <row r="15" spans="1:15" s="19" customFormat="1" ht="18" customHeight="1" x14ac:dyDescent="0.2">
      <c r="A15" s="143"/>
      <c r="B15" s="33" t="s">
        <v>27</v>
      </c>
      <c r="C15" s="25"/>
      <c r="D15" s="26">
        <f ca="1">5379.8805*OFFSET(D$108,MATCH($M$1,$C$109:$C$110,0),0)</f>
        <v>5379.8805000000002</v>
      </c>
      <c r="E15" s="26">
        <f ca="1">4980.161*OFFSET(E$108,MATCH($M$1,$C$109:$C$110,0),0)</f>
        <v>4980.1610000000001</v>
      </c>
      <c r="F15" s="26">
        <f ca="1">5355.167*OFFSET(F$108,MATCH($M$1,$C$109:$C$110,0),0)</f>
        <v>5355.1670000000004</v>
      </c>
      <c r="G15" s="26">
        <f ca="1">4811.558*OFFSET(G$108,MATCH($M$1,$C$109:$C$110,0),0)</f>
        <v>4811.558</v>
      </c>
      <c r="H15" s="26">
        <f ca="1">6626.37*OFFSET(H$108,MATCH($M$1,$C$109:$C$110,0),0)</f>
        <v>6626.37</v>
      </c>
      <c r="I15" s="26">
        <f ca="1">5672.12*OFFSET(I$108,MATCH($M$1,$C$109:$C$110,0),0)</f>
        <v>5672.12</v>
      </c>
      <c r="J15" s="26">
        <f ca="1">8293.251*OFFSET(J$108,MATCH($M$1,$C$109:$C$110,0),0)</f>
        <v>8293.2510000000002</v>
      </c>
      <c r="K15" s="26">
        <f ca="1">6746.0715*OFFSET(K$108,MATCH($M$1,$C$109:$C$110,0),0)</f>
        <v>6746.0715</v>
      </c>
      <c r="L15" s="26">
        <f ca="1">6689.659*OFFSET(L$108,MATCH($M$1,$C$109:$C$110,0),0)</f>
        <v>6689.6589999999997</v>
      </c>
      <c r="M15" s="27">
        <f ca="1">9637.978*OFFSET(M$108,MATCH($M$1,$C$109:$C$110,0),0)</f>
        <v>9637.9779999999992</v>
      </c>
      <c r="N15" s="24">
        <f t="shared" ca="1" si="0"/>
        <v>0.24345866046652884</v>
      </c>
      <c r="O15" s="24">
        <f t="shared" ca="1" si="1"/>
        <v>9.5510815122004603E-3</v>
      </c>
    </row>
    <row r="16" spans="1:15" s="19" customFormat="1" ht="18" customHeight="1" x14ac:dyDescent="0.2">
      <c r="A16" s="143"/>
      <c r="B16" s="33" t="s">
        <v>25</v>
      </c>
      <c r="C16" s="21"/>
      <c r="D16" s="22">
        <v>106.375</v>
      </c>
      <c r="E16" s="22">
        <v>77.5</v>
      </c>
      <c r="F16" s="22">
        <v>87.586204528808594</v>
      </c>
      <c r="G16" s="22">
        <v>74.322578430175781</v>
      </c>
      <c r="H16" s="22">
        <v>70.580642700195313</v>
      </c>
      <c r="I16" s="22">
        <v>70.030303955078125</v>
      </c>
      <c r="J16" s="22">
        <v>64.580642700195312</v>
      </c>
      <c r="K16" s="22">
        <v>66</v>
      </c>
      <c r="L16" s="22">
        <v>64.533332824707031</v>
      </c>
      <c r="M16" s="23">
        <v>62.296295166015625</v>
      </c>
      <c r="N16" s="24">
        <f t="shared" si="0"/>
        <v>-0.39334117203565661</v>
      </c>
      <c r="O16" s="24">
        <f t="shared" si="1"/>
        <v>-8.5679439066251903E-2</v>
      </c>
    </row>
    <row r="17" spans="1:15" s="19" customFormat="1" ht="18" customHeight="1" x14ac:dyDescent="0.2">
      <c r="A17" s="143"/>
      <c r="B17" s="33" t="s">
        <v>28</v>
      </c>
      <c r="C17" s="21"/>
      <c r="D17" s="22">
        <v>8.40625</v>
      </c>
      <c r="E17" s="22">
        <v>9.15625</v>
      </c>
      <c r="F17" s="22">
        <v>9.0689659118652344</v>
      </c>
      <c r="G17" s="22">
        <v>9.4516124725341797</v>
      </c>
      <c r="H17" s="22">
        <v>9.838709831237793</v>
      </c>
      <c r="I17" s="22">
        <v>10.848484992980957</v>
      </c>
      <c r="J17" s="22">
        <v>11.45161247253418</v>
      </c>
      <c r="K17" s="22">
        <v>12.45161247253418</v>
      </c>
      <c r="L17" s="22">
        <v>13.066666603088379</v>
      </c>
      <c r="M17" s="23">
        <v>12.925926208496094</v>
      </c>
      <c r="N17" s="24">
        <f t="shared" si="0"/>
        <v>0.55439900111088525</v>
      </c>
      <c r="O17" s="24">
        <f t="shared" si="1"/>
        <v>0.32808740446860823</v>
      </c>
    </row>
    <row r="18" spans="1:15" s="19" customFormat="1" ht="18" customHeight="1" x14ac:dyDescent="0.2">
      <c r="A18" s="143"/>
      <c r="B18" s="33" t="s">
        <v>29</v>
      </c>
      <c r="C18" s="21"/>
      <c r="D18" s="34">
        <v>122.05705261230469</v>
      </c>
      <c r="E18" s="34">
        <v>135.1976318359375</v>
      </c>
      <c r="F18" s="34">
        <v>122.47428131103516</v>
      </c>
      <c r="G18" s="34">
        <v>123.12776184082031</v>
      </c>
      <c r="H18" s="34">
        <v>129.06333923339844</v>
      </c>
      <c r="I18" s="34">
        <v>125.00094604492187</v>
      </c>
      <c r="J18" s="34">
        <v>140.21089172363281</v>
      </c>
      <c r="K18" s="34">
        <v>142.97761535644531</v>
      </c>
      <c r="L18" s="34">
        <v>148.4503173828125</v>
      </c>
      <c r="M18" s="35">
        <v>236.20817565917969</v>
      </c>
      <c r="N18" s="24">
        <f t="shared" si="0"/>
        <v>0.2162371137564818</v>
      </c>
      <c r="O18" s="24">
        <f t="shared" si="1"/>
        <v>0.15021289751657987</v>
      </c>
    </row>
    <row r="19" spans="1:15" s="19" customFormat="1" ht="18" customHeight="1" x14ac:dyDescent="0.2">
      <c r="A19" s="144"/>
      <c r="B19" s="36" t="s">
        <v>8</v>
      </c>
      <c r="C19" s="37"/>
      <c r="D19" s="38">
        <f ca="1">414.352692439982*OFFSET(D$108,MATCH($M$1,$C$109:$C$110,0),0)</f>
        <v>414.35269243998198</v>
      </c>
      <c r="E19" s="38">
        <f ca="1">475.305236025069*OFFSET(E$108,MATCH($M$1,$C$109:$C$110,0),0)</f>
        <v>475.30523602506901</v>
      </c>
      <c r="F19" s="38">
        <f ca="1">499.220507600976*OFFSET(F$108,MATCH($M$1,$C$109:$C$110,0),0)</f>
        <v>499.22050760097602</v>
      </c>
      <c r="G19" s="38">
        <f ca="1">525.785871810023*OFFSET(G$108,MATCH($M$1,$C$109:$C$110,0),0)</f>
        <v>525.78587181002297</v>
      </c>
      <c r="H19" s="38">
        <f ca="1">727.423289862954*OFFSET(H$108,MATCH($M$1,$C$109:$C$110,0),0)</f>
        <v>727.42328986295399</v>
      </c>
      <c r="I19" s="38">
        <f ca="1">647.956848444462*OFFSET(I$108,MATCH($M$1,$C$109:$C$110,0),0)</f>
        <v>647.95684844446203</v>
      </c>
      <c r="J19" s="38">
        <f ca="1">915.88450481883*OFFSET(J$108,MATCH($M$1,$C$109:$C$110,0),0)</f>
        <v>915.88450481883001</v>
      </c>
      <c r="K19" s="38">
        <f ca="1">714.889564075748*OFFSET(K$108,MATCH($M$1,$C$109:$C$110,0),0)</f>
        <v>714.88956407574801</v>
      </c>
      <c r="L19" s="38">
        <f ca="1">698.294603717926*OFFSET(L$108,MATCH($M$1,$C$109:$C$110,0),0)</f>
        <v>698.29460371792595</v>
      </c>
      <c r="M19" s="39">
        <f ca="1">654.981152018351*OFFSET(M$108,MATCH($M$1,$C$109:$C$110,0),0)</f>
        <v>654.98115201835105</v>
      </c>
      <c r="N19" s="40">
        <f ca="1">IF(L19=0,"",IFERROR(IF(AND(L19&gt;0,D19&lt;0),"na",IF(AND(L19&lt;0,D19&lt;0),-1,1)*(L19-D19)/D19),""))</f>
        <v>0.68526623926565244</v>
      </c>
      <c r="O19" s="40">
        <f ca="1">IF(L19=0,"",IFERROR(IF(AND(L19&gt;0,H19&lt;0),"na",IF(AND(L19&lt;0,H19&lt;0),-1,1)*(L19-H19)/H19),""))</f>
        <v>-4.0043653469654328E-2</v>
      </c>
    </row>
    <row r="20" spans="1:15" s="19" customFormat="1" ht="18" customHeight="1" x14ac:dyDescent="0.2">
      <c r="A20" s="145" t="s">
        <v>9</v>
      </c>
      <c r="B20" s="28" t="s">
        <v>30</v>
      </c>
      <c r="C20" s="41"/>
      <c r="D20" s="42">
        <v>31.421473677244926</v>
      </c>
      <c r="E20" s="42">
        <v>32.324345557334695</v>
      </c>
      <c r="F20" s="42">
        <v>28.453226650055555</v>
      </c>
      <c r="G20" s="42">
        <v>29.419036564642511</v>
      </c>
      <c r="H20" s="42">
        <v>30.347774903790246</v>
      </c>
      <c r="I20" s="42">
        <v>29.288768181100544</v>
      </c>
      <c r="J20" s="42">
        <v>33.119085859028047</v>
      </c>
      <c r="K20" s="42">
        <v>32.569311735917061</v>
      </c>
      <c r="L20" s="42">
        <v>33.473703919579208</v>
      </c>
      <c r="M20" s="43">
        <v>44.737026995751435</v>
      </c>
      <c r="N20" s="32">
        <f t="shared" si="0"/>
        <v>6.5312985107394375E-2</v>
      </c>
      <c r="O20" s="32">
        <f t="shared" si="1"/>
        <v>0.10300356535854474</v>
      </c>
    </row>
    <row r="21" spans="1:15" s="19" customFormat="1" ht="18" customHeight="1" x14ac:dyDescent="0.2">
      <c r="A21" s="145"/>
      <c r="B21" s="33" t="s">
        <v>31</v>
      </c>
      <c r="C21" s="21"/>
      <c r="D21" s="34"/>
      <c r="E21" s="34"/>
      <c r="F21" s="34"/>
      <c r="G21" s="34"/>
      <c r="H21" s="34"/>
      <c r="I21" s="34"/>
      <c r="J21" s="34"/>
      <c r="K21" s="34"/>
      <c r="L21" s="34"/>
      <c r="M21" s="35"/>
      <c r="N21" s="24"/>
      <c r="O21" s="24"/>
    </row>
    <row r="22" spans="1:15" s="19" customFormat="1" ht="18" customHeight="1" x14ac:dyDescent="0.2">
      <c r="A22" s="145"/>
      <c r="B22" s="33" t="s">
        <v>10</v>
      </c>
      <c r="C22" s="21"/>
      <c r="D22" s="34"/>
      <c r="E22" s="34"/>
      <c r="F22" s="34"/>
      <c r="G22" s="34"/>
      <c r="H22" s="34"/>
      <c r="I22" s="34"/>
      <c r="J22" s="34"/>
      <c r="K22" s="34"/>
      <c r="L22" s="34"/>
      <c r="M22" s="35"/>
      <c r="N22" s="24"/>
      <c r="O22" s="24"/>
    </row>
    <row r="23" spans="1:15" s="19" customFormat="1" ht="18" customHeight="1" x14ac:dyDescent="0.2">
      <c r="A23" s="146"/>
      <c r="B23" s="33" t="s">
        <v>32</v>
      </c>
      <c r="C23" s="44"/>
      <c r="D23" s="34"/>
      <c r="E23" s="34"/>
      <c r="F23" s="34"/>
      <c r="G23" s="34"/>
      <c r="H23" s="34"/>
      <c r="I23" s="34"/>
      <c r="J23" s="34"/>
      <c r="K23" s="34"/>
      <c r="L23" s="34"/>
      <c r="M23" s="35"/>
      <c r="N23" s="24"/>
      <c r="O23" s="24"/>
    </row>
    <row r="24" spans="1:15" s="19" customFormat="1" ht="18" customHeight="1" x14ac:dyDescent="0.2">
      <c r="A24" s="147" t="s">
        <v>11</v>
      </c>
      <c r="B24" s="28" t="s">
        <v>27</v>
      </c>
      <c r="C24" s="29"/>
      <c r="D24" s="30">
        <f ca="1">5379.9*OFFSET(D$108,MATCH($M$1,$C$109:$C$110,0),0)</f>
        <v>5379.9</v>
      </c>
      <c r="E24" s="30">
        <f ca="1">4980.2*OFFSET(E$108,MATCH($M$1,$C$109:$C$110,0),0)</f>
        <v>4980.2</v>
      </c>
      <c r="F24" s="30">
        <f ca="1">5355.2*OFFSET(F$108,MATCH($M$1,$C$109:$C$110,0),0)</f>
        <v>5355.2</v>
      </c>
      <c r="G24" s="30">
        <f ca="1">4811.6*OFFSET(G$108,MATCH($M$1,$C$109:$C$110,0),0)</f>
        <v>4811.6000000000004</v>
      </c>
      <c r="H24" s="30">
        <f ca="1">6626.4*OFFSET(H$108,MATCH($M$1,$C$109:$C$110,0),0)</f>
        <v>6626.4</v>
      </c>
      <c r="I24" s="30">
        <f ca="1">5672.1*OFFSET(I$108,MATCH($M$1,$C$109:$C$110,0),0)</f>
        <v>5672.1</v>
      </c>
      <c r="J24" s="30">
        <f ca="1">8293.3*OFFSET(J$108,MATCH($M$1,$C$109:$C$110,0),0)</f>
        <v>8293.2999999999993</v>
      </c>
      <c r="K24" s="30">
        <f ca="1">6746.1*OFFSET(K$108,MATCH($M$1,$C$109:$C$110,0),0)</f>
        <v>6746.1</v>
      </c>
      <c r="L24" s="30">
        <f ca="1">6689.7*OFFSET(L$108,MATCH($M$1,$C$109:$C$110,0),0)</f>
        <v>6689.7</v>
      </c>
      <c r="M24" s="31">
        <f ca="1">9638*OFFSET(M$108,MATCH($M$1,$C$109:$C$110,0),0)</f>
        <v>9638</v>
      </c>
      <c r="N24" s="32">
        <f t="shared" ca="1" si="0"/>
        <v>0.24346177438242353</v>
      </c>
      <c r="O24" s="32">
        <f t="shared" ca="1" si="1"/>
        <v>9.552698297718246E-3</v>
      </c>
    </row>
    <row r="25" spans="1:15" s="19" customFormat="1" ht="18" customHeight="1" x14ac:dyDescent="0.2">
      <c r="A25" s="148"/>
      <c r="B25" s="33" t="s">
        <v>33</v>
      </c>
      <c r="C25" s="25"/>
      <c r="D25" s="26"/>
      <c r="E25" s="26"/>
      <c r="F25" s="26"/>
      <c r="G25" s="26"/>
      <c r="H25" s="26"/>
      <c r="I25" s="26"/>
      <c r="J25" s="26"/>
      <c r="K25" s="26"/>
      <c r="L25" s="26"/>
      <c r="M25" s="27"/>
      <c r="N25" s="24"/>
      <c r="O25" s="24"/>
    </row>
    <row r="26" spans="1:15" s="19" customFormat="1" ht="18" customHeight="1" x14ac:dyDescent="0.2">
      <c r="A26" s="148"/>
      <c r="B26" s="45" t="s">
        <v>34</v>
      </c>
      <c r="C26" s="46"/>
      <c r="D26" s="47"/>
      <c r="E26" s="47"/>
      <c r="F26" s="47"/>
      <c r="G26" s="47"/>
      <c r="H26" s="47"/>
      <c r="I26" s="47"/>
      <c r="J26" s="47"/>
      <c r="K26" s="47"/>
      <c r="L26" s="47"/>
      <c r="M26" s="48"/>
      <c r="N26" s="49"/>
      <c r="O26" s="49"/>
    </row>
    <row r="27" spans="1:15" s="19" customFormat="1" ht="18" customHeight="1" x14ac:dyDescent="0.2">
      <c r="A27" s="148"/>
      <c r="B27" s="33" t="s">
        <v>35</v>
      </c>
      <c r="C27" s="25"/>
      <c r="D27" s="26"/>
      <c r="E27" s="26"/>
      <c r="F27" s="26"/>
      <c r="G27" s="26"/>
      <c r="H27" s="26"/>
      <c r="I27" s="26"/>
      <c r="J27" s="26"/>
      <c r="K27" s="26"/>
      <c r="L27" s="26"/>
      <c r="M27" s="27"/>
      <c r="N27" s="24"/>
      <c r="O27" s="24"/>
    </row>
    <row r="28" spans="1:15" s="19" customFormat="1" ht="18" customHeight="1" x14ac:dyDescent="0.2">
      <c r="A28" s="148"/>
      <c r="B28" s="33" t="s">
        <v>36</v>
      </c>
      <c r="C28" s="25"/>
      <c r="D28" s="26"/>
      <c r="E28" s="26"/>
      <c r="F28" s="26"/>
      <c r="G28" s="26"/>
      <c r="H28" s="26"/>
      <c r="I28" s="26"/>
      <c r="J28" s="26"/>
      <c r="K28" s="26"/>
      <c r="L28" s="26"/>
      <c r="M28" s="27"/>
      <c r="N28" s="24"/>
      <c r="O28" s="24"/>
    </row>
    <row r="29" spans="1:15" s="19" customFormat="1" ht="18" customHeight="1" x14ac:dyDescent="0.2">
      <c r="A29" s="148"/>
      <c r="B29" s="33" t="s">
        <v>37</v>
      </c>
      <c r="C29" s="25"/>
      <c r="D29" s="26"/>
      <c r="E29" s="26"/>
      <c r="F29" s="26"/>
      <c r="G29" s="26"/>
      <c r="H29" s="26"/>
      <c r="I29" s="26"/>
      <c r="J29" s="26"/>
      <c r="K29" s="26"/>
      <c r="L29" s="26"/>
      <c r="M29" s="27"/>
      <c r="N29" s="24"/>
      <c r="O29" s="24"/>
    </row>
    <row r="30" spans="1:15" s="19" customFormat="1" ht="18" customHeight="1" x14ac:dyDescent="0.2">
      <c r="A30" s="148"/>
      <c r="B30" s="33" t="s">
        <v>38</v>
      </c>
      <c r="C30" s="25"/>
      <c r="D30" s="26"/>
      <c r="E30" s="26"/>
      <c r="F30" s="26"/>
      <c r="G30" s="26"/>
      <c r="H30" s="26"/>
      <c r="I30" s="26"/>
      <c r="J30" s="26"/>
      <c r="K30" s="26"/>
      <c r="L30" s="26"/>
      <c r="M30" s="27"/>
      <c r="N30" s="24"/>
      <c r="O30" s="24"/>
    </row>
    <row r="31" spans="1:15" s="19" customFormat="1" ht="18" customHeight="1" x14ac:dyDescent="0.2">
      <c r="A31" s="148"/>
      <c r="B31" s="33" t="s">
        <v>39</v>
      </c>
      <c r="C31" s="25"/>
      <c r="D31" s="26"/>
      <c r="E31" s="26"/>
      <c r="F31" s="26"/>
      <c r="G31" s="26"/>
      <c r="H31" s="26"/>
      <c r="I31" s="26"/>
      <c r="J31" s="26"/>
      <c r="K31" s="26"/>
      <c r="L31" s="26"/>
      <c r="M31" s="27"/>
      <c r="N31" s="24"/>
      <c r="O31" s="24"/>
    </row>
    <row r="32" spans="1:15" s="19" customFormat="1" ht="18" customHeight="1" x14ac:dyDescent="0.2">
      <c r="A32" s="148"/>
      <c r="B32" s="33" t="s">
        <v>40</v>
      </c>
      <c r="C32" s="25"/>
      <c r="D32" s="26"/>
      <c r="E32" s="26"/>
      <c r="F32" s="26"/>
      <c r="G32" s="26"/>
      <c r="H32" s="26"/>
      <c r="I32" s="26"/>
      <c r="J32" s="26"/>
      <c r="K32" s="26"/>
      <c r="L32" s="26"/>
      <c r="M32" s="27"/>
      <c r="N32" s="24"/>
      <c r="O32" s="24"/>
    </row>
    <row r="33" spans="1:15" s="19" customFormat="1" ht="18" customHeight="1" x14ac:dyDescent="0.2">
      <c r="A33" s="148"/>
      <c r="B33" s="45" t="s">
        <v>41</v>
      </c>
      <c r="C33" s="46"/>
      <c r="D33" s="47"/>
      <c r="E33" s="47"/>
      <c r="F33" s="47"/>
      <c r="G33" s="47"/>
      <c r="H33" s="47"/>
      <c r="I33" s="47"/>
      <c r="J33" s="47"/>
      <c r="K33" s="47"/>
      <c r="L33" s="47"/>
      <c r="M33" s="48"/>
      <c r="N33" s="49"/>
      <c r="O33" s="49"/>
    </row>
    <row r="34" spans="1:15" s="19" customFormat="1" ht="18" customHeight="1" x14ac:dyDescent="0.2">
      <c r="A34" s="148"/>
      <c r="B34" s="45" t="s">
        <v>42</v>
      </c>
      <c r="C34" s="46"/>
      <c r="D34" s="47"/>
      <c r="E34" s="47"/>
      <c r="F34" s="47"/>
      <c r="G34" s="47"/>
      <c r="H34" s="47"/>
      <c r="I34" s="47"/>
      <c r="J34" s="47"/>
      <c r="K34" s="47"/>
      <c r="L34" s="47"/>
      <c r="M34" s="48"/>
      <c r="N34" s="49"/>
      <c r="O34" s="49"/>
    </row>
    <row r="35" spans="1:15" s="19" customFormat="1" ht="18" customHeight="1" x14ac:dyDescent="0.2">
      <c r="A35" s="148"/>
      <c r="B35" s="33" t="s">
        <v>43</v>
      </c>
      <c r="C35" s="25"/>
      <c r="D35" s="26"/>
      <c r="E35" s="26"/>
      <c r="F35" s="26"/>
      <c r="G35" s="26"/>
      <c r="H35" s="26"/>
      <c r="I35" s="26"/>
      <c r="J35" s="26"/>
      <c r="K35" s="26"/>
      <c r="L35" s="26"/>
      <c r="M35" s="27"/>
      <c r="N35" s="24"/>
      <c r="O35" s="24"/>
    </row>
    <row r="36" spans="1:15" s="19" customFormat="1" ht="18" customHeight="1" x14ac:dyDescent="0.2">
      <c r="A36" s="148"/>
      <c r="B36" s="33" t="s">
        <v>44</v>
      </c>
      <c r="C36" s="25"/>
      <c r="D36" s="26"/>
      <c r="E36" s="26"/>
      <c r="F36" s="26"/>
      <c r="G36" s="26"/>
      <c r="H36" s="26"/>
      <c r="I36" s="26"/>
      <c r="J36" s="26"/>
      <c r="K36" s="26"/>
      <c r="L36" s="26"/>
      <c r="M36" s="27"/>
      <c r="N36" s="24"/>
      <c r="O36" s="24"/>
    </row>
    <row r="37" spans="1:15" s="19" customFormat="1" ht="18" customHeight="1" x14ac:dyDescent="0.2">
      <c r="A37" s="148"/>
      <c r="B37" s="33" t="s">
        <v>45</v>
      </c>
      <c r="C37" s="25"/>
      <c r="D37" s="26"/>
      <c r="E37" s="26"/>
      <c r="F37" s="26"/>
      <c r="G37" s="26"/>
      <c r="H37" s="26"/>
      <c r="I37" s="26"/>
      <c r="J37" s="26"/>
      <c r="K37" s="26"/>
      <c r="L37" s="26"/>
      <c r="M37" s="27"/>
      <c r="N37" s="24"/>
      <c r="O37" s="24"/>
    </row>
    <row r="38" spans="1:15" s="19" customFormat="1" ht="18" customHeight="1" thickBot="1" x14ac:dyDescent="0.25">
      <c r="A38" s="149"/>
      <c r="B38" s="50" t="s">
        <v>46</v>
      </c>
      <c r="C38" s="51"/>
      <c r="D38" s="52"/>
      <c r="E38" s="52"/>
      <c r="F38" s="52"/>
      <c r="G38" s="52"/>
      <c r="H38" s="52"/>
      <c r="I38" s="52"/>
      <c r="J38" s="52"/>
      <c r="K38" s="52"/>
      <c r="L38" s="52"/>
      <c r="M38" s="53"/>
      <c r="N38" s="54"/>
      <c r="O38" s="54"/>
    </row>
    <row r="39" spans="1:15" s="59" customFormat="1" x14ac:dyDescent="0.2">
      <c r="A39" s="57" t="s">
        <v>12</v>
      </c>
      <c r="B39" s="57" t="str">
        <f ca="1">"All values are "&amp;OFFSET($A$108,MATCH($M$1,$C$109:$C$110,0),0)&amp;". 2014 fishing income based on provisionnal data from MMO. 2014 costs and profits are projections."</f>
        <v>All values are adjusted to 2014 prices.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Pelagic over 40m</v>
      </c>
      <c r="C45" s="61"/>
      <c r="D45" s="61"/>
      <c r="E45" s="61"/>
      <c r="F45" s="61" t="str">
        <f>$B21&amp;CHAR(10)&amp;$A$1</f>
        <v>Income per kW day at sea (£)
Pelagic over 40m</v>
      </c>
      <c r="G45" s="61"/>
      <c r="K45" s="61" t="str">
        <f>$B23&amp;CHAR(10)&amp;$A$1</f>
        <v>Operating profit per kW day at sea (£)
Pelagic over 40m</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Pelagic over 40m</v>
      </c>
      <c r="F59" s="61" t="str">
        <f>$B19&amp;CHAR(10)&amp;$A$1</f>
        <v>Average price per tonne landed (£)
Pelagic over 40m</v>
      </c>
      <c r="K59" s="61" t="str">
        <f>"Average annual operating profit per vessel (£'000)"&amp;CHAR(10)&amp;$A$1</f>
        <v>Average annual operating profit per vessel (£'000)
Pelagic over 40m</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c r="A72" s="64" t="s">
        <v>12</v>
      </c>
      <c r="B72" s="64" t="str">
        <f ca="1">B39</f>
        <v>All values are adjusted to 2014 prices. 2014 fishing income based on provisionnal data from MMO. 2014 costs and profits are projections.</v>
      </c>
    </row>
    <row r="73" spans="1:9" s="61" customFormat="1" x14ac:dyDescent="0.2">
      <c r="A73" s="64"/>
      <c r="B73" s="57" t="s">
        <v>13</v>
      </c>
      <c r="F73" s="61" t="str">
        <f>"Top 5 landed species by value in "&amp;A74&amp;CHAR(10)&amp;A1</f>
        <v>Top 5 landed species by value in 2013
Pelagic over 40m</v>
      </c>
    </row>
    <row r="74" spans="1:9" s="61" customFormat="1" x14ac:dyDescent="0.2">
      <c r="A74" s="61">
        <v>2013</v>
      </c>
      <c r="B74" s="61" t="s">
        <v>349</v>
      </c>
      <c r="C74" s="62">
        <v>0.56481578636905572</v>
      </c>
      <c r="D74" s="63">
        <v>8211234</v>
      </c>
      <c r="G74" s="61" t="s">
        <v>350</v>
      </c>
      <c r="H74" s="62">
        <v>0.72983940984333229</v>
      </c>
      <c r="I74" s="63">
        <v>8211234</v>
      </c>
    </row>
    <row r="75" spans="1:9" s="61" customFormat="1" x14ac:dyDescent="0.2">
      <c r="B75" s="61" t="s">
        <v>351</v>
      </c>
      <c r="C75" s="62">
        <v>0.32406058306181662</v>
      </c>
      <c r="D75" s="63">
        <v>2171775</v>
      </c>
      <c r="G75" s="61" t="s">
        <v>352</v>
      </c>
      <c r="H75" s="62">
        <v>0.16513315876206142</v>
      </c>
      <c r="I75" s="63">
        <v>2171775</v>
      </c>
    </row>
    <row r="76" spans="1:9" s="61" customFormat="1" x14ac:dyDescent="0.2">
      <c r="B76" s="61" t="s">
        <v>353</v>
      </c>
      <c r="C76" s="62">
        <v>4.696787712458525E-2</v>
      </c>
      <c r="D76" s="63">
        <v>6763595</v>
      </c>
      <c r="G76" s="61" t="s">
        <v>354</v>
      </c>
      <c r="H76" s="62">
        <v>2.3817201734657512E-2</v>
      </c>
      <c r="I76" s="63">
        <v>2783840</v>
      </c>
    </row>
    <row r="77" spans="1:9" s="61" customFormat="1" x14ac:dyDescent="0.2">
      <c r="B77" s="61" t="s">
        <v>355</v>
      </c>
      <c r="C77" s="62">
        <v>3.9193966485063549E-2</v>
      </c>
      <c r="D77" s="63">
        <v>2783840</v>
      </c>
      <c r="G77" s="61" t="s">
        <v>356</v>
      </c>
      <c r="H77" s="62">
        <v>1.5068186588094978E-2</v>
      </c>
      <c r="I77" s="63">
        <v>6763595</v>
      </c>
    </row>
    <row r="78" spans="1:9" s="61" customFormat="1" x14ac:dyDescent="0.2">
      <c r="B78" s="61" t="s">
        <v>357</v>
      </c>
      <c r="C78" s="62">
        <v>1.5238768301892127E-2</v>
      </c>
      <c r="D78" s="63">
        <v>2764187</v>
      </c>
      <c r="G78" s="61" t="s">
        <v>358</v>
      </c>
      <c r="H78" s="62">
        <v>3.4951331722156628E-3</v>
      </c>
      <c r="I78" s="63">
        <v>2764187</v>
      </c>
    </row>
    <row r="79" spans="1:9" s="61" customFormat="1" x14ac:dyDescent="0.2">
      <c r="B79" s="61" t="s">
        <v>221</v>
      </c>
      <c r="C79" s="62">
        <v>9.723018657586735E-3</v>
      </c>
      <c r="D79" s="63">
        <v>32768</v>
      </c>
      <c r="G79" s="61" t="s">
        <v>359</v>
      </c>
      <c r="H79" s="62">
        <v>6.264690989963817E-2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c r="B86" s="64"/>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209</v>
      </c>
      <c r="D88" s="66">
        <v>0.71644493344004401</v>
      </c>
      <c r="E88" s="66">
        <v>0.59087979731146834</v>
      </c>
      <c r="F88" s="66">
        <v>0.65792352537383703</v>
      </c>
      <c r="G88" s="66">
        <v>0.76721853898938475</v>
      </c>
      <c r="H88" s="66">
        <v>0.81904896401106098</v>
      </c>
      <c r="I88" s="66">
        <v>0.78756895879772126</v>
      </c>
      <c r="J88" s="66">
        <v>0.82990955331041383</v>
      </c>
      <c r="K88" s="66">
        <v>0.75053680326298866</v>
      </c>
      <c r="L88" s="66">
        <v>0.74228757515956278</v>
      </c>
      <c r="M88" s="66">
        <v>0.84318832736343241</v>
      </c>
      <c r="N88" s="61"/>
      <c r="O88" s="61">
        <v>8211234</v>
      </c>
    </row>
    <row r="89" spans="1:15" s="65" customFormat="1" hidden="1" x14ac:dyDescent="0.2">
      <c r="A89" s="61"/>
      <c r="B89" s="61">
        <v>2</v>
      </c>
      <c r="C89" s="61" t="s">
        <v>224</v>
      </c>
      <c r="D89" s="66">
        <v>0.18481762920537645</v>
      </c>
      <c r="E89" s="66">
        <v>0.26184443078283998</v>
      </c>
      <c r="F89" s="66">
        <v>0.19681031413599698</v>
      </c>
      <c r="G89" s="66">
        <v>0.13964650143694807</v>
      </c>
      <c r="H89" s="66">
        <v>0.12170012139837454</v>
      </c>
      <c r="I89" s="66">
        <v>0.12659242844666282</v>
      </c>
      <c r="J89" s="66">
        <v>0.11906778464821892</v>
      </c>
      <c r="K89" s="66">
        <v>0.19820648078367861</v>
      </c>
      <c r="L89" s="66">
        <v>0.16794967542550485</v>
      </c>
      <c r="M89" s="66">
        <v>9.3374696547713187E-2</v>
      </c>
      <c r="N89" s="61"/>
      <c r="O89" s="61">
        <v>2171775</v>
      </c>
    </row>
    <row r="90" spans="1:15" s="65" customFormat="1" hidden="1" x14ac:dyDescent="0.2">
      <c r="A90" s="61"/>
      <c r="B90" s="61">
        <v>3</v>
      </c>
      <c r="C90" s="61" t="s">
        <v>225</v>
      </c>
      <c r="D90" s="66">
        <v>1.5716854481536133E-2</v>
      </c>
      <c r="E90" s="66">
        <v>3.3918873055850521E-2</v>
      </c>
      <c r="F90" s="66">
        <v>3.1828631996831468E-2</v>
      </c>
      <c r="G90" s="66">
        <v>2.6247344806152425E-2</v>
      </c>
      <c r="H90" s="66">
        <v>2.9433264795723807E-2</v>
      </c>
      <c r="I90" s="66">
        <v>3.5223830247662756E-2</v>
      </c>
      <c r="J90" s="66">
        <v>2.6646612169274324E-2</v>
      </c>
      <c r="K90" s="66">
        <v>2.9937155495265048E-2</v>
      </c>
      <c r="L90" s="66">
        <v>2.4223428721806193E-2</v>
      </c>
      <c r="M90" s="66">
        <v>1.4901933640427079E-2</v>
      </c>
      <c r="N90" s="61"/>
      <c r="O90" s="61">
        <v>2783840</v>
      </c>
    </row>
    <row r="91" spans="1:15" s="65" customFormat="1" hidden="1" x14ac:dyDescent="0.2">
      <c r="A91" s="61"/>
      <c r="B91" s="61">
        <v>4</v>
      </c>
      <c r="C91" s="61" t="s">
        <v>360</v>
      </c>
      <c r="D91" s="66">
        <v>4.9473562104440545E-2</v>
      </c>
      <c r="E91" s="66">
        <v>5.6518159066748154E-2</v>
      </c>
      <c r="F91" s="66">
        <v>5.0372019166344005E-2</v>
      </c>
      <c r="G91" s="66">
        <v>3.9246514956669566E-2</v>
      </c>
      <c r="H91" s="66">
        <v>6.1050451961700133E-3</v>
      </c>
      <c r="I91" s="66">
        <v>9.4634410993607553E-3</v>
      </c>
      <c r="J91" s="66"/>
      <c r="K91" s="66">
        <v>1.5277404813239876E-2</v>
      </c>
      <c r="L91" s="66">
        <v>1.5325190081102676E-2</v>
      </c>
      <c r="M91" s="66">
        <v>1.9796530334407293E-2</v>
      </c>
      <c r="N91" s="61"/>
      <c r="O91" s="61">
        <v>6763595</v>
      </c>
    </row>
    <row r="92" spans="1:15" s="65" customFormat="1" hidden="1" x14ac:dyDescent="0.2">
      <c r="A92" s="61"/>
      <c r="B92" s="61">
        <v>5</v>
      </c>
      <c r="C92" s="61" t="s">
        <v>361</v>
      </c>
      <c r="D92" s="66"/>
      <c r="E92" s="66"/>
      <c r="F92" s="66"/>
      <c r="G92" s="66"/>
      <c r="H92" s="66"/>
      <c r="I92" s="66"/>
      <c r="J92" s="66"/>
      <c r="K92" s="66"/>
      <c r="L92" s="66">
        <v>3.5547462801722761E-3</v>
      </c>
      <c r="M92" s="66"/>
      <c r="N92" s="61"/>
      <c r="O92" s="61">
        <v>2764187</v>
      </c>
    </row>
    <row r="93" spans="1:15" s="65" customFormat="1" hidden="1" x14ac:dyDescent="0.2">
      <c r="A93" s="61"/>
      <c r="B93" s="61">
        <v>6</v>
      </c>
      <c r="C93" s="61" t="s">
        <v>362</v>
      </c>
      <c r="D93" s="66"/>
      <c r="E93" s="66"/>
      <c r="F93" s="66"/>
      <c r="G93" s="66"/>
      <c r="H93" s="66"/>
      <c r="I93" s="66"/>
      <c r="J93" s="66"/>
      <c r="K93" s="66"/>
      <c r="L93" s="66"/>
      <c r="M93" s="66">
        <v>6.9389492689423001E-5</v>
      </c>
      <c r="N93" s="61"/>
      <c r="O93" s="61">
        <v>3511670</v>
      </c>
    </row>
    <row r="94" spans="1:15" s="65" customFormat="1" hidden="1" x14ac:dyDescent="0.2">
      <c r="A94" s="61"/>
      <c r="B94" s="61">
        <v>7</v>
      </c>
      <c r="C94" s="61" t="s">
        <v>134</v>
      </c>
      <c r="D94" s="66"/>
      <c r="E94" s="66"/>
      <c r="F94" s="66"/>
      <c r="G94" s="66"/>
      <c r="H94" s="66"/>
      <c r="I94" s="66"/>
      <c r="J94" s="66">
        <v>3.2372108622945091E-3</v>
      </c>
      <c r="K94" s="66">
        <v>6.0421556448277732E-3</v>
      </c>
      <c r="L94" s="66"/>
      <c r="M94" s="66"/>
      <c r="N94" s="61"/>
      <c r="O94" s="61">
        <v>1464488</v>
      </c>
    </row>
    <row r="95" spans="1:15" s="65" customFormat="1" hidden="1" x14ac:dyDescent="0.2">
      <c r="A95" s="61"/>
      <c r="B95" s="61">
        <v>8</v>
      </c>
      <c r="C95" s="61" t="s">
        <v>363</v>
      </c>
      <c r="D95" s="66"/>
      <c r="E95" s="66">
        <v>1.5015811003520969E-2</v>
      </c>
      <c r="F95" s="66">
        <v>2.2512649167195843E-2</v>
      </c>
      <c r="G95" s="66">
        <v>1.360329479676929E-2</v>
      </c>
      <c r="H95" s="66">
        <v>1.3008844245151299E-2</v>
      </c>
      <c r="I95" s="66">
        <v>2.3716089707028355E-2</v>
      </c>
      <c r="J95" s="66">
        <v>7.6046727307239456E-3</v>
      </c>
      <c r="K95" s="66"/>
      <c r="L95" s="66"/>
      <c r="M95" s="66"/>
      <c r="N95" s="61"/>
      <c r="O95" s="61">
        <v>8274269</v>
      </c>
    </row>
    <row r="96" spans="1:15" s="65" customFormat="1" hidden="1" x14ac:dyDescent="0.2">
      <c r="A96" s="61"/>
      <c r="B96" s="61">
        <v>9</v>
      </c>
      <c r="C96" s="61" t="s">
        <v>151</v>
      </c>
      <c r="D96" s="66">
        <v>6.7782226259577834E-3</v>
      </c>
      <c r="E96" s="66"/>
      <c r="F96" s="66"/>
      <c r="G96" s="66"/>
      <c r="H96" s="66"/>
      <c r="I96" s="66"/>
      <c r="J96" s="66"/>
      <c r="K96" s="66"/>
      <c r="L96" s="66"/>
      <c r="M96" s="66"/>
      <c r="N96" s="61"/>
      <c r="O96" s="61">
        <v>10520359</v>
      </c>
    </row>
    <row r="97" spans="1:15" s="65" customFormat="1" hidden="1" x14ac:dyDescent="0.2">
      <c r="A97" s="61"/>
      <c r="B97" s="61">
        <v>10</v>
      </c>
      <c r="C97" s="61" t="s">
        <v>68</v>
      </c>
      <c r="D97" s="66">
        <v>2.6768798142645045E-2</v>
      </c>
      <c r="E97" s="66">
        <v>4.1822928779572013E-2</v>
      </c>
      <c r="F97" s="66">
        <v>4.0552860159794667E-2</v>
      </c>
      <c r="G97" s="66">
        <v>1.4037805014075916E-2</v>
      </c>
      <c r="H97" s="66">
        <v>1.0703760353519323E-2</v>
      </c>
      <c r="I97" s="66">
        <v>1.7435251701564018E-2</v>
      </c>
      <c r="J97" s="66">
        <v>1.3534166279074489E-2</v>
      </c>
      <c r="K97" s="66">
        <v>0</v>
      </c>
      <c r="L97" s="66">
        <v>4.6659384331851211E-2</v>
      </c>
      <c r="M97" s="66">
        <v>2.8669122621330614E-2</v>
      </c>
      <c r="N97" s="61"/>
      <c r="O97" s="61">
        <v>32768</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11</v>
      </c>
      <c r="B107" s="61">
        <v>20</v>
      </c>
      <c r="C107" s="61"/>
      <c r="D107" s="66"/>
      <c r="E107" s="66"/>
      <c r="F107" s="66"/>
      <c r="G107" s="66"/>
      <c r="H107" s="66"/>
      <c r="I107" s="66"/>
      <c r="J107" s="66"/>
      <c r="K107" s="66"/>
      <c r="L107" s="66"/>
      <c r="M107" s="66"/>
      <c r="N107" s="61"/>
      <c r="O107" s="61">
        <v>0</v>
      </c>
    </row>
    <row r="108" spans="1:15" s="61" customFormat="1" x14ac:dyDescent="0.2">
      <c r="B108" s="57"/>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c r="A112" s="61" t="str">
        <f>"Top 5 landed species by volume in "&amp;A74&amp;CHAR(10)&amp;A1</f>
        <v>Top 5 landed species by volume in 2013
Pelagic over 40m</v>
      </c>
    </row>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'Pelagic over 40m'!D3:L3</xm:f>
              <xm:sqref>C3</xm:sqref>
            </x14:sparkline>
            <x14:sparkline>
              <xm:f>'Pelagic over 40m'!D4:L4</xm:f>
              <xm:sqref>C4</xm:sqref>
            </x14:sparkline>
            <x14:sparkline>
              <xm:f>'Pelagic over 40m'!D5:L5</xm:f>
              <xm:sqref>C5</xm:sqref>
            </x14:sparkline>
            <x14:sparkline>
              <xm:f>'Pelagic over 40m'!D6:L6</xm:f>
              <xm:sqref>C6</xm:sqref>
            </x14:sparkline>
            <x14:sparkline>
              <xm:f>'Pelagic over 40m'!D7:L7</xm:f>
              <xm:sqref>C7</xm:sqref>
            </x14:sparkline>
            <x14:sparkline>
              <xm:f>'Pelagic over 40m'!D8:L8</xm:f>
              <xm:sqref>C8</xm:sqref>
            </x14:sparkline>
            <x14:sparkline>
              <xm:f>'Pelagic over 40m'!D9:L9</xm:f>
              <xm:sqref>C9</xm:sqref>
            </x14:sparkline>
            <x14:sparkline>
              <xm:f>'Pelagic over 40m'!D10:L10</xm:f>
              <xm:sqref>C10</xm:sqref>
            </x14:sparkline>
            <x14:sparkline>
              <xm:f>'Pelagic over 40m'!D11:L11</xm:f>
              <xm:sqref>C11</xm:sqref>
            </x14:sparkline>
            <x14:sparkline>
              <xm:f>'Pelagic over 40m'!D12:L12</xm:f>
              <xm:sqref>C12</xm:sqref>
            </x14:sparkline>
            <x14:sparkline>
              <xm:f>'Pelagic over 40m'!D13:L13</xm:f>
              <xm:sqref>C13</xm:sqref>
            </x14:sparkline>
            <x14:sparkline>
              <xm:f>'Pelagic over 40m'!D14:L14</xm:f>
              <xm:sqref>C14</xm:sqref>
            </x14:sparkline>
            <x14:sparkline>
              <xm:f>'Pelagic over 40m'!D15:L15</xm:f>
              <xm:sqref>C15</xm:sqref>
            </x14:sparkline>
            <x14:sparkline>
              <xm:f>'Pelagic over 40m'!D16:L16</xm:f>
              <xm:sqref>C16</xm:sqref>
            </x14:sparkline>
            <x14:sparkline>
              <xm:f>'Pelagic over 40m'!D17:L17</xm:f>
              <xm:sqref>C17</xm:sqref>
            </x14:sparkline>
            <x14:sparkline>
              <xm:f>'Pelagic over 40m'!D18:L18</xm:f>
              <xm:sqref>C18</xm:sqref>
            </x14:sparkline>
            <x14:sparkline>
              <xm:f>'Pelagic over 40m'!D19:L19</xm:f>
              <xm:sqref>C19</xm:sqref>
            </x14:sparkline>
            <x14:sparkline>
              <xm:f>'Pelagic over 40m'!D20:L20</xm:f>
              <xm:sqref>C20</xm:sqref>
            </x14:sparkline>
            <x14:sparkline>
              <xm:f>'Pelagic over 40m'!D21:L21</xm:f>
              <xm:sqref>C21</xm:sqref>
            </x14:sparkline>
            <x14:sparkline>
              <xm:f>'Pelagic over 40m'!D22:L22</xm:f>
              <xm:sqref>C22</xm:sqref>
            </x14:sparkline>
            <x14:sparkline>
              <xm:f>'Pelagic over 40m'!D23:L23</xm:f>
              <xm:sqref>C23</xm:sqref>
            </x14:sparkline>
            <x14:sparkline>
              <xm:f>'Pelagic over 40m'!D24:L24</xm:f>
              <xm:sqref>C24</xm:sqref>
            </x14:sparkline>
            <x14:sparkline>
              <xm:f>'Pelagic over 40m'!D25:L25</xm:f>
              <xm:sqref>C25</xm:sqref>
            </x14:sparkline>
            <x14:sparkline>
              <xm:f>'Pelagic over 40m'!D26:L26</xm:f>
              <xm:sqref>C26</xm:sqref>
            </x14:sparkline>
            <x14:sparkline>
              <xm:f>'Pelagic over 40m'!D27:L27</xm:f>
              <xm:sqref>C27</xm:sqref>
            </x14:sparkline>
            <x14:sparkline>
              <xm:f>'Pelagic over 40m'!D28:L28</xm:f>
              <xm:sqref>C28</xm:sqref>
            </x14:sparkline>
            <x14:sparkline>
              <xm:f>'Pelagic over 40m'!D29:L29</xm:f>
              <xm:sqref>C29</xm:sqref>
            </x14:sparkline>
            <x14:sparkline>
              <xm:f>'Pelagic over 40m'!D30:L30</xm:f>
              <xm:sqref>C30</xm:sqref>
            </x14:sparkline>
            <x14:sparkline>
              <xm:f>'Pelagic over 40m'!D31:L31</xm:f>
              <xm:sqref>C31</xm:sqref>
            </x14:sparkline>
            <x14:sparkline>
              <xm:f>'Pelagic over 40m'!D32:L32</xm:f>
              <xm:sqref>C32</xm:sqref>
            </x14:sparkline>
            <x14:sparkline>
              <xm:f>'Pelagic over 40m'!D33:L33</xm:f>
              <xm:sqref>C33</xm:sqref>
            </x14:sparkline>
            <x14:sparkline>
              <xm:f>'Pelagic over 40m'!D34:L34</xm:f>
              <xm:sqref>C34</xm:sqref>
            </x14:sparkline>
            <x14:sparkline>
              <xm:f>'Pelagic over 40m'!D35:L35</xm:f>
              <xm:sqref>C35</xm:sqref>
            </x14:sparkline>
            <x14:sparkline>
              <xm:f>'Pelagic over 40m'!D36:L36</xm:f>
              <xm:sqref>C36</xm:sqref>
            </x14:sparkline>
            <x14:sparkline>
              <xm:f>'Pelagic over 40m'!D37:L37</xm:f>
              <xm:sqref>C37</xm:sqref>
            </x14:sparkline>
            <x14:sparkline>
              <xm:f>'Pelagic over 40m'!D38:L38</xm:f>
              <xm:sqref>C38</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364</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162</v>
      </c>
      <c r="E3" s="16">
        <v>174</v>
      </c>
      <c r="F3" s="16">
        <v>177</v>
      </c>
      <c r="G3" s="16">
        <v>177</v>
      </c>
      <c r="H3" s="16">
        <v>177</v>
      </c>
      <c r="I3" s="16">
        <v>175</v>
      </c>
      <c r="J3" s="16">
        <v>177</v>
      </c>
      <c r="K3" s="16">
        <v>167</v>
      </c>
      <c r="L3" s="16">
        <v>169</v>
      </c>
      <c r="M3" s="17">
        <v>164</v>
      </c>
      <c r="N3" s="18">
        <f t="shared" ref="N3:N38" si="0">IF(L3=0,"",IFERROR(IF(AND(L3&gt;0,D3&lt;0),"na",IF(AND(L3&lt;0,D3&lt;0),-1,1)*(L3-D3)/D3),""))</f>
        <v>4.3209876543209874E-2</v>
      </c>
      <c r="O3" s="18">
        <f t="shared" ref="O3:O38" si="1">IF(L3=0,"",IFERROR(IF(AND(L3&gt;0,H3&lt;0),"na",IF(AND(L3&lt;0,H3&lt;0),-1,1)*(L3-H3)/H3),""))</f>
        <v>-4.519774011299435E-2</v>
      </c>
    </row>
    <row r="4" spans="1:15" s="19" customFormat="1" ht="18" customHeight="1" x14ac:dyDescent="0.2">
      <c r="A4" s="141"/>
      <c r="B4" s="20" t="s">
        <v>20</v>
      </c>
      <c r="C4" s="21"/>
      <c r="D4" s="22">
        <v>19998.240234375</v>
      </c>
      <c r="E4" s="22">
        <v>21847.279296875</v>
      </c>
      <c r="F4" s="22">
        <v>21714.3203125</v>
      </c>
      <c r="G4" s="22">
        <v>22252.259765625</v>
      </c>
      <c r="H4" s="22">
        <v>22480.880859375</v>
      </c>
      <c r="I4" s="22">
        <v>22273.380859375</v>
      </c>
      <c r="J4" s="22">
        <v>22560.51953125</v>
      </c>
      <c r="K4" s="22">
        <v>21385.4609375</v>
      </c>
      <c r="L4" s="22">
        <v>22703.76953125</v>
      </c>
      <c r="M4" s="23">
        <v>21278.740234375</v>
      </c>
      <c r="N4" s="24">
        <f t="shared" si="0"/>
        <v>0.13528836863477928</v>
      </c>
      <c r="O4" s="24">
        <f t="shared" si="1"/>
        <v>9.9145880123309646E-3</v>
      </c>
    </row>
    <row r="5" spans="1:15" s="19" customFormat="1" ht="18" customHeight="1" x14ac:dyDescent="0.2">
      <c r="A5" s="141"/>
      <c r="B5" s="20" t="s">
        <v>21</v>
      </c>
      <c r="C5" s="21"/>
      <c r="D5" s="22">
        <v>1999.1199951171875</v>
      </c>
      <c r="E5" s="22">
        <v>2144.81005859375</v>
      </c>
      <c r="F5" s="22">
        <v>2194.719970703125</v>
      </c>
      <c r="G5" s="22">
        <v>2197.77001953125</v>
      </c>
      <c r="H5" s="22">
        <v>2198.780029296875</v>
      </c>
      <c r="I5" s="22">
        <v>2175.780029296875</v>
      </c>
      <c r="J5" s="22">
        <v>2174.409912109375</v>
      </c>
      <c r="K5" s="22">
        <v>2056.5</v>
      </c>
      <c r="L5" s="22">
        <v>2107.830078125</v>
      </c>
      <c r="M5" s="23">
        <v>2036.3299560546875</v>
      </c>
      <c r="N5" s="24">
        <f t="shared" si="0"/>
        <v>5.4378968382755813E-2</v>
      </c>
      <c r="O5" s="24">
        <f t="shared" si="1"/>
        <v>-4.1363824466315049E-2</v>
      </c>
    </row>
    <row r="6" spans="1:15" s="19" customFormat="1" ht="18" customHeight="1" x14ac:dyDescent="0.2">
      <c r="A6" s="141"/>
      <c r="B6" s="20" t="s">
        <v>22</v>
      </c>
      <c r="C6" s="21"/>
      <c r="D6" s="22">
        <v>15741.64453125</v>
      </c>
      <c r="E6" s="22">
        <v>17375.09375</v>
      </c>
      <c r="F6" s="22">
        <v>14567.2177734375</v>
      </c>
      <c r="G6" s="22">
        <v>18036.5390625</v>
      </c>
      <c r="H6" s="22">
        <v>18107.478515625</v>
      </c>
      <c r="I6" s="22">
        <v>17911.181640625</v>
      </c>
      <c r="J6" s="22">
        <v>18032.4375</v>
      </c>
      <c r="K6" s="22">
        <v>17194.240234375</v>
      </c>
      <c r="L6" s="22">
        <v>17790.90234375</v>
      </c>
      <c r="M6" s="23">
        <v>17125.046875</v>
      </c>
      <c r="N6" s="24">
        <f t="shared" si="0"/>
        <v>0.1301806687625206</v>
      </c>
      <c r="O6" s="24">
        <f t="shared" si="1"/>
        <v>-1.7483172579872201E-2</v>
      </c>
    </row>
    <row r="7" spans="1:15" s="19" customFormat="1" ht="18" customHeight="1" x14ac:dyDescent="0.2">
      <c r="A7" s="141"/>
      <c r="B7" s="20" t="s">
        <v>23</v>
      </c>
      <c r="C7" s="21"/>
      <c r="D7" s="22">
        <v>8358.287109375</v>
      </c>
      <c r="E7" s="22">
        <v>7967.87548828125</v>
      </c>
      <c r="F7" s="22">
        <v>9079.12890625</v>
      </c>
      <c r="G7" s="22">
        <v>8176.33251953125</v>
      </c>
      <c r="H7" s="22">
        <v>8154.6318359375</v>
      </c>
      <c r="I7" s="22">
        <v>8721.4765625</v>
      </c>
      <c r="J7" s="22">
        <v>8605.455078125</v>
      </c>
      <c r="K7" s="22">
        <v>8636.3642578125</v>
      </c>
      <c r="L7" s="22">
        <v>10141.5986328125</v>
      </c>
      <c r="M7" s="23">
        <v>9577.8818359375</v>
      </c>
      <c r="N7" s="24">
        <f t="shared" si="0"/>
        <v>0.21335849081293992</v>
      </c>
      <c r="O7" s="24">
        <f t="shared" si="1"/>
        <v>0.24366112865064346</v>
      </c>
    </row>
    <row r="8" spans="1:15" s="19" customFormat="1" ht="18" customHeight="1" x14ac:dyDescent="0.2">
      <c r="A8" s="141"/>
      <c r="B8" s="20" t="s">
        <v>24</v>
      </c>
      <c r="C8" s="25"/>
      <c r="D8" s="26">
        <f ca="1">18.45389*OFFSET(D$108,MATCH($M$1,$C$109:$C$110,0),0)</f>
        <v>15.011501224918339</v>
      </c>
      <c r="E8" s="26">
        <f ca="1">19.388252*OFFSET(E$108,MATCH($M$1,$C$109:$C$110,0),0)</f>
        <v>16.195587310555958</v>
      </c>
      <c r="F8" s="26">
        <f ca="1">20.852696*OFFSET(F$108,MATCH($M$1,$C$109:$C$110,0),0)</f>
        <v>17.91913826278352</v>
      </c>
      <c r="G8" s="26">
        <f ca="1">19.021682*OFFSET(G$108,MATCH($M$1,$C$109:$C$110,0),0)</f>
        <v>16.820302966304101</v>
      </c>
      <c r="H8" s="26">
        <f ca="1">18.513188*OFFSET(H$108,MATCH($M$1,$C$109:$C$110,0),0)</f>
        <v>16.694822942209651</v>
      </c>
      <c r="I8" s="26">
        <f ca="1">19.125922*OFFSET(I$108,MATCH($M$1,$C$109:$C$110,0),0)</f>
        <v>17.794566337842916</v>
      </c>
      <c r="J8" s="26">
        <f ca="1">19.056868*OFFSET(J$108,MATCH($M$1,$C$109:$C$110,0),0)</f>
        <v>18.107073555963744</v>
      </c>
      <c r="K8" s="26">
        <f ca="1">17.926482*OFFSET(K$108,MATCH($M$1,$C$109:$C$110,0),0)</f>
        <v>17.315905853847376</v>
      </c>
      <c r="L8" s="26">
        <f ca="1">17.809672*OFFSET(L$108,MATCH($M$1,$C$109:$C$110,0),0)</f>
        <v>17.511003492542468</v>
      </c>
      <c r="M8" s="27">
        <f ca="1">18.611372*OFFSET(M$108,MATCH($M$1,$C$109:$C$110,0),0)</f>
        <v>18.61137192769197</v>
      </c>
      <c r="N8" s="24">
        <f t="shared" ca="1" si="0"/>
        <v>0.16650581645192689</v>
      </c>
      <c r="O8" s="24">
        <f t="shared" ca="1" si="1"/>
        <v>4.8888242370589099E-2</v>
      </c>
    </row>
    <row r="9" spans="1:15" s="19" customFormat="1" ht="18" customHeight="1" x14ac:dyDescent="0.2">
      <c r="A9" s="141"/>
      <c r="B9" s="20" t="s">
        <v>25</v>
      </c>
      <c r="C9" s="25"/>
      <c r="D9" s="22">
        <v>27111.572265625</v>
      </c>
      <c r="E9" s="22">
        <v>27308.26171875</v>
      </c>
      <c r="F9" s="22">
        <v>29293.5</v>
      </c>
      <c r="G9" s="22">
        <v>29161.19921875</v>
      </c>
      <c r="H9" s="22">
        <v>29601.5</v>
      </c>
      <c r="I9" s="22">
        <v>29902.75</v>
      </c>
      <c r="J9" s="22">
        <v>27417.75</v>
      </c>
      <c r="K9" s="22">
        <v>25800</v>
      </c>
      <c r="L9" s="22">
        <v>25684</v>
      </c>
      <c r="M9" s="23">
        <v>25490</v>
      </c>
      <c r="N9" s="24">
        <f t="shared" si="0"/>
        <v>-5.2655458401246295E-2</v>
      </c>
      <c r="O9" s="24">
        <f t="shared" si="1"/>
        <v>-0.13234126648987382</v>
      </c>
    </row>
    <row r="10" spans="1:15" s="19" customFormat="1" ht="18" customHeight="1" x14ac:dyDescent="0.2">
      <c r="A10" s="142" t="s">
        <v>7</v>
      </c>
      <c r="B10" s="28" t="s">
        <v>26</v>
      </c>
      <c r="C10" s="29"/>
      <c r="D10" s="30">
        <v>11.044568061828613</v>
      </c>
      <c r="E10" s="30">
        <v>11.041207313537598</v>
      </c>
      <c r="F10" s="30">
        <v>11.057740211486816</v>
      </c>
      <c r="G10" s="30">
        <v>11.043954849243164</v>
      </c>
      <c r="H10" s="30">
        <v>11.070508003234863</v>
      </c>
      <c r="I10" s="30">
        <v>11.080914497375488</v>
      </c>
      <c r="J10" s="30">
        <v>11.072994232177734</v>
      </c>
      <c r="K10" s="30">
        <v>11.07664680480957</v>
      </c>
      <c r="L10" s="30">
        <v>11.081183433532715</v>
      </c>
      <c r="M10" s="31">
        <v>11.092865943908691</v>
      </c>
      <c r="N10" s="32">
        <f t="shared" si="0"/>
        <v>3.3152379974594748E-3</v>
      </c>
      <c r="O10" s="32">
        <f t="shared" si="1"/>
        <v>9.6431259475465291E-4</v>
      </c>
    </row>
    <row r="11" spans="1:15" s="19" customFormat="1" ht="18" customHeight="1" x14ac:dyDescent="0.2">
      <c r="A11" s="143"/>
      <c r="B11" s="33" t="s">
        <v>20</v>
      </c>
      <c r="C11" s="21"/>
      <c r="D11" s="22">
        <v>123.4459228515625</v>
      </c>
      <c r="E11" s="22">
        <v>125.55908203125</v>
      </c>
      <c r="F11" s="22">
        <v>122.67977142333984</v>
      </c>
      <c r="G11" s="22">
        <v>125.71898651123047</v>
      </c>
      <c r="H11" s="22">
        <v>127.0106201171875</v>
      </c>
      <c r="I11" s="22">
        <v>127.27645874023437</v>
      </c>
      <c r="J11" s="22">
        <v>127.46056365966797</v>
      </c>
      <c r="K11" s="22">
        <v>128.056640625</v>
      </c>
      <c r="L11" s="22">
        <v>134.34182739257812</v>
      </c>
      <c r="M11" s="23">
        <v>129.7484130859375</v>
      </c>
      <c r="N11" s="24">
        <f t="shared" si="0"/>
        <v>8.8264596264693171E-2</v>
      </c>
      <c r="O11" s="24">
        <f t="shared" si="1"/>
        <v>5.7721214719103173E-2</v>
      </c>
    </row>
    <row r="12" spans="1:15" s="19" customFormat="1" ht="18" customHeight="1" x14ac:dyDescent="0.2">
      <c r="A12" s="143"/>
      <c r="B12" s="33" t="s">
        <v>21</v>
      </c>
      <c r="C12" s="21"/>
      <c r="D12" s="22">
        <v>12.34024715423584</v>
      </c>
      <c r="E12" s="22">
        <v>12.326494216918945</v>
      </c>
      <c r="F12" s="22">
        <v>12.399547576904297</v>
      </c>
      <c r="G12" s="22">
        <v>12.416779518127441</v>
      </c>
      <c r="H12" s="22">
        <v>12.422486305236816</v>
      </c>
      <c r="I12" s="22">
        <v>12.433028221130371</v>
      </c>
      <c r="J12" s="22">
        <v>12.284802436828613</v>
      </c>
      <c r="K12" s="22">
        <v>12.314371109008789</v>
      </c>
      <c r="L12" s="22">
        <v>12.472367286682129</v>
      </c>
      <c r="M12" s="23">
        <v>12.416646003723145</v>
      </c>
      <c r="N12" s="24">
        <f t="shared" si="0"/>
        <v>1.0706441353643252E-2</v>
      </c>
      <c r="O12" s="24">
        <f t="shared" si="1"/>
        <v>4.0153782600094072E-3</v>
      </c>
    </row>
    <row r="13" spans="1:15" s="19" customFormat="1" ht="18" customHeight="1" x14ac:dyDescent="0.2">
      <c r="A13" s="143"/>
      <c r="B13" s="33" t="s">
        <v>22</v>
      </c>
      <c r="C13" s="21"/>
      <c r="D13" s="22">
        <v>97.170646667480469</v>
      </c>
      <c r="E13" s="22">
        <v>100.43406677246094</v>
      </c>
      <c r="F13" s="22">
        <v>82.768287658691406</v>
      </c>
      <c r="G13" s="22">
        <v>101.90135192871094</v>
      </c>
      <c r="H13" s="22">
        <v>102.30214691162109</v>
      </c>
      <c r="I13" s="22">
        <v>102.349609375</v>
      </c>
      <c r="J13" s="22">
        <v>101.87818145751953</v>
      </c>
      <c r="K13" s="22">
        <v>102.95951843261719</v>
      </c>
      <c r="L13" s="22">
        <v>105.2716064453125</v>
      </c>
      <c r="M13" s="23">
        <v>104.4210205078125</v>
      </c>
      <c r="N13" s="24">
        <f t="shared" si="0"/>
        <v>8.3368383927233156E-2</v>
      </c>
      <c r="O13" s="24">
        <f t="shared" si="1"/>
        <v>2.9026365754149078E-2</v>
      </c>
    </row>
    <row r="14" spans="1:15" s="19" customFormat="1" ht="18" customHeight="1" x14ac:dyDescent="0.2">
      <c r="A14" s="143"/>
      <c r="B14" s="33" t="s">
        <v>23</v>
      </c>
      <c r="C14" s="25"/>
      <c r="D14" s="26">
        <v>51.594367980957031</v>
      </c>
      <c r="E14" s="26">
        <v>45.792388916015625</v>
      </c>
      <c r="F14" s="26">
        <v>51.294517517089844</v>
      </c>
      <c r="G14" s="26">
        <v>46.1939697265625</v>
      </c>
      <c r="H14" s="26">
        <v>46.071365356445313</v>
      </c>
      <c r="I14" s="26">
        <v>49.837009429931641</v>
      </c>
      <c r="J14" s="26">
        <v>48.618392944335938</v>
      </c>
      <c r="K14" s="26">
        <v>51.714752197265625</v>
      </c>
      <c r="L14" s="26">
        <v>60.009456634521484</v>
      </c>
      <c r="M14" s="27">
        <v>58.401718139648438</v>
      </c>
      <c r="N14" s="24">
        <f t="shared" si="0"/>
        <v>0.16310091552377148</v>
      </c>
      <c r="O14" s="24">
        <f t="shared" si="1"/>
        <v>0.30253262889518978</v>
      </c>
    </row>
    <row r="15" spans="1:15" s="19" customFormat="1" ht="18" customHeight="1" x14ac:dyDescent="0.2">
      <c r="A15" s="143"/>
      <c r="B15" s="33" t="s">
        <v>27</v>
      </c>
      <c r="C15" s="25"/>
      <c r="D15" s="26">
        <f ca="1">113.91290625*OFFSET(D$108,MATCH($M$1,$C$109:$C$110,0),0)</f>
        <v>92.663591887991259</v>
      </c>
      <c r="E15" s="26">
        <f ca="1">111.426734375*OFFSET(E$108,MATCH($M$1,$C$109:$C$110,0),0)</f>
        <v>93.078086941537535</v>
      </c>
      <c r="F15" s="26">
        <f ca="1">117.81184375*OFFSET(F$108,MATCH($M$1,$C$109:$C$110,0),0)</f>
        <v>101.23807095013987</v>
      </c>
      <c r="G15" s="26">
        <f ca="1">107.467125*OFFSET(G$108,MATCH($M$1,$C$109:$C$110,0),0)</f>
        <v>95.029955890213799</v>
      </c>
      <c r="H15" s="26">
        <f ca="1">104.59428125*OFFSET(H$108,MATCH($M$1,$C$109:$C$110,0),0)</f>
        <v>94.321032457317912</v>
      </c>
      <c r="I15" s="26">
        <f ca="1">109.290984375*OFFSET(I$108,MATCH($M$1,$C$109:$C$110,0),0)</f>
        <v>101.68323762844432</v>
      </c>
      <c r="J15" s="26">
        <f ca="1">107.665921875*OFFSET(J$108,MATCH($M$1,$C$109:$C$110,0),0)</f>
        <v>102.29985152131351</v>
      </c>
      <c r="K15" s="26">
        <f ca="1">107.344203125*OFFSET(K$108,MATCH($M$1,$C$109:$C$110,0),0)</f>
        <v>103.6880585531935</v>
      </c>
      <c r="L15" s="26">
        <f ca="1">105.382671875*OFFSET(L$108,MATCH($M$1,$C$109:$C$110,0),0)</f>
        <v>103.61540264506735</v>
      </c>
      <c r="M15" s="27">
        <f ca="1">113.4839765625*OFFSET(M$108,MATCH($M$1,$C$109:$C$110,0),0)</f>
        <v>113.48397612159737</v>
      </c>
      <c r="N15" s="24">
        <f t="shared" ca="1" si="0"/>
        <v>0.11818892980442937</v>
      </c>
      <c r="O15" s="24">
        <f t="shared" ca="1" si="1"/>
        <v>9.8539741832823116E-2</v>
      </c>
    </row>
    <row r="16" spans="1:15" s="19" customFormat="1" ht="18" customHeight="1" x14ac:dyDescent="0.2">
      <c r="A16" s="143"/>
      <c r="B16" s="33" t="s">
        <v>25</v>
      </c>
      <c r="C16" s="21"/>
      <c r="D16" s="22">
        <v>167.35537719726562</v>
      </c>
      <c r="E16" s="22">
        <v>156.94403076171875</v>
      </c>
      <c r="F16" s="22">
        <v>165.5</v>
      </c>
      <c r="G16" s="22">
        <v>164.75254821777344</v>
      </c>
      <c r="H16" s="22">
        <v>167.2401123046875</v>
      </c>
      <c r="I16" s="22">
        <v>170.87286376953125</v>
      </c>
      <c r="J16" s="22">
        <v>154.90254211425781</v>
      </c>
      <c r="K16" s="22">
        <v>154.49101257324219</v>
      </c>
      <c r="L16" s="22">
        <v>151.97633361816406</v>
      </c>
      <c r="M16" s="23">
        <v>155.42683410644531</v>
      </c>
      <c r="N16" s="24">
        <f t="shared" si="0"/>
        <v>-9.1894529095255362E-2</v>
      </c>
      <c r="O16" s="24">
        <f t="shared" si="1"/>
        <v>-9.1268646475882662E-2</v>
      </c>
    </row>
    <row r="17" spans="1:15" s="19" customFormat="1" ht="18" customHeight="1" x14ac:dyDescent="0.2">
      <c r="A17" s="143"/>
      <c r="B17" s="33" t="s">
        <v>28</v>
      </c>
      <c r="C17" s="21"/>
      <c r="D17" s="22">
        <v>22.19135856628418</v>
      </c>
      <c r="E17" s="22">
        <v>22.465517044067383</v>
      </c>
      <c r="F17" s="22">
        <v>23.378530502319336</v>
      </c>
      <c r="G17" s="22">
        <v>24.011299133300781</v>
      </c>
      <c r="H17" s="22">
        <v>25.039548873901367</v>
      </c>
      <c r="I17" s="22">
        <v>25.988571166992188</v>
      </c>
      <c r="J17" s="22">
        <v>26.881355285644531</v>
      </c>
      <c r="K17" s="22">
        <v>27.634731292724609</v>
      </c>
      <c r="L17" s="22">
        <v>27.609466552734375</v>
      </c>
      <c r="M17" s="23">
        <v>27.884145736694336</v>
      </c>
      <c r="N17" s="24">
        <f t="shared" si="0"/>
        <v>0.24415395615670174</v>
      </c>
      <c r="O17" s="24">
        <f t="shared" si="1"/>
        <v>0.10263434424378244</v>
      </c>
    </row>
    <row r="18" spans="1:15" s="19" customFormat="1" ht="18" customHeight="1" x14ac:dyDescent="0.2">
      <c r="A18" s="143"/>
      <c r="B18" s="33" t="s">
        <v>29</v>
      </c>
      <c r="C18" s="21"/>
      <c r="D18" s="34">
        <v>0.30829226970672607</v>
      </c>
      <c r="E18" s="34">
        <v>0.29177528619766235</v>
      </c>
      <c r="F18" s="34">
        <v>0.30993667244911194</v>
      </c>
      <c r="G18" s="34">
        <v>0.28038394451141357</v>
      </c>
      <c r="H18" s="34">
        <v>0.27548035979270935</v>
      </c>
      <c r="I18" s="34">
        <v>0.29166135191917419</v>
      </c>
      <c r="J18" s="34">
        <v>0.31386440992355347</v>
      </c>
      <c r="K18" s="34">
        <v>0.33474278450012207</v>
      </c>
      <c r="L18" s="34">
        <v>0.39486053586006165</v>
      </c>
      <c r="M18" s="35">
        <v>0.37575054168701172</v>
      </c>
      <c r="N18" s="24">
        <f t="shared" si="0"/>
        <v>0.2807993409490504</v>
      </c>
      <c r="O18" s="24">
        <f t="shared" si="1"/>
        <v>0.43335276662620259</v>
      </c>
    </row>
    <row r="19" spans="1:15" s="19" customFormat="1" ht="18" customHeight="1" x14ac:dyDescent="0.2">
      <c r="A19" s="144"/>
      <c r="B19" s="36" t="s">
        <v>8</v>
      </c>
      <c r="C19" s="37"/>
      <c r="D19" s="38">
        <f ca="1">2207.85548025759*OFFSET(D$108,MATCH($M$1,$C$109:$C$110,0),0)</f>
        <v>1796.0021028807193</v>
      </c>
      <c r="E19" s="38">
        <f ca="1">2433.3025821645*OFFSET(E$108,MATCH($M$1,$C$109:$C$110,0),0)</f>
        <v>2032.6104912627718</v>
      </c>
      <c r="F19" s="38">
        <f ca="1">2296.77276480183*OFFSET(F$108,MATCH($M$1,$C$109:$C$110,0),0)</f>
        <v>1973.6627211502798</v>
      </c>
      <c r="G19" s="38">
        <f ca="1">2326.43204695527*OFFSET(G$108,MATCH($M$1,$C$109:$C$110,0),0)</f>
        <v>2057.1940935773532</v>
      </c>
      <c r="H19" s="38">
        <f ca="1">2270.26656413994*OFFSET(H$108,MATCH($M$1,$C$109:$C$110,0),0)</f>
        <v>2047.2810150220989</v>
      </c>
      <c r="I19" s="38">
        <f ca="1">2192.96834233739*OFFSET(I$108,MATCH($M$1,$C$109:$C$110,0),0)</f>
        <v>2040.3157894564297</v>
      </c>
      <c r="J19" s="38">
        <f ca="1">2214.51019463717*OFFSET(J$108,MATCH($M$1,$C$109:$C$110,0),0)</f>
        <v>2104.1389899288188</v>
      </c>
      <c r="K19" s="38">
        <f ca="1">2075.697766428*OFFSET(K$108,MATCH($M$1,$C$109:$C$110,0),0)</f>
        <v>2004.999480908107</v>
      </c>
      <c r="L19" s="38">
        <f ca="1">1756.10104923478*OFFSET(L$108,MATCH($M$1,$C$109:$C$110,0),0)</f>
        <v>1726.6512042674185</v>
      </c>
      <c r="M19" s="39">
        <f ca="1">1943.16157985658*OFFSET(M$108,MATCH($M$1,$C$109:$C$110,0),0)</f>
        <v>1943.1615723070995</v>
      </c>
      <c r="N19" s="40">
        <f ca="1">IF(L19=0,"",IFERROR(IF(AND(L19&gt;0,D19&lt;0),"na",IF(AND(L19&lt;0,D19&lt;0),-1,1)*(L19-D19)/D19),""))</f>
        <v>-3.8614040875600664E-2</v>
      </c>
      <c r="O19" s="40">
        <f ca="1">IF(L19=0,"",IFERROR(IF(AND(L19&gt;0,H19&lt;0),"na",IF(AND(L19&lt;0,H19&lt;0),-1,1)*(L19-H19)/H19),""))</f>
        <v>-0.15661250624708178</v>
      </c>
    </row>
    <row r="20" spans="1:15" s="19" customFormat="1" ht="18" customHeight="1" x14ac:dyDescent="0.2">
      <c r="A20" s="145" t="s">
        <v>9</v>
      </c>
      <c r="B20" s="28" t="s">
        <v>30</v>
      </c>
      <c r="C20" s="41"/>
      <c r="D20" s="42">
        <v>2.4840889787315596</v>
      </c>
      <c r="E20" s="42">
        <v>2.3226056630055232</v>
      </c>
      <c r="F20" s="42">
        <v>2.4431509619976932</v>
      </c>
      <c r="G20" s="42">
        <v>2.1783274707494025</v>
      </c>
      <c r="H20" s="42">
        <v>2.1302495808774644</v>
      </c>
      <c r="I20" s="42">
        <v>2.2392295190836768</v>
      </c>
      <c r="J20" s="42">
        <v>2.4107610703215476</v>
      </c>
      <c r="K20" s="42">
        <v>2.537408404741794</v>
      </c>
      <c r="L20" s="42">
        <v>3.0011170168044861</v>
      </c>
      <c r="M20" s="43">
        <v>2.8699057176156053</v>
      </c>
      <c r="N20" s="32">
        <f t="shared" si="0"/>
        <v>0.20813587697528224</v>
      </c>
      <c r="O20" s="32">
        <f t="shared" si="1"/>
        <v>0.40881004918132896</v>
      </c>
    </row>
    <row r="21" spans="1:15" s="19" customFormat="1" ht="18" customHeight="1" x14ac:dyDescent="0.2">
      <c r="A21" s="145"/>
      <c r="B21" s="33" t="s">
        <v>31</v>
      </c>
      <c r="C21" s="21"/>
      <c r="D21" s="34">
        <f ca="1">5.48450937620454*OFFSET(D$108,MATCH($M$1,$C$109:$C$110,0),0)</f>
        <v>4.4614289571992982</v>
      </c>
      <c r="E21" s="34">
        <f ca="1">5.6516021635*OFFSET(E$108,MATCH($M$1,$C$109:$C$110,0),0)</f>
        <v>4.7209524759370352</v>
      </c>
      <c r="F21" s="34">
        <f ca="1">5.61136225322009*OFFSET(F$108,MATCH($M$1,$C$109:$C$110,0),0)</f>
        <v>4.8219556865939657</v>
      </c>
      <c r="G21" s="34">
        <f ca="1">5.06773052793833*OFFSET(G$108,MATCH($M$1,$C$109:$C$110,0),0)</f>
        <v>4.4812421336615209</v>
      </c>
      <c r="H21" s="34">
        <f ca="1">4.83623443913891*OFFSET(H$108,MATCH($M$1,$C$109:$C$110,0),0)</f>
        <v>4.3612195624244023</v>
      </c>
      <c r="I21" s="34">
        <f ca="1">4.91055946537658*OFFSET(I$108,MATCH($M$1,$C$109:$C$110,0),0)</f>
        <v>4.5687353614934745</v>
      </c>
      <c r="J21" s="34">
        <f ca="1">5.33865472175731*OFFSET(J$108,MATCH($M$1,$C$109:$C$110,0),0)</f>
        <v>5.0725761303878878</v>
      </c>
      <c r="K21" s="34">
        <f ca="1">5.26689332611918*OFFSET(K$108,MATCH($M$1,$C$109:$C$110,0),0)</f>
        <v>5.0875028897101382</v>
      </c>
      <c r="L21" s="34">
        <f ca="1">5.27026484786481*OFFSET(L$108,MATCH($M$1,$C$109:$C$110,0),0)</f>
        <v>5.1818824152171077</v>
      </c>
      <c r="M21" s="35">
        <f ca="1">5.57669061063748*OFFSET(M$108,MATCH($M$1,$C$109:$C$110,0),0)</f>
        <v>5.5766905889711831</v>
      </c>
      <c r="N21" s="24">
        <f t="shared" ca="1" si="0"/>
        <v>0.1614849109846816</v>
      </c>
      <c r="O21" s="24">
        <f t="shared" ca="1" si="1"/>
        <v>0.18817278998365741</v>
      </c>
    </row>
    <row r="22" spans="1:15" s="19" customFormat="1" ht="18" customHeight="1" x14ac:dyDescent="0.2">
      <c r="A22" s="145"/>
      <c r="B22" s="33" t="s">
        <v>10</v>
      </c>
      <c r="C22" s="21"/>
      <c r="D22" s="34">
        <f ca="1">4.76611932605788*OFFSET(D$108,MATCH($M$1,$C$109:$C$110,0),0)</f>
        <v>3.8770473922422228</v>
      </c>
      <c r="E22" s="34">
        <f ca="1">3.69675258052127*OFFSET(E$108,MATCH($M$1,$C$109:$C$110,0),0)</f>
        <v>3.0880080980665645</v>
      </c>
      <c r="F22" s="34">
        <f ca="1">4.74283184480701*OFFSET(F$108,MATCH($M$1,$C$109:$C$110,0),0)</f>
        <v>4.0756101553597395</v>
      </c>
      <c r="G22" s="34">
        <f ca="1">3.6978832989671*OFFSET(G$108,MATCH($M$1,$C$109:$C$110,0),0)</f>
        <v>3.2699273083559444</v>
      </c>
      <c r="H22" s="34">
        <f ca="1">3.4486875170119*OFFSET(H$108,MATCH($M$1,$C$109:$C$110,0),0)</f>
        <v>3.1099574789346005</v>
      </c>
      <c r="I22" s="34">
        <f ca="1">3.72707612198642*OFFSET(I$108,MATCH($M$1,$C$109:$C$110,0),0)</f>
        <v>3.4676343079762462</v>
      </c>
      <c r="J22" s="34">
        <f ca="1">4.60422365675456*OFFSET(J$108,MATCH($M$1,$C$109:$C$110,0),0)</f>
        <v>4.3747491151727127</v>
      </c>
      <c r="K22" s="34">
        <f ca="1">3.54604976043211*OFFSET(K$108,MATCH($M$1,$C$109:$C$110,0),0)</f>
        <v>3.4252712721157703</v>
      </c>
      <c r="L22" s="34">
        <f ca="1">3.9831252841186*OFFSET(L$108,MATCH($M$1,$C$109:$C$110,0),0)</f>
        <v>3.916328204215946</v>
      </c>
      <c r="M22" s="35">
        <f ca="1">4.15755578773719*OFFSET(M$108,MATCH($M$1,$C$109:$C$110,0),0)</f>
        <v>4.1575557715844482</v>
      </c>
      <c r="N22" s="24">
        <f t="shared" ca="1" si="0"/>
        <v>1.0131630594024221E-2</v>
      </c>
      <c r="O22" s="24">
        <f t="shared" ca="1" si="1"/>
        <v>0.25928673647254796</v>
      </c>
    </row>
    <row r="23" spans="1:15" s="19" customFormat="1" ht="18" customHeight="1" x14ac:dyDescent="0.2">
      <c r="A23" s="146"/>
      <c r="B23" s="33" t="s">
        <v>32</v>
      </c>
      <c r="C23" s="44"/>
      <c r="D23" s="34">
        <f ca="1">0.718390050146663*OFFSET(D$108,MATCH($M$1,$C$109:$C$110,0),0)</f>
        <v>0.58438156495707838</v>
      </c>
      <c r="E23" s="34">
        <f ca="1">1.95484958297873*OFFSET(E$108,MATCH($M$1,$C$109:$C$110,0),0)</f>
        <v>1.6329443778704713</v>
      </c>
      <c r="F23" s="34">
        <f ca="1">0.868530408413072*OFFSET(F$108,MATCH($M$1,$C$109:$C$110,0),0)</f>
        <v>0.74634553123421898</v>
      </c>
      <c r="G23" s="34">
        <f ca="1">1.36984722897123*OFFSET(G$108,MATCH($M$1,$C$109:$C$110,0),0)</f>
        <v>1.211314825305577</v>
      </c>
      <c r="H23" s="34">
        <f ca="1">1.38754692212701*OFFSET(H$108,MATCH($M$1,$C$109:$C$110,0),0)</f>
        <v>1.2512620834898016</v>
      </c>
      <c r="I23" s="34">
        <f ca="1">1.18348334339017*OFFSET(I$108,MATCH($M$1,$C$109:$C$110,0),0)</f>
        <v>1.1011010535172372</v>
      </c>
      <c r="J23" s="34">
        <f ca="1">0.734431065002742*OFFSET(J$108,MATCH($M$1,$C$109:$C$110,0),0)</f>
        <v>0.69782701521516755</v>
      </c>
      <c r="K23" s="34">
        <f ca="1">1.72084356568706*OFFSET(K$108,MATCH($M$1,$C$109:$C$110,0),0)</f>
        <v>1.6622316175943586</v>
      </c>
      <c r="L23" s="34">
        <f ca="1">1.2871395637462*OFFSET(L$108,MATCH($M$1,$C$109:$C$110,0),0)</f>
        <v>1.2655542110011513</v>
      </c>
      <c r="M23" s="35">
        <f ca="1">1.41913482290029*OFFSET(M$108,MATCH($M$1,$C$109:$C$110,0),0)</f>
        <v>1.4191348173867337</v>
      </c>
      <c r="N23" s="24">
        <f t="shared" ca="1" si="0"/>
        <v>1.1656299358007702</v>
      </c>
      <c r="O23" s="24">
        <f t="shared" ca="1" si="1"/>
        <v>1.1422169423921619E-2</v>
      </c>
    </row>
    <row r="24" spans="1:15" s="19" customFormat="1" ht="18" customHeight="1" x14ac:dyDescent="0.2">
      <c r="A24" s="147" t="s">
        <v>11</v>
      </c>
      <c r="B24" s="28" t="s">
        <v>27</v>
      </c>
      <c r="C24" s="29"/>
      <c r="D24" s="30">
        <f ca="1">113.9*OFFSET(D$108,MATCH($M$1,$C$109:$C$110,0),0)</f>
        <v>92.653093169960314</v>
      </c>
      <c r="E24" s="30">
        <f ca="1">111.4*OFFSET(E$108,MATCH($M$1,$C$109:$C$110,0),0)</f>
        <v>93.055754917768425</v>
      </c>
      <c r="F24" s="30">
        <f ca="1">117.8*OFFSET(F$108,MATCH($M$1,$C$109:$C$110,0),0)</f>
        <v>101.22789337915339</v>
      </c>
      <c r="G24" s="30">
        <f ca="1">107.5*OFFSET(G$108,MATCH($M$1,$C$109:$C$110,0),0)</f>
        <v>95.059026266851234</v>
      </c>
      <c r="H24" s="30">
        <f ca="1">104.6*OFFSET(H$108,MATCH($M$1,$C$109:$C$110,0),0)</f>
        <v>94.326189511775567</v>
      </c>
      <c r="I24" s="30">
        <f ca="1">109.3*OFFSET(I$108,MATCH($M$1,$C$109:$C$110,0),0)</f>
        <v>101.69162567567884</v>
      </c>
      <c r="J24" s="30">
        <f ca="1">107.7*OFFSET(J$108,MATCH($M$1,$C$109:$C$110,0),0)</f>
        <v>102.33223119230796</v>
      </c>
      <c r="K24" s="30">
        <f ca="1">107.3*OFFSET(K$108,MATCH($M$1,$C$109:$C$110,0),0)</f>
        <v>103.64536098704828</v>
      </c>
      <c r="L24" s="30">
        <f ca="1">105.4*OFFSET(L$108,MATCH($M$1,$C$109:$C$110,0),0)</f>
        <v>103.63244017711141</v>
      </c>
      <c r="M24" s="31">
        <f ca="1">113.5*OFFSET(M$108,MATCH($M$1,$C$109:$C$110,0),0)</f>
        <v>113.49999955903512</v>
      </c>
      <c r="N24" s="32">
        <f t="shared" ca="1" si="0"/>
        <v>0.11849951935237472</v>
      </c>
      <c r="O24" s="32">
        <f t="shared" ca="1" si="1"/>
        <v>9.866030540939065E-2</v>
      </c>
    </row>
    <row r="25" spans="1:15" s="19" customFormat="1" ht="18" customHeight="1" x14ac:dyDescent="0.2">
      <c r="A25" s="148"/>
      <c r="B25" s="33" t="s">
        <v>33</v>
      </c>
      <c r="C25" s="25"/>
      <c r="D25" s="26">
        <f ca="1">1.5*OFFSET(D$108,MATCH($M$1,$C$109:$C$110,0),0)</f>
        <v>1.2201899890688364</v>
      </c>
      <c r="E25" s="26">
        <f ca="1">5.6*OFFSET(E$108,MATCH($M$1,$C$109:$C$110,0),0)</f>
        <v>4.6778476439811767</v>
      </c>
      <c r="F25" s="26">
        <f ca="1">3.4*OFFSET(F$108,MATCH($M$1,$C$109:$C$110,0),0)</f>
        <v>2.92168792435587</v>
      </c>
      <c r="G25" s="26">
        <f ca="1">1.7*OFFSET(G$108,MATCH($M$1,$C$109:$C$110,0),0)</f>
        <v>1.5032590200339264</v>
      </c>
      <c r="H25" s="26">
        <f ca="1">0.1*OFFSET(H$108,MATCH($M$1,$C$109:$C$110,0),0)</f>
        <v>9.0178001445292144E-2</v>
      </c>
      <c r="I25" s="26">
        <f ca="1">4.2*OFFSET(I$108,MATCH($M$1,$C$109:$C$110,0),0)</f>
        <v>3.9076379491111721</v>
      </c>
      <c r="J25" s="26">
        <f ca="1">0.3*OFFSET(J$108,MATCH($M$1,$C$109:$C$110,0),0)</f>
        <v>0.28504799775016143</v>
      </c>
      <c r="K25" s="26">
        <f ca="1">1.1*OFFSET(K$108,MATCH($M$1,$C$109:$C$110,0),0)</f>
        <v>1.062533989615593</v>
      </c>
      <c r="L25" s="26">
        <f ca="1">2*OFFSET(L$108,MATCH($M$1,$C$109:$C$110,0),0)</f>
        <v>1.9664599654100836</v>
      </c>
      <c r="M25" s="27">
        <f ca="1">2.2*OFFSET(M$108,MATCH($M$1,$C$109:$C$110,0),0)</f>
        <v>2.1999999914526631</v>
      </c>
      <c r="N25" s="24">
        <f t="shared" ca="1" si="0"/>
        <v>0.61160145799159382</v>
      </c>
      <c r="O25" s="24">
        <f t="shared" ca="1" si="1"/>
        <v>20.806426555184487</v>
      </c>
    </row>
    <row r="26" spans="1:15" s="19" customFormat="1" ht="18" customHeight="1" x14ac:dyDescent="0.2">
      <c r="A26" s="148"/>
      <c r="B26" s="45" t="s">
        <v>34</v>
      </c>
      <c r="C26" s="46"/>
      <c r="D26" s="47">
        <f ca="1">115.4*OFFSET(D$108,MATCH($M$1,$C$109:$C$110,0),0)</f>
        <v>93.873283159029143</v>
      </c>
      <c r="E26" s="47">
        <f ca="1">117.1*OFFSET(E$108,MATCH($M$1,$C$109:$C$110,0),0)</f>
        <v>97.817135555392113</v>
      </c>
      <c r="F26" s="47">
        <f ca="1">121.2*OFFSET(F$108,MATCH($M$1,$C$109:$C$110,0),0)</f>
        <v>104.14958130350925</v>
      </c>
      <c r="G26" s="47">
        <f ca="1">109.2*OFFSET(G$108,MATCH($M$1,$C$109:$C$110,0),0)</f>
        <v>96.562285286885157</v>
      </c>
      <c r="H26" s="47">
        <f ca="1">104.7*OFFSET(H$108,MATCH($M$1,$C$109:$C$110,0),0)</f>
        <v>94.416367513220862</v>
      </c>
      <c r="I26" s="47">
        <f ca="1">113.5*OFFSET(I$108,MATCH($M$1,$C$109:$C$110,0),0)</f>
        <v>105.59926362479</v>
      </c>
      <c r="J26" s="47">
        <f ca="1">108*OFFSET(J$108,MATCH($M$1,$C$109:$C$110,0),0)</f>
        <v>102.61727919005811</v>
      </c>
      <c r="K26" s="47">
        <f ca="1">108.4*OFFSET(K$108,MATCH($M$1,$C$109:$C$110,0),0)</f>
        <v>104.70789497666388</v>
      </c>
      <c r="L26" s="47">
        <f ca="1">107.4*OFFSET(L$108,MATCH($M$1,$C$109:$C$110,0),0)</f>
        <v>105.5989001425215</v>
      </c>
      <c r="M26" s="48">
        <f ca="1">115.7*OFFSET(M$108,MATCH($M$1,$C$109:$C$110,0),0)</f>
        <v>115.69999955048777</v>
      </c>
      <c r="N26" s="49">
        <f t="shared" ca="1" si="0"/>
        <v>0.12490898995860397</v>
      </c>
      <c r="O26" s="49">
        <f t="shared" ca="1" si="1"/>
        <v>0.11843849666992091</v>
      </c>
    </row>
    <row r="27" spans="1:15" s="19" customFormat="1" ht="18" customHeight="1" x14ac:dyDescent="0.2">
      <c r="A27" s="148"/>
      <c r="B27" s="33" t="s">
        <v>35</v>
      </c>
      <c r="C27" s="25"/>
      <c r="D27" s="26">
        <f ca="1">7.3*OFFSET(D$108,MATCH($M$1,$C$109:$C$110,0),0)</f>
        <v>5.9382579468016701</v>
      </c>
      <c r="E27" s="26">
        <f ca="1">7.9*OFFSET(E$108,MATCH($M$1,$C$109:$C$110,0),0)</f>
        <v>6.5991064977591609</v>
      </c>
      <c r="F27" s="26">
        <f ca="1">8.7*OFFSET(F$108,MATCH($M$1,$C$109:$C$110,0),0)</f>
        <v>7.4760838064400206</v>
      </c>
      <c r="G27" s="26">
        <f ca="1">11.8*OFFSET(G$108,MATCH($M$1,$C$109:$C$110,0),0)</f>
        <v>10.434386139059018</v>
      </c>
      <c r="H27" s="26">
        <f ca="1">9.2*OFFSET(H$108,MATCH($M$1,$C$109:$C$110,0),0)</f>
        <v>8.2963761329668753</v>
      </c>
      <c r="I27" s="26">
        <f ca="1">10.4*OFFSET(I$108,MATCH($M$1,$C$109:$C$110,0),0)</f>
        <v>9.6760558739895686</v>
      </c>
      <c r="J27" s="26">
        <f ca="1">12.4*OFFSET(J$108,MATCH($M$1,$C$109:$C$110,0),0)</f>
        <v>11.781983907006673</v>
      </c>
      <c r="K27" s="26">
        <f ca="1">12.9*OFFSET(K$108,MATCH($M$1,$C$109:$C$110,0),0)</f>
        <v>12.460625878219226</v>
      </c>
      <c r="L27" s="26">
        <f ca="1">12.2*OFFSET(L$108,MATCH($M$1,$C$109:$C$110,0),0)</f>
        <v>11.995405789001509</v>
      </c>
      <c r="M27" s="27">
        <f ca="1">11.2*OFFSET(M$108,MATCH($M$1,$C$109:$C$110,0),0)</f>
        <v>11.199999956486284</v>
      </c>
      <c r="N27" s="24">
        <f t="shared" ca="1" si="0"/>
        <v>1.020021005564806</v>
      </c>
      <c r="O27" s="24">
        <f t="shared" ca="1" si="1"/>
        <v>0.44586089115897165</v>
      </c>
    </row>
    <row r="28" spans="1:15" s="19" customFormat="1" ht="18" customHeight="1" x14ac:dyDescent="0.2">
      <c r="A28" s="148"/>
      <c r="B28" s="33" t="s">
        <v>36</v>
      </c>
      <c r="C28" s="25"/>
      <c r="D28" s="26">
        <f ca="1">39.1*OFFSET(D$108,MATCH($M$1,$C$109:$C$110,0),0)</f>
        <v>31.806285715061001</v>
      </c>
      <c r="E28" s="26">
        <f ca="1">29.3*OFFSET(E$108,MATCH($M$1,$C$109:$C$110,0),0)</f>
        <v>24.475167137258662</v>
      </c>
      <c r="F28" s="26">
        <f ca="1">62.3*OFFSET(F$108,MATCH($M$1,$C$109:$C$110,0),0)</f>
        <v>53.535634613932558</v>
      </c>
      <c r="G28" s="26">
        <f ca="1">31.4*OFFSET(G$108,MATCH($M$1,$C$109:$C$110,0),0)</f>
        <v>27.766078370038404</v>
      </c>
      <c r="H28" s="26">
        <f ca="1">25.2*OFFSET(H$108,MATCH($M$1,$C$109:$C$110,0),0)</f>
        <v>22.724856364213618</v>
      </c>
      <c r="I28" s="26">
        <f ca="1">30.1*OFFSET(I$108,MATCH($M$1,$C$109:$C$110,0),0)</f>
        <v>28.004738635296732</v>
      </c>
      <c r="J28" s="26">
        <f ca="1">28.5*OFFSET(J$108,MATCH($M$1,$C$109:$C$110,0),0)</f>
        <v>27.079559786265335</v>
      </c>
      <c r="K28" s="26">
        <f ca="1">26.3*OFFSET(K$108,MATCH($M$1,$C$109:$C$110,0),0)</f>
        <v>25.404221751718268</v>
      </c>
      <c r="L28" s="26">
        <f ca="1">31.6*OFFSET(L$108,MATCH($M$1,$C$109:$C$110,0),0)</f>
        <v>31.070067453479322</v>
      </c>
      <c r="M28" s="27">
        <f ca="1">34.8*OFFSET(M$108,MATCH($M$1,$C$109:$C$110,0),0)</f>
        <v>34.799999864796668</v>
      </c>
      <c r="N28" s="24">
        <f t="shared" ca="1" si="0"/>
        <v>-2.3146942342691205E-2</v>
      </c>
      <c r="O28" s="24">
        <f t="shared" ca="1" si="1"/>
        <v>0.36722833163458302</v>
      </c>
    </row>
    <row r="29" spans="1:15" s="19" customFormat="1" ht="18" customHeight="1" x14ac:dyDescent="0.2">
      <c r="A29" s="148"/>
      <c r="B29" s="33" t="s">
        <v>37</v>
      </c>
      <c r="C29" s="25"/>
      <c r="D29" s="26">
        <f ca="1">28.6*OFFSET(D$108,MATCH($M$1,$C$109:$C$110,0),0)</f>
        <v>23.264955791579148</v>
      </c>
      <c r="E29" s="26">
        <f ca="1">15.9*OFFSET(E$108,MATCH($M$1,$C$109:$C$110,0),0)</f>
        <v>13.281745989160843</v>
      </c>
      <c r="F29" s="26">
        <f ca="1">11.6*OFFSET(F$108,MATCH($M$1,$C$109:$C$110,0),0)</f>
        <v>9.968111741920028</v>
      </c>
      <c r="G29" s="26">
        <f ca="1">15.8*OFFSET(G$108,MATCH($M$1,$C$109:$C$110,0),0)</f>
        <v>13.97146618619767</v>
      </c>
      <c r="H29" s="26">
        <f ca="1">14.3*OFFSET(H$108,MATCH($M$1,$C$109:$C$110,0),0)</f>
        <v>12.895454206676776</v>
      </c>
      <c r="I29" s="26">
        <f ca="1">25.5*OFFSET(I$108,MATCH($M$1,$C$109:$C$110,0),0)</f>
        <v>23.724944691032114</v>
      </c>
      <c r="J29" s="26">
        <f ca="1">36.9*OFFSET(J$108,MATCH($M$1,$C$109:$C$110,0),0)</f>
        <v>35.060903723269853</v>
      </c>
      <c r="K29" s="26">
        <f ca="1">17.1*OFFSET(K$108,MATCH($M$1,$C$109:$C$110,0),0)</f>
        <v>16.517573838569671</v>
      </c>
      <c r="L29" s="26">
        <f ca="1">16.5*OFFSET(L$108,MATCH($M$1,$C$109:$C$110,0),0)</f>
        <v>16.223294714633191</v>
      </c>
      <c r="M29" s="27">
        <f ca="1">17.7*OFFSET(M$108,MATCH($M$1,$C$109:$C$110,0),0)</f>
        <v>17.699999931232789</v>
      </c>
      <c r="N29" s="24">
        <f t="shared" ca="1" si="0"/>
        <v>-0.30267244606132959</v>
      </c>
      <c r="O29" s="24">
        <f t="shared" ca="1" si="1"/>
        <v>0.2580630704914128</v>
      </c>
    </row>
    <row r="30" spans="1:15" s="19" customFormat="1" ht="18" customHeight="1" x14ac:dyDescent="0.2">
      <c r="A30" s="148"/>
      <c r="B30" s="33" t="s">
        <v>38</v>
      </c>
      <c r="C30" s="25"/>
      <c r="D30" s="26">
        <f ca="1">75*OFFSET(D$108,MATCH($M$1,$C$109:$C$110,0),0)</f>
        <v>61.009499453441812</v>
      </c>
      <c r="E30" s="26">
        <f ca="1">53*OFFSET(E$108,MATCH($M$1,$C$109:$C$110,0),0)</f>
        <v>44.272486630536143</v>
      </c>
      <c r="F30" s="26">
        <f ca="1">82.6*OFFSET(F$108,MATCH($M$1,$C$109:$C$110,0),0)</f>
        <v>70.9798301622926</v>
      </c>
      <c r="G30" s="26">
        <f ca="1">59*OFFSET(G$108,MATCH($M$1,$C$109:$C$110,0),0)</f>
        <v>52.171930695295089</v>
      </c>
      <c r="H30" s="26">
        <f ca="1">48.7*OFFSET(H$108,MATCH($M$1,$C$109:$C$110,0),0)</f>
        <v>43.916686703857273</v>
      </c>
      <c r="I30" s="26">
        <f ca="1">66*OFFSET(I$108,MATCH($M$1,$C$109:$C$110,0),0)</f>
        <v>61.405739200318415</v>
      </c>
      <c r="J30" s="26">
        <f ca="1">77.9*OFFSET(J$108,MATCH($M$1,$C$109:$C$110,0),0)</f>
        <v>74.017463415791923</v>
      </c>
      <c r="K30" s="26">
        <f ca="1">56.3*OFFSET(K$108,MATCH($M$1,$C$109:$C$110,0),0)</f>
        <v>54.382421468507161</v>
      </c>
      <c r="L30" s="26">
        <f ca="1">60.3*OFFSET(L$108,MATCH($M$1,$C$109:$C$110,0),0)</f>
        <v>59.288767957114018</v>
      </c>
      <c r="M30" s="27">
        <f ca="1">63.8*OFFSET(M$108,MATCH($M$1,$C$109:$C$110,0),0)</f>
        <v>63.799999752127221</v>
      </c>
      <c r="N30" s="24">
        <f t="shared" ca="1" si="0"/>
        <v>-2.8204320831068871E-2</v>
      </c>
      <c r="O30" s="24">
        <f t="shared" ca="1" si="1"/>
        <v>0.35002825593185266</v>
      </c>
    </row>
    <row r="31" spans="1:15" s="19" customFormat="1" ht="18" customHeight="1" x14ac:dyDescent="0.2">
      <c r="A31" s="148"/>
      <c r="B31" s="33" t="s">
        <v>39</v>
      </c>
      <c r="C31" s="25"/>
      <c r="D31" s="26">
        <f ca="1">25.4*OFFSET(D$108,MATCH($M$1,$C$109:$C$110,0),0)</f>
        <v>20.66188381489896</v>
      </c>
      <c r="E31" s="26">
        <f ca="1">25.5*OFFSET(E$108,MATCH($M$1,$C$109:$C$110,0),0)</f>
        <v>21.300913378842861</v>
      </c>
      <c r="F31" s="26">
        <f ca="1">20.4*OFFSET(F$108,MATCH($M$1,$C$109:$C$110,0),0)</f>
        <v>17.530127546135219</v>
      </c>
      <c r="G31" s="26">
        <f ca="1">21.1*OFFSET(G$108,MATCH($M$1,$C$109:$C$110,0),0)</f>
        <v>18.658097248656382</v>
      </c>
      <c r="H31" s="26">
        <f ca="1">26*OFFSET(H$108,MATCH($M$1,$C$109:$C$110,0),0)</f>
        <v>23.446280375775956</v>
      </c>
      <c r="I31" s="26">
        <f ca="1">21.1*OFFSET(I$108,MATCH($M$1,$C$109:$C$110,0),0)</f>
        <v>19.631228744344224</v>
      </c>
      <c r="J31" s="26">
        <f ca="1">15.3*OFFSET(J$108,MATCH($M$1,$C$109:$C$110,0),0)</f>
        <v>14.537447885258233</v>
      </c>
      <c r="K31" s="26">
        <f ca="1">17.1*OFFSET(K$108,MATCH($M$1,$C$109:$C$110,0),0)</f>
        <v>16.517573838569671</v>
      </c>
      <c r="L31" s="26">
        <f ca="1">21.4*OFFSET(L$108,MATCH($M$1,$C$109:$C$110,0),0)</f>
        <v>21.041121629887893</v>
      </c>
      <c r="M31" s="27">
        <f ca="1">23*OFFSET(M$108,MATCH($M$1,$C$109:$C$110,0),0)</f>
        <v>22.999999910641478</v>
      </c>
      <c r="N31" s="24">
        <f t="shared" ca="1" si="0"/>
        <v>1.8354464597050469E-2</v>
      </c>
      <c r="O31" s="24">
        <f t="shared" ca="1" si="1"/>
        <v>-0.10258167638279228</v>
      </c>
    </row>
    <row r="32" spans="1:15" s="19" customFormat="1" ht="18" customHeight="1" x14ac:dyDescent="0.2">
      <c r="A32" s="148"/>
      <c r="B32" s="33" t="s">
        <v>40</v>
      </c>
      <c r="C32" s="25"/>
      <c r="D32" s="26">
        <f ca="1">100.5*OFFSET(D$108,MATCH($M$1,$C$109:$C$110,0),0)</f>
        <v>81.752729267612025</v>
      </c>
      <c r="E32" s="26">
        <f ca="1">78.5*OFFSET(E$108,MATCH($M$1,$C$109:$C$110,0),0)</f>
        <v>65.573400009379</v>
      </c>
      <c r="F32" s="26">
        <f ca="1">102.9*OFFSET(F$108,MATCH($M$1,$C$109:$C$110,0),0)</f>
        <v>88.424025710652671</v>
      </c>
      <c r="G32" s="26">
        <f ca="1">80.1*OFFSET(G$108,MATCH($M$1,$C$109:$C$110,0),0)</f>
        <v>70.830027943951464</v>
      </c>
      <c r="H32" s="26">
        <f ca="1">74.7*OFFSET(H$108,MATCH($M$1,$C$109:$C$110,0),0)</f>
        <v>67.362967079633222</v>
      </c>
      <c r="I32" s="26">
        <f ca="1">87.1*OFFSET(I$108,MATCH($M$1,$C$109:$C$110,0),0)</f>
        <v>81.036967944662635</v>
      </c>
      <c r="J32" s="26">
        <f ca="1">93.2*OFFSET(J$108,MATCH($M$1,$C$109:$C$110,0),0)</f>
        <v>88.554911301050154</v>
      </c>
      <c r="K32" s="26">
        <f ca="1">73.3*OFFSET(K$108,MATCH($M$1,$C$109:$C$110,0),0)</f>
        <v>70.803401308020867</v>
      </c>
      <c r="L32" s="26">
        <f ca="1">81.7*OFFSET(L$108,MATCH($M$1,$C$109:$C$110,0),0)</f>
        <v>80.329889587001915</v>
      </c>
      <c r="M32" s="27">
        <f ca="1">86.8*OFFSET(M$108,MATCH($M$1,$C$109:$C$110,0),0)</f>
        <v>86.799999662768698</v>
      </c>
      <c r="N32" s="24">
        <f t="shared" ca="1" si="0"/>
        <v>-1.7404185687214684E-2</v>
      </c>
      <c r="O32" s="24">
        <f t="shared" ca="1" si="1"/>
        <v>0.19249333973130708</v>
      </c>
    </row>
    <row r="33" spans="1:15" s="19" customFormat="1" ht="18" customHeight="1" x14ac:dyDescent="0.2">
      <c r="A33" s="148"/>
      <c r="B33" s="45" t="s">
        <v>41</v>
      </c>
      <c r="C33" s="46"/>
      <c r="D33" s="47">
        <f ca="1">54*OFFSET(D$108,MATCH($M$1,$C$109:$C$110,0),0)</f>
        <v>43.926839606478104</v>
      </c>
      <c r="E33" s="47">
        <f ca="1">67.8*OFFSET(E$108,MATCH($M$1,$C$109:$C$110,0),0)</f>
        <v>56.63536968962925</v>
      </c>
      <c r="F33" s="47">
        <f ca="1">80.5*OFFSET(F$108,MATCH($M$1,$C$109:$C$110,0),0)</f>
        <v>69.17525820901399</v>
      </c>
      <c r="G33" s="47">
        <f ca="1">60.4*OFFSET(G$108,MATCH($M$1,$C$109:$C$110,0),0)</f>
        <v>53.409908711793619</v>
      </c>
      <c r="H33" s="47">
        <f ca="1">55.2*OFFSET(H$108,MATCH($M$1,$C$109:$C$110,0),0)</f>
        <v>49.778256797801262</v>
      </c>
      <c r="I33" s="47">
        <f ca="1">56.4*OFFSET(I$108,MATCH($M$1,$C$109:$C$110,0),0)</f>
        <v>52.473995316635737</v>
      </c>
      <c r="J33" s="47">
        <f ca="1">43.3*OFFSET(J$108,MATCH($M$1,$C$109:$C$110,0),0)</f>
        <v>41.141927675273294</v>
      </c>
      <c r="K33" s="47">
        <f ca="1">61.4*OFFSET(K$108,MATCH($M$1,$C$109:$C$110,0),0)</f>
        <v>59.308715420361274</v>
      </c>
      <c r="L33" s="47">
        <f ca="1">57.3*OFFSET(L$108,MATCH($M$1,$C$109:$C$110,0),0)</f>
        <v>56.339078008998889</v>
      </c>
      <c r="M33" s="48">
        <f ca="1">63.7*OFFSET(M$108,MATCH($M$1,$C$109:$C$110,0),0)</f>
        <v>63.699999752515744</v>
      </c>
      <c r="N33" s="49">
        <f t="shared" ca="1" si="0"/>
        <v>0.28256616031831006</v>
      </c>
      <c r="O33" s="49">
        <f t="shared" ca="1" si="1"/>
        <v>0.13180094348919472</v>
      </c>
    </row>
    <row r="34" spans="1:15" s="19" customFormat="1" ht="18" customHeight="1" x14ac:dyDescent="0.2">
      <c r="A34" s="148"/>
      <c r="B34" s="45" t="s">
        <v>42</v>
      </c>
      <c r="C34" s="46"/>
      <c r="D34" s="47">
        <f ca="1">14.9*OFFSET(D$108,MATCH($M$1,$C$109:$C$110,0),0)</f>
        <v>12.120553891417108</v>
      </c>
      <c r="E34" s="47">
        <f ca="1">38.5*OFFSET(E$108,MATCH($M$1,$C$109:$C$110,0),0)</f>
        <v>32.160202552370592</v>
      </c>
      <c r="F34" s="47">
        <f ca="1">18.2*OFFSET(F$108,MATCH($M$1,$C$109:$C$110,0),0)</f>
        <v>15.639623595081423</v>
      </c>
      <c r="G34" s="47">
        <f ca="1">29*OFFSET(G$108,MATCH($M$1,$C$109:$C$110,0),0)</f>
        <v>25.643830341755216</v>
      </c>
      <c r="H34" s="47">
        <f ca="1">30*OFFSET(H$108,MATCH($M$1,$C$109:$C$110,0),0)</f>
        <v>27.05340043358764</v>
      </c>
      <c r="I34" s="47">
        <f ca="1">26.3*OFFSET(I$108,MATCH($M$1,$C$109:$C$110,0),0)</f>
        <v>24.469256681339008</v>
      </c>
      <c r="J34" s="47">
        <f ca="1">14.8*OFFSET(J$108,MATCH($M$1,$C$109:$C$110,0),0)</f>
        <v>14.062367889007964</v>
      </c>
      <c r="K34" s="47">
        <f ca="1">35.1*OFFSET(K$108,MATCH($M$1,$C$109:$C$110,0),0)</f>
        <v>33.904493668643006</v>
      </c>
      <c r="L34" s="47">
        <f ca="1">25.7*OFFSET(L$108,MATCH($M$1,$C$109:$C$110,0),0)</f>
        <v>25.269010555519575</v>
      </c>
      <c r="M34" s="48">
        <f ca="1">28.9*OFFSET(M$108,MATCH($M$1,$C$109:$C$110,0),0)</f>
        <v>28.899999887719073</v>
      </c>
      <c r="N34" s="49">
        <f t="shared" ca="1" si="0"/>
        <v>1.0848065840797296</v>
      </c>
      <c r="O34" s="49">
        <f t="shared" ca="1" si="1"/>
        <v>-6.5958062552931046E-2</v>
      </c>
    </row>
    <row r="35" spans="1:15" s="19" customFormat="1" ht="18" customHeight="1" x14ac:dyDescent="0.2">
      <c r="A35" s="148"/>
      <c r="B35" s="33" t="s">
        <v>43</v>
      </c>
      <c r="C35" s="25"/>
      <c r="D35" s="26">
        <f ca="1">5.2*OFFSET(D$108,MATCH($M$1,$C$109:$C$110,0),0)</f>
        <v>4.2299919621052995</v>
      </c>
      <c r="E35" s="26">
        <f ca="1">5*OFFSET(E$108,MATCH($M$1,$C$109:$C$110,0),0)</f>
        <v>4.176649682126051</v>
      </c>
      <c r="F35" s="26">
        <f ca="1">3.6*OFFSET(F$108,MATCH($M$1,$C$109:$C$110,0),0)</f>
        <v>3.0935519199062154</v>
      </c>
      <c r="G35" s="26">
        <f ca="1">6*OFFSET(G$108,MATCH($M$1,$C$109:$C$110,0),0)</f>
        <v>5.3056200707079757</v>
      </c>
      <c r="H35" s="26">
        <f ca="1">3.6*OFFSET(H$108,MATCH($M$1,$C$109:$C$110,0),0)</f>
        <v>3.246408052030517</v>
      </c>
      <c r="I35" s="26">
        <f ca="1">3.2*OFFSET(I$108,MATCH($M$1,$C$109:$C$110,0),0)</f>
        <v>2.97724796122756</v>
      </c>
      <c r="J35" s="26">
        <f ca="1">3.8*OFFSET(J$108,MATCH($M$1,$C$109:$C$110,0),0)</f>
        <v>3.6106079715020445</v>
      </c>
      <c r="K35" s="26">
        <f ca="1">5.6*OFFSET(K$108,MATCH($M$1,$C$109:$C$110,0),0)</f>
        <v>5.409263947133927</v>
      </c>
      <c r="L35" s="26">
        <f ca="1">7.1*OFFSET(L$108,MATCH($M$1,$C$109:$C$110,0),0)</f>
        <v>6.9809328772057961</v>
      </c>
      <c r="M35" s="27"/>
      <c r="N35" s="24">
        <f t="shared" ca="1" si="0"/>
        <v>0.65034187765485307</v>
      </c>
      <c r="O35" s="24">
        <f t="shared" ca="1" si="1"/>
        <v>1.1503559519695812</v>
      </c>
    </row>
    <row r="36" spans="1:15" s="19" customFormat="1" ht="18" customHeight="1" x14ac:dyDescent="0.2">
      <c r="A36" s="148"/>
      <c r="B36" s="33" t="s">
        <v>44</v>
      </c>
      <c r="C36" s="25"/>
      <c r="D36" s="26">
        <f ca="1">3.6*OFFSET(D$108,MATCH($M$1,$C$109:$C$110,0),0)</f>
        <v>2.9284559737652072</v>
      </c>
      <c r="E36" s="26">
        <f ca="1">1.9*OFFSET(E$108,MATCH($M$1,$C$109:$C$110,0),0)</f>
        <v>1.5871268792078994</v>
      </c>
      <c r="F36" s="26">
        <f ca="1">1.4*OFFSET(F$108,MATCH($M$1,$C$109:$C$110,0),0)</f>
        <v>1.2030479688524172</v>
      </c>
      <c r="G36" s="26">
        <f ca="1">2*OFFSET(G$108,MATCH($M$1,$C$109:$C$110,0),0)</f>
        <v>1.7685400235693252</v>
      </c>
      <c r="H36" s="26">
        <f ca="1">1.2*OFFSET(H$108,MATCH($M$1,$C$109:$C$110,0),0)</f>
        <v>1.0821360173435055</v>
      </c>
      <c r="I36" s="26">
        <f ca="1">1*OFFSET(I$108,MATCH($M$1,$C$109:$C$110,0),0)</f>
        <v>0.93038998788361238</v>
      </c>
      <c r="J36" s="26">
        <f ca="1">0.9*OFFSET(J$108,MATCH($M$1,$C$109:$C$110,0),0)</f>
        <v>0.85514399325048429</v>
      </c>
      <c r="K36" s="26">
        <f ca="1">0.8*OFFSET(K$108,MATCH($M$1,$C$109:$C$110,0),0)</f>
        <v>0.77275199244770398</v>
      </c>
      <c r="L36" s="26">
        <f ca="1">0.7*OFFSET(L$108,MATCH($M$1,$C$109:$C$110,0),0)</f>
        <v>0.68826098789352919</v>
      </c>
      <c r="M36" s="27"/>
      <c r="N36" s="24">
        <f t="shared" ca="1" si="0"/>
        <v>-0.76497478737622593</v>
      </c>
      <c r="O36" s="24">
        <f t="shared" ca="1" si="1"/>
        <v>-0.36397922547378575</v>
      </c>
    </row>
    <row r="37" spans="1:15" s="19" customFormat="1" ht="18" customHeight="1" x14ac:dyDescent="0.2">
      <c r="A37" s="148"/>
      <c r="B37" s="33" t="s">
        <v>45</v>
      </c>
      <c r="C37" s="25"/>
      <c r="D37" s="26"/>
      <c r="E37" s="26"/>
      <c r="F37" s="26"/>
      <c r="G37" s="26"/>
      <c r="H37" s="26">
        <f ca="1">4.4*OFFSET(H$108,MATCH($M$1,$C$109:$C$110,0),0)</f>
        <v>3.9678320635928541</v>
      </c>
      <c r="I37" s="26">
        <f ca="1">0.1*OFFSET(I$108,MATCH($M$1,$C$109:$C$110,0),0)</f>
        <v>9.3038998788361249E-2</v>
      </c>
      <c r="J37" s="26">
        <f ca="1">0.4*OFFSET(J$108,MATCH($M$1,$C$109:$C$110,0),0)</f>
        <v>0.38006399700021526</v>
      </c>
      <c r="K37" s="26">
        <f ca="1">0.4*OFFSET(K$108,MATCH($M$1,$C$109:$C$110,0),0)</f>
        <v>0.38637599622385199</v>
      </c>
      <c r="L37" s="26">
        <f ca="1">0.4*OFFSET(L$108,MATCH($M$1,$C$109:$C$110,0),0)</f>
        <v>0.39329199308201673</v>
      </c>
      <c r="M37" s="27"/>
      <c r="N37" s="24" t="str">
        <f t="shared" ca="1" si="0"/>
        <v/>
      </c>
      <c r="O37" s="24">
        <f t="shared" ca="1" si="1"/>
        <v>-0.90087987929461599</v>
      </c>
    </row>
    <row r="38" spans="1:15" s="19" customFormat="1" ht="18" customHeight="1" thickBot="1" x14ac:dyDescent="0.25">
      <c r="A38" s="149"/>
      <c r="B38" s="50" t="s">
        <v>46</v>
      </c>
      <c r="C38" s="51"/>
      <c r="D38" s="52">
        <f ca="1">6.1*OFFSET(D$108,MATCH($M$1,$C$109:$C$110,0),0)</f>
        <v>4.9621059555466003</v>
      </c>
      <c r="E38" s="52">
        <f ca="1">31.6*OFFSET(E$108,MATCH($M$1,$C$109:$C$110,0),0)</f>
        <v>26.396425991036644</v>
      </c>
      <c r="F38" s="52">
        <f ca="1">13.3*OFFSET(F$108,MATCH($M$1,$C$109:$C$110,0),0)</f>
        <v>11.428955704097964</v>
      </c>
      <c r="G38" s="52">
        <f ca="1">21.1*OFFSET(G$108,MATCH($M$1,$C$109:$C$110,0),0)</f>
        <v>18.658097248656382</v>
      </c>
      <c r="H38" s="52">
        <f ca="1">20.8*OFFSET(H$108,MATCH($M$1,$C$109:$C$110,0),0)</f>
        <v>18.757024300620763</v>
      </c>
      <c r="I38" s="52">
        <f ca="1">22*OFFSET(I$108,MATCH($M$1,$C$109:$C$110,0),0)</f>
        <v>20.468579733439473</v>
      </c>
      <c r="J38" s="52">
        <f ca="1">9.8*OFFSET(J$108,MATCH($M$1,$C$109:$C$110,0),0)</f>
        <v>9.3115679265052744</v>
      </c>
      <c r="K38" s="52">
        <f ca="1">28.3*OFFSET(K$108,MATCH($M$1,$C$109:$C$110,0),0)</f>
        <v>27.336101732837527</v>
      </c>
      <c r="L38" s="52">
        <f ca="1">17.5*OFFSET(L$108,MATCH($M$1,$C$109:$C$110,0),0)</f>
        <v>17.206524697338232</v>
      </c>
      <c r="M38" s="53"/>
      <c r="N38" s="54">
        <f t="shared" ca="1" si="0"/>
        <v>2.4675851042851922</v>
      </c>
      <c r="O38" s="54">
        <f t="shared" ca="1" si="1"/>
        <v>-8.2662344433344789E-2</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Pots and traps 10-12m</v>
      </c>
      <c r="C45" s="61"/>
      <c r="D45" s="61"/>
      <c r="E45" s="61"/>
      <c r="F45" s="61" t="str">
        <f>$B21&amp;CHAR(10)&amp;$A$1</f>
        <v>Income per kW day at sea (£)
Pots and traps 10-12m</v>
      </c>
      <c r="G45" s="61"/>
      <c r="K45" s="61" t="str">
        <f>$B23&amp;CHAR(10)&amp;$A$1</f>
        <v>Operating profit per kW day at sea (£)
Pots and traps 10-12m</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Pots and traps 10-12m</v>
      </c>
      <c r="F59" s="61" t="str">
        <f>$B19&amp;CHAR(10)&amp;$A$1</f>
        <v>Average price per tonne landed (£)
Pots and traps 10-12m</v>
      </c>
      <c r="K59" s="61" t="str">
        <f>"Average annual operating profit per vessel (£'000)"&amp;CHAR(10)&amp;$A$1</f>
        <v>Average annual operating profit per vessel (£'000)
Pots and traps 10-12m</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Pots and traps 10-12m</v>
      </c>
      <c r="F73" s="61" t="str">
        <f>"Top 5 landed species by value in "&amp;A74&amp;CHAR(10)&amp;A1</f>
        <v>Top 5 landed species by value in 2013
Pots and traps 10-12m</v>
      </c>
    </row>
    <row r="74" spans="1:9" s="61" customFormat="1" x14ac:dyDescent="0.2">
      <c r="A74" s="61">
        <v>2013</v>
      </c>
      <c r="B74" s="61" t="s">
        <v>365</v>
      </c>
      <c r="C74" s="62">
        <v>0.43730368915850432</v>
      </c>
      <c r="D74" s="63">
        <v>6763595</v>
      </c>
      <c r="G74" s="61" t="s">
        <v>366</v>
      </c>
      <c r="H74" s="62">
        <v>0.28475063998932715</v>
      </c>
      <c r="I74" s="63">
        <v>8211234</v>
      </c>
    </row>
    <row r="75" spans="1:9" s="61" customFormat="1" x14ac:dyDescent="0.2">
      <c r="B75" s="61" t="s">
        <v>367</v>
      </c>
      <c r="C75" s="62">
        <v>0.39750803490843573</v>
      </c>
      <c r="D75" s="63">
        <v>2171775</v>
      </c>
      <c r="G75" s="61" t="s">
        <v>368</v>
      </c>
      <c r="H75" s="62">
        <v>0.27624983772862294</v>
      </c>
      <c r="I75" s="63">
        <v>2171775</v>
      </c>
    </row>
    <row r="76" spans="1:9" s="61" customFormat="1" x14ac:dyDescent="0.2">
      <c r="B76" s="61" t="s">
        <v>369</v>
      </c>
      <c r="C76" s="62">
        <v>4.8864761949377548E-2</v>
      </c>
      <c r="D76" s="63">
        <v>8211234</v>
      </c>
      <c r="G76" s="61" t="s">
        <v>370</v>
      </c>
      <c r="H76" s="62">
        <v>0.21738040711810974</v>
      </c>
      <c r="I76" s="63">
        <v>2783840</v>
      </c>
    </row>
    <row r="77" spans="1:9" s="61" customFormat="1" x14ac:dyDescent="0.2">
      <c r="B77" s="61" t="s">
        <v>371</v>
      </c>
      <c r="C77" s="62">
        <v>4.7675519309249681E-2</v>
      </c>
      <c r="D77" s="63">
        <v>2783840</v>
      </c>
      <c r="G77" s="61" t="s">
        <v>372</v>
      </c>
      <c r="H77" s="62">
        <v>0.12223515402192696</v>
      </c>
      <c r="I77" s="63">
        <v>6763595</v>
      </c>
    </row>
    <row r="78" spans="1:9" s="61" customFormat="1" x14ac:dyDescent="0.2">
      <c r="B78" s="61" t="s">
        <v>373</v>
      </c>
      <c r="C78" s="62">
        <v>2.7784920159341402E-2</v>
      </c>
      <c r="D78" s="63">
        <v>2764187</v>
      </c>
      <c r="G78" s="61" t="s">
        <v>374</v>
      </c>
      <c r="H78" s="62">
        <v>4.2423440616986094E-2</v>
      </c>
      <c r="I78" s="63">
        <v>2764187</v>
      </c>
    </row>
    <row r="79" spans="1:9" s="61" customFormat="1" x14ac:dyDescent="0.2">
      <c r="B79" s="61" t="s">
        <v>375</v>
      </c>
      <c r="C79" s="62">
        <v>4.0863074515091302E-2</v>
      </c>
      <c r="D79" s="63">
        <v>32768</v>
      </c>
      <c r="G79" s="61" t="s">
        <v>376</v>
      </c>
      <c r="H79" s="62">
        <v>5.6960520525027092E-2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191</v>
      </c>
      <c r="D88" s="66">
        <v>0.2475806551536282</v>
      </c>
      <c r="E88" s="66">
        <v>0.26115293011608653</v>
      </c>
      <c r="F88" s="66">
        <v>0.25371599906200842</v>
      </c>
      <c r="G88" s="66">
        <v>0.24830665941669774</v>
      </c>
      <c r="H88" s="66">
        <v>0.24707132264894333</v>
      </c>
      <c r="I88" s="66">
        <v>0.25098128271293607</v>
      </c>
      <c r="J88" s="66">
        <v>0.28604690630855101</v>
      </c>
      <c r="K88" s="66">
        <v>0.29017921441707989</v>
      </c>
      <c r="L88" s="66">
        <v>0.28960735203989446</v>
      </c>
      <c r="M88" s="66">
        <v>0.276780400714144</v>
      </c>
      <c r="N88" s="61"/>
      <c r="O88" s="61">
        <v>8211234</v>
      </c>
    </row>
    <row r="89" spans="1:15" s="65" customFormat="1" hidden="1" x14ac:dyDescent="0.2">
      <c r="A89" s="61"/>
      <c r="B89" s="61">
        <v>2</v>
      </c>
      <c r="C89" s="61" t="s">
        <v>61</v>
      </c>
      <c r="D89" s="66">
        <v>0.28909348977870436</v>
      </c>
      <c r="E89" s="66">
        <v>0.2693273173735537</v>
      </c>
      <c r="F89" s="66">
        <v>0.28544380873678188</v>
      </c>
      <c r="G89" s="66">
        <v>0.24890028728378361</v>
      </c>
      <c r="H89" s="66">
        <v>0.23791478651795231</v>
      </c>
      <c r="I89" s="66">
        <v>0.26628499958920043</v>
      </c>
      <c r="J89" s="66">
        <v>0.27379445734854785</v>
      </c>
      <c r="K89" s="66">
        <v>0.30603893899631934</v>
      </c>
      <c r="L89" s="66">
        <v>0.28096155994253669</v>
      </c>
      <c r="M89" s="66">
        <v>0.29893653192252567</v>
      </c>
      <c r="N89" s="61"/>
      <c r="O89" s="61">
        <v>2171775</v>
      </c>
    </row>
    <row r="90" spans="1:15" s="65" customFormat="1" hidden="1" x14ac:dyDescent="0.2">
      <c r="A90" s="61"/>
      <c r="B90" s="61">
        <v>3</v>
      </c>
      <c r="C90" s="61" t="s">
        <v>60</v>
      </c>
      <c r="D90" s="66">
        <v>0.26120983762983879</v>
      </c>
      <c r="E90" s="66">
        <v>0.2704461715404326</v>
      </c>
      <c r="F90" s="66">
        <v>0.24502266794306735</v>
      </c>
      <c r="G90" s="66">
        <v>0.27929245860151619</v>
      </c>
      <c r="H90" s="66">
        <v>0.28382346431585409</v>
      </c>
      <c r="I90" s="66">
        <v>0.26944708851005411</v>
      </c>
      <c r="J90" s="66">
        <v>0.23723418814105471</v>
      </c>
      <c r="K90" s="66">
        <v>0.21904219161272878</v>
      </c>
      <c r="L90" s="66">
        <v>0.22108805126193792</v>
      </c>
      <c r="M90" s="66">
        <v>0.20474645824069285</v>
      </c>
      <c r="N90" s="61"/>
      <c r="O90" s="61">
        <v>2783840</v>
      </c>
    </row>
    <row r="91" spans="1:15" s="65" customFormat="1" hidden="1" x14ac:dyDescent="0.2">
      <c r="A91" s="61"/>
      <c r="B91" s="61">
        <v>4</v>
      </c>
      <c r="C91" s="61" t="s">
        <v>195</v>
      </c>
      <c r="D91" s="66">
        <v>0.10825462368788946</v>
      </c>
      <c r="E91" s="66">
        <v>9.9239718819700701E-2</v>
      </c>
      <c r="F91" s="66">
        <v>9.3424046123200793E-2</v>
      </c>
      <c r="G91" s="66">
        <v>0.10268469020354093</v>
      </c>
      <c r="H91" s="66">
        <v>9.1451426289455115E-2</v>
      </c>
      <c r="I91" s="66">
        <v>8.9895006430614835E-2</v>
      </c>
      <c r="J91" s="66">
        <v>9.2249374470994044E-2</v>
      </c>
      <c r="K91" s="66">
        <v>9.8337389911911044E-2</v>
      </c>
      <c r="L91" s="66">
        <v>0.12431999901319193</v>
      </c>
      <c r="M91" s="66">
        <v>0.14698467689539493</v>
      </c>
      <c r="N91" s="61"/>
      <c r="O91" s="61">
        <v>6763595</v>
      </c>
    </row>
    <row r="92" spans="1:15" s="65" customFormat="1" hidden="1" x14ac:dyDescent="0.2">
      <c r="A92" s="61"/>
      <c r="B92" s="61">
        <v>5</v>
      </c>
      <c r="C92" s="61" t="s">
        <v>194</v>
      </c>
      <c r="D92" s="66">
        <v>4.6779067311185786E-2</v>
      </c>
      <c r="E92" s="66">
        <v>5.9495605191710557E-2</v>
      </c>
      <c r="F92" s="66">
        <v>6.8804355990784827E-2</v>
      </c>
      <c r="G92" s="66">
        <v>7.6059202147500088E-2</v>
      </c>
      <c r="H92" s="66">
        <v>8.9867192662060572E-2</v>
      </c>
      <c r="I92" s="66">
        <v>8.4141480326072576E-2</v>
      </c>
      <c r="J92" s="66">
        <v>6.5781569678237353E-2</v>
      </c>
      <c r="K92" s="66">
        <v>4.3388398937947575E-2</v>
      </c>
      <c r="L92" s="66">
        <v>4.3147015585171471E-2</v>
      </c>
      <c r="M92" s="66">
        <v>4.1316782019079519E-2</v>
      </c>
      <c r="N92" s="61"/>
      <c r="O92" s="61">
        <v>2764187</v>
      </c>
    </row>
    <row r="93" spans="1:15" s="65" customFormat="1" hidden="1" x14ac:dyDescent="0.2">
      <c r="A93" s="61"/>
      <c r="B93" s="61">
        <v>6</v>
      </c>
      <c r="C93" s="61" t="s">
        <v>68</v>
      </c>
      <c r="D93" s="66">
        <v>4.708232643875343E-2</v>
      </c>
      <c r="E93" s="66">
        <v>4.0338256958515922E-2</v>
      </c>
      <c r="F93" s="66">
        <v>5.358912214415671E-2</v>
      </c>
      <c r="G93" s="66">
        <v>4.4756702346961427E-2</v>
      </c>
      <c r="H93" s="66">
        <v>4.9871807565734602E-2</v>
      </c>
      <c r="I93" s="66">
        <v>3.9250142431121952E-2</v>
      </c>
      <c r="J93" s="66">
        <v>4.4893504052615017E-2</v>
      </c>
      <c r="K93" s="66">
        <v>4.3013866124013381E-2</v>
      </c>
      <c r="L93" s="66">
        <v>4.0876022157267509E-2</v>
      </c>
      <c r="M93" s="66">
        <v>3.1235150208163052E-2</v>
      </c>
      <c r="N93" s="61"/>
      <c r="O93" s="61">
        <v>32768</v>
      </c>
    </row>
    <row r="94" spans="1:15" s="65" customFormat="1" hidden="1" x14ac:dyDescent="0.2">
      <c r="A94" s="61"/>
      <c r="B94" s="61">
        <v>7</v>
      </c>
      <c r="C94" s="61"/>
      <c r="D94" s="66"/>
      <c r="E94" s="66"/>
      <c r="F94" s="66"/>
      <c r="G94" s="66"/>
      <c r="H94" s="66"/>
      <c r="I94" s="66"/>
      <c r="J94" s="66"/>
      <c r="K94" s="66"/>
      <c r="L94" s="66"/>
      <c r="M94" s="66"/>
      <c r="N94" s="61"/>
      <c r="O94" s="61">
        <v>1464488</v>
      </c>
    </row>
    <row r="95" spans="1:15" s="65" customFormat="1" hidden="1" x14ac:dyDescent="0.2">
      <c r="A95" s="61"/>
      <c r="B95" s="61">
        <v>8</v>
      </c>
      <c r="C95" s="61"/>
      <c r="D95" s="66"/>
      <c r="E95" s="66"/>
      <c r="F95" s="66"/>
      <c r="G95" s="66"/>
      <c r="H95" s="66"/>
      <c r="I95" s="66"/>
      <c r="J95" s="66"/>
      <c r="K95" s="66"/>
      <c r="L95" s="66"/>
      <c r="M95" s="66"/>
      <c r="N95" s="61"/>
      <c r="O95" s="61">
        <v>8274269</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7</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'Pots and traps 10-12m'!D3:L3</xm:f>
              <xm:sqref>C3</xm:sqref>
            </x14:sparkline>
            <x14:sparkline>
              <xm:f>'Pots and traps 10-12m'!D4:L4</xm:f>
              <xm:sqref>C4</xm:sqref>
            </x14:sparkline>
            <x14:sparkline>
              <xm:f>'Pots and traps 10-12m'!D5:L5</xm:f>
              <xm:sqref>C5</xm:sqref>
            </x14:sparkline>
            <x14:sparkline>
              <xm:f>'Pots and traps 10-12m'!D6:L6</xm:f>
              <xm:sqref>C6</xm:sqref>
            </x14:sparkline>
            <x14:sparkline>
              <xm:f>'Pots and traps 10-12m'!D7:L7</xm:f>
              <xm:sqref>C7</xm:sqref>
            </x14:sparkline>
            <x14:sparkline>
              <xm:f>'Pots and traps 10-12m'!D8:L8</xm:f>
              <xm:sqref>C8</xm:sqref>
            </x14:sparkline>
            <x14:sparkline>
              <xm:f>'Pots and traps 10-12m'!D9:L9</xm:f>
              <xm:sqref>C9</xm:sqref>
            </x14:sparkline>
            <x14:sparkline>
              <xm:f>'Pots and traps 10-12m'!D10:L10</xm:f>
              <xm:sqref>C10</xm:sqref>
            </x14:sparkline>
            <x14:sparkline>
              <xm:f>'Pots and traps 10-12m'!D11:L11</xm:f>
              <xm:sqref>C11</xm:sqref>
            </x14:sparkline>
            <x14:sparkline>
              <xm:f>'Pots and traps 10-12m'!D12:L12</xm:f>
              <xm:sqref>C12</xm:sqref>
            </x14:sparkline>
            <x14:sparkline>
              <xm:f>'Pots and traps 10-12m'!D13:L13</xm:f>
              <xm:sqref>C13</xm:sqref>
            </x14:sparkline>
            <x14:sparkline>
              <xm:f>'Pots and traps 10-12m'!D14:L14</xm:f>
              <xm:sqref>C14</xm:sqref>
            </x14:sparkline>
            <x14:sparkline>
              <xm:f>'Pots and traps 10-12m'!D15:L15</xm:f>
              <xm:sqref>C15</xm:sqref>
            </x14:sparkline>
            <x14:sparkline>
              <xm:f>'Pots and traps 10-12m'!D16:L16</xm:f>
              <xm:sqref>C16</xm:sqref>
            </x14:sparkline>
            <x14:sparkline>
              <xm:f>'Pots and traps 10-12m'!D17:L17</xm:f>
              <xm:sqref>C17</xm:sqref>
            </x14:sparkline>
            <x14:sparkline>
              <xm:f>'Pots and traps 10-12m'!D18:L18</xm:f>
              <xm:sqref>C18</xm:sqref>
            </x14:sparkline>
            <x14:sparkline>
              <xm:f>'Pots and traps 10-12m'!D19:L19</xm:f>
              <xm:sqref>C19</xm:sqref>
            </x14:sparkline>
            <x14:sparkline>
              <xm:f>'Pots and traps 10-12m'!D20:L20</xm:f>
              <xm:sqref>C20</xm:sqref>
            </x14:sparkline>
            <x14:sparkline>
              <xm:f>'Pots and traps 10-12m'!D21:L21</xm:f>
              <xm:sqref>C21</xm:sqref>
            </x14:sparkline>
            <x14:sparkline>
              <xm:f>'Pots and traps 10-12m'!D22:L22</xm:f>
              <xm:sqref>C22</xm:sqref>
            </x14:sparkline>
            <x14:sparkline>
              <xm:f>'Pots and traps 10-12m'!D23:L23</xm:f>
              <xm:sqref>C23</xm:sqref>
            </x14:sparkline>
            <x14:sparkline>
              <xm:f>'Pots and traps 10-12m'!D24:L24</xm:f>
              <xm:sqref>C24</xm:sqref>
            </x14:sparkline>
            <x14:sparkline>
              <xm:f>'Pots and traps 10-12m'!D25:L25</xm:f>
              <xm:sqref>C25</xm:sqref>
            </x14:sparkline>
            <x14:sparkline>
              <xm:f>'Pots and traps 10-12m'!D26:L26</xm:f>
              <xm:sqref>C26</xm:sqref>
            </x14:sparkline>
            <x14:sparkline>
              <xm:f>'Pots and traps 10-12m'!D27:L27</xm:f>
              <xm:sqref>C27</xm:sqref>
            </x14:sparkline>
            <x14:sparkline>
              <xm:f>'Pots and traps 10-12m'!D28:L28</xm:f>
              <xm:sqref>C28</xm:sqref>
            </x14:sparkline>
            <x14:sparkline>
              <xm:f>'Pots and traps 10-12m'!D29:L29</xm:f>
              <xm:sqref>C29</xm:sqref>
            </x14:sparkline>
            <x14:sparkline>
              <xm:f>'Pots and traps 10-12m'!D30:L30</xm:f>
              <xm:sqref>C30</xm:sqref>
            </x14:sparkline>
            <x14:sparkline>
              <xm:f>'Pots and traps 10-12m'!D31:L31</xm:f>
              <xm:sqref>C31</xm:sqref>
            </x14:sparkline>
            <x14:sparkline>
              <xm:f>'Pots and traps 10-12m'!D32:L32</xm:f>
              <xm:sqref>C32</xm:sqref>
            </x14:sparkline>
            <x14:sparkline>
              <xm:f>'Pots and traps 10-12m'!D33:L33</xm:f>
              <xm:sqref>C33</xm:sqref>
            </x14:sparkline>
            <x14:sparkline>
              <xm:f>'Pots and traps 10-12m'!D34:L34</xm:f>
              <xm:sqref>C34</xm:sqref>
            </x14:sparkline>
            <x14:sparkline>
              <xm:f>'Pots and traps 10-12m'!D35:L35</xm:f>
              <xm:sqref>C35</xm:sqref>
            </x14:sparkline>
            <x14:sparkline>
              <xm:f>'Pots and traps 10-12m'!D36:L36</xm:f>
              <xm:sqref>C36</xm:sqref>
            </x14:sparkline>
            <x14:sparkline>
              <xm:f>'Pots and traps 10-12m'!D37:L37</xm:f>
              <xm:sqref>C37</xm:sqref>
            </x14:sparkline>
            <x14:sparkline>
              <xm:f>'Pots and traps 10-12m'!D38:L38</xm:f>
              <xm:sqref>C38</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377</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82</v>
      </c>
      <c r="E3" s="16">
        <v>84</v>
      </c>
      <c r="F3" s="16">
        <v>87</v>
      </c>
      <c r="G3" s="16">
        <v>90</v>
      </c>
      <c r="H3" s="16">
        <v>82</v>
      </c>
      <c r="I3" s="16">
        <v>81</v>
      </c>
      <c r="J3" s="16">
        <v>82</v>
      </c>
      <c r="K3" s="16">
        <v>85</v>
      </c>
      <c r="L3" s="16">
        <v>89</v>
      </c>
      <c r="M3" s="17">
        <v>89</v>
      </c>
      <c r="N3" s="18">
        <f t="shared" ref="N3:N38" si="0">IF(L3=0,"",IFERROR(IF(AND(L3&gt;0,D3&lt;0),"na",IF(AND(L3&lt;0,D3&lt;0),-1,1)*(L3-D3)/D3),""))</f>
        <v>8.5365853658536592E-2</v>
      </c>
      <c r="O3" s="18">
        <f t="shared" ref="O3:O38" si="1">IF(L3=0,"",IFERROR(IF(AND(L3&gt;0,H3&lt;0),"na",IF(AND(L3&lt;0,H3&lt;0),-1,1)*(L3-H3)/H3),""))</f>
        <v>8.5365853658536592E-2</v>
      </c>
    </row>
    <row r="4" spans="1:15" s="19" customFormat="1" ht="18" customHeight="1" x14ac:dyDescent="0.2">
      <c r="A4" s="141"/>
      <c r="B4" s="20" t="s">
        <v>20</v>
      </c>
      <c r="C4" s="21"/>
      <c r="D4" s="22">
        <v>17061.099609375</v>
      </c>
      <c r="E4" s="22">
        <v>17825.189453125</v>
      </c>
      <c r="F4" s="22">
        <v>19555.439453125</v>
      </c>
      <c r="G4" s="22">
        <v>19464.560546875</v>
      </c>
      <c r="H4" s="22">
        <v>18039.369140625</v>
      </c>
      <c r="I4" s="22">
        <v>17868.7109375</v>
      </c>
      <c r="J4" s="22">
        <v>18556.51953125</v>
      </c>
      <c r="K4" s="22">
        <v>18061.5703125</v>
      </c>
      <c r="L4" s="22">
        <v>19376.029296875</v>
      </c>
      <c r="M4" s="23">
        <v>19445.310546875</v>
      </c>
      <c r="N4" s="24">
        <f t="shared" si="0"/>
        <v>0.13568467100607959</v>
      </c>
      <c r="O4" s="24">
        <f t="shared" si="1"/>
        <v>7.4096834863244532E-2</v>
      </c>
    </row>
    <row r="5" spans="1:15" s="19" customFormat="1" ht="18" customHeight="1" x14ac:dyDescent="0.2">
      <c r="A5" s="141"/>
      <c r="B5" s="20" t="s">
        <v>21</v>
      </c>
      <c r="C5" s="21"/>
      <c r="D5" s="22">
        <v>4711.39990234375</v>
      </c>
      <c r="E5" s="22">
        <v>4887.7998046875</v>
      </c>
      <c r="F5" s="22">
        <v>5756.81982421875</v>
      </c>
      <c r="G5" s="22">
        <v>5583.33984375</v>
      </c>
      <c r="H5" s="22">
        <v>4608.7001953125</v>
      </c>
      <c r="I5" s="22">
        <v>4552.2099609375</v>
      </c>
      <c r="J5" s="22">
        <v>4524.509765625</v>
      </c>
      <c r="K5" s="22">
        <v>4232.18017578125</v>
      </c>
      <c r="L5" s="22">
        <v>4669.14013671875</v>
      </c>
      <c r="M5" s="23">
        <v>4740.509765625</v>
      </c>
      <c r="N5" s="24">
        <f t="shared" si="0"/>
        <v>-8.9696834276320522E-3</v>
      </c>
      <c r="O5" s="24">
        <f t="shared" si="1"/>
        <v>1.3114313981135798E-2</v>
      </c>
    </row>
    <row r="6" spans="1:15" s="19" customFormat="1" ht="18" customHeight="1" x14ac:dyDescent="0.2">
      <c r="A6" s="141"/>
      <c r="B6" s="20" t="s">
        <v>22</v>
      </c>
      <c r="C6" s="21"/>
      <c r="D6" s="22">
        <v>17132.53515625</v>
      </c>
      <c r="E6" s="22">
        <v>18488.6640625</v>
      </c>
      <c r="F6" s="22">
        <v>15382.8271484375</v>
      </c>
      <c r="G6" s="22">
        <v>16865.068359375</v>
      </c>
      <c r="H6" s="22">
        <v>15152.0791015625</v>
      </c>
      <c r="I6" s="22">
        <v>14976.09765625</v>
      </c>
      <c r="J6" s="22">
        <v>15361.7744140625</v>
      </c>
      <c r="K6" s="22">
        <v>14979.5</v>
      </c>
      <c r="L6" s="22">
        <v>16077.23046875</v>
      </c>
      <c r="M6" s="23">
        <v>16217.05859375</v>
      </c>
      <c r="N6" s="24">
        <f t="shared" si="0"/>
        <v>-6.1596528352374148E-2</v>
      </c>
      <c r="O6" s="24">
        <f t="shared" si="1"/>
        <v>6.1057717623193855E-2</v>
      </c>
    </row>
    <row r="7" spans="1:15" s="19" customFormat="1" ht="18" customHeight="1" x14ac:dyDescent="0.2">
      <c r="A7" s="141"/>
      <c r="B7" s="20" t="s">
        <v>23</v>
      </c>
      <c r="C7" s="21"/>
      <c r="D7" s="22">
        <v>16718.30078125</v>
      </c>
      <c r="E7" s="22">
        <v>16396.716796875</v>
      </c>
      <c r="F7" s="22">
        <v>17232.41015625</v>
      </c>
      <c r="G7" s="22">
        <v>15950.431640625</v>
      </c>
      <c r="H7" s="22">
        <v>16037.6005859375</v>
      </c>
      <c r="I7" s="22">
        <v>17314.5</v>
      </c>
      <c r="J7" s="22">
        <v>17873.740234375</v>
      </c>
      <c r="K7" s="22">
        <v>18083.181640625</v>
      </c>
      <c r="L7" s="22">
        <v>19482.84765625</v>
      </c>
      <c r="M7" s="23">
        <v>22951.802734375</v>
      </c>
      <c r="N7" s="24">
        <f t="shared" si="0"/>
        <v>0.16536051786438186</v>
      </c>
      <c r="O7" s="24">
        <f t="shared" si="1"/>
        <v>0.21482309974307814</v>
      </c>
    </row>
    <row r="8" spans="1:15" s="19" customFormat="1" ht="18" customHeight="1" x14ac:dyDescent="0.2">
      <c r="A8" s="141"/>
      <c r="B8" s="20" t="s">
        <v>24</v>
      </c>
      <c r="C8" s="25"/>
      <c r="D8" s="26">
        <f ca="1">24.48401*OFFSET(D$108,MATCH($M$1,$C$109:$C$110,0),0)</f>
        <v>19.916762596174188</v>
      </c>
      <c r="E8" s="26">
        <f ca="1">25.7517*OFFSET(E$108,MATCH($M$1,$C$109:$C$110,0),0)</f>
        <v>21.511165923841087</v>
      </c>
      <c r="F8" s="26">
        <f ca="1">27.13048*OFFSET(F$108,MATCH($M$1,$C$109:$C$110,0),0)</f>
        <v>23.31376346999366</v>
      </c>
      <c r="G8" s="26">
        <f ca="1">23.867682*OFFSET(G$108,MATCH($M$1,$C$109:$C$110,0),0)</f>
        <v>21.105475443412576</v>
      </c>
      <c r="H8" s="26">
        <f ca="1">22.688636*OFFSET(H$108,MATCH($M$1,$C$109:$C$110,0),0)</f>
        <v>20.460158499997071</v>
      </c>
      <c r="I8" s="26">
        <f ca="1">25.84368*OFFSET(I$108,MATCH($M$1,$C$109:$C$110,0),0)</f>
        <v>24.044701122067956</v>
      </c>
      <c r="J8" s="26">
        <f ca="1">26.597368*OFFSET(J$108,MATCH($M$1,$C$109:$C$110,0),0)</f>
        <v>25.271754979414052</v>
      </c>
      <c r="K8" s="26">
        <f ca="1">26.494538*OFFSET(K$108,MATCH($M$1,$C$109:$C$110,0),0)</f>
        <v>25.592133785601753</v>
      </c>
      <c r="L8" s="26">
        <f ca="1">30.667388*OFFSET(L$108,MATCH($M$1,$C$109:$C$110,0),0)</f>
        <v>30.153095372848806</v>
      </c>
      <c r="M8" s="27">
        <f ca="1">35.200568*OFFSET(M$108,MATCH($M$1,$C$109:$C$110,0),0)</f>
        <v>35.200567863240394</v>
      </c>
      <c r="N8" s="24">
        <f t="shared" ca="1" si="0"/>
        <v>0.51395565555623568</v>
      </c>
      <c r="O8" s="24">
        <f t="shared" ca="1" si="1"/>
        <v>0.4737469102623581</v>
      </c>
    </row>
    <row r="9" spans="1:15" s="19" customFormat="1" ht="18" customHeight="1" x14ac:dyDescent="0.2">
      <c r="A9" s="141"/>
      <c r="B9" s="20" t="s">
        <v>25</v>
      </c>
      <c r="C9" s="25"/>
      <c r="D9" s="22">
        <v>15917.56640625</v>
      </c>
      <c r="E9" s="22">
        <v>15218.216796875</v>
      </c>
      <c r="F9" s="22">
        <v>15971.912109375</v>
      </c>
      <c r="G9" s="22">
        <v>14992.4716796875</v>
      </c>
      <c r="H9" s="22">
        <v>14656.0830078125</v>
      </c>
      <c r="I9" s="22">
        <v>15463.197265625</v>
      </c>
      <c r="J9" s="22">
        <v>14469.927734375</v>
      </c>
      <c r="K9" s="22">
        <v>14617.375</v>
      </c>
      <c r="L9" s="22">
        <v>15043.5478515625</v>
      </c>
      <c r="M9" s="23">
        <v>15195.7861328125</v>
      </c>
      <c r="N9" s="24">
        <f t="shared" si="0"/>
        <v>-5.4909056597013374E-2</v>
      </c>
      <c r="O9" s="24">
        <f t="shared" si="1"/>
        <v>2.643713491138525E-2</v>
      </c>
    </row>
    <row r="10" spans="1:15" s="19" customFormat="1" ht="18" customHeight="1" x14ac:dyDescent="0.2">
      <c r="A10" s="142" t="s">
        <v>7</v>
      </c>
      <c r="B10" s="28" t="s">
        <v>26</v>
      </c>
      <c r="C10" s="29"/>
      <c r="D10" s="30">
        <v>15.871829032897949</v>
      </c>
      <c r="E10" s="30">
        <v>15.770476341247559</v>
      </c>
      <c r="F10" s="30">
        <v>16.192989349365234</v>
      </c>
      <c r="G10" s="30">
        <v>15.824222564697266</v>
      </c>
      <c r="H10" s="30">
        <v>15.389756202697754</v>
      </c>
      <c r="I10" s="30">
        <v>15.395061492919922</v>
      </c>
      <c r="J10" s="30">
        <v>15.411341667175293</v>
      </c>
      <c r="K10" s="30">
        <v>14.975764274597168</v>
      </c>
      <c r="L10" s="30">
        <v>15.214606285095215</v>
      </c>
      <c r="M10" s="31">
        <v>15.378089904785156</v>
      </c>
      <c r="N10" s="32">
        <f t="shared" si="0"/>
        <v>-4.1408129235798334E-2</v>
      </c>
      <c r="O10" s="32">
        <f t="shared" si="1"/>
        <v>-1.1380941666368704E-2</v>
      </c>
    </row>
    <row r="11" spans="1:15" s="19" customFormat="1" ht="18" customHeight="1" x14ac:dyDescent="0.2">
      <c r="A11" s="143"/>
      <c r="B11" s="33" t="s">
        <v>20</v>
      </c>
      <c r="C11" s="21"/>
      <c r="D11" s="22">
        <v>208.06219482421875</v>
      </c>
      <c r="E11" s="22">
        <v>212.20463562011719</v>
      </c>
      <c r="F11" s="22">
        <v>224.77517700195312</v>
      </c>
      <c r="G11" s="22">
        <v>216.27288818359375</v>
      </c>
      <c r="H11" s="22">
        <v>219.9923095703125</v>
      </c>
      <c r="I11" s="22">
        <v>220.60136413574219</v>
      </c>
      <c r="J11" s="22">
        <v>226.29902648925781</v>
      </c>
      <c r="K11" s="22">
        <v>212.48905944824219</v>
      </c>
      <c r="L11" s="22">
        <v>217.70820617675781</v>
      </c>
      <c r="M11" s="23">
        <v>218.48663330078125</v>
      </c>
      <c r="N11" s="24">
        <f t="shared" si="0"/>
        <v>4.6361191953629491E-2</v>
      </c>
      <c r="O11" s="24">
        <f t="shared" si="1"/>
        <v>-1.0382651093649513E-2</v>
      </c>
    </row>
    <row r="12" spans="1:15" s="19" customFormat="1" ht="18" customHeight="1" x14ac:dyDescent="0.2">
      <c r="A12" s="143"/>
      <c r="B12" s="33" t="s">
        <v>21</v>
      </c>
      <c r="C12" s="21"/>
      <c r="D12" s="22">
        <v>57.456096649169922</v>
      </c>
      <c r="E12" s="22">
        <v>58.188095092773438</v>
      </c>
      <c r="F12" s="22">
        <v>66.170341491699219</v>
      </c>
      <c r="G12" s="22">
        <v>62.037109375</v>
      </c>
      <c r="H12" s="22">
        <v>56.203659057617187</v>
      </c>
      <c r="I12" s="22">
        <v>56.200122833251953</v>
      </c>
      <c r="J12" s="22">
        <v>55.176952362060547</v>
      </c>
      <c r="K12" s="22">
        <v>49.790351867675781</v>
      </c>
      <c r="L12" s="22">
        <v>52.462245941162109</v>
      </c>
      <c r="M12" s="23">
        <v>53.264156341552734</v>
      </c>
      <c r="N12" s="24">
        <f t="shared" si="0"/>
        <v>-8.6915941027120913E-2</v>
      </c>
      <c r="O12" s="24">
        <f t="shared" si="1"/>
        <v>-6.6568852974849338E-2</v>
      </c>
    </row>
    <row r="13" spans="1:15" s="19" customFormat="1" ht="18" customHeight="1" x14ac:dyDescent="0.2">
      <c r="A13" s="143"/>
      <c r="B13" s="33" t="s">
        <v>22</v>
      </c>
      <c r="C13" s="21"/>
      <c r="D13" s="22">
        <v>208.933349609375</v>
      </c>
      <c r="E13" s="22">
        <v>220.1031494140625</v>
      </c>
      <c r="F13" s="22">
        <v>176.81410217285156</v>
      </c>
      <c r="G13" s="22">
        <v>187.3896484375</v>
      </c>
      <c r="H13" s="22">
        <v>184.78144836425781</v>
      </c>
      <c r="I13" s="22">
        <v>184.89009094238281</v>
      </c>
      <c r="J13" s="22">
        <v>187.33871459960937</v>
      </c>
      <c r="K13" s="22">
        <v>176.22941589355469</v>
      </c>
      <c r="L13" s="22">
        <v>180.64303588867187</v>
      </c>
      <c r="M13" s="23">
        <v>182.21414184570312</v>
      </c>
      <c r="N13" s="24">
        <f t="shared" si="0"/>
        <v>-0.13540353310562978</v>
      </c>
      <c r="O13" s="24">
        <f t="shared" si="1"/>
        <v>-2.2396255209710916E-2</v>
      </c>
    </row>
    <row r="14" spans="1:15" s="19" customFormat="1" ht="18" customHeight="1" x14ac:dyDescent="0.2">
      <c r="A14" s="143"/>
      <c r="B14" s="33" t="s">
        <v>23</v>
      </c>
      <c r="C14" s="25"/>
      <c r="D14" s="26">
        <v>203.88172912597656</v>
      </c>
      <c r="E14" s="26">
        <v>195.19900512695312</v>
      </c>
      <c r="F14" s="26">
        <v>198.07366943359375</v>
      </c>
      <c r="G14" s="26">
        <v>177.22702026367188</v>
      </c>
      <c r="H14" s="26">
        <v>195.58050537109375</v>
      </c>
      <c r="I14" s="26">
        <v>213.75924682617187</v>
      </c>
      <c r="J14" s="26">
        <v>217.97242736816406</v>
      </c>
      <c r="K14" s="26">
        <v>212.74331665039062</v>
      </c>
      <c r="L14" s="26">
        <v>218.90838623046875</v>
      </c>
      <c r="M14" s="27">
        <v>257.88540649414062</v>
      </c>
      <c r="N14" s="24">
        <f t="shared" si="0"/>
        <v>7.3702813728871996E-2</v>
      </c>
      <c r="O14" s="24">
        <f t="shared" si="1"/>
        <v>0.11927508222311198</v>
      </c>
    </row>
    <row r="15" spans="1:15" s="19" customFormat="1" ht="18" customHeight="1" x14ac:dyDescent="0.2">
      <c r="A15" s="143"/>
      <c r="B15" s="33" t="s">
        <v>27</v>
      </c>
      <c r="C15" s="25"/>
      <c r="D15" s="26">
        <f ca="1">298.5855*OFFSET(D$108,MATCH($M$1,$C$109:$C$110,0),0)</f>
        <v>242.88735865407537</v>
      </c>
      <c r="E15" s="26">
        <f ca="1">306.56784375*OFFSET(E$108,MATCH($M$1,$C$109:$C$110,0),0)</f>
        <v>256.08529742970131</v>
      </c>
      <c r="F15" s="26">
        <f ca="1">311.84459375*OFFSET(F$108,MATCH($M$1,$C$109:$C$110,0),0)</f>
        <v>267.97428936324621</v>
      </c>
      <c r="G15" s="26">
        <f ca="1">265.19646875*OFFSET(G$108,MATCH($M$1,$C$109:$C$110,0),0)</f>
        <v>234.50528454681341</v>
      </c>
      <c r="H15" s="26">
        <f ca="1">276.6906875*OFFSET(H$108,MATCH($M$1,$C$109:$C$110,0),0)</f>
        <v>249.51413217273875</v>
      </c>
      <c r="I15" s="26">
        <f ca="1">319.05778125*OFFSET(I$108,MATCH($M$1,$C$109:$C$110,0),0)</f>
        <v>296.84816523135976</v>
      </c>
      <c r="J15" s="26">
        <f ca="1">324.358125*OFFSET(J$108,MATCH($M$1,$C$109:$C$110,0),0)</f>
        <v>308.19211361748859</v>
      </c>
      <c r="K15" s="26">
        <f ca="1">311.7004375*OFFSET(K$108,MATCH($M$1,$C$109:$C$110,0),0)</f>
        <v>301.08391765618251</v>
      </c>
      <c r="L15" s="26">
        <f ca="1">344.57740625*OFFSET(L$108,MATCH($M$1,$C$109:$C$110,0),0)</f>
        <v>338.79883718773567</v>
      </c>
      <c r="M15" s="27">
        <f ca="1">395.512*OFFSET(M$108,MATCH($M$1,$C$109:$C$110,0),0)</f>
        <v>395.51199846337528</v>
      </c>
      <c r="N15" s="24">
        <f t="shared" ca="1" si="0"/>
        <v>0.39488048725606667</v>
      </c>
      <c r="O15" s="24">
        <f t="shared" ca="1" si="1"/>
        <v>0.35783426067901064</v>
      </c>
    </row>
    <row r="16" spans="1:15" s="19" customFormat="1" ht="18" customHeight="1" x14ac:dyDescent="0.2">
      <c r="A16" s="143"/>
      <c r="B16" s="33" t="s">
        <v>25</v>
      </c>
      <c r="C16" s="21"/>
      <c r="D16" s="22">
        <v>194.11666870117187</v>
      </c>
      <c r="E16" s="22">
        <v>181.16925048828125</v>
      </c>
      <c r="F16" s="22">
        <v>183.58518981933594</v>
      </c>
      <c r="G16" s="22">
        <v>166.58302307128906</v>
      </c>
      <c r="H16" s="22">
        <v>178.73272705078125</v>
      </c>
      <c r="I16" s="22">
        <v>190.90367126464844</v>
      </c>
      <c r="J16" s="22">
        <v>176.4625244140625</v>
      </c>
      <c r="K16" s="22">
        <v>171.9691162109375</v>
      </c>
      <c r="L16" s="22">
        <v>169.02862548828125</v>
      </c>
      <c r="M16" s="23">
        <v>170.73916625976562</v>
      </c>
      <c r="N16" s="24">
        <f t="shared" si="0"/>
        <v>-0.12924208611632315</v>
      </c>
      <c r="O16" s="24">
        <f t="shared" si="1"/>
        <v>-5.4293926594332589E-2</v>
      </c>
    </row>
    <row r="17" spans="1:15" s="19" customFormat="1" ht="18" customHeight="1" x14ac:dyDescent="0.2">
      <c r="A17" s="143"/>
      <c r="B17" s="33" t="s">
        <v>28</v>
      </c>
      <c r="C17" s="21"/>
      <c r="D17" s="22">
        <v>24.573171615600586</v>
      </c>
      <c r="E17" s="22">
        <v>24.702381134033203</v>
      </c>
      <c r="F17" s="22">
        <v>25.264368057250977</v>
      </c>
      <c r="G17" s="22">
        <v>24.977777481079102</v>
      </c>
      <c r="H17" s="22">
        <v>25.280487060546875</v>
      </c>
      <c r="I17" s="22">
        <v>26.679012298583984</v>
      </c>
      <c r="J17" s="22">
        <v>26.45121955871582</v>
      </c>
      <c r="K17" s="22">
        <v>27.694118499755859</v>
      </c>
      <c r="L17" s="22">
        <v>28.483146667480469</v>
      </c>
      <c r="M17" s="23">
        <v>29.662921905517578</v>
      </c>
      <c r="N17" s="24">
        <f t="shared" si="0"/>
        <v>0.15911560432832308</v>
      </c>
      <c r="O17" s="24">
        <f t="shared" si="1"/>
        <v>0.12668504365692046</v>
      </c>
    </row>
    <row r="18" spans="1:15" s="19" customFormat="1" ht="18" customHeight="1" x14ac:dyDescent="0.2">
      <c r="A18" s="143"/>
      <c r="B18" s="33" t="s">
        <v>29</v>
      </c>
      <c r="C18" s="21"/>
      <c r="D18" s="34">
        <v>1.0503051280975342</v>
      </c>
      <c r="E18" s="34">
        <v>1.0774400234222412</v>
      </c>
      <c r="F18" s="34">
        <v>1.0789196491241455</v>
      </c>
      <c r="G18" s="34">
        <v>1.0638960599899292</v>
      </c>
      <c r="H18" s="34">
        <v>1.0942623615264893</v>
      </c>
      <c r="I18" s="34">
        <v>1.1197230815887451</v>
      </c>
      <c r="J18" s="34">
        <v>1.2352335453033447</v>
      </c>
      <c r="K18" s="34">
        <v>1.2371019124984741</v>
      </c>
      <c r="L18" s="34">
        <v>1.2950965166091919</v>
      </c>
      <c r="M18" s="35">
        <v>1.5104056596755981</v>
      </c>
      <c r="N18" s="24">
        <f t="shared" si="0"/>
        <v>0.23306692689871902</v>
      </c>
      <c r="O18" s="24">
        <f t="shared" si="1"/>
        <v>0.18353382346308633</v>
      </c>
    </row>
    <row r="19" spans="1:15" s="19" customFormat="1" ht="18" customHeight="1" x14ac:dyDescent="0.2">
      <c r="A19" s="144"/>
      <c r="B19" s="36" t="s">
        <v>8</v>
      </c>
      <c r="C19" s="37"/>
      <c r="D19" s="38">
        <f ca="1">1464.50349950992*OFFSET(D$108,MATCH($M$1,$C$109:$C$110,0),0)</f>
        <v>1191.3150060388546</v>
      </c>
      <c r="E19" s="38">
        <f ca="1">1570.5400245071*OFFSET(E$108,MATCH($M$1,$C$109:$C$110,0),0)</f>
        <v>1311.919098824764</v>
      </c>
      <c r="F19" s="38">
        <f ca="1">1574.38685326092*OFFSET(F$108,MATCH($M$1,$C$109:$C$110,0),0)</f>
        <v>1352.9020757167843</v>
      </c>
      <c r="G19" s="38">
        <f ca="1">1496.3659001685*OFFSET(G$108,MATCH($M$1,$C$109:$C$110,0),0)</f>
        <v>1323.1914921761668</v>
      </c>
      <c r="H19" s="38">
        <f ca="1">1414.71511766507*OFFSET(H$108,MATCH($M$1,$C$109:$C$110,0),0)</f>
        <v>1275.7618192547732</v>
      </c>
      <c r="I19" s="38">
        <f ca="1">1492.60330936498*OFFSET(I$108,MATCH($M$1,$C$109:$C$110,0),0)</f>
        <v>1388.7031749151236</v>
      </c>
      <c r="J19" s="38">
        <f ca="1">1488.06951713708*OFFSET(J$108,MATCH($M$1,$C$109:$C$110,0),0)</f>
        <v>1413.9041212432473</v>
      </c>
      <c r="K19" s="38">
        <f ca="1">1465.14803238377*OFFSET(K$108,MATCH($M$1,$C$109:$C$110,0),0)</f>
        <v>1415.245076569239</v>
      </c>
      <c r="L19" s="38">
        <f ca="1">1574.07112867107*OFFSET(L$108,MATCH($M$1,$C$109:$C$110,0),0)</f>
        <v>1547.6739286197619</v>
      </c>
      <c r="M19" s="39">
        <f ca="1">1533.6733418016*OFFSET(M$108,MATCH($M$1,$C$109:$C$110,0),0)</f>
        <v>1533.673335843044</v>
      </c>
      <c r="N19" s="40">
        <f ca="1">IF(L19=0,"",IFERROR(IF(AND(L19&gt;0,D19&lt;0),"na",IF(AND(L19&lt;0,D19&lt;0),-1,1)*(L19-D19)/D19),""))</f>
        <v>0.29913072594108225</v>
      </c>
      <c r="O19" s="40">
        <f ca="1">IF(L19=0,"",IFERROR(IF(AND(L19&gt;0,H19&lt;0),"na",IF(AND(L19&lt;0,H19&lt;0),-1,1)*(L19-H19)/H19),""))</f>
        <v>0.2131370489860123</v>
      </c>
    </row>
    <row r="20" spans="1:15" s="19" customFormat="1" ht="18" customHeight="1" x14ac:dyDescent="0.2">
      <c r="A20" s="145" t="s">
        <v>9</v>
      </c>
      <c r="B20" s="28" t="s">
        <v>30</v>
      </c>
      <c r="C20" s="41"/>
      <c r="D20" s="42">
        <v>4.7792558514467087</v>
      </c>
      <c r="E20" s="42">
        <v>4.8855286001372651</v>
      </c>
      <c r="F20" s="42">
        <v>4.5015396267885093</v>
      </c>
      <c r="G20" s="42">
        <v>4.7341561847516109</v>
      </c>
      <c r="H20" s="42">
        <v>4.6776432594895407</v>
      </c>
      <c r="I20" s="42">
        <v>4.8531887172411743</v>
      </c>
      <c r="J20" s="42">
        <v>5.1766248906711558</v>
      </c>
      <c r="K20" s="42">
        <v>5.4829840900979718</v>
      </c>
      <c r="L20" s="42">
        <v>5.5881926027969602</v>
      </c>
      <c r="M20" s="43">
        <v>6.4560835210854259</v>
      </c>
      <c r="N20" s="32">
        <f t="shared" si="0"/>
        <v>0.16925998031793624</v>
      </c>
      <c r="O20" s="32">
        <f t="shared" si="1"/>
        <v>0.19465985172344788</v>
      </c>
    </row>
    <row r="21" spans="1:15" s="19" customFormat="1" ht="18" customHeight="1" x14ac:dyDescent="0.2">
      <c r="A21" s="145"/>
      <c r="B21" s="33" t="s">
        <v>31</v>
      </c>
      <c r="C21" s="21"/>
      <c r="D21" s="34">
        <f ca="1">6.99923678374535*OFFSET(D$108,MATCH($M$1,$C$109:$C$110,0),0)</f>
        <v>5.6935991030989568</v>
      </c>
      <c r="E21" s="34">
        <f ca="1">7.67291804355733*OFFSET(E$108,MATCH($M$1,$C$109:$C$110,0),0)</f>
        <v>6.4094181415205931</v>
      </c>
      <c r="F21" s="34">
        <f ca="1">7.08716509458124*OFFSET(F$108,MATCH($M$1,$C$109:$C$110,0),0)</f>
        <v>6.0901425513983645</v>
      </c>
      <c r="G21" s="34">
        <f ca="1">7.08402985526271*OFFSET(G$108,MATCH($M$1,$C$109:$C$110,0),0)</f>
        <v>6.2641951635960575</v>
      </c>
      <c r="H21" s="34">
        <f ca="1">6.61753239103344*OFFSET(H$108,MATCH($M$1,$C$109:$C$110,0),0)</f>
        <v>5.9675584552288106</v>
      </c>
      <c r="I21" s="34">
        <f ca="1">7.24388604049346*OFFSET(I$108,MATCH($M$1,$C$109:$C$110,0),0)</f>
        <v>6.7396390454449788</v>
      </c>
      <c r="J21" s="34">
        <f ca="1">7.7031777075657*OFFSET(J$108,MATCH($M$1,$C$109:$C$110,0),0)</f>
        <v>7.3192512728509378</v>
      </c>
      <c r="K21" s="34">
        <f ca="1">8.03338298282537*OFFSET(K$108,MATCH($M$1,$C$109:$C$110,0),0)</f>
        <v>7.7597658825922284</v>
      </c>
      <c r="L21" s="34">
        <f ca="1">8.79621354784444*OFFSET(L$108,MATCH($M$1,$C$109:$C$110,0),0)</f>
        <v>8.6487008945169439</v>
      </c>
      <c r="M21" s="35">
        <f ca="1">9.90152386017065*OFFSET(M$108,MATCH($M$1,$C$109:$C$110,0),0)</f>
        <v>9.9015238217017139</v>
      </c>
      <c r="N21" s="24">
        <f t="shared" ca="1" si="0"/>
        <v>0.51902175371103332</v>
      </c>
      <c r="O21" s="24">
        <f t="shared" ca="1" si="1"/>
        <v>0.44928633031468679</v>
      </c>
    </row>
    <row r="22" spans="1:15" s="19" customFormat="1" ht="18" customHeight="1" x14ac:dyDescent="0.2">
      <c r="A22" s="145"/>
      <c r="B22" s="33" t="s">
        <v>10</v>
      </c>
      <c r="C22" s="21"/>
      <c r="D22" s="34">
        <f ca="1">5.73194938617177*OFFSET(D$108,MATCH($M$1,$C$109:$C$110,0),0)</f>
        <v>4.6627115059040367</v>
      </c>
      <c r="E22" s="34">
        <f ca="1">6.63650751440114*OFFSET(E$108,MATCH($M$1,$C$109:$C$110,0),0)</f>
        <v>5.5436734000901344</v>
      </c>
      <c r="F22" s="34">
        <f ca="1">6.23382033048195*OFFSET(F$108,MATCH($M$1,$C$109:$C$110,0),0)</f>
        <v>5.3568463476980099</v>
      </c>
      <c r="G22" s="34">
        <f ca="1">5.86337335669276*OFFSET(G$108,MATCH($M$1,$C$109:$C$110,0),0)</f>
        <v>5.1848052272205836</v>
      </c>
      <c r="H22" s="34">
        <f ca="1">5.22585189518014*OFFSET(H$108,MATCH($M$1,$C$109:$C$110,0),0)</f>
        <v>4.7125687975643729</v>
      </c>
      <c r="I22" s="34">
        <f ca="1">6.3188167600531*OFFSET(I$108,MATCH($M$1,$C$109:$C$110,0),0)</f>
        <v>5.8789638488245703</v>
      </c>
      <c r="J22" s="34">
        <f ca="1">7.00688331063882*OFFSET(J$108,MATCH($M$1,$C$109:$C$110,0),0)</f>
        <v>6.6576601938887263</v>
      </c>
      <c r="K22" s="34">
        <f ca="1">6.29373142863183*OFFSET(K$108,MATCH($M$1,$C$109:$C$110,0),0)</f>
        <v>6.0793668767574758</v>
      </c>
      <c r="L22" s="34">
        <f ca="1">7.23386936181648*OFFSET(L$108,MATCH($M$1,$C$109:$C$110,0),0)</f>
        <v>7.1125572475093497</v>
      </c>
      <c r="M22" s="35">
        <f ca="1">7.95697591397921*OFFSET(M$108,MATCH($M$1,$C$109:$C$110,0),0)</f>
        <v>7.9569758830651391</v>
      </c>
      <c r="N22" s="24">
        <f t="shared" ca="1" si="0"/>
        <v>0.52541224961125299</v>
      </c>
      <c r="O22" s="24">
        <f t="shared" ca="1" si="1"/>
        <v>0.50927393382254249</v>
      </c>
    </row>
    <row r="23" spans="1:15" s="19" customFormat="1" ht="18" customHeight="1" x14ac:dyDescent="0.2">
      <c r="A23" s="146"/>
      <c r="B23" s="33" t="s">
        <v>32</v>
      </c>
      <c r="C23" s="44"/>
      <c r="D23" s="34">
        <f ca="1">1.26728739757359*OFFSET(D$108,MATCH($M$1,$C$109:$C$110,0),0)</f>
        <v>1.0308875971949285</v>
      </c>
      <c r="E23" s="34">
        <f ca="1">1.03641052915619*OFFSET(E$108,MATCH($M$1,$C$109:$C$110,0),0)</f>
        <v>0.86574474143045876</v>
      </c>
      <c r="F23" s="34">
        <f ca="1">0.853344764099298*OFFSET(F$108,MATCH($M$1,$C$109:$C$110,0),0)</f>
        <v>0.73329620370036108</v>
      </c>
      <c r="G23" s="34">
        <f ca="1">1.22065649856995*OFFSET(G$108,MATCH($M$1,$C$109:$C$110,0),0)</f>
        <v>1.0793899363754746</v>
      </c>
      <c r="H23" s="34">
        <f ca="1">1.3916804958533*OFFSET(H$108,MATCH($M$1,$C$109:$C$110,0),0)</f>
        <v>1.2549896576644377</v>
      </c>
      <c r="I23" s="34">
        <f ca="1">0.925069280440358*OFFSET(I$108,MATCH($M$1,$C$109:$C$110,0),0)</f>
        <v>0.8606751966204067</v>
      </c>
      <c r="J23" s="34">
        <f ca="1">0.696294396926881*OFFSET(J$108,MATCH($M$1,$C$109:$C$110,0),0)</f>
        <v>0.66159107896221192</v>
      </c>
      <c r="K23" s="34">
        <f ca="1">1.73965155419354*OFFSET(K$108,MATCH($M$1,$C$109:$C$110,0),0)</f>
        <v>1.6803990058347535</v>
      </c>
      <c r="L23" s="34">
        <f ca="1">1.56234418602796*OFFSET(L$108,MATCH($M$1,$C$109:$C$110,0),0)</f>
        <v>1.5361436470075938</v>
      </c>
      <c r="M23" s="35">
        <f ca="1">1.94454794619144*OFFSET(M$108,MATCH($M$1,$C$109:$C$110,0),0)</f>
        <v>1.9445479386365732</v>
      </c>
      <c r="N23" s="24">
        <f t="shared" ca="1" si="0"/>
        <v>0.49011749795756576</v>
      </c>
      <c r="O23" s="24">
        <f t="shared" ca="1" si="1"/>
        <v>0.224028929343043</v>
      </c>
    </row>
    <row r="24" spans="1:15" s="19" customFormat="1" ht="18" customHeight="1" x14ac:dyDescent="0.2">
      <c r="A24" s="147" t="s">
        <v>11</v>
      </c>
      <c r="B24" s="28" t="s">
        <v>27</v>
      </c>
      <c r="C24" s="29"/>
      <c r="D24" s="30">
        <f ca="1">298.6*OFFSET(D$108,MATCH($M$1,$C$109:$C$110,0),0)</f>
        <v>242.8991538239697</v>
      </c>
      <c r="E24" s="30">
        <f ca="1">306.6*OFFSET(E$108,MATCH($M$1,$C$109:$C$110,0),0)</f>
        <v>256.11215850796947</v>
      </c>
      <c r="F24" s="30">
        <f ca="1">311.8*OFFSET(F$108,MATCH($M$1,$C$109:$C$110,0),0)</f>
        <v>267.93596906298836</v>
      </c>
      <c r="G24" s="30">
        <f ca="1">265.2*OFFSET(G$108,MATCH($M$1,$C$109:$C$110,0),0)</f>
        <v>234.50840712529251</v>
      </c>
      <c r="H24" s="30">
        <f ca="1">276.7*OFFSET(H$108,MATCH($M$1,$C$109:$C$110,0),0)</f>
        <v>249.52252999912332</v>
      </c>
      <c r="I24" s="30">
        <f ca="1">319.1*OFFSET(I$108,MATCH($M$1,$C$109:$C$110,0),0)</f>
        <v>296.88744513366072</v>
      </c>
      <c r="J24" s="30">
        <f ca="1">324.4*OFFSET(J$108,MATCH($M$1,$C$109:$C$110,0),0)</f>
        <v>308.23190156717453</v>
      </c>
      <c r="K24" s="30">
        <f ca="1">311.7*OFFSET(K$108,MATCH($M$1,$C$109:$C$110,0),0)</f>
        <v>301.08349505743661</v>
      </c>
      <c r="L24" s="30">
        <f ca="1">344.6*OFFSET(L$108,MATCH($M$1,$C$109:$C$110,0),0)</f>
        <v>338.82105204015744</v>
      </c>
      <c r="M24" s="31">
        <f ca="1">395.5*OFFSET(M$108,MATCH($M$1,$C$109:$C$110,0),0)</f>
        <v>395.49999846342189</v>
      </c>
      <c r="N24" s="32">
        <f t="shared" ca="1" si="0"/>
        <v>0.39490420903525603</v>
      </c>
      <c r="O24" s="32">
        <f t="shared" ca="1" si="1"/>
        <v>0.35787759141969211</v>
      </c>
    </row>
    <row r="25" spans="1:15" s="19" customFormat="1" ht="18" customHeight="1" x14ac:dyDescent="0.2">
      <c r="A25" s="148"/>
      <c r="B25" s="33" t="s">
        <v>33</v>
      </c>
      <c r="C25" s="25"/>
      <c r="D25" s="26">
        <f ca="1">1*OFFSET(D$108,MATCH($M$1,$C$109:$C$110,0),0)</f>
        <v>0.81345999271255753</v>
      </c>
      <c r="E25" s="26">
        <f ca="1">0.6*OFFSET(E$108,MATCH($M$1,$C$109:$C$110,0),0)</f>
        <v>0.50119796185512611</v>
      </c>
      <c r="F25" s="26">
        <f ca="1">4.7*OFFSET(F$108,MATCH($M$1,$C$109:$C$110,0),0)</f>
        <v>4.0388038954331149</v>
      </c>
      <c r="G25" s="26">
        <f ca="1">1.6*OFFSET(G$108,MATCH($M$1,$C$109:$C$110,0),0)</f>
        <v>1.4148320188554602</v>
      </c>
      <c r="H25" s="26">
        <f ca="1">28.8*OFFSET(H$108,MATCH($M$1,$C$109:$C$110,0),0)</f>
        <v>25.971264416244136</v>
      </c>
      <c r="I25" s="26">
        <f ca="1">2.5*OFFSET(I$108,MATCH($M$1,$C$109:$C$110,0),0)</f>
        <v>2.3259749697090308</v>
      </c>
      <c r="J25" s="26">
        <f ca="1">19*OFFSET(J$108,MATCH($M$1,$C$109:$C$110,0),0)</f>
        <v>18.053039857510225</v>
      </c>
      <c r="K25" s="26">
        <f ca="1">44.1*OFFSET(K$108,MATCH($M$1,$C$109:$C$110,0),0)</f>
        <v>42.597953583679676</v>
      </c>
      <c r="L25" s="26">
        <f ca="1">21.3*OFFSET(L$108,MATCH($M$1,$C$109:$C$110,0),0)</f>
        <v>20.942798631617393</v>
      </c>
      <c r="M25" s="27">
        <f ca="1">24.5*OFFSET(M$108,MATCH($M$1,$C$109:$C$110,0),0)</f>
        <v>24.499999904813748</v>
      </c>
      <c r="N25" s="24">
        <f t="shared" ca="1" si="0"/>
        <v>24.745333291415715</v>
      </c>
      <c r="O25" s="24">
        <f t="shared" ca="1" si="1"/>
        <v>-0.19361651801140686</v>
      </c>
    </row>
    <row r="26" spans="1:15" s="19" customFormat="1" ht="18" customHeight="1" x14ac:dyDescent="0.2">
      <c r="A26" s="148"/>
      <c r="B26" s="45" t="s">
        <v>34</v>
      </c>
      <c r="C26" s="46"/>
      <c r="D26" s="47">
        <f ca="1">299.6*OFFSET(D$108,MATCH($M$1,$C$109:$C$110,0),0)</f>
        <v>243.71261381668225</v>
      </c>
      <c r="E26" s="47">
        <f ca="1">307.2*OFFSET(E$108,MATCH($M$1,$C$109:$C$110,0),0)</f>
        <v>256.61335646982457</v>
      </c>
      <c r="F26" s="47">
        <f ca="1">316.5*OFFSET(F$108,MATCH($M$1,$C$109:$C$110,0),0)</f>
        <v>271.97477295842145</v>
      </c>
      <c r="G26" s="47">
        <f ca="1">266.8*OFFSET(G$108,MATCH($M$1,$C$109:$C$110,0),0)</f>
        <v>235.923239144148</v>
      </c>
      <c r="H26" s="47">
        <f ca="1">305.5*OFFSET(H$108,MATCH($M$1,$C$109:$C$110,0),0)</f>
        <v>275.49379441536746</v>
      </c>
      <c r="I26" s="47">
        <f ca="1">321.5*OFFSET(I$108,MATCH($M$1,$C$109:$C$110,0),0)</f>
        <v>299.12038110458138</v>
      </c>
      <c r="J26" s="47">
        <f ca="1">343.4*OFFSET(J$108,MATCH($M$1,$C$109:$C$110,0),0)</f>
        <v>326.28494142468475</v>
      </c>
      <c r="K26" s="47">
        <f ca="1">355.8*OFFSET(K$108,MATCH($M$1,$C$109:$C$110,0),0)</f>
        <v>343.68144864111633</v>
      </c>
      <c r="L26" s="47">
        <f ca="1">365.9*OFFSET(L$108,MATCH($M$1,$C$109:$C$110,0),0)</f>
        <v>359.76385067177478</v>
      </c>
      <c r="M26" s="48">
        <f ca="1">420*OFFSET(M$108,MATCH($M$1,$C$109:$C$110,0),0)</f>
        <v>419.99999836823565</v>
      </c>
      <c r="N26" s="49">
        <f t="shared" ca="1" si="0"/>
        <v>0.47618067459727337</v>
      </c>
      <c r="O26" s="49">
        <f t="shared" ca="1" si="1"/>
        <v>0.30588731203633457</v>
      </c>
    </row>
    <row r="27" spans="1:15" s="19" customFormat="1" ht="18" customHeight="1" x14ac:dyDescent="0.2">
      <c r="A27" s="148"/>
      <c r="B27" s="33" t="s">
        <v>35</v>
      </c>
      <c r="C27" s="25"/>
      <c r="D27" s="26">
        <f ca="1">37*OFFSET(D$108,MATCH($M$1,$C$109:$C$110,0),0)</f>
        <v>30.09801973036463</v>
      </c>
      <c r="E27" s="26">
        <f ca="1">39.6*OFFSET(E$108,MATCH($M$1,$C$109:$C$110,0),0)</f>
        <v>33.079065482438324</v>
      </c>
      <c r="F27" s="26">
        <f ca="1">45.7*OFFSET(F$108,MATCH($M$1,$C$109:$C$110,0),0)</f>
        <v>39.270922983253904</v>
      </c>
      <c r="G27" s="26">
        <f ca="1">52.6*OFFSET(G$108,MATCH($M$1,$C$109:$C$110,0),0)</f>
        <v>46.512602619873256</v>
      </c>
      <c r="H27" s="26">
        <f ca="1">43.7*OFFSET(H$108,MATCH($M$1,$C$109:$C$110,0),0)</f>
        <v>39.407786631592664</v>
      </c>
      <c r="I27" s="26">
        <f ca="1">51.7*OFFSET(I$108,MATCH($M$1,$C$109:$C$110,0),0)</f>
        <v>48.10116237358276</v>
      </c>
      <c r="J27" s="26">
        <f ca="1">63.4*OFFSET(J$108,MATCH($M$1,$C$109:$C$110,0),0)</f>
        <v>60.240143524534112</v>
      </c>
      <c r="K27" s="26">
        <f ca="1">61.5*OFFSET(K$108,MATCH($M$1,$C$109:$C$110,0),0)</f>
        <v>59.405309419417236</v>
      </c>
      <c r="L27" s="26">
        <f ca="1">59*OFFSET(L$108,MATCH($M$1,$C$109:$C$110,0),0)</f>
        <v>58.010568979597465</v>
      </c>
      <c r="M27" s="27">
        <f ca="1">53.6*OFFSET(M$108,MATCH($M$1,$C$109:$C$110,0),0)</f>
        <v>53.599999791755792</v>
      </c>
      <c r="N27" s="24">
        <f t="shared" ca="1" si="0"/>
        <v>0.92738823016562233</v>
      </c>
      <c r="O27" s="24">
        <f t="shared" ca="1" si="1"/>
        <v>0.47205854319895285</v>
      </c>
    </row>
    <row r="28" spans="1:15" s="19" customFormat="1" ht="18" customHeight="1" x14ac:dyDescent="0.2">
      <c r="A28" s="148"/>
      <c r="B28" s="33" t="s">
        <v>36</v>
      </c>
      <c r="C28" s="25"/>
      <c r="D28" s="26">
        <f ca="1">100.8*OFFSET(D$108,MATCH($M$1,$C$109:$C$110,0),0)</f>
        <v>81.996767265425802</v>
      </c>
      <c r="E28" s="26">
        <f ca="1">92.7*OFFSET(E$108,MATCH($M$1,$C$109:$C$110,0),0)</f>
        <v>77.435085106616995</v>
      </c>
      <c r="F28" s="26">
        <f ca="1">84.2*OFFSET(F$108,MATCH($M$1,$C$109:$C$110,0),0)</f>
        <v>72.354742126695371</v>
      </c>
      <c r="G28" s="26">
        <f ca="1">75.1*OFFSET(G$108,MATCH($M$1,$C$109:$C$110,0),0)</f>
        <v>66.408677885028155</v>
      </c>
      <c r="H28" s="26">
        <f ca="1">81.8*OFFSET(H$108,MATCH($M$1,$C$109:$C$110,0),0)</f>
        <v>73.765605182248962</v>
      </c>
      <c r="I28" s="26">
        <f ca="1">90*OFFSET(I$108,MATCH($M$1,$C$109:$C$110,0),0)</f>
        <v>83.735098909525121</v>
      </c>
      <c r="J28" s="26">
        <f ca="1">105.3*OFFSET(J$108,MATCH($M$1,$C$109:$C$110,0),0)</f>
        <v>100.05184721030666</v>
      </c>
      <c r="K28" s="26">
        <f ca="1">100.1*OFFSET(K$108,MATCH($M$1,$C$109:$C$110,0),0)</f>
        <v>96.690593055018951</v>
      </c>
      <c r="L28" s="26">
        <f ca="1">108.5*OFFSET(L$108,MATCH($M$1,$C$109:$C$110,0),0)</f>
        <v>106.68045312349703</v>
      </c>
      <c r="M28" s="27">
        <f ca="1">131.2*OFFSET(M$108,MATCH($M$1,$C$109:$C$110,0),0)</f>
        <v>131.19999949026788</v>
      </c>
      <c r="N28" s="24">
        <f t="shared" ca="1" si="0"/>
        <v>0.3010324270244637</v>
      </c>
      <c r="O28" s="24">
        <f t="shared" ca="1" si="1"/>
        <v>0.44620860711339672</v>
      </c>
    </row>
    <row r="29" spans="1:15" s="19" customFormat="1" ht="18" customHeight="1" x14ac:dyDescent="0.2">
      <c r="A29" s="148"/>
      <c r="B29" s="33" t="s">
        <v>37</v>
      </c>
      <c r="C29" s="25"/>
      <c r="D29" s="26">
        <f ca="1">49*OFFSET(D$108,MATCH($M$1,$C$109:$C$110,0),0)</f>
        <v>39.859539642915323</v>
      </c>
      <c r="E29" s="26">
        <f ca="1">70.7*OFFSET(E$108,MATCH($M$1,$C$109:$C$110,0),0)</f>
        <v>59.057826505262369</v>
      </c>
      <c r="F29" s="26">
        <f ca="1">94.9*OFFSET(F$108,MATCH($M$1,$C$109:$C$110,0),0)</f>
        <v>81.549465888638849</v>
      </c>
      <c r="G29" s="26">
        <f ca="1">33.4*OFFSET(G$108,MATCH($M$1,$C$109:$C$110,0),0)</f>
        <v>29.53461839360773</v>
      </c>
      <c r="H29" s="26">
        <f ca="1">33.4*OFFSET(H$108,MATCH($M$1,$C$109:$C$110,0),0)</f>
        <v>30.119452482727571</v>
      </c>
      <c r="I29" s="26">
        <f ca="1">68.4*OFFSET(I$108,MATCH($M$1,$C$109:$C$110,0),0)</f>
        <v>63.638675171239093</v>
      </c>
      <c r="J29" s="26">
        <f ca="1">55.9*OFFSET(J$108,MATCH($M$1,$C$109:$C$110,0),0)</f>
        <v>53.113943580780074</v>
      </c>
      <c r="K29" s="26">
        <f ca="1">55*OFFSET(K$108,MATCH($M$1,$C$109:$C$110,0),0)</f>
        <v>53.126699480779642</v>
      </c>
      <c r="L29" s="26">
        <f ca="1">56.6*OFFSET(L$108,MATCH($M$1,$C$109:$C$110,0),0)</f>
        <v>55.650817021105368</v>
      </c>
      <c r="M29" s="27">
        <f ca="1">65*OFFSET(M$108,MATCH($M$1,$C$109:$C$110,0),0)</f>
        <v>64.99999974746504</v>
      </c>
      <c r="N29" s="24">
        <f t="shared" ca="1" si="0"/>
        <v>0.39617309983149301</v>
      </c>
      <c r="O29" s="24">
        <f t="shared" ca="1" si="1"/>
        <v>0.84767027398718897</v>
      </c>
    </row>
    <row r="30" spans="1:15" s="19" customFormat="1" ht="18" customHeight="1" x14ac:dyDescent="0.2">
      <c r="A30" s="148"/>
      <c r="B30" s="33" t="s">
        <v>38</v>
      </c>
      <c r="C30" s="25"/>
      <c r="D30" s="26">
        <f ca="1">186.7*OFFSET(D$108,MATCH($M$1,$C$109:$C$110,0),0)</f>
        <v>151.87298063943447</v>
      </c>
      <c r="E30" s="26">
        <f ca="1">203*OFFSET(E$108,MATCH($M$1,$C$109:$C$110,0),0)</f>
        <v>169.57197709431767</v>
      </c>
      <c r="F30" s="26">
        <f ca="1">224.8*OFFSET(F$108,MATCH($M$1,$C$109:$C$110,0),0)</f>
        <v>193.17513099858814</v>
      </c>
      <c r="G30" s="26">
        <f ca="1">161.1*OFFSET(G$108,MATCH($M$1,$C$109:$C$110,0),0)</f>
        <v>142.45589889850913</v>
      </c>
      <c r="H30" s="26">
        <f ca="1">158.8*OFFSET(H$108,MATCH($M$1,$C$109:$C$110,0),0)</f>
        <v>143.20266629512392</v>
      </c>
      <c r="I30" s="26">
        <f ca="1">210.2*OFFSET(I$108,MATCH($M$1,$C$109:$C$110,0),0)</f>
        <v>195.56797545313532</v>
      </c>
      <c r="J30" s="26">
        <f ca="1">224.6*OFFSET(J$108,MATCH($M$1,$C$109:$C$110,0),0)</f>
        <v>213.40593431562084</v>
      </c>
      <c r="K30" s="26">
        <f ca="1">216.7*OFFSET(K$108,MATCH($M$1,$C$109:$C$110,0),0)</f>
        <v>209.31919595427178</v>
      </c>
      <c r="L30" s="26">
        <f ca="1">224.1*OFFSET(L$108,MATCH($M$1,$C$109:$C$110,0),0)</f>
        <v>220.34183912419985</v>
      </c>
      <c r="M30" s="27">
        <f ca="1">249.8*OFFSET(M$108,MATCH($M$1,$C$109:$C$110,0),0)</f>
        <v>249.79999902948873</v>
      </c>
      <c r="N30" s="24">
        <f t="shared" ca="1" si="0"/>
        <v>0.45082975389361091</v>
      </c>
      <c r="O30" s="24">
        <f t="shared" ca="1" si="1"/>
        <v>0.53867134477860301</v>
      </c>
    </row>
    <row r="31" spans="1:15" s="19" customFormat="1" ht="18" customHeight="1" x14ac:dyDescent="0.2">
      <c r="A31" s="148"/>
      <c r="B31" s="33" t="s">
        <v>39</v>
      </c>
      <c r="C31" s="25"/>
      <c r="D31" s="26">
        <f ca="1">58.8*OFFSET(D$108,MATCH($M$1,$C$109:$C$110,0),0)</f>
        <v>47.83144757149838</v>
      </c>
      <c r="E31" s="26">
        <f ca="1">62.7*OFFSET(E$108,MATCH($M$1,$C$109:$C$110,0),0)</f>
        <v>52.375187013860682</v>
      </c>
      <c r="F31" s="26">
        <f ca="1">54.2*OFFSET(F$108,MATCH($M$1,$C$109:$C$110,0),0)</f>
        <v>46.575142794143581</v>
      </c>
      <c r="G31" s="26">
        <f ca="1">59.9*OFFSET(G$108,MATCH($M$1,$C$109:$C$110,0),0)</f>
        <v>52.967773705901287</v>
      </c>
      <c r="H31" s="26">
        <f ca="1">88.5*OFFSET(H$108,MATCH($M$1,$C$109:$C$110,0),0)</f>
        <v>79.807531279083534</v>
      </c>
      <c r="I31" s="26">
        <f ca="1">70.6*OFFSET(I$108,MATCH($M$1,$C$109:$C$110,0),0)</f>
        <v>65.685533144583033</v>
      </c>
      <c r="J31" s="26">
        <f ca="1">89.5*OFFSET(J$108,MATCH($M$1,$C$109:$C$110,0),0)</f>
        <v>85.039319328798157</v>
      </c>
      <c r="K31" s="26">
        <f ca="1">71.6*OFFSET(K$108,MATCH($M$1,$C$109:$C$110,0),0)</f>
        <v>69.161303324069493</v>
      </c>
      <c r="L31" s="26">
        <f ca="1">80.6*OFFSET(L$108,MATCH($M$1,$C$109:$C$110,0),0)</f>
        <v>79.248336606026371</v>
      </c>
      <c r="M31" s="27">
        <f ca="1">92.5*OFFSET(M$108,MATCH($M$1,$C$109:$C$110,0),0)</f>
        <v>92.499999640623329</v>
      </c>
      <c r="N31" s="24">
        <f t="shared" ca="1" si="0"/>
        <v>0.65682496829237857</v>
      </c>
      <c r="O31" s="24">
        <f t="shared" ca="1" si="1"/>
        <v>-7.0067907639152953E-3</v>
      </c>
    </row>
    <row r="32" spans="1:15" s="19" customFormat="1" ht="18" customHeight="1" x14ac:dyDescent="0.2">
      <c r="A32" s="148"/>
      <c r="B32" s="33" t="s">
        <v>40</v>
      </c>
      <c r="C32" s="25"/>
      <c r="D32" s="26">
        <f ca="1">245.5*OFFSET(D$108,MATCH($M$1,$C$109:$C$110,0),0)</f>
        <v>199.70442821093286</v>
      </c>
      <c r="E32" s="26">
        <f ca="1">265.8*OFFSET(E$108,MATCH($M$1,$C$109:$C$110,0),0)</f>
        <v>222.03069710182089</v>
      </c>
      <c r="F32" s="26">
        <f ca="1">279*OFFSET(F$108,MATCH($M$1,$C$109:$C$110,0),0)</f>
        <v>239.75027379273169</v>
      </c>
      <c r="G32" s="26">
        <f ca="1">221.1*OFFSET(G$108,MATCH($M$1,$C$109:$C$110,0),0)</f>
        <v>195.5120996055889</v>
      </c>
      <c r="H32" s="26">
        <f ca="1">247.3*OFFSET(H$108,MATCH($M$1,$C$109:$C$110,0),0)</f>
        <v>223.01019757420747</v>
      </c>
      <c r="I32" s="26">
        <f ca="1">280.8*OFFSET(I$108,MATCH($M$1,$C$109:$C$110,0),0)</f>
        <v>261.25350859771839</v>
      </c>
      <c r="J32" s="26">
        <f ca="1">314.1*OFFSET(J$108,MATCH($M$1,$C$109:$C$110,0),0)</f>
        <v>298.44525364441904</v>
      </c>
      <c r="K32" s="26">
        <f ca="1">288.3*OFFSET(K$108,MATCH($M$1,$C$109:$C$110,0),0)</f>
        <v>278.48049927834131</v>
      </c>
      <c r="L32" s="26">
        <f ca="1">304.7*OFFSET(L$108,MATCH($M$1,$C$109:$C$110,0),0)</f>
        <v>299.59017573022624</v>
      </c>
      <c r="M32" s="27">
        <f ca="1">342.3*OFFSET(M$108,MATCH($M$1,$C$109:$C$110,0),0)</f>
        <v>342.29999867011207</v>
      </c>
      <c r="N32" s="24">
        <f t="shared" ca="1" si="0"/>
        <v>0.50016791522415083</v>
      </c>
      <c r="O32" s="24">
        <f t="shared" ca="1" si="1"/>
        <v>0.34339227079755624</v>
      </c>
    </row>
    <row r="33" spans="1:15" s="19" customFormat="1" ht="18" customHeight="1" x14ac:dyDescent="0.2">
      <c r="A33" s="148"/>
      <c r="B33" s="45" t="s">
        <v>41</v>
      </c>
      <c r="C33" s="46"/>
      <c r="D33" s="47">
        <f ca="1">154.9*OFFSET(D$108,MATCH($M$1,$C$109:$C$110,0),0)</f>
        <v>126.00495287117516</v>
      </c>
      <c r="E33" s="47">
        <f ca="1">134.1*OFFSET(E$108,MATCH($M$1,$C$109:$C$110,0),0)</f>
        <v>112.01774447462068</v>
      </c>
      <c r="F33" s="47">
        <f ca="1">121.7*OFFSET(F$108,MATCH($M$1,$C$109:$C$110,0),0)</f>
        <v>104.57924129238512</v>
      </c>
      <c r="G33" s="47">
        <f ca="1">120.8*OFFSET(G$108,MATCH($M$1,$C$109:$C$110,0),0)</f>
        <v>106.81981742358724</v>
      </c>
      <c r="H33" s="47">
        <f ca="1">140*OFFSET(H$108,MATCH($M$1,$C$109:$C$110,0),0)</f>
        <v>126.24920202340898</v>
      </c>
      <c r="I33" s="47">
        <f ca="1">130.7*OFFSET(I$108,MATCH($M$1,$C$109:$C$110,0),0)</f>
        <v>121.60197141638812</v>
      </c>
      <c r="J33" s="47">
        <f ca="1">134.6*OFFSET(J$108,MATCH($M$1,$C$109:$C$110,0),0)</f>
        <v>127.89153499057242</v>
      </c>
      <c r="K33" s="47">
        <f ca="1">167.6*OFFSET(K$108,MATCH($M$1,$C$109:$C$110,0),0)</f>
        <v>161.89154241779397</v>
      </c>
      <c r="L33" s="47">
        <f ca="1">169.7*OFFSET(L$108,MATCH($M$1,$C$109:$C$110,0),0)</f>
        <v>166.85412806504559</v>
      </c>
      <c r="M33" s="48">
        <f ca="1">208.9*OFFSET(M$108,MATCH($M$1,$C$109:$C$110,0),0)</f>
        <v>208.89999918839149</v>
      </c>
      <c r="N33" s="49">
        <f t="shared" ca="1" si="0"/>
        <v>0.32418705981846418</v>
      </c>
      <c r="O33" s="49">
        <f t="shared" ca="1" si="1"/>
        <v>0.32162520943385992</v>
      </c>
    </row>
    <row r="34" spans="1:15" s="19" customFormat="1" ht="18" customHeight="1" x14ac:dyDescent="0.2">
      <c r="A34" s="148"/>
      <c r="B34" s="45" t="s">
        <v>42</v>
      </c>
      <c r="C34" s="46"/>
      <c r="D34" s="47">
        <f ca="1">54.1*OFFSET(D$108,MATCH($M$1,$C$109:$C$110,0),0)</f>
        <v>44.008185605749361</v>
      </c>
      <c r="E34" s="47">
        <f ca="1">41.4*OFFSET(E$108,MATCH($M$1,$C$109:$C$110,0),0)</f>
        <v>34.582659368003704</v>
      </c>
      <c r="F34" s="47">
        <f ca="1">37.5*OFFSET(F$108,MATCH($M$1,$C$109:$C$110,0),0)</f>
        <v>32.224499165689743</v>
      </c>
      <c r="G34" s="47">
        <f ca="1">45.7*OFFSET(G$108,MATCH($M$1,$C$109:$C$110,0),0)</f>
        <v>40.411139538559084</v>
      </c>
      <c r="H34" s="47">
        <f ca="1">58.2*OFFSET(H$108,MATCH($M$1,$C$109:$C$110,0),0)</f>
        <v>52.483596841160022</v>
      </c>
      <c r="I34" s="47">
        <f ca="1">40.7*OFFSET(I$108,MATCH($M$1,$C$109:$C$110,0),0)</f>
        <v>37.866872506863025</v>
      </c>
      <c r="J34" s="47">
        <f ca="1">29.3*OFFSET(J$108,MATCH($M$1,$C$109:$C$110,0),0)</f>
        <v>27.839687780265766</v>
      </c>
      <c r="K34" s="47">
        <f ca="1">67.5*OFFSET(K$108,MATCH($M$1,$C$109:$C$110,0),0)</f>
        <v>65.20094936277502</v>
      </c>
      <c r="L34" s="47">
        <f ca="1">61.2*OFFSET(L$108,MATCH($M$1,$C$109:$C$110,0),0)</f>
        <v>60.173674941548562</v>
      </c>
      <c r="M34" s="48">
        <f ca="1">77.7*OFFSET(M$108,MATCH($M$1,$C$109:$C$110,0),0)</f>
        <v>77.699999698123605</v>
      </c>
      <c r="N34" s="49">
        <f t="shared" ca="1" si="0"/>
        <v>0.36732914827752622</v>
      </c>
      <c r="O34" s="49">
        <f t="shared" ca="1" si="1"/>
        <v>0.14652345805609174</v>
      </c>
    </row>
    <row r="35" spans="1:15" s="19" customFormat="1" ht="18" customHeight="1" x14ac:dyDescent="0.2">
      <c r="A35" s="148"/>
      <c r="B35" s="33" t="s">
        <v>43</v>
      </c>
      <c r="C35" s="25"/>
      <c r="D35" s="26">
        <f ca="1">15.2*OFFSET(D$108,MATCH($M$1,$C$109:$C$110,0),0)</f>
        <v>12.364591889230875</v>
      </c>
      <c r="E35" s="26">
        <f ca="1">7.2*OFFSET(E$108,MATCH($M$1,$C$109:$C$110,0),0)</f>
        <v>6.0143755422615142</v>
      </c>
      <c r="F35" s="26">
        <f ca="1">12.6*OFFSET(F$108,MATCH($M$1,$C$109:$C$110,0),0)</f>
        <v>10.827431719671754</v>
      </c>
      <c r="G35" s="26">
        <f ca="1">9.5*OFFSET(G$108,MATCH($M$1,$C$109:$C$110,0),0)</f>
        <v>8.400565111954295</v>
      </c>
      <c r="H35" s="26">
        <f ca="1">11.6*OFFSET(H$108,MATCH($M$1,$C$109:$C$110,0),0)</f>
        <v>10.460648167653886</v>
      </c>
      <c r="I35" s="26">
        <f ca="1">17.8*OFFSET(I$108,MATCH($M$1,$C$109:$C$110,0),0)</f>
        <v>16.5609417843283</v>
      </c>
      <c r="J35" s="26">
        <f ca="1">20.6*OFFSET(J$108,MATCH($M$1,$C$109:$C$110,0),0)</f>
        <v>19.573295845511087</v>
      </c>
      <c r="K35" s="26">
        <f ca="1">16.1*OFFSET(K$108,MATCH($M$1,$C$109:$C$110,0),0)</f>
        <v>15.551633848010042</v>
      </c>
      <c r="L35" s="26">
        <f ca="1">17.9*OFFSET(L$108,MATCH($M$1,$C$109:$C$110,0),0)</f>
        <v>17.599816690420248</v>
      </c>
      <c r="M35" s="27"/>
      <c r="N35" s="24">
        <f t="shared" ca="1" si="0"/>
        <v>0.4234045772063913</v>
      </c>
      <c r="O35" s="24">
        <f t="shared" ca="1" si="1"/>
        <v>0.6824786005939758</v>
      </c>
    </row>
    <row r="36" spans="1:15" s="19" customFormat="1" ht="18" customHeight="1" x14ac:dyDescent="0.2">
      <c r="A36" s="148"/>
      <c r="B36" s="33" t="s">
        <v>44</v>
      </c>
      <c r="C36" s="25"/>
      <c r="D36" s="26">
        <f ca="1">6.7*OFFSET(D$108,MATCH($M$1,$C$109:$C$110,0),0)</f>
        <v>5.4501819511741356</v>
      </c>
      <c r="E36" s="26">
        <f ca="1">8.6*OFFSET(E$108,MATCH($M$1,$C$109:$C$110,0),0)</f>
        <v>7.1838374532568077</v>
      </c>
      <c r="F36" s="26">
        <f ca="1">4.4*OFFSET(F$108,MATCH($M$1,$C$109:$C$110,0),0)</f>
        <v>3.7810079021075969</v>
      </c>
      <c r="G36" s="26">
        <f ca="1">3.6*OFFSET(G$108,MATCH($M$1,$C$109:$C$110,0),0)</f>
        <v>3.1833720424247853</v>
      </c>
      <c r="H36" s="26">
        <f ca="1">1.4*OFFSET(H$108,MATCH($M$1,$C$109:$C$110,0),0)</f>
        <v>1.2624920202340897</v>
      </c>
      <c r="I36" s="26">
        <f ca="1">5.9*OFFSET(I$108,MATCH($M$1,$C$109:$C$110,0),0)</f>
        <v>5.4893009285133134</v>
      </c>
      <c r="J36" s="26">
        <f ca="1">4*OFFSET(J$108,MATCH($M$1,$C$109:$C$110,0),0)</f>
        <v>3.8006399700021523</v>
      </c>
      <c r="K36" s="26">
        <f ca="1">3.5*OFFSET(K$108,MATCH($M$1,$C$109:$C$110,0),0)</f>
        <v>3.3807899669587047</v>
      </c>
      <c r="L36" s="26">
        <f ca="1">4.4*OFFSET(L$108,MATCH($M$1,$C$109:$C$110,0),0)</f>
        <v>4.3262119239021839</v>
      </c>
      <c r="M36" s="27"/>
      <c r="N36" s="24">
        <f t="shared" ca="1" si="0"/>
        <v>-0.20622614755637916</v>
      </c>
      <c r="O36" s="24">
        <f t="shared" ca="1" si="1"/>
        <v>2.426724172957563</v>
      </c>
    </row>
    <row r="37" spans="1:15" s="19" customFormat="1" ht="18" customHeight="1" x14ac:dyDescent="0.2">
      <c r="A37" s="148"/>
      <c r="B37" s="33" t="s">
        <v>45</v>
      </c>
      <c r="C37" s="25"/>
      <c r="D37" s="26"/>
      <c r="E37" s="26"/>
      <c r="F37" s="26"/>
      <c r="G37" s="26"/>
      <c r="H37" s="26">
        <f ca="1">0.9*OFFSET(H$108,MATCH($M$1,$C$109:$C$110,0),0)</f>
        <v>0.81160201300762924</v>
      </c>
      <c r="I37" s="26">
        <f ca="1">0.5*OFFSET(I$108,MATCH($M$1,$C$109:$C$110,0),0)</f>
        <v>0.46519499394180619</v>
      </c>
      <c r="J37" s="26">
        <f ca="1">1.8*OFFSET(J$108,MATCH($M$1,$C$109:$C$110,0),0)</f>
        <v>1.7102879865009686</v>
      </c>
      <c r="K37" s="26">
        <f ca="1">0.9*OFFSET(K$108,MATCH($M$1,$C$109:$C$110,0),0)</f>
        <v>0.86934599150366687</v>
      </c>
      <c r="L37" s="26">
        <f ca="1">3.2*OFFSET(L$108,MATCH($M$1,$C$109:$C$110,0),0)</f>
        <v>3.1463359446561339</v>
      </c>
      <c r="M37" s="27"/>
      <c r="N37" s="24" t="str">
        <f t="shared" ca="1" si="0"/>
        <v/>
      </c>
      <c r="O37" s="24">
        <f t="shared" ca="1" si="1"/>
        <v>2.8766980542550202</v>
      </c>
    </row>
    <row r="38" spans="1:15" s="19" customFormat="1" ht="18" customHeight="1" thickBot="1" x14ac:dyDescent="0.25">
      <c r="A38" s="149"/>
      <c r="B38" s="50" t="s">
        <v>46</v>
      </c>
      <c r="C38" s="51"/>
      <c r="D38" s="52">
        <f ca="1">32.1*OFFSET(D$108,MATCH($M$1,$C$109:$C$110,0),0)</f>
        <v>26.112065766073098</v>
      </c>
      <c r="E38" s="52">
        <f ca="1">25.6*OFFSET(E$108,MATCH($M$1,$C$109:$C$110,0),0)</f>
        <v>21.384446372485385</v>
      </c>
      <c r="F38" s="52">
        <f ca="1">20.5*OFFSET(F$108,MATCH($M$1,$C$109:$C$110,0),0)</f>
        <v>17.616059543910392</v>
      </c>
      <c r="G38" s="52">
        <f ca="1">32.6*OFFSET(G$108,MATCH($M$1,$C$109:$C$110,0),0)</f>
        <v>28.827202384180001</v>
      </c>
      <c r="H38" s="52">
        <f ca="1">44.3*OFFSET(H$108,MATCH($M$1,$C$109:$C$110,0),0)</f>
        <v>39.948854640264415</v>
      </c>
      <c r="I38" s="52">
        <f ca="1">16.6*OFFSET(I$108,MATCH($M$1,$C$109:$C$110,0),0)</f>
        <v>15.444473798867968</v>
      </c>
      <c r="J38" s="52">
        <f ca="1">2.9*OFFSET(J$108,MATCH($M$1,$C$109:$C$110,0),0)</f>
        <v>2.7554639782515604</v>
      </c>
      <c r="K38" s="52">
        <f ca="1">47*OFFSET(K$108,MATCH($M$1,$C$109:$C$110,0),0)</f>
        <v>45.399179556302606</v>
      </c>
      <c r="L38" s="52">
        <f ca="1">35.7*OFFSET(L$108,MATCH($M$1,$C$109:$C$110,0),0)</f>
        <v>35.101310382569999</v>
      </c>
      <c r="M38" s="53"/>
      <c r="N38" s="54">
        <f t="shared" ca="1" si="0"/>
        <v>0.34425635631541845</v>
      </c>
      <c r="O38" s="54">
        <f t="shared" ca="1" si="1"/>
        <v>-0.12134376069967674</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Pots and traps over 12m</v>
      </c>
      <c r="C45" s="61"/>
      <c r="D45" s="61"/>
      <c r="E45" s="61"/>
      <c r="F45" s="61" t="str">
        <f>$B21&amp;CHAR(10)&amp;$A$1</f>
        <v>Income per kW day at sea (£)
Pots and traps over 12m</v>
      </c>
      <c r="G45" s="61"/>
      <c r="K45" s="61" t="str">
        <f>$B23&amp;CHAR(10)&amp;$A$1</f>
        <v>Operating profit per kW day at sea (£)
Pots and traps over 12m</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Pots and traps over 12m</v>
      </c>
      <c r="F59" s="61" t="str">
        <f>$B19&amp;CHAR(10)&amp;$A$1</f>
        <v>Average price per tonne landed (£)
Pots and traps over 12m</v>
      </c>
      <c r="K59" s="61" t="str">
        <f>"Average annual operating profit per vessel (£'000)"&amp;CHAR(10)&amp;$A$1</f>
        <v>Average annual operating profit per vessel (£'000)
Pots and traps over 12m</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Pots and traps over 12m</v>
      </c>
      <c r="F73" s="61" t="str">
        <f>"Top 5 landed species by value in "&amp;A74&amp;CHAR(10)&amp;A1</f>
        <v>Top 5 landed species by value in 2013
Pots and traps over 12m</v>
      </c>
    </row>
    <row r="74" spans="1:9" s="61" customFormat="1" x14ac:dyDescent="0.2">
      <c r="A74" s="61">
        <v>2013</v>
      </c>
      <c r="B74" s="61" t="s">
        <v>378</v>
      </c>
      <c r="C74" s="62">
        <v>0.73158972565812597</v>
      </c>
      <c r="D74" s="63">
        <v>8211234</v>
      </c>
      <c r="G74" s="61" t="s">
        <v>379</v>
      </c>
      <c r="H74" s="62">
        <v>0.66179023789049141</v>
      </c>
      <c r="I74" s="63">
        <v>8211234</v>
      </c>
    </row>
    <row r="75" spans="1:9" s="61" customFormat="1" x14ac:dyDescent="0.2">
      <c r="B75" s="61" t="s">
        <v>380</v>
      </c>
      <c r="C75" s="62">
        <v>0.22567331360577783</v>
      </c>
      <c r="D75" s="63">
        <v>2783840</v>
      </c>
      <c r="G75" s="61" t="s">
        <v>381</v>
      </c>
      <c r="H75" s="62">
        <v>0.15623510225259485</v>
      </c>
      <c r="I75" s="63">
        <v>2171775</v>
      </c>
    </row>
    <row r="76" spans="1:9" s="61" customFormat="1" x14ac:dyDescent="0.2">
      <c r="B76" s="61" t="s">
        <v>382</v>
      </c>
      <c r="C76" s="62">
        <v>2.2939418780120895E-2</v>
      </c>
      <c r="D76" s="63">
        <v>2171775</v>
      </c>
      <c r="G76" s="61" t="s">
        <v>383</v>
      </c>
      <c r="H76" s="62">
        <v>0.10683793807284794</v>
      </c>
      <c r="I76" s="63">
        <v>2783840</v>
      </c>
    </row>
    <row r="77" spans="1:9" s="61" customFormat="1" x14ac:dyDescent="0.2">
      <c r="B77" s="61" t="s">
        <v>384</v>
      </c>
      <c r="C77" s="62">
        <v>8.4797105123416844E-3</v>
      </c>
      <c r="D77" s="63">
        <v>6763595</v>
      </c>
      <c r="G77" s="61" t="s">
        <v>385</v>
      </c>
      <c r="H77" s="62">
        <v>4.3243489631396063E-2</v>
      </c>
      <c r="I77" s="63">
        <v>6763595</v>
      </c>
    </row>
    <row r="78" spans="1:9" s="61" customFormat="1" x14ac:dyDescent="0.2">
      <c r="B78" s="61" t="s">
        <v>386</v>
      </c>
      <c r="C78" s="62">
        <v>3.4805743875722817E-3</v>
      </c>
      <c r="D78" s="63">
        <v>2764187</v>
      </c>
      <c r="G78" s="61" t="s">
        <v>387</v>
      </c>
      <c r="H78" s="62">
        <v>4.5109594514537721E-3</v>
      </c>
      <c r="I78" s="63">
        <v>2764187</v>
      </c>
    </row>
    <row r="79" spans="1:9" s="61" customFormat="1" x14ac:dyDescent="0.2">
      <c r="B79" s="61" t="s">
        <v>255</v>
      </c>
      <c r="C79" s="62">
        <v>7.8372570560614196E-3</v>
      </c>
      <c r="D79" s="63">
        <v>32768</v>
      </c>
      <c r="G79" s="61" t="s">
        <v>388</v>
      </c>
      <c r="H79" s="62">
        <v>2.738227270121607E-2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61</v>
      </c>
      <c r="D88" s="66">
        <v>0.59135275101444706</v>
      </c>
      <c r="E88" s="66">
        <v>0.6275572416669557</v>
      </c>
      <c r="F88" s="66">
        <v>0.64458017161021275</v>
      </c>
      <c r="G88" s="66">
        <v>0.6033171299540584</v>
      </c>
      <c r="H88" s="66">
        <v>0.63957731900213088</v>
      </c>
      <c r="I88" s="66">
        <v>0.64176457666225184</v>
      </c>
      <c r="J88" s="66">
        <v>0.69300231396681056</v>
      </c>
      <c r="K88" s="66">
        <v>0.67043412636085764</v>
      </c>
      <c r="L88" s="66">
        <v>0.67307774962809785</v>
      </c>
      <c r="M88" s="66">
        <v>0.7099962136974608</v>
      </c>
      <c r="N88" s="61"/>
      <c r="O88" s="61">
        <v>8211234</v>
      </c>
    </row>
    <row r="89" spans="1:15" s="65" customFormat="1" hidden="1" x14ac:dyDescent="0.2">
      <c r="A89" s="61"/>
      <c r="B89" s="61">
        <v>2</v>
      </c>
      <c r="C89" s="61" t="s">
        <v>191</v>
      </c>
      <c r="D89" s="66">
        <v>0.15702291366437979</v>
      </c>
      <c r="E89" s="66">
        <v>0.15647681534325011</v>
      </c>
      <c r="F89" s="66">
        <v>0.17644992889179112</v>
      </c>
      <c r="G89" s="66">
        <v>0.20445676794560502</v>
      </c>
      <c r="H89" s="66">
        <v>0.19979181001437038</v>
      </c>
      <c r="I89" s="66">
        <v>0.18582553029769303</v>
      </c>
      <c r="J89" s="66">
        <v>0.16910094566447584</v>
      </c>
      <c r="K89" s="66">
        <v>0.1647304792949271</v>
      </c>
      <c r="L89" s="66">
        <v>0.15889985227387596</v>
      </c>
      <c r="M89" s="66">
        <v>0.14738627228969714</v>
      </c>
      <c r="N89" s="61"/>
      <c r="O89" s="61">
        <v>2171775</v>
      </c>
    </row>
    <row r="90" spans="1:15" s="65" customFormat="1" hidden="1" x14ac:dyDescent="0.2">
      <c r="A90" s="61"/>
      <c r="B90" s="61">
        <v>3</v>
      </c>
      <c r="C90" s="61" t="s">
        <v>195</v>
      </c>
      <c r="D90" s="66">
        <v>0.1451334308257537</v>
      </c>
      <c r="E90" s="66">
        <v>0.11577021208427288</v>
      </c>
      <c r="F90" s="66">
        <v>0.10299923041170014</v>
      </c>
      <c r="G90" s="66">
        <v>0.13483578952076603</v>
      </c>
      <c r="H90" s="66">
        <v>0.1124718220651082</v>
      </c>
      <c r="I90" s="66">
        <v>0.11966809777887868</v>
      </c>
      <c r="J90" s="66">
        <v>9.7648841469412842E-2</v>
      </c>
      <c r="K90" s="66">
        <v>0.11371656228433315</v>
      </c>
      <c r="L90" s="66">
        <v>0.10866016876011671</v>
      </c>
      <c r="M90" s="66">
        <v>0.11685413712642365</v>
      </c>
      <c r="N90" s="61"/>
      <c r="O90" s="61">
        <v>2783840</v>
      </c>
    </row>
    <row r="91" spans="1:15" s="65" customFormat="1" hidden="1" x14ac:dyDescent="0.2">
      <c r="A91" s="61"/>
      <c r="B91" s="61">
        <v>4</v>
      </c>
      <c r="C91" s="61" t="s">
        <v>60</v>
      </c>
      <c r="D91" s="66">
        <v>2.3048081623408465E-2</v>
      </c>
      <c r="E91" s="66"/>
      <c r="F91" s="66"/>
      <c r="G91" s="66"/>
      <c r="H91" s="66">
        <v>2.1005962539487721E-2</v>
      </c>
      <c r="I91" s="66">
        <v>3.2060859498279498E-2</v>
      </c>
      <c r="J91" s="66">
        <v>2.4030175645900952E-2</v>
      </c>
      <c r="K91" s="66">
        <v>3.6895665382964939E-2</v>
      </c>
      <c r="L91" s="66">
        <v>4.3981051730144063E-2</v>
      </c>
      <c r="M91" s="66">
        <v>2.0775428254453165E-2</v>
      </c>
      <c r="N91" s="61"/>
      <c r="O91" s="61">
        <v>6763595</v>
      </c>
    </row>
    <row r="92" spans="1:15" s="65" customFormat="1" hidden="1" x14ac:dyDescent="0.2">
      <c r="A92" s="61"/>
      <c r="B92" s="61">
        <v>5</v>
      </c>
      <c r="C92" s="61" t="s">
        <v>150</v>
      </c>
      <c r="D92" s="66"/>
      <c r="E92" s="66"/>
      <c r="F92" s="66"/>
      <c r="G92" s="66"/>
      <c r="H92" s="66"/>
      <c r="I92" s="66"/>
      <c r="J92" s="66"/>
      <c r="K92" s="66"/>
      <c r="L92" s="66">
        <v>4.5878984947350021E-3</v>
      </c>
      <c r="M92" s="66"/>
      <c r="N92" s="61"/>
      <c r="O92" s="61">
        <v>2764187</v>
      </c>
    </row>
    <row r="93" spans="1:15" s="65" customFormat="1" hidden="1" x14ac:dyDescent="0.2">
      <c r="A93" s="61"/>
      <c r="B93" s="61">
        <v>6</v>
      </c>
      <c r="C93" s="61" t="s">
        <v>194</v>
      </c>
      <c r="D93" s="66"/>
      <c r="E93" s="66">
        <v>2.216078442702734E-2</v>
      </c>
      <c r="F93" s="66">
        <v>1.2015902119022908E-2</v>
      </c>
      <c r="G93" s="66">
        <v>1.2622160843201153E-2</v>
      </c>
      <c r="H93" s="66">
        <v>1.1815788824797932E-2</v>
      </c>
      <c r="I93" s="66">
        <v>7.2415673159517639E-3</v>
      </c>
      <c r="J93" s="66">
        <v>5.3919566930336537E-3</v>
      </c>
      <c r="K93" s="66">
        <v>3.6572873939508133E-3</v>
      </c>
      <c r="L93" s="66"/>
      <c r="M93" s="66">
        <v>2.7951555355584033E-3</v>
      </c>
      <c r="N93" s="61"/>
      <c r="O93" s="61">
        <v>3511670</v>
      </c>
    </row>
    <row r="94" spans="1:15" s="65" customFormat="1" hidden="1" x14ac:dyDescent="0.2">
      <c r="A94" s="61"/>
      <c r="B94" s="61">
        <v>7</v>
      </c>
      <c r="C94" s="61" t="s">
        <v>153</v>
      </c>
      <c r="D94" s="66">
        <v>2.6866214498119725E-2</v>
      </c>
      <c r="E94" s="66">
        <v>3.6589506003533237E-2</v>
      </c>
      <c r="F94" s="66">
        <v>4.0901726014726754E-2</v>
      </c>
      <c r="G94" s="66">
        <v>1.4785000208950532E-2</v>
      </c>
      <c r="H94" s="66"/>
      <c r="I94" s="66"/>
      <c r="J94" s="66"/>
      <c r="K94" s="66"/>
      <c r="L94" s="66"/>
      <c r="M94" s="66"/>
      <c r="N94" s="61"/>
      <c r="O94" s="61">
        <v>1464488</v>
      </c>
    </row>
    <row r="95" spans="1:15" s="65" customFormat="1" hidden="1" x14ac:dyDescent="0.2">
      <c r="A95" s="61"/>
      <c r="B95" s="61">
        <v>8</v>
      </c>
      <c r="C95" s="61" t="s">
        <v>68</v>
      </c>
      <c r="D95" s="66">
        <v>5.65766083738913E-2</v>
      </c>
      <c r="E95" s="66">
        <v>4.1445440474960772E-2</v>
      </c>
      <c r="F95" s="66">
        <v>2.3053040952546316E-2</v>
      </c>
      <c r="G95" s="66">
        <v>2.9983151527418907E-2</v>
      </c>
      <c r="H95" s="66">
        <v>1.5337297554104909E-2</v>
      </c>
      <c r="I95" s="66">
        <v>1.3439368446945195E-2</v>
      </c>
      <c r="J95" s="66">
        <v>1.0825766560366171E-2</v>
      </c>
      <c r="K95" s="66">
        <v>1.0565879282966399E-2</v>
      </c>
      <c r="L95" s="66">
        <v>1.0793279113030383E-2</v>
      </c>
      <c r="M95" s="66">
        <v>2.1927930964068536E-3</v>
      </c>
      <c r="N95" s="61"/>
      <c r="O95" s="61">
        <v>32768</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9</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'Pots and traps over 12m'!D3:L3</xm:f>
              <xm:sqref>C3</xm:sqref>
            </x14:sparkline>
            <x14:sparkline>
              <xm:f>'Pots and traps over 12m'!D4:L4</xm:f>
              <xm:sqref>C4</xm:sqref>
            </x14:sparkline>
            <x14:sparkline>
              <xm:f>'Pots and traps over 12m'!D5:L5</xm:f>
              <xm:sqref>C5</xm:sqref>
            </x14:sparkline>
            <x14:sparkline>
              <xm:f>'Pots and traps over 12m'!D6:L6</xm:f>
              <xm:sqref>C6</xm:sqref>
            </x14:sparkline>
            <x14:sparkline>
              <xm:f>'Pots and traps over 12m'!D7:L7</xm:f>
              <xm:sqref>C7</xm:sqref>
            </x14:sparkline>
            <x14:sparkline>
              <xm:f>'Pots and traps over 12m'!D8:L8</xm:f>
              <xm:sqref>C8</xm:sqref>
            </x14:sparkline>
            <x14:sparkline>
              <xm:f>'Pots and traps over 12m'!D9:L9</xm:f>
              <xm:sqref>C9</xm:sqref>
            </x14:sparkline>
            <x14:sparkline>
              <xm:f>'Pots and traps over 12m'!D10:L10</xm:f>
              <xm:sqref>C10</xm:sqref>
            </x14:sparkline>
            <x14:sparkline>
              <xm:f>'Pots and traps over 12m'!D11:L11</xm:f>
              <xm:sqref>C11</xm:sqref>
            </x14:sparkline>
            <x14:sparkline>
              <xm:f>'Pots and traps over 12m'!D12:L12</xm:f>
              <xm:sqref>C12</xm:sqref>
            </x14:sparkline>
            <x14:sparkline>
              <xm:f>'Pots and traps over 12m'!D13:L13</xm:f>
              <xm:sqref>C13</xm:sqref>
            </x14:sparkline>
            <x14:sparkline>
              <xm:f>'Pots and traps over 12m'!D14:L14</xm:f>
              <xm:sqref>C14</xm:sqref>
            </x14:sparkline>
            <x14:sparkline>
              <xm:f>'Pots and traps over 12m'!D15:L15</xm:f>
              <xm:sqref>C15</xm:sqref>
            </x14:sparkline>
            <x14:sparkline>
              <xm:f>'Pots and traps over 12m'!D16:L16</xm:f>
              <xm:sqref>C16</xm:sqref>
            </x14:sparkline>
            <x14:sparkline>
              <xm:f>'Pots and traps over 12m'!D17:L17</xm:f>
              <xm:sqref>C17</xm:sqref>
            </x14:sparkline>
            <x14:sparkline>
              <xm:f>'Pots and traps over 12m'!D18:L18</xm:f>
              <xm:sqref>C18</xm:sqref>
            </x14:sparkline>
            <x14:sparkline>
              <xm:f>'Pots and traps over 12m'!D19:L19</xm:f>
              <xm:sqref>C19</xm:sqref>
            </x14:sparkline>
            <x14:sparkline>
              <xm:f>'Pots and traps over 12m'!D20:L20</xm:f>
              <xm:sqref>C20</xm:sqref>
            </x14:sparkline>
            <x14:sparkline>
              <xm:f>'Pots and traps over 12m'!D21:L21</xm:f>
              <xm:sqref>C21</xm:sqref>
            </x14:sparkline>
            <x14:sparkline>
              <xm:f>'Pots and traps over 12m'!D22:L22</xm:f>
              <xm:sqref>C22</xm:sqref>
            </x14:sparkline>
            <x14:sparkline>
              <xm:f>'Pots and traps over 12m'!D23:L23</xm:f>
              <xm:sqref>C23</xm:sqref>
            </x14:sparkline>
            <x14:sparkline>
              <xm:f>'Pots and traps over 12m'!D24:L24</xm:f>
              <xm:sqref>C24</xm:sqref>
            </x14:sparkline>
            <x14:sparkline>
              <xm:f>'Pots and traps over 12m'!D25:L25</xm:f>
              <xm:sqref>C25</xm:sqref>
            </x14:sparkline>
            <x14:sparkline>
              <xm:f>'Pots and traps over 12m'!D26:L26</xm:f>
              <xm:sqref>C26</xm:sqref>
            </x14:sparkline>
            <x14:sparkline>
              <xm:f>'Pots and traps over 12m'!D27:L27</xm:f>
              <xm:sqref>C27</xm:sqref>
            </x14:sparkline>
            <x14:sparkline>
              <xm:f>'Pots and traps over 12m'!D28:L28</xm:f>
              <xm:sqref>C28</xm:sqref>
            </x14:sparkline>
            <x14:sparkline>
              <xm:f>'Pots and traps over 12m'!D29:L29</xm:f>
              <xm:sqref>C29</xm:sqref>
            </x14:sparkline>
            <x14:sparkline>
              <xm:f>'Pots and traps over 12m'!D30:L30</xm:f>
              <xm:sqref>C30</xm:sqref>
            </x14:sparkline>
            <x14:sparkline>
              <xm:f>'Pots and traps over 12m'!D31:L31</xm:f>
              <xm:sqref>C31</xm:sqref>
            </x14:sparkline>
            <x14:sparkline>
              <xm:f>'Pots and traps over 12m'!D32:L32</xm:f>
              <xm:sqref>C32</xm:sqref>
            </x14:sparkline>
            <x14:sparkline>
              <xm:f>'Pots and traps over 12m'!D33:L33</xm:f>
              <xm:sqref>C33</xm:sqref>
            </x14:sparkline>
            <x14:sparkline>
              <xm:f>'Pots and traps over 12m'!D34:L34</xm:f>
              <xm:sqref>C34</xm:sqref>
            </x14:sparkline>
            <x14:sparkline>
              <xm:f>'Pots and traps over 12m'!D35:L35</xm:f>
              <xm:sqref>C35</xm:sqref>
            </x14:sparkline>
            <x14:sparkline>
              <xm:f>'Pots and traps over 12m'!D36:L36</xm:f>
              <xm:sqref>C36</xm:sqref>
            </x14:sparkline>
            <x14:sparkline>
              <xm:f>'Pots and traps over 12m'!D37:L37</xm:f>
              <xm:sqref>C37</xm:sqref>
            </x14:sparkline>
            <x14:sparkline>
              <xm:f>'Pots and traps over 12m'!D38:L38</xm:f>
              <xm:sqref>C38</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389</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44</v>
      </c>
      <c r="E3" s="16">
        <v>39</v>
      </c>
      <c r="F3" s="16">
        <v>37</v>
      </c>
      <c r="G3" s="16">
        <v>31</v>
      </c>
      <c r="H3" s="16">
        <v>24</v>
      </c>
      <c r="I3" s="16">
        <v>22</v>
      </c>
      <c r="J3" s="16">
        <v>22</v>
      </c>
      <c r="K3" s="16">
        <v>19</v>
      </c>
      <c r="L3" s="16">
        <v>19</v>
      </c>
      <c r="M3" s="17">
        <v>20</v>
      </c>
      <c r="N3" s="18">
        <f t="shared" ref="N3:N38" si="0">IF(L3=0,"",IFERROR(IF(AND(L3&gt;0,D3&lt;0),"na",IF(AND(L3&lt;0,D3&lt;0),-1,1)*(L3-D3)/D3),""))</f>
        <v>-0.56818181818181823</v>
      </c>
      <c r="O3" s="18">
        <f t="shared" ref="O3:O38" si="1">IF(L3=0,"",IFERROR(IF(AND(L3&gt;0,H3&lt;0),"na",IF(AND(L3&lt;0,H3&lt;0),-1,1)*(L3-H3)/H3),""))</f>
        <v>-0.20833333333333334</v>
      </c>
    </row>
    <row r="4" spans="1:15" s="19" customFormat="1" ht="18" customHeight="1" x14ac:dyDescent="0.2">
      <c r="A4" s="141"/>
      <c r="B4" s="20" t="s">
        <v>20</v>
      </c>
      <c r="C4" s="21"/>
      <c r="D4" s="22">
        <v>27895.560546875</v>
      </c>
      <c r="E4" s="22">
        <v>24368.560546875</v>
      </c>
      <c r="F4" s="22">
        <v>23360.279296875</v>
      </c>
      <c r="G4" s="22">
        <v>18434.5390625</v>
      </c>
      <c r="H4" s="22">
        <v>14293.2998046875</v>
      </c>
      <c r="I4" s="22">
        <v>13244.5</v>
      </c>
      <c r="J4" s="22">
        <v>13315.5</v>
      </c>
      <c r="K4" s="22">
        <v>11595.5</v>
      </c>
      <c r="L4" s="22">
        <v>11494</v>
      </c>
      <c r="M4" s="23">
        <v>12129</v>
      </c>
      <c r="N4" s="24">
        <f t="shared" si="0"/>
        <v>-0.58796311044957239</v>
      </c>
      <c r="O4" s="24">
        <f t="shared" si="1"/>
        <v>-0.19584699425177293</v>
      </c>
    </row>
    <row r="5" spans="1:15" s="19" customFormat="1" ht="18" customHeight="1" x14ac:dyDescent="0.2">
      <c r="A5" s="141"/>
      <c r="B5" s="20" t="s">
        <v>21</v>
      </c>
      <c r="C5" s="21"/>
      <c r="D5" s="22">
        <v>7374.08984375</v>
      </c>
      <c r="E5" s="22">
        <v>6387.2001953125</v>
      </c>
      <c r="F5" s="22">
        <v>6212.2001953125</v>
      </c>
      <c r="G5" s="22">
        <v>4897.2001953125</v>
      </c>
      <c r="H5" s="22">
        <v>3820.199951171875</v>
      </c>
      <c r="I5" s="22">
        <v>3449.199951171875</v>
      </c>
      <c r="J5" s="22">
        <v>3482.199951171875</v>
      </c>
      <c r="K5" s="22">
        <v>3087.199951171875</v>
      </c>
      <c r="L5" s="22">
        <v>3141.199951171875</v>
      </c>
      <c r="M5" s="23">
        <v>3308.199951171875</v>
      </c>
      <c r="N5" s="24">
        <f t="shared" si="0"/>
        <v>-0.5740220125153157</v>
      </c>
      <c r="O5" s="24">
        <f t="shared" si="1"/>
        <v>-0.17773938764428068</v>
      </c>
    </row>
    <row r="6" spans="1:15" s="19" customFormat="1" ht="18" customHeight="1" x14ac:dyDescent="0.2">
      <c r="A6" s="141"/>
      <c r="B6" s="20" t="s">
        <v>22</v>
      </c>
      <c r="C6" s="21"/>
      <c r="D6" s="22">
        <v>20292.2421875</v>
      </c>
      <c r="E6" s="22">
        <v>18260.994140625</v>
      </c>
      <c r="F6" s="22">
        <v>16258.953125</v>
      </c>
      <c r="G6" s="22">
        <v>14408.30078125</v>
      </c>
      <c r="H6" s="22">
        <v>11191.2626953125</v>
      </c>
      <c r="I6" s="22">
        <v>10191.0234375</v>
      </c>
      <c r="J6" s="22">
        <v>10226.94140625</v>
      </c>
      <c r="K6" s="22">
        <v>8969.8759765625</v>
      </c>
      <c r="L6" s="22">
        <v>8877.8759765625</v>
      </c>
      <c r="M6" s="23">
        <v>9390.3759765625</v>
      </c>
      <c r="N6" s="24">
        <f t="shared" si="0"/>
        <v>-0.56249901343917219</v>
      </c>
      <c r="O6" s="24">
        <f t="shared" si="1"/>
        <v>-0.20671364632687697</v>
      </c>
    </row>
    <row r="7" spans="1:15" s="19" customFormat="1" ht="18" customHeight="1" x14ac:dyDescent="0.2">
      <c r="A7" s="141"/>
      <c r="B7" s="20" t="s">
        <v>23</v>
      </c>
      <c r="C7" s="21"/>
      <c r="D7" s="22">
        <v>8324.6162109375</v>
      </c>
      <c r="E7" s="22">
        <v>7685.0576171875</v>
      </c>
      <c r="F7" s="22">
        <v>7664.77001953125</v>
      </c>
      <c r="G7" s="22">
        <v>6605.80810546875</v>
      </c>
      <c r="H7" s="22">
        <v>5336.86767578125</v>
      </c>
      <c r="I7" s="22">
        <v>5550.52880859375</v>
      </c>
      <c r="J7" s="22">
        <v>6092.3896484375</v>
      </c>
      <c r="K7" s="22">
        <v>5771.62109375</v>
      </c>
      <c r="L7" s="22">
        <v>5515.49365234375</v>
      </c>
      <c r="M7" s="23">
        <v>5290.8037109375</v>
      </c>
      <c r="N7" s="24">
        <f t="shared" si="0"/>
        <v>-0.33744769577520173</v>
      </c>
      <c r="O7" s="24">
        <f t="shared" si="1"/>
        <v>3.3470190271553138E-2</v>
      </c>
    </row>
    <row r="8" spans="1:15" s="19" customFormat="1" ht="18" customHeight="1" x14ac:dyDescent="0.2">
      <c r="A8" s="141"/>
      <c r="B8" s="20" t="s">
        <v>24</v>
      </c>
      <c r="C8" s="25"/>
      <c r="D8" s="26">
        <f ca="1">24.128492*OFFSET(D$108,MATCH($M$1,$C$109:$C$110,0),0)</f>
        <v>19.627562926485005</v>
      </c>
      <c r="E8" s="26">
        <f ca="1">23.075998*OFFSET(E$108,MATCH($M$1,$C$109:$C$110,0),0)</f>
        <v>19.276071942288279</v>
      </c>
      <c r="F8" s="26">
        <f ca="1">21.577134*OFFSET(F$108,MATCH($M$1,$C$109:$C$110,0),0)</f>
        <v>18.541662308826023</v>
      </c>
      <c r="G8" s="26">
        <f ca="1">18.364182*OFFSET(G$108,MATCH($M$1,$C$109:$C$110,0),0)</f>
        <v>16.238895433555687</v>
      </c>
      <c r="H8" s="26">
        <f ca="1">14.67005*OFFSET(H$108,MATCH($M$1,$C$109:$C$110,0),0)</f>
        <v>13.229157901025079</v>
      </c>
      <c r="I8" s="26">
        <f ca="1">15.332305*OFFSET(I$108,MATCH($M$1,$C$109:$C$110,0),0)</f>
        <v>14.26502306317785</v>
      </c>
      <c r="J8" s="26">
        <f ca="1">18.19839*OFFSET(J$108,MATCH($M$1,$C$109:$C$110,0),0)</f>
        <v>17.291382105921866</v>
      </c>
      <c r="K8" s="26">
        <f ca="1">14.4716*OFFSET(K$108,MATCH($M$1,$C$109:$C$110,0),0)</f>
        <v>13.978697167382741</v>
      </c>
      <c r="L8" s="26">
        <f ca="1">13.678495*OFFSET(L$108,MATCH($M$1,$C$109:$C$110,0),0)</f>
        <v>13.449106402281</v>
      </c>
      <c r="M8" s="27">
        <f ca="1">13.420433*OFFSET(M$108,MATCH($M$1,$C$109:$C$110,0),0)</f>
        <v>13.420432947859561</v>
      </c>
      <c r="N8" s="24">
        <f t="shared" ca="1" si="0"/>
        <v>-0.31478470084877075</v>
      </c>
      <c r="O8" s="24">
        <f t="shared" ca="1" si="1"/>
        <v>1.6626039457800848E-2</v>
      </c>
    </row>
    <row r="9" spans="1:15" s="19" customFormat="1" ht="18" customHeight="1" x14ac:dyDescent="0.2">
      <c r="A9" s="141"/>
      <c r="B9" s="20" t="s">
        <v>25</v>
      </c>
      <c r="C9" s="25"/>
      <c r="D9" s="22">
        <v>8805</v>
      </c>
      <c r="E9" s="22">
        <v>7737</v>
      </c>
      <c r="F9" s="22">
        <v>7181</v>
      </c>
      <c r="G9" s="22">
        <v>6198</v>
      </c>
      <c r="H9" s="22">
        <v>5117</v>
      </c>
      <c r="I9" s="22">
        <v>4668</v>
      </c>
      <c r="J9" s="22">
        <v>4916</v>
      </c>
      <c r="K9" s="22">
        <v>4115</v>
      </c>
      <c r="L9" s="22">
        <v>4099</v>
      </c>
      <c r="M9" s="23">
        <v>4291</v>
      </c>
      <c r="N9" s="24">
        <f t="shared" si="0"/>
        <v>-0.53446905167518455</v>
      </c>
      <c r="O9" s="24">
        <f t="shared" si="1"/>
        <v>-0.19894469415673247</v>
      </c>
    </row>
    <row r="10" spans="1:15" s="19" customFormat="1" ht="18" customHeight="1" x14ac:dyDescent="0.2">
      <c r="A10" s="142" t="s">
        <v>7</v>
      </c>
      <c r="B10" s="28" t="s">
        <v>26</v>
      </c>
      <c r="C10" s="29"/>
      <c r="D10" s="30">
        <v>29.044317245483398</v>
      </c>
      <c r="E10" s="30">
        <v>28.946922302246094</v>
      </c>
      <c r="F10" s="30">
        <v>29.008378982543945</v>
      </c>
      <c r="G10" s="30">
        <v>28.529678344726563</v>
      </c>
      <c r="H10" s="30">
        <v>28.260416030883789</v>
      </c>
      <c r="I10" s="30">
        <v>28.200908660888672</v>
      </c>
      <c r="J10" s="30">
        <v>28.157272338867188</v>
      </c>
      <c r="K10" s="30">
        <v>28.5321044921875</v>
      </c>
      <c r="L10" s="30">
        <v>28.159473419189453</v>
      </c>
      <c r="M10" s="31">
        <v>28.159000396728516</v>
      </c>
      <c r="N10" s="32">
        <f t="shared" si="0"/>
        <v>-3.0465299590801877E-2</v>
      </c>
      <c r="O10" s="32">
        <f t="shared" si="1"/>
        <v>-3.5718728126303226E-3</v>
      </c>
    </row>
    <row r="11" spans="1:15" s="19" customFormat="1" ht="18" customHeight="1" x14ac:dyDescent="0.2">
      <c r="A11" s="143"/>
      <c r="B11" s="33" t="s">
        <v>20</v>
      </c>
      <c r="C11" s="21"/>
      <c r="D11" s="22">
        <v>633.989990234375</v>
      </c>
      <c r="E11" s="22">
        <v>624.83489990234375</v>
      </c>
      <c r="F11" s="22">
        <v>631.35894775390625</v>
      </c>
      <c r="G11" s="22">
        <v>594.66259765625</v>
      </c>
      <c r="H11" s="22">
        <v>595.55413818359375</v>
      </c>
      <c r="I11" s="22">
        <v>602.022705078125</v>
      </c>
      <c r="J11" s="22">
        <v>605.25</v>
      </c>
      <c r="K11" s="22">
        <v>610.28948974609375</v>
      </c>
      <c r="L11" s="22">
        <v>604.9473876953125</v>
      </c>
      <c r="M11" s="23">
        <v>606.45001220703125</v>
      </c>
      <c r="N11" s="24">
        <f t="shared" si="0"/>
        <v>-4.5809244603887134E-2</v>
      </c>
      <c r="O11" s="24">
        <f t="shared" si="1"/>
        <v>1.5772284851160008E-2</v>
      </c>
    </row>
    <row r="12" spans="1:15" s="19" customFormat="1" ht="18" customHeight="1" x14ac:dyDescent="0.2">
      <c r="A12" s="143"/>
      <c r="B12" s="33" t="s">
        <v>21</v>
      </c>
      <c r="C12" s="21"/>
      <c r="D12" s="22">
        <v>167.59295654296875</v>
      </c>
      <c r="E12" s="22">
        <v>163.77435302734375</v>
      </c>
      <c r="F12" s="22">
        <v>167.89729309082031</v>
      </c>
      <c r="G12" s="22">
        <v>157.97419738769531</v>
      </c>
      <c r="H12" s="22">
        <v>159.17500305175781</v>
      </c>
      <c r="I12" s="22">
        <v>156.78181457519531</v>
      </c>
      <c r="J12" s="22">
        <v>158.28181457519531</v>
      </c>
      <c r="K12" s="22">
        <v>162.48420715332031</v>
      </c>
      <c r="L12" s="22">
        <v>165.32630920410156</v>
      </c>
      <c r="M12" s="23">
        <v>165.41000366210937</v>
      </c>
      <c r="N12" s="24">
        <f t="shared" si="0"/>
        <v>-1.3524717181572289E-2</v>
      </c>
      <c r="O12" s="24">
        <f t="shared" si="1"/>
        <v>3.8644925612745698E-2</v>
      </c>
    </row>
    <row r="13" spans="1:15" s="19" customFormat="1" ht="18" customHeight="1" x14ac:dyDescent="0.2">
      <c r="A13" s="143"/>
      <c r="B13" s="33" t="s">
        <v>22</v>
      </c>
      <c r="C13" s="21"/>
      <c r="D13" s="22">
        <v>461.18734741210937</v>
      </c>
      <c r="E13" s="22">
        <v>468.2305908203125</v>
      </c>
      <c r="F13" s="22">
        <v>439.43115234375</v>
      </c>
      <c r="G13" s="22">
        <v>464.78387451171875</v>
      </c>
      <c r="H13" s="22">
        <v>466.3026123046875</v>
      </c>
      <c r="I13" s="22">
        <v>463.22833251953125</v>
      </c>
      <c r="J13" s="22">
        <v>464.8609619140625</v>
      </c>
      <c r="K13" s="22">
        <v>472.09872436523437</v>
      </c>
      <c r="L13" s="22">
        <v>467.25662231445312</v>
      </c>
      <c r="M13" s="23">
        <v>469.518798828125</v>
      </c>
      <c r="N13" s="24">
        <f t="shared" si="0"/>
        <v>1.3160107137371977E-2</v>
      </c>
      <c r="O13" s="24">
        <f t="shared" si="1"/>
        <v>2.0459032066118127E-3</v>
      </c>
    </row>
    <row r="14" spans="1:15" s="19" customFormat="1" ht="18" customHeight="1" x14ac:dyDescent="0.2">
      <c r="A14" s="143"/>
      <c r="B14" s="33" t="s">
        <v>23</v>
      </c>
      <c r="C14" s="25"/>
      <c r="D14" s="26">
        <v>189.19581604003906</v>
      </c>
      <c r="E14" s="26">
        <v>197.05276489257812</v>
      </c>
      <c r="F14" s="26">
        <v>207.15594482421875</v>
      </c>
      <c r="G14" s="26">
        <v>213.09059143066406</v>
      </c>
      <c r="H14" s="26">
        <v>222.36949157714844</v>
      </c>
      <c r="I14" s="26">
        <v>252.2967529296875</v>
      </c>
      <c r="J14" s="26">
        <v>276.92678833007812</v>
      </c>
      <c r="K14" s="26">
        <v>303.76953125</v>
      </c>
      <c r="L14" s="26">
        <v>290.28915405273437</v>
      </c>
      <c r="M14" s="27">
        <v>264.5401611328125</v>
      </c>
      <c r="N14" s="24">
        <f t="shared" si="0"/>
        <v>0.53433178454274677</v>
      </c>
      <c r="O14" s="24">
        <f t="shared" si="1"/>
        <v>0.30543606496497305</v>
      </c>
    </row>
    <row r="15" spans="1:15" s="19" customFormat="1" ht="18" customHeight="1" x14ac:dyDescent="0.2">
      <c r="A15" s="143"/>
      <c r="B15" s="33" t="s">
        <v>27</v>
      </c>
      <c r="C15" s="25"/>
      <c r="D15" s="26">
        <f ca="1">548.3748125*OFFSET(D$108,MATCH($M$1,$C$109:$C$110,0),0)</f>
        <v>446.08097098000007</v>
      </c>
      <c r="E15" s="26">
        <f ca="1">591.69225*OFFSET(E$108,MATCH($M$1,$C$109:$C$110,0),0)</f>
        <v>494.25824957578959</v>
      </c>
      <c r="F15" s="26">
        <f ca="1">583.16575*OFFSET(F$108,MATCH($M$1,$C$109:$C$110,0),0)</f>
        <v>501.12597931556894</v>
      </c>
      <c r="G15" s="26">
        <f ca="1">592.393*OFFSET(G$108,MATCH($M$1,$C$109:$C$110,0),0)</f>
        <v>523.83536509115163</v>
      </c>
      <c r="H15" s="26">
        <f ca="1">611.2520625*OFFSET(H$108,MATCH($M$1,$C$109:$C$110,0),0)</f>
        <v>551.21489375562794</v>
      </c>
      <c r="I15" s="26">
        <f ca="1">696.9229375*OFFSET(I$108,MATCH($M$1,$C$109:$C$110,0),0)</f>
        <v>648.41012337643656</v>
      </c>
      <c r="J15" s="26">
        <f ca="1">827.1995625*OFFSET(J$108,MATCH($M$1,$C$109:$C$110,0),0)</f>
        <v>785.97193010144838</v>
      </c>
      <c r="K15" s="26">
        <f ca="1">761.663125*OFFSET(K$108,MATCH($M$1,$C$109:$C$110,0),0)</f>
        <v>735.72087177211824</v>
      </c>
      <c r="L15" s="26">
        <f ca="1">719.9208125*OFFSET(L$108,MATCH($M$1,$C$109:$C$110,0),0)</f>
        <v>707.84772802337466</v>
      </c>
      <c r="M15" s="27">
        <f ca="1">671.021625*OFFSET(M$108,MATCH($M$1,$C$109:$C$110,0),0)</f>
        <v>671.0216223929782</v>
      </c>
      <c r="N15" s="24">
        <f t="shared" ca="1" si="0"/>
        <v>0.58681444417657269</v>
      </c>
      <c r="O15" s="24">
        <f t="shared" ca="1" si="1"/>
        <v>0.28415929257743772</v>
      </c>
    </row>
    <row r="16" spans="1:15" s="19" customFormat="1" ht="18" customHeight="1" x14ac:dyDescent="0.2">
      <c r="A16" s="143"/>
      <c r="B16" s="33" t="s">
        <v>25</v>
      </c>
      <c r="C16" s="21"/>
      <c r="D16" s="22">
        <v>200.11363220214844</v>
      </c>
      <c r="E16" s="22">
        <v>198.38461303710937</v>
      </c>
      <c r="F16" s="22">
        <v>194.08108520507812</v>
      </c>
      <c r="G16" s="22">
        <v>199.93548583984375</v>
      </c>
      <c r="H16" s="22">
        <v>213.20832824707031</v>
      </c>
      <c r="I16" s="22">
        <v>212.18182373046875</v>
      </c>
      <c r="J16" s="22">
        <v>223.45454406738281</v>
      </c>
      <c r="K16" s="22">
        <v>216.57894897460937</v>
      </c>
      <c r="L16" s="22">
        <v>215.73684692382812</v>
      </c>
      <c r="M16" s="23">
        <v>214.55000305175781</v>
      </c>
      <c r="N16" s="24">
        <f t="shared" si="0"/>
        <v>7.8071716303153266E-2</v>
      </c>
      <c r="O16" s="24">
        <f t="shared" si="1"/>
        <v>1.1859380435775996E-2</v>
      </c>
    </row>
    <row r="17" spans="1:15" s="19" customFormat="1" ht="18" customHeight="1" x14ac:dyDescent="0.2">
      <c r="A17" s="143"/>
      <c r="B17" s="33" t="s">
        <v>28</v>
      </c>
      <c r="C17" s="21"/>
      <c r="D17" s="22">
        <v>33.477272033691406</v>
      </c>
      <c r="E17" s="22">
        <v>36.435897827148437</v>
      </c>
      <c r="F17" s="22">
        <v>35.972972869873047</v>
      </c>
      <c r="G17" s="22">
        <v>37.548385620117188</v>
      </c>
      <c r="H17" s="22">
        <v>37.541667938232422</v>
      </c>
      <c r="I17" s="22">
        <v>38.772727966308594</v>
      </c>
      <c r="J17" s="22">
        <v>39.181819915771484</v>
      </c>
      <c r="K17" s="22">
        <v>40.052631378173828</v>
      </c>
      <c r="L17" s="22">
        <v>39.263156890869141</v>
      </c>
      <c r="M17" s="23">
        <v>40.549999237060547</v>
      </c>
      <c r="N17" s="24">
        <f t="shared" si="0"/>
        <v>0.17283023692476618</v>
      </c>
      <c r="O17" s="24">
        <f t="shared" si="1"/>
        <v>4.5855420048706866E-2</v>
      </c>
    </row>
    <row r="18" spans="1:15" s="19" customFormat="1" ht="18" customHeight="1" x14ac:dyDescent="0.2">
      <c r="A18" s="143"/>
      <c r="B18" s="33" t="s">
        <v>29</v>
      </c>
      <c r="C18" s="21"/>
      <c r="D18" s="34">
        <v>0.94544190168380737</v>
      </c>
      <c r="E18" s="34">
        <v>0.99328655004501343</v>
      </c>
      <c r="F18" s="34">
        <v>1.0673680305480957</v>
      </c>
      <c r="G18" s="34">
        <v>1.0657967329025269</v>
      </c>
      <c r="H18" s="34">
        <v>1.0429681539535522</v>
      </c>
      <c r="I18" s="34">
        <v>1.1890592575073242</v>
      </c>
      <c r="J18" s="34">
        <v>1.2392981052398682</v>
      </c>
      <c r="K18" s="34">
        <v>1.4025810956954956</v>
      </c>
      <c r="L18" s="34">
        <v>1.3455705642700195</v>
      </c>
      <c r="M18" s="35">
        <v>1.2330000400543213</v>
      </c>
      <c r="N18" s="24">
        <f t="shared" si="0"/>
        <v>0.42321866830060467</v>
      </c>
      <c r="O18" s="24">
        <f t="shared" si="1"/>
        <v>0.29013581015815315</v>
      </c>
    </row>
    <row r="19" spans="1:15" s="19" customFormat="1" ht="18" customHeight="1" x14ac:dyDescent="0.2">
      <c r="A19" s="144"/>
      <c r="B19" s="36" t="s">
        <v>8</v>
      </c>
      <c r="C19" s="37"/>
      <c r="D19" s="38">
        <f ca="1">2898.45097823227*OFFSET(D$108,MATCH($M$1,$C$109:$C$110,0),0)</f>
        <v>2357.7739116305274</v>
      </c>
      <c r="E19" s="38">
        <f ca="1">3002.70982333183*OFFSET(E$108,MATCH($M$1,$C$109:$C$110,0),0)</f>
        <v>2508.2534058271322</v>
      </c>
      <c r="F19" s="38">
        <f ca="1">2815.10520798634*OFFSET(F$108,MATCH($M$1,$C$109:$C$110,0),0)</f>
        <v>2419.0761446955912</v>
      </c>
      <c r="G19" s="38">
        <f ca="1">2780.00536903227*OFFSET(G$108,MATCH($M$1,$C$109:$C$110,0),0)</f>
        <v>2458.2753804355907</v>
      </c>
      <c r="H19" s="38">
        <f ca="1">2748.81276644216*OFFSET(H$108,MATCH($M$1,$C$109:$C$110,0),0)</f>
        <v>2478.8244162505857</v>
      </c>
      <c r="I19" s="38">
        <f ca="1">2762.31428188632*OFFSET(I$108,MATCH($M$1,$C$109:$C$110,0),0)</f>
        <v>2570.0295512549424</v>
      </c>
      <c r="J19" s="38">
        <f ca="1">2987.0692864609*OFFSET(J$108,MATCH($M$1,$C$109:$C$110,0),0)</f>
        <v>2838.1937308222764</v>
      </c>
      <c r="K19" s="38">
        <f ca="1">2507.37180506722*OFFSET(K$108,MATCH($M$1,$C$109:$C$110,0),0)</f>
        <v>2421.9706977161127</v>
      </c>
      <c r="L19" s="38">
        <f ca="1">2480.01282608447*OFFSET(L$108,MATCH($M$1,$C$109:$C$110,0),0)</f>
        <v>2438.4229680993153</v>
      </c>
      <c r="M19" s="39">
        <f ca="1">2536.55847641*OFFSET(M$108,MATCH($M$1,$C$109:$C$110,0),0)</f>
        <v>2536.5584665550818</v>
      </c>
      <c r="N19" s="40">
        <f ca="1">IF(L19=0,"",IFERROR(IF(AND(L19&gt;0,D19&lt;0),"na",IF(AND(L19&lt;0,D19&lt;0),-1,1)*(L19-D19)/D19),""))</f>
        <v>3.4205593704705432E-2</v>
      </c>
      <c r="O19" s="40">
        <f ca="1">IF(L19=0,"",IFERROR(IF(AND(L19&gt;0,H19&lt;0),"na",IF(AND(L19&lt;0,H19&lt;0),-1,1)*(L19-H19)/H19),""))</f>
        <v>-1.6298632483369168E-2</v>
      </c>
    </row>
    <row r="20" spans="1:15" s="19" customFormat="1" ht="18" customHeight="1" x14ac:dyDescent="0.2">
      <c r="A20" s="145" t="s">
        <v>9</v>
      </c>
      <c r="B20" s="28" t="s">
        <v>30</v>
      </c>
      <c r="C20" s="41"/>
      <c r="D20" s="42">
        <v>1.5052339295945594</v>
      </c>
      <c r="E20" s="42">
        <v>1.5439341737765886</v>
      </c>
      <c r="F20" s="42">
        <v>1.730483683008023</v>
      </c>
      <c r="G20" s="42">
        <v>1.7227862066879531</v>
      </c>
      <c r="H20" s="42">
        <v>1.6951750826123519</v>
      </c>
      <c r="I20" s="42">
        <v>1.9220191206297017</v>
      </c>
      <c r="J20" s="42">
        <v>2.0163893667326573</v>
      </c>
      <c r="K20" s="42">
        <v>2.2618118554134337</v>
      </c>
      <c r="L20" s="42">
        <v>2.1514240097587316</v>
      </c>
      <c r="M20" s="43">
        <v>2.0042567787292187</v>
      </c>
      <c r="N20" s="32">
        <f t="shared" si="0"/>
        <v>0.42929545199544239</v>
      </c>
      <c r="O20" s="32">
        <f t="shared" si="1"/>
        <v>0.26914560733353665</v>
      </c>
    </row>
    <row r="21" spans="1:15" s="19" customFormat="1" ht="18" customHeight="1" x14ac:dyDescent="0.2">
      <c r="A21" s="145"/>
      <c r="B21" s="33" t="s">
        <v>31</v>
      </c>
      <c r="C21" s="21"/>
      <c r="D21" s="34">
        <f ca="1">4.36284687043698*OFFSET(D$108,MATCH($M$1,$C$109:$C$110,0),0)</f>
        <v>3.54900138343167</v>
      </c>
      <c r="E21" s="34">
        <f ca="1">4.63598613108406*OFFSET(E$108,MATCH($M$1,$C$109:$C$110,0),0)</f>
        <v>3.8725780001466044</v>
      </c>
      <c r="F21" s="34">
        <f ca="1">4.87149338494946*OFFSET(F$108,MATCH($M$1,$C$109:$C$110,0),0)</f>
        <v>4.1861715871724527</v>
      </c>
      <c r="G21" s="34">
        <f ca="1">4.78935499914163*OFFSET(G$108,MATCH($M$1,$C$109:$C$110,0),0)</f>
        <v>4.2350830015319021</v>
      </c>
      <c r="H21" s="34">
        <f ca="1">4.65971864304019*OFFSET(H$108,MATCH($M$1,$C$109:$C$110,0),0)</f>
        <v>4.2020411452673292</v>
      </c>
      <c r="I21" s="34">
        <f ca="1">5.30922097064691*OFFSET(I$108,MATCH($M$1,$C$109:$C$110,0),0)</f>
        <v>4.9396460345515996</v>
      </c>
      <c r="J21" s="34">
        <f ca="1">6.02309517273141*OFFSET(J$108,MATCH($M$1,$C$109:$C$110,0),0)</f>
        <v>5.7229040641525035</v>
      </c>
      <c r="K21" s="34">
        <f ca="1">5.67120302970229*OFFSET(K$108,MATCH($M$1,$C$109:$C$110,0),0)</f>
        <v>5.4780418009723739</v>
      </c>
      <c r="L21" s="34">
        <f ca="1">5.33555904350511*OFFSET(L$108,MATCH($M$1,$C$109:$C$110,0),0)</f>
        <v>5.2460816260672587</v>
      </c>
      <c r="M21" s="35">
        <f ca="1">5.08391480076607*OFFSET(M$108,MATCH($M$1,$C$109:$C$110,0),0)</f>
        <v>5.0839147810142826</v>
      </c>
      <c r="N21" s="24">
        <f t="shared" ca="1" si="0"/>
        <v>0.47818528630569723</v>
      </c>
      <c r="O21" s="24">
        <f t="shared" ca="1" si="1"/>
        <v>0.24846031838022586</v>
      </c>
    </row>
    <row r="22" spans="1:15" s="19" customFormat="1" ht="18" customHeight="1" x14ac:dyDescent="0.2">
      <c r="A22" s="145"/>
      <c r="B22" s="33" t="s">
        <v>10</v>
      </c>
      <c r="C22" s="21"/>
      <c r="D22" s="34">
        <f ca="1">4.63884631898965*OFFSET(D$108,MATCH($M$1,$C$109:$C$110,0),0)</f>
        <v>3.773515892839995</v>
      </c>
      <c r="E22" s="34">
        <f ca="1">3.75598109701257*OFFSET(E$108,MATCH($M$1,$C$109:$C$110,0),0)</f>
        <v>3.1374834509818017</v>
      </c>
      <c r="F22" s="34">
        <f ca="1">3.97890446177121*OFFSET(F$108,MATCH($M$1,$C$109:$C$110,0),0)</f>
        <v>3.4191520935654816</v>
      </c>
      <c r="G22" s="34">
        <f ca="1">4.80607167065178*OFFSET(G$108,MATCH($M$1,$C$109:$C$110,0),0)</f>
        <v>4.2498650528451822</v>
      </c>
      <c r="H22" s="34">
        <f ca="1">4.42170134246375*OFFSET(H$108,MATCH($M$1,$C$109:$C$110,0),0)</f>
        <v>3.9874019005134627</v>
      </c>
      <c r="I22" s="34">
        <f ca="1">4.58124531234582*OFFSET(I$108,MATCH($M$1,$C$109:$C$110,0),0)</f>
        <v>4.2623447706452842</v>
      </c>
      <c r="J22" s="34">
        <f ca="1">5.33919406609767*OFFSET(J$108,MATCH($M$1,$C$109:$C$110,0),0)</f>
        <v>5.0730885938022796</v>
      </c>
      <c r="K22" s="34">
        <f ca="1">5.42079458600801*OFFSET(K$108,MATCH($M$1,$C$109:$C$110,0),0)</f>
        <v>5.2361622712342699</v>
      </c>
      <c r="L22" s="34">
        <f ca="1">5.24613923386239*OFFSET(L$108,MATCH($M$1,$C$109:$C$110,0),0)</f>
        <v>5.1581613881787591</v>
      </c>
      <c r="M22" s="35">
        <f ca="1">4.95364132955525*OFFSET(M$108,MATCH($M$1,$C$109:$C$110,0),0)</f>
        <v>4.9536413103095942</v>
      </c>
      <c r="N22" s="24">
        <f t="shared" ca="1" si="0"/>
        <v>0.36693776696847635</v>
      </c>
      <c r="O22" s="24">
        <f t="shared" ca="1" si="1"/>
        <v>0.29361461845983883</v>
      </c>
    </row>
    <row r="23" spans="1:15" s="19" customFormat="1" ht="18" customHeight="1" x14ac:dyDescent="0.2">
      <c r="A23" s="146"/>
      <c r="B23" s="33" t="s">
        <v>32</v>
      </c>
      <c r="C23" s="44"/>
      <c r="D23" s="34">
        <f ca="1">-0.275999448552675*OFFSET(D$108,MATCH($M$1,$C$109:$C$110,0),0)</f>
        <v>-0.2245145094083289</v>
      </c>
      <c r="E23" s="34">
        <f ca="1">0.880005034071494*OFFSET(E$108,MATCH($M$1,$C$109:$C$110,0),0)</f>
        <v>0.7350945491648061</v>
      </c>
      <c r="F23" s="34">
        <f ca="1">0.89258892317825*OFFSET(F$108,MATCH($M$1,$C$109:$C$110,0),0)</f>
        <v>0.7670194936069713</v>
      </c>
      <c r="G23" s="34">
        <f ca="1">-0.0167166715101535*OFFSET(G$108,MATCH($M$1,$C$109:$C$110,0),0)</f>
        <v>-1.478205131328377E-2</v>
      </c>
      <c r="H23" s="34">
        <f ca="1">0.238017300576448*OFFSET(H$108,MATCH($M$1,$C$109:$C$110,0),0)</f>
        <v>0.21463924475387458</v>
      </c>
      <c r="I23" s="34">
        <f ca="1">0.727975658301092*OFFSET(I$108,MATCH($M$1,$C$109:$C$110,0),0)</f>
        <v>0.67730126390631773</v>
      </c>
      <c r="J23" s="34">
        <f ca="1">0.683901106633738*OFFSET(J$108,MATCH($M$1,$C$109:$C$110,0),0)</f>
        <v>0.64981547035022225</v>
      </c>
      <c r="K23" s="34">
        <f ca="1">0.250408443694279*OFFSET(K$108,MATCH($M$1,$C$109:$C$110,0),0)</f>
        <v>0.24187952973810348</v>
      </c>
      <c r="L23" s="34">
        <f ca="1">0.0894198096427214*OFFSET(L$108,MATCH($M$1,$C$109:$C$110,0),0)</f>
        <v>8.7920237888501104E-2</v>
      </c>
      <c r="M23" s="35">
        <f ca="1">0.130273471210822*OFFSET(M$108,MATCH($M$1,$C$109:$C$110,0),0)</f>
        <v>0.13027347070468961</v>
      </c>
      <c r="N23" s="24" t="str">
        <f t="shared" ca="1" si="0"/>
        <v>na</v>
      </c>
      <c r="O23" s="24">
        <f t="shared" ca="1" si="1"/>
        <v>-0.59038134899645833</v>
      </c>
    </row>
    <row r="24" spans="1:15" s="19" customFormat="1" ht="18" customHeight="1" x14ac:dyDescent="0.2">
      <c r="A24" s="147" t="s">
        <v>11</v>
      </c>
      <c r="B24" s="28" t="s">
        <v>27</v>
      </c>
      <c r="C24" s="29"/>
      <c r="D24" s="30">
        <f ca="1">548.4*OFFSET(D$108,MATCH($M$1,$C$109:$C$110,0),0)</f>
        <v>446.10146000356656</v>
      </c>
      <c r="E24" s="30">
        <f ca="1">591.7*OFFSET(E$108,MATCH($M$1,$C$109:$C$110,0),0)</f>
        <v>494.26472338279694</v>
      </c>
      <c r="F24" s="30">
        <f ca="1">583.2*OFFSET(F$108,MATCH($M$1,$C$109:$C$110,0),0)</f>
        <v>501.15541102480694</v>
      </c>
      <c r="G24" s="30">
        <f ca="1">592.4*OFFSET(G$108,MATCH($M$1,$C$109:$C$110,0),0)</f>
        <v>523.84155498123414</v>
      </c>
      <c r="H24" s="30">
        <f ca="1">611.3*OFFSET(H$108,MATCH($M$1,$C$109:$C$110,0),0)</f>
        <v>551.25812283507082</v>
      </c>
      <c r="I24" s="30">
        <f ca="1">696.9*OFFSET(I$108,MATCH($M$1,$C$109:$C$110,0),0)</f>
        <v>648.3887825560895</v>
      </c>
      <c r="J24" s="30">
        <f ca="1">827.2*OFFSET(J$108,MATCH($M$1,$C$109:$C$110,0),0)</f>
        <v>785.9723457964451</v>
      </c>
      <c r="K24" s="30">
        <f ca="1">761.7*OFFSET(K$108,MATCH($M$1,$C$109:$C$110,0),0)</f>
        <v>735.75649080927008</v>
      </c>
      <c r="L24" s="30">
        <f ca="1">719.9*OFFSET(L$108,MATCH($M$1,$C$109:$C$110,0),0)</f>
        <v>707.8272645493596</v>
      </c>
      <c r="M24" s="31">
        <f ca="1">671*OFFSET(M$108,MATCH($M$1,$C$109:$C$110,0),0)</f>
        <v>670.99999739306224</v>
      </c>
      <c r="N24" s="32">
        <f t="shared" ca="1" si="0"/>
        <v>0.58669569147722711</v>
      </c>
      <c r="O24" s="32">
        <f t="shared" ca="1" si="1"/>
        <v>0.28402146876143575</v>
      </c>
    </row>
    <row r="25" spans="1:15" s="19" customFormat="1" ht="18" customHeight="1" x14ac:dyDescent="0.2">
      <c r="A25" s="148"/>
      <c r="B25" s="33" t="s">
        <v>33</v>
      </c>
      <c r="C25" s="25"/>
      <c r="D25" s="26">
        <f ca="1">0.8*OFFSET(D$108,MATCH($M$1,$C$109:$C$110,0),0)</f>
        <v>0.65076799417004605</v>
      </c>
      <c r="E25" s="26">
        <f ca="1">2*OFFSET(E$108,MATCH($M$1,$C$109:$C$110,0),0)</f>
        <v>1.6706598728504205</v>
      </c>
      <c r="F25" s="26">
        <f ca="1">2.9*OFFSET(F$108,MATCH($M$1,$C$109:$C$110,0),0)</f>
        <v>2.492027935480007</v>
      </c>
      <c r="G25" s="26">
        <f ca="1">4.1*OFFSET(G$108,MATCH($M$1,$C$109:$C$110,0),0)</f>
        <v>3.6255070483171163</v>
      </c>
      <c r="H25" s="26"/>
      <c r="I25" s="26">
        <f ca="1">11*OFFSET(I$108,MATCH($M$1,$C$109:$C$110,0),0)</f>
        <v>10.234289866719736</v>
      </c>
      <c r="J25" s="26">
        <f ca="1">13.8*OFFSET(J$108,MATCH($M$1,$C$109:$C$110,0),0)</f>
        <v>13.112207896507426</v>
      </c>
      <c r="K25" s="26">
        <f ca="1">25.9*OFFSET(K$108,MATCH($M$1,$C$109:$C$110,0),0)</f>
        <v>25.017845755494413</v>
      </c>
      <c r="L25" s="26">
        <f ca="1">2.5*OFFSET(L$108,MATCH($M$1,$C$109:$C$110,0),0)</f>
        <v>2.4580749567626046</v>
      </c>
      <c r="M25" s="27">
        <f ca="1">2.4*OFFSET(M$108,MATCH($M$1,$C$109:$C$110,0),0)</f>
        <v>2.3999999906756324</v>
      </c>
      <c r="N25" s="24">
        <f t="shared" ca="1" si="0"/>
        <v>2.7771909171677982</v>
      </c>
      <c r="O25" s="24" t="str">
        <f t="shared" ca="1" si="1"/>
        <v/>
      </c>
    </row>
    <row r="26" spans="1:15" s="19" customFormat="1" ht="18" customHeight="1" x14ac:dyDescent="0.2">
      <c r="A26" s="148"/>
      <c r="B26" s="45" t="s">
        <v>34</v>
      </c>
      <c r="C26" s="46"/>
      <c r="D26" s="47">
        <f ca="1">549.2*OFFSET(D$108,MATCH($M$1,$C$109:$C$110,0),0)</f>
        <v>446.75222799773661</v>
      </c>
      <c r="E26" s="47">
        <f ca="1">593.7*OFFSET(E$108,MATCH($M$1,$C$109:$C$110,0),0)</f>
        <v>495.93538325564737</v>
      </c>
      <c r="F26" s="47">
        <f ca="1">586.1*OFFSET(F$108,MATCH($M$1,$C$109:$C$110,0),0)</f>
        <v>503.64743896028693</v>
      </c>
      <c r="G26" s="47">
        <f ca="1">596.5*OFFSET(G$108,MATCH($M$1,$C$109:$C$110,0),0)</f>
        <v>527.46706202955124</v>
      </c>
      <c r="H26" s="47">
        <f ca="1">611.3*OFFSET(H$108,MATCH($M$1,$C$109:$C$110,0),0)</f>
        <v>551.25812283507082</v>
      </c>
      <c r="I26" s="47">
        <f ca="1">707.9*OFFSET(I$108,MATCH($M$1,$C$109:$C$110,0),0)</f>
        <v>658.62307242280917</v>
      </c>
      <c r="J26" s="47">
        <f ca="1">841*OFFSET(J$108,MATCH($M$1,$C$109:$C$110,0),0)</f>
        <v>799.08455369295257</v>
      </c>
      <c r="K26" s="47">
        <f ca="1">787.6*OFFSET(K$108,MATCH($M$1,$C$109:$C$110,0),0)</f>
        <v>760.77433656476455</v>
      </c>
      <c r="L26" s="47">
        <f ca="1">722.4*OFFSET(L$108,MATCH($M$1,$C$109:$C$110,0),0)</f>
        <v>710.28533950612223</v>
      </c>
      <c r="M26" s="48">
        <f ca="1">673.4*OFFSET(M$108,MATCH($M$1,$C$109:$C$110,0),0)</f>
        <v>673.39999738373785</v>
      </c>
      <c r="N26" s="49">
        <f t="shared" ca="1" si="0"/>
        <v>0.58988650753795624</v>
      </c>
      <c r="O26" s="49">
        <f t="shared" ca="1" si="1"/>
        <v>0.28848049594841119</v>
      </c>
    </row>
    <row r="27" spans="1:15" s="19" customFormat="1" ht="18" customHeight="1" x14ac:dyDescent="0.2">
      <c r="A27" s="148"/>
      <c r="B27" s="33" t="s">
        <v>35</v>
      </c>
      <c r="C27" s="25"/>
      <c r="D27" s="26">
        <f ca="1">165.5*OFFSET(D$108,MATCH($M$1,$C$109:$C$110,0),0)</f>
        <v>134.62762879392827</v>
      </c>
      <c r="E27" s="26">
        <f ca="1">185.7*OFFSET(E$108,MATCH($M$1,$C$109:$C$110,0),0)</f>
        <v>155.12076919416154</v>
      </c>
      <c r="F27" s="26">
        <f ca="1">204.2*OFFSET(F$108,MATCH($M$1,$C$109:$C$110,0),0)</f>
        <v>175.47313945690254</v>
      </c>
      <c r="G27" s="26">
        <f ca="1">261.3*OFFSET(G$108,MATCH($M$1,$C$109:$C$110,0),0)</f>
        <v>231.05975407933235</v>
      </c>
      <c r="H27" s="26">
        <f ca="1">215.9*OFFSET(H$108,MATCH($M$1,$C$109:$C$110,0),0)</f>
        <v>194.69430512038571</v>
      </c>
      <c r="I27" s="26">
        <f ca="1">232.7*OFFSET(I$108,MATCH($M$1,$C$109:$C$110,0),0)</f>
        <v>216.50175018051658</v>
      </c>
      <c r="J27" s="26">
        <f ca="1">323.7*OFFSET(J$108,MATCH($M$1,$C$109:$C$110,0),0)</f>
        <v>307.56678957242417</v>
      </c>
      <c r="K27" s="26">
        <f ca="1">329.5*OFFSET(K$108,MATCH($M$1,$C$109:$C$110,0),0)</f>
        <v>318.27722688939804</v>
      </c>
      <c r="L27" s="26">
        <f ca="1">309.7*OFFSET(L$108,MATCH($M$1,$C$109:$C$110,0),0)</f>
        <v>304.50632564375144</v>
      </c>
      <c r="M27" s="27">
        <f ca="1">276*OFFSET(M$108,MATCH($M$1,$C$109:$C$110,0),0)</f>
        <v>275.99999892769773</v>
      </c>
      <c r="N27" s="24">
        <f t="shared" ca="1" si="0"/>
        <v>1.2618412607552718</v>
      </c>
      <c r="O27" s="24">
        <f t="shared" ca="1" si="1"/>
        <v>0.5640227661279843</v>
      </c>
    </row>
    <row r="28" spans="1:15" s="19" customFormat="1" ht="18" customHeight="1" x14ac:dyDescent="0.2">
      <c r="A28" s="148"/>
      <c r="B28" s="33" t="s">
        <v>36</v>
      </c>
      <c r="C28" s="25"/>
      <c r="D28" s="26">
        <f ca="1">144.7*OFFSET(D$108,MATCH($M$1,$C$109:$C$110,0),0)</f>
        <v>117.70766094550707</v>
      </c>
      <c r="E28" s="26">
        <f ca="1">130.8*OFFSET(E$108,MATCH($M$1,$C$109:$C$110,0),0)</f>
        <v>109.26115568441752</v>
      </c>
      <c r="F28" s="26">
        <f ca="1">140.7*OFFSET(F$108,MATCH($M$1,$C$109:$C$110,0),0)</f>
        <v>120.90632086966791</v>
      </c>
      <c r="G28" s="26">
        <f ca="1">159.9*OFFSET(G$108,MATCH($M$1,$C$109:$C$110,0),0)</f>
        <v>141.39477488436756</v>
      </c>
      <c r="H28" s="26">
        <f ca="1">175.9*OFFSET(H$108,MATCH($M$1,$C$109:$C$110,0),0)</f>
        <v>158.62310454226886</v>
      </c>
      <c r="I28" s="26">
        <f ca="1">179.8*OFFSET(I$108,MATCH($M$1,$C$109:$C$110,0),0)</f>
        <v>167.28411982147352</v>
      </c>
      <c r="J28" s="26">
        <f ca="1">215.8*OFFSET(J$108,MATCH($M$1,$C$109:$C$110,0),0)</f>
        <v>205.04452638161612</v>
      </c>
      <c r="K28" s="26">
        <f ca="1">191.4*OFFSET(K$108,MATCH($M$1,$C$109:$C$110,0),0)</f>
        <v>184.88091419311317</v>
      </c>
      <c r="L28" s="26">
        <f ca="1">177.3*OFFSET(L$108,MATCH($M$1,$C$109:$C$110,0),0)</f>
        <v>174.32667593360392</v>
      </c>
      <c r="M28" s="27">
        <f ca="1">172*OFFSET(M$108,MATCH($M$1,$C$109:$C$110,0),0)</f>
        <v>171.99999933175366</v>
      </c>
      <c r="N28" s="24">
        <f t="shared" ca="1" si="0"/>
        <v>0.48101384848951084</v>
      </c>
      <c r="O28" s="24">
        <f t="shared" ca="1" si="1"/>
        <v>9.8999268969360482E-2</v>
      </c>
    </row>
    <row r="29" spans="1:15" s="19" customFormat="1" ht="18" customHeight="1" x14ac:dyDescent="0.2">
      <c r="A29" s="148"/>
      <c r="B29" s="33" t="s">
        <v>37</v>
      </c>
      <c r="C29" s="25"/>
      <c r="D29" s="26">
        <f ca="1">78.9*OFFSET(D$108,MATCH($M$1,$C$109:$C$110,0),0)</f>
        <v>64.181993425020792</v>
      </c>
      <c r="E29" s="26">
        <f ca="1">42.1*OFFSET(E$108,MATCH($M$1,$C$109:$C$110,0),0)</f>
        <v>35.167390323501351</v>
      </c>
      <c r="F29" s="26">
        <f ca="1">22.4*OFFSET(F$108,MATCH($M$1,$C$109:$C$110,0),0)</f>
        <v>19.248767501638675</v>
      </c>
      <c r="G29" s="26">
        <f ca="1">45.2*OFFSET(G$108,MATCH($M$1,$C$109:$C$110,0),0)</f>
        <v>39.969004532666752</v>
      </c>
      <c r="H29" s="26">
        <f ca="1">50.7*OFFSET(H$108,MATCH($M$1,$C$109:$C$110,0),0)</f>
        <v>45.720246732763115</v>
      </c>
      <c r="I29" s="26">
        <f ca="1">52.7*OFFSET(I$108,MATCH($M$1,$C$109:$C$110,0),0)</f>
        <v>49.031552361466375</v>
      </c>
      <c r="J29" s="26">
        <f ca="1">62.9*OFFSET(J$108,MATCH($M$1,$C$109:$C$110,0),0)</f>
        <v>59.765063528283839</v>
      </c>
      <c r="K29" s="26">
        <f ca="1">56.2*OFFSET(K$108,MATCH($M$1,$C$109:$C$110,0),0)</f>
        <v>54.285827469451199</v>
      </c>
      <c r="L29" s="26">
        <f ca="1">76.7*OFFSET(L$108,MATCH($M$1,$C$109:$C$110,0),0)</f>
        <v>75.413739673476712</v>
      </c>
      <c r="M29" s="27">
        <f ca="1">71.5*OFFSET(M$108,MATCH($M$1,$C$109:$C$110,0),0)</f>
        <v>71.499999722211541</v>
      </c>
      <c r="N29" s="24">
        <f t="shared" ca="1" si="0"/>
        <v>0.17499840140641879</v>
      </c>
      <c r="O29" s="24">
        <f t="shared" ca="1" si="1"/>
        <v>0.64946047019985231</v>
      </c>
    </row>
    <row r="30" spans="1:15" s="19" customFormat="1" ht="18" customHeight="1" x14ac:dyDescent="0.2">
      <c r="A30" s="148"/>
      <c r="B30" s="33" t="s">
        <v>38</v>
      </c>
      <c r="C30" s="25"/>
      <c r="D30" s="26">
        <f ca="1">389.2*OFFSET(D$108,MATCH($M$1,$C$109:$C$110,0),0)</f>
        <v>316.59862916372737</v>
      </c>
      <c r="E30" s="26">
        <f ca="1">358.6*OFFSET(E$108,MATCH($M$1,$C$109:$C$110,0),0)</f>
        <v>299.54931520208044</v>
      </c>
      <c r="F30" s="26">
        <f ca="1">367.3*OFFSET(F$108,MATCH($M$1,$C$109:$C$110,0),0)</f>
        <v>315.62822782820916</v>
      </c>
      <c r="G30" s="26">
        <f ca="1">466.4*OFFSET(G$108,MATCH($M$1,$C$109:$C$110,0),0)</f>
        <v>412.42353349636659</v>
      </c>
      <c r="H30" s="26">
        <f ca="1">442.5*OFFSET(H$108,MATCH($M$1,$C$109:$C$110,0),0)</f>
        <v>399.03765639541768</v>
      </c>
      <c r="I30" s="26">
        <f ca="1">465.2*OFFSET(I$108,MATCH($M$1,$C$109:$C$110,0),0)</f>
        <v>432.81742236345644</v>
      </c>
      <c r="J30" s="26">
        <f ca="1">602.4*OFFSET(J$108,MATCH($M$1,$C$109:$C$110,0),0)</f>
        <v>572.37637948232407</v>
      </c>
      <c r="K30" s="26">
        <f ca="1">577.1*OFFSET(K$108,MATCH($M$1,$C$109:$C$110,0),0)</f>
        <v>557.44396855196237</v>
      </c>
      <c r="L30" s="26">
        <f ca="1">563.7*OFFSET(L$108,MATCH($M$1,$C$109:$C$110,0),0)</f>
        <v>554.24674125083209</v>
      </c>
      <c r="M30" s="27">
        <f ca="1">519.4*OFFSET(M$108,MATCH($M$1,$C$109:$C$110,0),0)</f>
        <v>519.39999798205145</v>
      </c>
      <c r="N30" s="24">
        <f t="shared" ca="1" si="0"/>
        <v>0.75062899897840751</v>
      </c>
      <c r="O30" s="24">
        <f t="shared" ca="1" si="1"/>
        <v>0.38895849143022565</v>
      </c>
    </row>
    <row r="31" spans="1:15" s="19" customFormat="1" ht="18" customHeight="1" x14ac:dyDescent="0.2">
      <c r="A31" s="148"/>
      <c r="B31" s="33" t="s">
        <v>39</v>
      </c>
      <c r="C31" s="25"/>
      <c r="D31" s="26">
        <f ca="1">194.7*OFFSET(D$108,MATCH($M$1,$C$109:$C$110,0),0)</f>
        <v>158.38066058113495</v>
      </c>
      <c r="E31" s="26">
        <f ca="1">122.8*OFFSET(E$108,MATCH($M$1,$C$109:$C$110,0),0)</f>
        <v>102.57851619301582</v>
      </c>
      <c r="F31" s="26">
        <f ca="1">111.9*OFFSET(F$108,MATCH($M$1,$C$109:$C$110,0),0)</f>
        <v>96.157905510418203</v>
      </c>
      <c r="G31" s="26">
        <f ca="1">132.1*OFFSET(G$108,MATCH($M$1,$C$109:$C$110,0),0)</f>
        <v>116.81206855675393</v>
      </c>
      <c r="H31" s="26">
        <f ca="1">137.5*OFFSET(H$108,MATCH($M$1,$C$109:$C$110,0),0)</f>
        <v>123.99475198727669</v>
      </c>
      <c r="I31" s="26">
        <f ca="1">147.2*OFFSET(I$108,MATCH($M$1,$C$109:$C$110,0),0)</f>
        <v>136.95340621646773</v>
      </c>
      <c r="J31" s="26">
        <f ca="1">144.6*OFFSET(J$108,MATCH($M$1,$C$109:$C$110,0),0)</f>
        <v>137.3931349155778</v>
      </c>
      <c r="K31" s="26">
        <f ca="1">176.8*OFFSET(K$108,MATCH($M$1,$C$109:$C$110,0),0)</f>
        <v>170.77819033094258</v>
      </c>
      <c r="L31" s="26">
        <f ca="1">146.7*OFFSET(L$108,MATCH($M$1,$C$109:$C$110,0),0)</f>
        <v>144.23983846282962</v>
      </c>
      <c r="M31" s="27">
        <f ca="1">136.8*OFFSET(M$108,MATCH($M$1,$C$109:$C$110,0),0)</f>
        <v>136.79999946851106</v>
      </c>
      <c r="N31" s="24">
        <f t="shared" ca="1" si="0"/>
        <v>-8.9283767768232589E-2</v>
      </c>
      <c r="O31" s="24">
        <f t="shared" ca="1" si="1"/>
        <v>0.16327373659838701</v>
      </c>
    </row>
    <row r="32" spans="1:15" s="19" customFormat="1" ht="18" customHeight="1" x14ac:dyDescent="0.2">
      <c r="A32" s="148"/>
      <c r="B32" s="33" t="s">
        <v>40</v>
      </c>
      <c r="C32" s="25"/>
      <c r="D32" s="26">
        <f ca="1">583.8*OFFSET(D$108,MATCH($M$1,$C$109:$C$110,0),0)</f>
        <v>474.89794374559108</v>
      </c>
      <c r="E32" s="26">
        <f ca="1">481.4*OFFSET(E$108,MATCH($M$1,$C$109:$C$110,0),0)</f>
        <v>402.12783139509622</v>
      </c>
      <c r="F32" s="26">
        <f ca="1">479.2*OFFSET(F$108,MATCH($M$1,$C$109:$C$110,0),0)</f>
        <v>411.78613333862734</v>
      </c>
      <c r="G32" s="26">
        <f ca="1">598.5*OFFSET(G$108,MATCH($M$1,$C$109:$C$110,0),0)</f>
        <v>529.2356020531206</v>
      </c>
      <c r="H32" s="26">
        <f ca="1">580*OFFSET(H$108,MATCH($M$1,$C$109:$C$110,0),0)</f>
        <v>523.03240838269437</v>
      </c>
      <c r="I32" s="26">
        <f ca="1">612.3*OFFSET(I$108,MATCH($M$1,$C$109:$C$110,0),0)</f>
        <v>569.67778958113581</v>
      </c>
      <c r="J32" s="26">
        <f ca="1">747*OFFSET(J$108,MATCH($M$1,$C$109:$C$110,0),0)</f>
        <v>709.76951439790196</v>
      </c>
      <c r="K32" s="26">
        <f ca="1">753.9*OFFSET(K$108,MATCH($M$1,$C$109:$C$110,0),0)</f>
        <v>728.22215888290498</v>
      </c>
      <c r="L32" s="26">
        <f ca="1">710.4*OFFSET(L$108,MATCH($M$1,$C$109:$C$110,0),0)</f>
        <v>698.48657971366163</v>
      </c>
      <c r="M32" s="27">
        <f ca="1">656.2*OFFSET(M$108,MATCH($M$1,$C$109:$C$110,0),0)</f>
        <v>656.19999745056248</v>
      </c>
      <c r="N32" s="24">
        <f t="shared" ca="1" si="0"/>
        <v>0.4708140747138081</v>
      </c>
      <c r="O32" s="24">
        <f t="shared" ca="1" si="1"/>
        <v>0.33545564006922929</v>
      </c>
    </row>
    <row r="33" spans="1:15" s="19" customFormat="1" ht="18" customHeight="1" x14ac:dyDescent="0.2">
      <c r="A33" s="148"/>
      <c r="B33" s="45" t="s">
        <v>41</v>
      </c>
      <c r="C33" s="46"/>
      <c r="D33" s="47">
        <f ca="1">110*OFFSET(D$108,MATCH($M$1,$C$109:$C$110,0),0)</f>
        <v>89.480599198381327</v>
      </c>
      <c r="E33" s="47">
        <f ca="1">243.1*OFFSET(E$108,MATCH($M$1,$C$109:$C$110,0),0)</f>
        <v>203.06870754496862</v>
      </c>
      <c r="F33" s="47">
        <f ca="1">247.6*OFFSET(F$108,MATCH($M$1,$C$109:$C$110,0),0)</f>
        <v>212.76762649132749</v>
      </c>
      <c r="G33" s="47">
        <f ca="1">157.8*OFFSET(G$108,MATCH($M$1,$C$109:$C$110,0),0)</f>
        <v>139.53780785961976</v>
      </c>
      <c r="H33" s="47">
        <f ca="1">207.1*OFFSET(H$108,MATCH($M$1,$C$109:$C$110,0),0)</f>
        <v>186.7586409932</v>
      </c>
      <c r="I33" s="47">
        <f ca="1">275.4*OFFSET(I$108,MATCH($M$1,$C$109:$C$110,0),0)</f>
        <v>256.2294026631468</v>
      </c>
      <c r="J33" s="47">
        <f ca="1">309.7*OFFSET(J$108,MATCH($M$1,$C$109:$C$110,0),0)</f>
        <v>294.26454967741665</v>
      </c>
      <c r="K33" s="47">
        <f ca="1">225*OFFSET(K$108,MATCH($M$1,$C$109:$C$110,0),0)</f>
        <v>217.33649787591673</v>
      </c>
      <c r="L33" s="47">
        <f ca="1">189.4*OFFSET(L$108,MATCH($M$1,$C$109:$C$110,0),0)</f>
        <v>186.22375872433491</v>
      </c>
      <c r="M33" s="48">
        <f ca="1">189.2*OFFSET(M$108,MATCH($M$1,$C$109:$C$110,0),0)</f>
        <v>189.199999264929</v>
      </c>
      <c r="N33" s="49">
        <f t="shared" ca="1" si="0"/>
        <v>1.0811635191609628</v>
      </c>
      <c r="O33" s="49">
        <f t="shared" ca="1" si="1"/>
        <v>-2.8640295625441247E-3</v>
      </c>
    </row>
    <row r="34" spans="1:15" s="19" customFormat="1" ht="18" customHeight="1" x14ac:dyDescent="0.2">
      <c r="A34" s="148"/>
      <c r="B34" s="45" t="s">
        <v>42</v>
      </c>
      <c r="C34" s="46"/>
      <c r="D34" s="47">
        <f ca="1">-34.7*OFFSET(D$108,MATCH($M$1,$C$109:$C$110,0),0)</f>
        <v>-28.227061747125749</v>
      </c>
      <c r="E34" s="47">
        <f ca="1">112.3*OFFSET(E$108,MATCH($M$1,$C$109:$C$110,0),0)</f>
        <v>93.807551860551115</v>
      </c>
      <c r="F34" s="47">
        <f ca="1">106.9*OFFSET(F$108,MATCH($M$1,$C$109:$C$110,0),0)</f>
        <v>91.861305621659568</v>
      </c>
      <c r="G34" s="47">
        <f ca="1">-2.1*OFFSET(G$108,MATCH($M$1,$C$109:$C$110,0),0)</f>
        <v>-1.8569670247477914</v>
      </c>
      <c r="H34" s="47">
        <f ca="1">31.2*OFFSET(H$108,MATCH($M$1,$C$109:$C$110,0),0)</f>
        <v>28.135536450931145</v>
      </c>
      <c r="I34" s="47">
        <f ca="1">95.6*OFFSET(I$108,MATCH($M$1,$C$109:$C$110,0),0)</f>
        <v>88.945282841673333</v>
      </c>
      <c r="J34" s="47">
        <f ca="1">93.9*OFFSET(J$108,MATCH($M$1,$C$109:$C$110,0),0)</f>
        <v>89.22002329580053</v>
      </c>
      <c r="K34" s="47">
        <f ca="1">33.6*OFFSET(K$108,MATCH($M$1,$C$109:$C$110,0),0)</f>
        <v>32.455583682803564</v>
      </c>
      <c r="L34" s="47">
        <f ca="1">12.1*OFFSET(L$108,MATCH($M$1,$C$109:$C$110,0),0)</f>
        <v>11.897082790731005</v>
      </c>
      <c r="M34" s="48">
        <f ca="1">17.2*OFFSET(M$108,MATCH($M$1,$C$109:$C$110,0),0)</f>
        <v>17.199999933175363</v>
      </c>
      <c r="N34" s="49" t="str">
        <f t="shared" ca="1" si="0"/>
        <v>na</v>
      </c>
      <c r="O34" s="49">
        <f t="shared" ca="1" si="1"/>
        <v>-0.57715102352927516</v>
      </c>
    </row>
    <row r="35" spans="1:15" s="19" customFormat="1" ht="18" customHeight="1" x14ac:dyDescent="0.2">
      <c r="A35" s="148"/>
      <c r="B35" s="33" t="s">
        <v>43</v>
      </c>
      <c r="C35" s="25"/>
      <c r="D35" s="26">
        <f ca="1">5.7*OFFSET(D$108,MATCH($M$1,$C$109:$C$110,0),0)</f>
        <v>4.6367219584615782</v>
      </c>
      <c r="E35" s="26">
        <f ca="1">17.2*OFFSET(E$108,MATCH($M$1,$C$109:$C$110,0),0)</f>
        <v>14.367674906513615</v>
      </c>
      <c r="F35" s="26">
        <f ca="1">3*OFFSET(F$108,MATCH($M$1,$C$109:$C$110,0),0)</f>
        <v>2.5779599332551797</v>
      </c>
      <c r="G35" s="26">
        <f ca="1">2.8*OFFSET(G$108,MATCH($M$1,$C$109:$C$110,0),0)</f>
        <v>2.4759560329970549</v>
      </c>
      <c r="H35" s="26">
        <f ca="1">0.1*OFFSET(H$108,MATCH($M$1,$C$109:$C$110,0),0)</f>
        <v>9.0178001445292144E-2</v>
      </c>
      <c r="I35" s="26">
        <f ca="1">3.5*OFFSET(I$108,MATCH($M$1,$C$109:$C$110,0),0)</f>
        <v>3.2563649575926434</v>
      </c>
      <c r="J35" s="26">
        <f ca="1">4.9*OFFSET(J$108,MATCH($M$1,$C$109:$C$110,0),0)</f>
        <v>4.6557839632526372</v>
      </c>
      <c r="K35" s="26">
        <f ca="1">6.6*OFFSET(K$108,MATCH($M$1,$C$109:$C$110,0),0)</f>
        <v>6.3752039376935565</v>
      </c>
      <c r="L35" s="26">
        <f ca="1">6.2*OFFSET(L$108,MATCH($M$1,$C$109:$C$110,0),0)</f>
        <v>6.0960258927712596</v>
      </c>
      <c r="M35" s="27"/>
      <c r="N35" s="24">
        <f t="shared" ca="1" si="0"/>
        <v>0.31472750520366871</v>
      </c>
      <c r="O35" s="24">
        <f t="shared" ca="1" si="1"/>
        <v>66.599922321071915</v>
      </c>
    </row>
    <row r="36" spans="1:15" s="19" customFormat="1" ht="18" customHeight="1" x14ac:dyDescent="0.2">
      <c r="A36" s="148"/>
      <c r="B36" s="33" t="s">
        <v>44</v>
      </c>
      <c r="C36" s="25"/>
      <c r="D36" s="26"/>
      <c r="E36" s="26">
        <f ca="1">0.4*OFFSET(E$108,MATCH($M$1,$C$109:$C$110,0),0)</f>
        <v>0.33413197457008414</v>
      </c>
      <c r="F36" s="26">
        <f ca="1">2.7*OFFSET(F$108,MATCH($M$1,$C$109:$C$110,0),0)</f>
        <v>2.3201639399296616</v>
      </c>
      <c r="G36" s="26">
        <f ca="1">5*OFFSET(G$108,MATCH($M$1,$C$109:$C$110,0),0)</f>
        <v>4.4213500589233128</v>
      </c>
      <c r="H36" s="26">
        <f ca="1">1.9*OFFSET(H$108,MATCH($M$1,$C$109:$C$110,0),0)</f>
        <v>1.7133820274605505</v>
      </c>
      <c r="I36" s="26">
        <f ca="1">2*OFFSET(I$108,MATCH($M$1,$C$109:$C$110,0),0)</f>
        <v>1.8607799757672248</v>
      </c>
      <c r="J36" s="26">
        <f ca="1">1.8*OFFSET(J$108,MATCH($M$1,$C$109:$C$110,0),0)</f>
        <v>1.7102879865009686</v>
      </c>
      <c r="K36" s="26">
        <f ca="1">2.8*OFFSET(K$108,MATCH($M$1,$C$109:$C$110,0),0)</f>
        <v>2.7046319735669635</v>
      </c>
      <c r="L36" s="26">
        <f ca="1">2.7*OFFSET(L$108,MATCH($M$1,$C$109:$C$110,0),0)</f>
        <v>2.6547209533036131</v>
      </c>
      <c r="M36" s="27"/>
      <c r="N36" s="24" t="str">
        <f t="shared" ca="1" si="0"/>
        <v/>
      </c>
      <c r="O36" s="24">
        <f t="shared" ca="1" si="1"/>
        <v>0.54940399207889812</v>
      </c>
    </row>
    <row r="37" spans="1:15" s="19" customFormat="1" ht="18" customHeight="1" x14ac:dyDescent="0.2">
      <c r="A37" s="148"/>
      <c r="B37" s="33" t="s">
        <v>45</v>
      </c>
      <c r="C37" s="25"/>
      <c r="D37" s="26"/>
      <c r="E37" s="26"/>
      <c r="F37" s="26"/>
      <c r="G37" s="26"/>
      <c r="H37" s="26"/>
      <c r="I37" s="26">
        <f ca="1">18.8*OFFSET(I$108,MATCH($M$1,$C$109:$C$110,0),0)</f>
        <v>17.491331772211915</v>
      </c>
      <c r="J37" s="26">
        <f ca="1">0.7*OFFSET(J$108,MATCH($M$1,$C$109:$C$110,0),0)</f>
        <v>0.66511199475037663</v>
      </c>
      <c r="K37" s="26">
        <f ca="1">0.8*OFFSET(K$108,MATCH($M$1,$C$109:$C$110,0),0)</f>
        <v>0.77275199244770398</v>
      </c>
      <c r="L37" s="26">
        <f ca="1">1.5*OFFSET(L$108,MATCH($M$1,$C$109:$C$110,0),0)</f>
        <v>1.4748449740575627</v>
      </c>
      <c r="M37" s="27"/>
      <c r="N37" s="24" t="str">
        <f t="shared" ca="1" si="0"/>
        <v/>
      </c>
      <c r="O37" s="24" t="str">
        <f t="shared" ca="1" si="1"/>
        <v/>
      </c>
    </row>
    <row r="38" spans="1:15" s="19" customFormat="1" ht="18" customHeight="1" thickBot="1" x14ac:dyDescent="0.25">
      <c r="A38" s="149"/>
      <c r="B38" s="50" t="s">
        <v>46</v>
      </c>
      <c r="C38" s="51"/>
      <c r="D38" s="52">
        <f ca="1">-40.3*OFFSET(D$108,MATCH($M$1,$C$109:$C$110,0),0)</f>
        <v>-32.782437706316067</v>
      </c>
      <c r="E38" s="52">
        <f ca="1">94.8*OFFSET(E$108,MATCH($M$1,$C$109:$C$110,0),0)</f>
        <v>79.189277973109924</v>
      </c>
      <c r="F38" s="52">
        <f ca="1">101.2*OFFSET(F$108,MATCH($M$1,$C$109:$C$110,0),0)</f>
        <v>86.963181748474724</v>
      </c>
      <c r="G38" s="52">
        <f ca="1">-9.8*OFFSET(G$108,MATCH($M$1,$C$109:$C$110,0),0)</f>
        <v>-8.6658461154896944</v>
      </c>
      <c r="H38" s="52">
        <f ca="1">29.3*OFFSET(H$108,MATCH($M$1,$C$109:$C$110,0),0)</f>
        <v>26.422154423470595</v>
      </c>
      <c r="I38" s="52">
        <f ca="1">71.2*OFFSET(I$108,MATCH($M$1,$C$109:$C$110,0),0)</f>
        <v>66.243767137313199</v>
      </c>
      <c r="J38" s="52">
        <f ca="1">86.6*OFFSET(J$108,MATCH($M$1,$C$109:$C$110,0),0)</f>
        <v>82.283855350546588</v>
      </c>
      <c r="K38" s="52">
        <f ca="1">23.4*OFFSET(K$108,MATCH($M$1,$C$109:$C$110,0),0)</f>
        <v>22.602995779095338</v>
      </c>
      <c r="L38" s="52">
        <f ca="1">1.6*OFFSET(L$108,MATCH($M$1,$C$109:$C$110,0),0)</f>
        <v>1.5731679723280669</v>
      </c>
      <c r="M38" s="53"/>
      <c r="N38" s="54" t="str">
        <f t="shared" ca="1" si="0"/>
        <v>na</v>
      </c>
      <c r="O38" s="54">
        <f t="shared" ca="1" si="1"/>
        <v>-0.94046026879130507</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South West beamers over 250kW</v>
      </c>
      <c r="C45" s="61"/>
      <c r="D45" s="61"/>
      <c r="E45" s="61"/>
      <c r="F45" s="61" t="str">
        <f>$B21&amp;CHAR(10)&amp;$A$1</f>
        <v>Income per kW day at sea (£)
South West beamers over 250kW</v>
      </c>
      <c r="G45" s="61"/>
      <c r="K45" s="61" t="str">
        <f>$B23&amp;CHAR(10)&amp;$A$1</f>
        <v>Operating profit per kW day at sea (£)
South West beamers over 250kW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South West beamers over 250kW</v>
      </c>
      <c r="F59" s="61" t="str">
        <f>$B19&amp;CHAR(10)&amp;$A$1</f>
        <v>Average price per tonne landed (£)
South West beamers over 250kW</v>
      </c>
      <c r="K59" s="61" t="str">
        <f>"Average annual operating profit per vessel (£'000)"&amp;CHAR(10)&amp;$A$1</f>
        <v>Average annual operating profit per vessel (£'000)
South West beamers over 250kW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South West beamers over 250kW</v>
      </c>
      <c r="F73" s="61" t="str">
        <f>"Top 5 landed species by value in "&amp;A74&amp;CHAR(10)&amp;A1</f>
        <v>Top 5 landed species by value in 2013
South West beamers over 250kW</v>
      </c>
    </row>
    <row r="74" spans="1:9" s="61" customFormat="1" x14ac:dyDescent="0.2">
      <c r="A74" s="61">
        <v>2013</v>
      </c>
      <c r="B74" s="61" t="s">
        <v>390</v>
      </c>
      <c r="C74" s="62">
        <v>0.22913995119040989</v>
      </c>
      <c r="D74" s="63">
        <v>8211234</v>
      </c>
      <c r="G74" s="61" t="s">
        <v>391</v>
      </c>
      <c r="H74" s="62">
        <v>0.28093808931465047</v>
      </c>
      <c r="I74" s="63">
        <v>8211234</v>
      </c>
    </row>
    <row r="75" spans="1:9" s="61" customFormat="1" x14ac:dyDescent="0.2">
      <c r="B75" s="61" t="s">
        <v>392</v>
      </c>
      <c r="C75" s="62">
        <v>0.19125849402752243</v>
      </c>
      <c r="D75" s="63">
        <v>2783840</v>
      </c>
      <c r="G75" s="61" t="s">
        <v>393</v>
      </c>
      <c r="H75" s="62">
        <v>0.17245179385597612</v>
      </c>
      <c r="I75" s="63">
        <v>2171775</v>
      </c>
    </row>
    <row r="76" spans="1:9" s="61" customFormat="1" x14ac:dyDescent="0.2">
      <c r="B76" s="61" t="s">
        <v>394</v>
      </c>
      <c r="C76" s="62">
        <v>0.1482369976763788</v>
      </c>
      <c r="D76" s="63">
        <v>6763595</v>
      </c>
      <c r="G76" s="61" t="s">
        <v>395</v>
      </c>
      <c r="H76" s="62">
        <v>0.13813751988065939</v>
      </c>
      <c r="I76" s="63">
        <v>2783840</v>
      </c>
    </row>
    <row r="77" spans="1:9" s="61" customFormat="1" x14ac:dyDescent="0.2">
      <c r="B77" s="61" t="s">
        <v>396</v>
      </c>
      <c r="C77" s="62">
        <v>7.036273261110769E-2</v>
      </c>
      <c r="D77" s="63">
        <v>3511670</v>
      </c>
      <c r="G77" s="61" t="s">
        <v>397</v>
      </c>
      <c r="H77" s="62">
        <v>0.11417901786709722</v>
      </c>
      <c r="I77" s="63">
        <v>6763595</v>
      </c>
    </row>
    <row r="78" spans="1:9" s="61" customFormat="1" x14ac:dyDescent="0.2">
      <c r="B78" s="61" t="s">
        <v>398</v>
      </c>
      <c r="C78" s="62">
        <v>6.1867952592001348E-2</v>
      </c>
      <c r="D78" s="63">
        <v>1464488</v>
      </c>
      <c r="G78" s="61" t="s">
        <v>399</v>
      </c>
      <c r="H78" s="62">
        <v>4.3275087098397884E-2</v>
      </c>
      <c r="I78" s="63">
        <v>2764187</v>
      </c>
    </row>
    <row r="79" spans="1:9" s="61" customFormat="1" x14ac:dyDescent="0.2">
      <c r="B79" s="61" t="s">
        <v>400</v>
      </c>
      <c r="C79" s="62">
        <v>0.29913387190257978</v>
      </c>
      <c r="D79" s="63">
        <v>32768</v>
      </c>
      <c r="G79" s="61" t="s">
        <v>401</v>
      </c>
      <c r="H79" s="62">
        <v>0.25101849198321891</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82</v>
      </c>
      <c r="D88" s="66">
        <v>0.17948767101205224</v>
      </c>
      <c r="E88" s="66">
        <v>0.20377066447977576</v>
      </c>
      <c r="F88" s="66">
        <v>0.24649764406232838</v>
      </c>
      <c r="G88" s="66">
        <v>0.24208936371043943</v>
      </c>
      <c r="H88" s="66">
        <v>0.28061430667015996</v>
      </c>
      <c r="I88" s="66">
        <v>0.30043004487269315</v>
      </c>
      <c r="J88" s="66">
        <v>0.27827634020230424</v>
      </c>
      <c r="K88" s="66">
        <v>0.25211459265480896</v>
      </c>
      <c r="L88" s="66">
        <v>0.28572977001372657</v>
      </c>
      <c r="M88" s="66">
        <v>0.27817872940463245</v>
      </c>
      <c r="N88" s="61"/>
      <c r="O88" s="61">
        <v>8211234</v>
      </c>
    </row>
    <row r="89" spans="1:15" s="65" customFormat="1" hidden="1" x14ac:dyDescent="0.2">
      <c r="A89" s="61"/>
      <c r="B89" s="61">
        <v>2</v>
      </c>
      <c r="C89" s="61" t="s">
        <v>84</v>
      </c>
      <c r="D89" s="66">
        <v>0.24274008226390192</v>
      </c>
      <c r="E89" s="66">
        <v>0.22662137804839078</v>
      </c>
      <c r="F89" s="66">
        <v>0.22478287005771111</v>
      </c>
      <c r="G89" s="66">
        <v>0.22402460425881168</v>
      </c>
      <c r="H89" s="66">
        <v>0.19189284382271343</v>
      </c>
      <c r="I89" s="66">
        <v>0.16260822011993953</v>
      </c>
      <c r="J89" s="66">
        <v>0.15269398362721961</v>
      </c>
      <c r="K89" s="66">
        <v>0.15743112537599177</v>
      </c>
      <c r="L89" s="66">
        <v>0.17539313204958515</v>
      </c>
      <c r="M89" s="66">
        <v>0.17262110693447819</v>
      </c>
      <c r="N89" s="61"/>
      <c r="O89" s="61">
        <v>2171775</v>
      </c>
    </row>
    <row r="90" spans="1:15" s="65" customFormat="1" hidden="1" x14ac:dyDescent="0.2">
      <c r="A90" s="61"/>
      <c r="B90" s="61">
        <v>3</v>
      </c>
      <c r="C90" s="61" t="s">
        <v>133</v>
      </c>
      <c r="D90" s="66">
        <v>9.4904613481326561E-2</v>
      </c>
      <c r="E90" s="66">
        <v>0.14780092386042135</v>
      </c>
      <c r="F90" s="66">
        <v>0.14186773008805792</v>
      </c>
      <c r="G90" s="66">
        <v>0.16005409173135907</v>
      </c>
      <c r="H90" s="66">
        <v>0.11697308135559345</v>
      </c>
      <c r="I90" s="66">
        <v>0.18899282531826272</v>
      </c>
      <c r="J90" s="66">
        <v>0.21608280066914259</v>
      </c>
      <c r="K90" s="66">
        <v>0.23275007320067098</v>
      </c>
      <c r="L90" s="66">
        <v>0.14049359373823109</v>
      </c>
      <c r="M90" s="66">
        <v>0.11959200571248335</v>
      </c>
      <c r="N90" s="61"/>
      <c r="O90" s="61">
        <v>2783840</v>
      </c>
    </row>
    <row r="91" spans="1:15" s="65" customFormat="1" hidden="1" x14ac:dyDescent="0.2">
      <c r="A91" s="61"/>
      <c r="B91" s="61">
        <v>4</v>
      </c>
      <c r="C91" s="61" t="s">
        <v>115</v>
      </c>
      <c r="D91" s="66">
        <v>0.16126145353544638</v>
      </c>
      <c r="E91" s="66">
        <v>0.11993003553836072</v>
      </c>
      <c r="F91" s="66">
        <v>9.2281337832606378E-2</v>
      </c>
      <c r="G91" s="66">
        <v>8.0026884216759561E-2</v>
      </c>
      <c r="H91" s="66">
        <v>0.11961971616031798</v>
      </c>
      <c r="I91" s="66">
        <v>0.10157778925417786</v>
      </c>
      <c r="J91" s="66">
        <v>9.3697426845349902E-2</v>
      </c>
      <c r="K91" s="66">
        <v>8.0144487000469361E-2</v>
      </c>
      <c r="L91" s="66">
        <v>0.11612645545908735</v>
      </c>
      <c r="M91" s="66">
        <v>0.12858490668669184</v>
      </c>
      <c r="N91" s="61"/>
      <c r="O91" s="61">
        <v>6763595</v>
      </c>
    </row>
    <row r="92" spans="1:15" s="65" customFormat="1" hidden="1" x14ac:dyDescent="0.2">
      <c r="A92" s="61"/>
      <c r="B92" s="61">
        <v>5</v>
      </c>
      <c r="C92" s="61" t="s">
        <v>132</v>
      </c>
      <c r="D92" s="66">
        <v>6.1344125536923484E-2</v>
      </c>
      <c r="E92" s="66">
        <v>5.2550987825735453E-2</v>
      </c>
      <c r="F92" s="66">
        <v>5.2978031311324732E-2</v>
      </c>
      <c r="G92" s="66">
        <v>4.3240909049482183E-2</v>
      </c>
      <c r="H92" s="66">
        <v>4.7186430912685449E-2</v>
      </c>
      <c r="I92" s="66">
        <v>4.3542875815902993E-2</v>
      </c>
      <c r="J92" s="66">
        <v>4.0342734027852718E-2</v>
      </c>
      <c r="K92" s="66"/>
      <c r="L92" s="66">
        <v>4.4013187083722365E-2</v>
      </c>
      <c r="M92" s="66">
        <v>5.1826406234433721E-2</v>
      </c>
      <c r="N92" s="61"/>
      <c r="O92" s="61">
        <v>2764187</v>
      </c>
    </row>
    <row r="93" spans="1:15" s="65" customFormat="1" hidden="1" x14ac:dyDescent="0.2">
      <c r="A93" s="61"/>
      <c r="B93" s="61">
        <v>6</v>
      </c>
      <c r="C93" s="61" t="s">
        <v>59</v>
      </c>
      <c r="D93" s="66"/>
      <c r="E93" s="66"/>
      <c r="F93" s="66"/>
      <c r="G93" s="66"/>
      <c r="H93" s="66"/>
      <c r="I93" s="66"/>
      <c r="J93" s="66"/>
      <c r="K93" s="66">
        <v>4.5414425965453004E-2</v>
      </c>
      <c r="L93" s="66"/>
      <c r="M93" s="66"/>
      <c r="N93" s="61"/>
      <c r="O93" s="61">
        <v>3511670</v>
      </c>
    </row>
    <row r="94" spans="1:15" s="65" customFormat="1" hidden="1" x14ac:dyDescent="0.2">
      <c r="A94" s="61"/>
      <c r="B94" s="61">
        <v>7</v>
      </c>
      <c r="C94" s="61" t="s">
        <v>68</v>
      </c>
      <c r="D94" s="66">
        <v>0.26026205417034942</v>
      </c>
      <c r="E94" s="66">
        <v>0.24932601024731596</v>
      </c>
      <c r="F94" s="66">
        <v>0.24159238664797147</v>
      </c>
      <c r="G94" s="66">
        <v>0.25056414703314805</v>
      </c>
      <c r="H94" s="66">
        <v>0.2437136210785297</v>
      </c>
      <c r="I94" s="66">
        <v>0.20284824461902376</v>
      </c>
      <c r="J94" s="66">
        <v>0.21890671462813094</v>
      </c>
      <c r="K94" s="66">
        <v>0.23214529580260593</v>
      </c>
      <c r="L94" s="66">
        <v>0.23824386165564748</v>
      </c>
      <c r="M94" s="66">
        <v>0.24919684502728043</v>
      </c>
      <c r="N94" s="61"/>
      <c r="O94" s="61">
        <v>32768</v>
      </c>
    </row>
    <row r="95" spans="1:15" s="65" customFormat="1" hidden="1" x14ac:dyDescent="0.2">
      <c r="A95" s="61"/>
      <c r="B95" s="61">
        <v>8</v>
      </c>
      <c r="C95" s="61"/>
      <c r="D95" s="66"/>
      <c r="E95" s="66"/>
      <c r="F95" s="66"/>
      <c r="G95" s="66"/>
      <c r="H95" s="66"/>
      <c r="I95" s="66"/>
      <c r="J95" s="66"/>
      <c r="K95" s="66"/>
      <c r="L95" s="66"/>
      <c r="M95" s="66"/>
      <c r="N95" s="61"/>
      <c r="O95" s="61">
        <v>8274269</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8</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'South West beamers o250kW'!D3:L3</xm:f>
              <xm:sqref>C3</xm:sqref>
            </x14:sparkline>
            <x14:sparkline>
              <xm:f>'South West beamers o250kW'!D4:L4</xm:f>
              <xm:sqref>C4</xm:sqref>
            </x14:sparkline>
            <x14:sparkline>
              <xm:f>'South West beamers o250kW'!D5:L5</xm:f>
              <xm:sqref>C5</xm:sqref>
            </x14:sparkline>
            <x14:sparkline>
              <xm:f>'South West beamers o250kW'!D6:L6</xm:f>
              <xm:sqref>C6</xm:sqref>
            </x14:sparkline>
            <x14:sparkline>
              <xm:f>'South West beamers o250kW'!D7:L7</xm:f>
              <xm:sqref>C7</xm:sqref>
            </x14:sparkline>
            <x14:sparkline>
              <xm:f>'South West beamers o250kW'!D8:L8</xm:f>
              <xm:sqref>C8</xm:sqref>
            </x14:sparkline>
            <x14:sparkline>
              <xm:f>'South West beamers o250kW'!D9:L9</xm:f>
              <xm:sqref>C9</xm:sqref>
            </x14:sparkline>
            <x14:sparkline>
              <xm:f>'South West beamers o250kW'!D10:L10</xm:f>
              <xm:sqref>C10</xm:sqref>
            </x14:sparkline>
            <x14:sparkline>
              <xm:f>'South West beamers o250kW'!D11:L11</xm:f>
              <xm:sqref>C11</xm:sqref>
            </x14:sparkline>
            <x14:sparkline>
              <xm:f>'South West beamers o250kW'!D12:L12</xm:f>
              <xm:sqref>C12</xm:sqref>
            </x14:sparkline>
            <x14:sparkline>
              <xm:f>'South West beamers o250kW'!D13:L13</xm:f>
              <xm:sqref>C13</xm:sqref>
            </x14:sparkline>
            <x14:sparkline>
              <xm:f>'South West beamers o250kW'!D14:L14</xm:f>
              <xm:sqref>C14</xm:sqref>
            </x14:sparkline>
            <x14:sparkline>
              <xm:f>'South West beamers o250kW'!D15:L15</xm:f>
              <xm:sqref>C15</xm:sqref>
            </x14:sparkline>
            <x14:sparkline>
              <xm:f>'South West beamers o250kW'!D16:L16</xm:f>
              <xm:sqref>C16</xm:sqref>
            </x14:sparkline>
            <x14:sparkline>
              <xm:f>'South West beamers o250kW'!D17:L17</xm:f>
              <xm:sqref>C17</xm:sqref>
            </x14:sparkline>
            <x14:sparkline>
              <xm:f>'South West beamers o250kW'!D18:L18</xm:f>
              <xm:sqref>C18</xm:sqref>
            </x14:sparkline>
            <x14:sparkline>
              <xm:f>'South West beamers o250kW'!D19:L19</xm:f>
              <xm:sqref>C19</xm:sqref>
            </x14:sparkline>
            <x14:sparkline>
              <xm:f>'South West beamers o250kW'!D20:L20</xm:f>
              <xm:sqref>C20</xm:sqref>
            </x14:sparkline>
            <x14:sparkline>
              <xm:f>'South West beamers o250kW'!D21:L21</xm:f>
              <xm:sqref>C21</xm:sqref>
            </x14:sparkline>
            <x14:sparkline>
              <xm:f>'South West beamers o250kW'!D22:L22</xm:f>
              <xm:sqref>C22</xm:sqref>
            </x14:sparkline>
            <x14:sparkline>
              <xm:f>'South West beamers o250kW'!D23:L23</xm:f>
              <xm:sqref>C23</xm:sqref>
            </x14:sparkline>
            <x14:sparkline>
              <xm:f>'South West beamers o250kW'!D24:L24</xm:f>
              <xm:sqref>C24</xm:sqref>
            </x14:sparkline>
            <x14:sparkline>
              <xm:f>'South West beamers o250kW'!D25:L25</xm:f>
              <xm:sqref>C25</xm:sqref>
            </x14:sparkline>
            <x14:sparkline>
              <xm:f>'South West beamers o250kW'!D26:L26</xm:f>
              <xm:sqref>C26</xm:sqref>
            </x14:sparkline>
            <x14:sparkline>
              <xm:f>'South West beamers o250kW'!D27:L27</xm:f>
              <xm:sqref>C27</xm:sqref>
            </x14:sparkline>
            <x14:sparkline>
              <xm:f>'South West beamers o250kW'!D28:L28</xm:f>
              <xm:sqref>C28</xm:sqref>
            </x14:sparkline>
            <x14:sparkline>
              <xm:f>'South West beamers o250kW'!D29:L29</xm:f>
              <xm:sqref>C29</xm:sqref>
            </x14:sparkline>
            <x14:sparkline>
              <xm:f>'South West beamers o250kW'!D30:L30</xm:f>
              <xm:sqref>C30</xm:sqref>
            </x14:sparkline>
            <x14:sparkline>
              <xm:f>'South West beamers o250kW'!D31:L31</xm:f>
              <xm:sqref>C31</xm:sqref>
            </x14:sparkline>
            <x14:sparkline>
              <xm:f>'South West beamers o250kW'!D32:L32</xm:f>
              <xm:sqref>C32</xm:sqref>
            </x14:sparkline>
            <x14:sparkline>
              <xm:f>'South West beamers o250kW'!D33:L33</xm:f>
              <xm:sqref>C33</xm:sqref>
            </x14:sparkline>
            <x14:sparkline>
              <xm:f>'South West beamers o250kW'!D34:L34</xm:f>
              <xm:sqref>C34</xm:sqref>
            </x14:sparkline>
            <x14:sparkline>
              <xm:f>'South West beamers o250kW'!D35:L35</xm:f>
              <xm:sqref>C35</xm:sqref>
            </x14:sparkline>
            <x14:sparkline>
              <xm:f>'South West beamers o250kW'!D36:L36</xm:f>
              <xm:sqref>C36</xm:sqref>
            </x14:sparkline>
            <x14:sparkline>
              <xm:f>'South West beamers o250kW'!D37:L37</xm:f>
              <xm:sqref>C37</xm:sqref>
            </x14:sparkline>
            <x14:sparkline>
              <xm:f>'South West beamers o250kW'!D38:L38</xm:f>
              <xm:sqref>C38</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O300"/>
  <sheetViews>
    <sheetView topLeftCell="A6" zoomScale="90" zoomScaleNormal="90" zoomScalePageLayoutView="75" workbookViewId="0">
      <selection activeCell="D3" sqref="D3:O38"/>
    </sheetView>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402</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16</v>
      </c>
      <c r="E3" s="16">
        <v>16</v>
      </c>
      <c r="F3" s="16">
        <v>19</v>
      </c>
      <c r="G3" s="16">
        <v>22</v>
      </c>
      <c r="H3" s="16">
        <v>22</v>
      </c>
      <c r="I3" s="16">
        <v>19</v>
      </c>
      <c r="J3" s="16">
        <v>23</v>
      </c>
      <c r="K3" s="16">
        <v>26</v>
      </c>
      <c r="L3" s="16">
        <v>25</v>
      </c>
      <c r="M3" s="17">
        <v>24</v>
      </c>
      <c r="N3" s="18">
        <f t="shared" ref="N3:N38" si="0">IF(L3=0,"",IFERROR(IF(AND(L3&gt;0,D3&lt;0),"na",IF(AND(L3&lt;0,D3&lt;0),-1,1)*(L3-D3)/D3),""))</f>
        <v>0.5625</v>
      </c>
      <c r="O3" s="18">
        <f t="shared" ref="O3:O38" si="1">IF(L3=0,"",IFERROR(IF(AND(L3&gt;0,H3&lt;0),"na",IF(AND(L3&lt;0,H3&lt;0),-1,1)*(L3-H3)/H3),""))</f>
        <v>0.13636363636363635</v>
      </c>
    </row>
    <row r="4" spans="1:15" s="19" customFormat="1" ht="18" customHeight="1" x14ac:dyDescent="0.2">
      <c r="A4" s="141"/>
      <c r="B4" s="20" t="s">
        <v>20</v>
      </c>
      <c r="C4" s="21"/>
      <c r="D4" s="22">
        <v>3475</v>
      </c>
      <c r="E4" s="22">
        <v>3404</v>
      </c>
      <c r="F4" s="22">
        <v>3986</v>
      </c>
      <c r="G4" s="22">
        <v>4642</v>
      </c>
      <c r="H4" s="22">
        <v>4641</v>
      </c>
      <c r="I4" s="22">
        <v>4052</v>
      </c>
      <c r="J4" s="22">
        <v>5012</v>
      </c>
      <c r="K4" s="22">
        <v>5612</v>
      </c>
      <c r="L4" s="22">
        <v>5407</v>
      </c>
      <c r="M4" s="23">
        <v>5206</v>
      </c>
      <c r="N4" s="24">
        <f t="shared" si="0"/>
        <v>0.55597122302158275</v>
      </c>
      <c r="O4" s="24">
        <f t="shared" si="1"/>
        <v>0.16505063563887093</v>
      </c>
    </row>
    <row r="5" spans="1:15" s="19" customFormat="1" ht="18" customHeight="1" x14ac:dyDescent="0.2">
      <c r="A5" s="141"/>
      <c r="B5" s="20" t="s">
        <v>21</v>
      </c>
      <c r="C5" s="21"/>
      <c r="D5" s="22">
        <v>1505.25</v>
      </c>
      <c r="E5" s="22">
        <v>1370.5999755859375</v>
      </c>
      <c r="F5" s="22">
        <v>1639.4200439453125</v>
      </c>
      <c r="G5" s="22">
        <v>1891.5799560546875</v>
      </c>
      <c r="H5" s="22">
        <v>1908.22998046875</v>
      </c>
      <c r="I5" s="22">
        <v>1817.5699462890625</v>
      </c>
      <c r="J5" s="22">
        <v>2472.330078125</v>
      </c>
      <c r="K5" s="22">
        <v>2634.10009765625</v>
      </c>
      <c r="L5" s="22">
        <v>2596.030029296875</v>
      </c>
      <c r="M5" s="23">
        <v>2693.260009765625</v>
      </c>
      <c r="N5" s="24">
        <f t="shared" si="0"/>
        <v>0.72465040976374362</v>
      </c>
      <c r="O5" s="24">
        <f t="shared" si="1"/>
        <v>0.36043876045756779</v>
      </c>
    </row>
    <row r="6" spans="1:15" s="19" customFormat="1" ht="18" customHeight="1" x14ac:dyDescent="0.2">
      <c r="A6" s="141"/>
      <c r="B6" s="20" t="s">
        <v>22</v>
      </c>
      <c r="C6" s="21"/>
      <c r="D6" s="22">
        <v>3601.759033203125</v>
      </c>
      <c r="E6" s="22">
        <v>3477.394775390625</v>
      </c>
      <c r="F6" s="22">
        <v>3581.31591796875</v>
      </c>
      <c r="G6" s="22">
        <v>4741.6845703125</v>
      </c>
      <c r="H6" s="22">
        <v>4757.3291015625</v>
      </c>
      <c r="I6" s="22">
        <v>4264.74365234375</v>
      </c>
      <c r="J6" s="22">
        <v>5435.47607421875</v>
      </c>
      <c r="K6" s="22">
        <v>5937.14697265625</v>
      </c>
      <c r="L6" s="22">
        <v>5792.796875</v>
      </c>
      <c r="M6" s="23">
        <v>5717.6640625</v>
      </c>
      <c r="N6" s="24">
        <f t="shared" si="0"/>
        <v>0.60832438305800152</v>
      </c>
      <c r="O6" s="24">
        <f t="shared" si="1"/>
        <v>0.21765737692971679</v>
      </c>
    </row>
    <row r="7" spans="1:15" s="19" customFormat="1" ht="18" customHeight="1" x14ac:dyDescent="0.2">
      <c r="A7" s="141"/>
      <c r="B7" s="20" t="s">
        <v>23</v>
      </c>
      <c r="C7" s="21"/>
      <c r="D7" s="22">
        <v>1714.802001953125</v>
      </c>
      <c r="E7" s="22">
        <v>2384.634521484375</v>
      </c>
      <c r="F7" s="22">
        <v>2364.076904296875</v>
      </c>
      <c r="G7" s="22">
        <v>2890.228515625</v>
      </c>
      <c r="H7" s="22">
        <v>2940.522216796875</v>
      </c>
      <c r="I7" s="22">
        <v>3445.454833984375</v>
      </c>
      <c r="J7" s="22">
        <v>4081.284912109375</v>
      </c>
      <c r="K7" s="22">
        <v>6006.7744140625</v>
      </c>
      <c r="L7" s="22">
        <v>5867.4892578125</v>
      </c>
      <c r="M7" s="23">
        <v>5138.08447265625</v>
      </c>
      <c r="N7" s="24">
        <f t="shared" si="0"/>
        <v>2.4216715697378168</v>
      </c>
      <c r="O7" s="24">
        <f t="shared" si="1"/>
        <v>0.99539021480476497</v>
      </c>
    </row>
    <row r="8" spans="1:15" s="19" customFormat="1" ht="18" customHeight="1" x14ac:dyDescent="0.2">
      <c r="A8" s="141"/>
      <c r="B8" s="20" t="s">
        <v>24</v>
      </c>
      <c r="C8" s="25"/>
      <c r="D8" s="26">
        <f ca="1">6.9629655*OFFSET(D$108,MATCH($M$1,$C$109:$C$110,0),0)</f>
        <v>5.6640938648877892</v>
      </c>
      <c r="E8" s="26">
        <f ca="1">7.1943415*OFFSET(E$108,MATCH($M$1,$C$109:$C$110,0),0)</f>
        <v>6.0096488278162523</v>
      </c>
      <c r="F8" s="26">
        <f ca="1">7.4823045*OFFSET(F$108,MATCH($M$1,$C$109:$C$110,0),0)</f>
        <v>6.4296937364716431</v>
      </c>
      <c r="G8" s="26">
        <f ca="1">9.044121*OFFSET(G$108,MATCH($M$1,$C$109:$C$110,0),0)</f>
        <v>7.9974449832519152</v>
      </c>
      <c r="H8" s="26">
        <f ca="1">9.009129*OFFSET(H$108,MATCH($M$1,$C$109:$C$110,0),0)</f>
        <v>8.1242524798282325</v>
      </c>
      <c r="I8" s="26">
        <f ca="1">10.504181*OFFSET(I$108,MATCH($M$1,$C$109:$C$110,0),0)</f>
        <v>9.7729848333172722</v>
      </c>
      <c r="J8" s="26">
        <f ca="1">13.503449*OFFSET(J$108,MATCH($M$1,$C$109:$C$110,0),0)</f>
        <v>12.830437000571399</v>
      </c>
      <c r="K8" s="26">
        <f ca="1">16.213043*OFFSET(K$108,MATCH($M$1,$C$109:$C$110,0),0)</f>
        <v>15.660826602362873</v>
      </c>
      <c r="L8" s="26">
        <f ca="1">15.059531*OFFSET(L$108,MATCH($M$1,$C$109:$C$110,0),0)</f>
        <v>14.80698240467604</v>
      </c>
      <c r="M8" s="27">
        <f ca="1">13.545501*OFFSET(M$108,MATCH($M$1,$C$109:$C$110,0),0)</f>
        <v>13.545500947373654</v>
      </c>
      <c r="N8" s="24">
        <f t="shared" ca="1" si="0"/>
        <v>1.6141837967173907</v>
      </c>
      <c r="O8" s="24">
        <f t="shared" ca="1" si="1"/>
        <v>0.8225655149738893</v>
      </c>
    </row>
    <row r="9" spans="1:15" s="19" customFormat="1" ht="18" customHeight="1" x14ac:dyDescent="0.2">
      <c r="A9" s="141"/>
      <c r="B9" s="20" t="s">
        <v>25</v>
      </c>
      <c r="C9" s="25"/>
      <c r="D9" s="22">
        <v>3667</v>
      </c>
      <c r="E9" s="22">
        <v>3630</v>
      </c>
      <c r="F9" s="22">
        <v>4053.89990234375</v>
      </c>
      <c r="G9" s="22">
        <v>4937.10009765625</v>
      </c>
      <c r="H9" s="22">
        <v>4836</v>
      </c>
      <c r="I9" s="22">
        <v>4664</v>
      </c>
      <c r="J9" s="22">
        <v>4942</v>
      </c>
      <c r="K9" s="22">
        <v>6404</v>
      </c>
      <c r="L9" s="22">
        <v>6206</v>
      </c>
      <c r="M9" s="23">
        <v>5608</v>
      </c>
      <c r="N9" s="24">
        <f t="shared" si="0"/>
        <v>0.69239160076356698</v>
      </c>
      <c r="O9" s="24">
        <f t="shared" si="1"/>
        <v>0.28329197684036395</v>
      </c>
    </row>
    <row r="10" spans="1:15" s="19" customFormat="1" ht="18" customHeight="1" x14ac:dyDescent="0.2">
      <c r="A10" s="142" t="s">
        <v>7</v>
      </c>
      <c r="B10" s="28" t="s">
        <v>26</v>
      </c>
      <c r="C10" s="29"/>
      <c r="D10" s="30">
        <v>21.682500839233398</v>
      </c>
      <c r="E10" s="30">
        <v>20.003749847412109</v>
      </c>
      <c r="F10" s="30">
        <v>19.748420715332031</v>
      </c>
      <c r="G10" s="30">
        <v>19.563180923461914</v>
      </c>
      <c r="H10" s="30">
        <v>19.65772819519043</v>
      </c>
      <c r="I10" s="30">
        <v>20.610000610351562</v>
      </c>
      <c r="J10" s="30">
        <v>21.653913497924805</v>
      </c>
      <c r="K10" s="30">
        <v>20.741153717041016</v>
      </c>
      <c r="L10" s="30">
        <v>21.013200759887695</v>
      </c>
      <c r="M10" s="31">
        <v>21.666666030883789</v>
      </c>
      <c r="N10" s="32">
        <f t="shared" si="0"/>
        <v>-3.0868214156119768E-2</v>
      </c>
      <c r="O10" s="32">
        <f t="shared" si="1"/>
        <v>6.895367314260166E-2</v>
      </c>
    </row>
    <row r="11" spans="1:15" s="19" customFormat="1" ht="18" customHeight="1" x14ac:dyDescent="0.2">
      <c r="A11" s="143"/>
      <c r="B11" s="33" t="s">
        <v>20</v>
      </c>
      <c r="C11" s="21"/>
      <c r="D11" s="22">
        <v>217.1875</v>
      </c>
      <c r="E11" s="22">
        <v>212.75</v>
      </c>
      <c r="F11" s="22">
        <v>209.78947448730469</v>
      </c>
      <c r="G11" s="22">
        <v>211</v>
      </c>
      <c r="H11" s="22">
        <v>210.95454406738281</v>
      </c>
      <c r="I11" s="22">
        <v>213.26315307617187</v>
      </c>
      <c r="J11" s="22">
        <v>217.91304016113281</v>
      </c>
      <c r="K11" s="22">
        <v>215.84616088867187</v>
      </c>
      <c r="L11" s="22">
        <v>216.27999877929687</v>
      </c>
      <c r="M11" s="23">
        <v>216.91667175292969</v>
      </c>
      <c r="N11" s="24">
        <f t="shared" si="0"/>
        <v>-4.1784228866906473E-3</v>
      </c>
      <c r="O11" s="24">
        <f t="shared" si="1"/>
        <v>2.524456031728339E-2</v>
      </c>
    </row>
    <row r="12" spans="1:15" s="19" customFormat="1" ht="18" customHeight="1" x14ac:dyDescent="0.2">
      <c r="A12" s="143"/>
      <c r="B12" s="33" t="s">
        <v>21</v>
      </c>
      <c r="C12" s="21"/>
      <c r="D12" s="22">
        <v>94.078125</v>
      </c>
      <c r="E12" s="22">
        <v>85.662498474121094</v>
      </c>
      <c r="F12" s="22">
        <v>86.285263061523438</v>
      </c>
      <c r="G12" s="22">
        <v>85.980911254882813</v>
      </c>
      <c r="H12" s="22">
        <v>86.737724304199219</v>
      </c>
      <c r="I12" s="22">
        <v>95.661575317382813</v>
      </c>
      <c r="J12" s="22">
        <v>107.49260711669922</v>
      </c>
      <c r="K12" s="22">
        <v>101.31153869628906</v>
      </c>
      <c r="L12" s="22">
        <v>103.84120178222656</v>
      </c>
      <c r="M12" s="23">
        <v>112.21916961669922</v>
      </c>
      <c r="N12" s="24">
        <f t="shared" si="0"/>
        <v>0.10377626873650557</v>
      </c>
      <c r="O12" s="24">
        <f t="shared" si="1"/>
        <v>0.19718614495860501</v>
      </c>
    </row>
    <row r="13" spans="1:15" s="19" customFormat="1" ht="18" customHeight="1" x14ac:dyDescent="0.2">
      <c r="A13" s="143"/>
      <c r="B13" s="33" t="s">
        <v>22</v>
      </c>
      <c r="C13" s="21"/>
      <c r="D13" s="22">
        <v>225.10993957519531</v>
      </c>
      <c r="E13" s="22">
        <v>217.33717346191406</v>
      </c>
      <c r="F13" s="22">
        <v>188.49031066894531</v>
      </c>
      <c r="G13" s="22">
        <v>215.53111267089844</v>
      </c>
      <c r="H13" s="22">
        <v>216.24221801757812</v>
      </c>
      <c r="I13" s="22">
        <v>224.460205078125</v>
      </c>
      <c r="J13" s="22">
        <v>236.32504272460937</v>
      </c>
      <c r="K13" s="22">
        <v>228.351806640625</v>
      </c>
      <c r="L13" s="22">
        <v>231.71186828613281</v>
      </c>
      <c r="M13" s="23">
        <v>238.23600769042969</v>
      </c>
      <c r="N13" s="24">
        <f t="shared" si="0"/>
        <v>2.9327575332284268E-2</v>
      </c>
      <c r="O13" s="24">
        <f t="shared" si="1"/>
        <v>7.1538529387897676E-2</v>
      </c>
    </row>
    <row r="14" spans="1:15" s="19" customFormat="1" ht="18" customHeight="1" x14ac:dyDescent="0.2">
      <c r="A14" s="143"/>
      <c r="B14" s="33" t="s">
        <v>23</v>
      </c>
      <c r="C14" s="25"/>
      <c r="D14" s="26">
        <v>107.17512512207031</v>
      </c>
      <c r="E14" s="26">
        <v>149.03965759277344</v>
      </c>
      <c r="F14" s="26">
        <v>124.42510223388672</v>
      </c>
      <c r="G14" s="26">
        <v>131.3740234375</v>
      </c>
      <c r="H14" s="26">
        <v>133.66009521484375</v>
      </c>
      <c r="I14" s="26">
        <v>181.33973693847656</v>
      </c>
      <c r="J14" s="26">
        <v>177.44715881347656</v>
      </c>
      <c r="K14" s="26">
        <v>231.02976989746094</v>
      </c>
      <c r="L14" s="26">
        <v>234.69956970214844</v>
      </c>
      <c r="M14" s="27">
        <v>214.08685302734375</v>
      </c>
      <c r="N14" s="24">
        <f t="shared" si="0"/>
        <v>1.1898697989373033</v>
      </c>
      <c r="O14" s="24">
        <f t="shared" si="1"/>
        <v>0.7559434573564755</v>
      </c>
    </row>
    <row r="15" spans="1:15" s="19" customFormat="1" ht="18" customHeight="1" x14ac:dyDescent="0.2">
      <c r="A15" s="143"/>
      <c r="B15" s="33" t="s">
        <v>27</v>
      </c>
      <c r="C15" s="25"/>
      <c r="D15" s="26">
        <f ca="1">435.18534375*OFFSET(D$108,MATCH($M$1,$C$109:$C$110,0),0)</f>
        <v>354.00586655548688</v>
      </c>
      <c r="E15" s="26">
        <f ca="1">449.64634375*OFFSET(E$108,MATCH($M$1,$C$109:$C$110,0),0)</f>
        <v>375.60305173851577</v>
      </c>
      <c r="F15" s="26">
        <f ca="1">393.8055*OFFSET(F$108,MATCH($M$1,$C$109:$C$110,0),0)</f>
        <v>338.40493349850755</v>
      </c>
      <c r="G15" s="26">
        <f ca="1">411.09640625*OFFSET(G$108,MATCH($M$1,$C$109:$C$110,0),0)</f>
        <v>363.52022399931991</v>
      </c>
      <c r="H15" s="26">
        <f ca="1">409.50584375*OFFSET(H$108,MATCH($M$1,$C$109:$C$110,0),0)</f>
        <v>369.28418569543072</v>
      </c>
      <c r="I15" s="26">
        <f ca="1">552.851625*OFFSET(I$108,MATCH($M$1,$C$109:$C$110,0),0)</f>
        <v>514.36761668518545</v>
      </c>
      <c r="J15" s="26">
        <f ca="1">587.1065*OFFSET(J$108,MATCH($M$1,$C$109:$C$110,0),0)</f>
        <v>557.84510763701712</v>
      </c>
      <c r="K15" s="26">
        <f ca="1">623.5785625*OFFSET(K$108,MATCH($M$1,$C$109:$C$110,0),0)</f>
        <v>602.33947077443759</v>
      </c>
      <c r="L15" s="26">
        <f ca="1">602.38125*OFFSET(L$108,MATCH($M$1,$C$109:$C$110,0),0)</f>
        <v>592.27930601934145</v>
      </c>
      <c r="M15" s="27">
        <f ca="1">564.395875*OFFSET(M$108,MATCH($M$1,$C$109:$C$110,0),0)</f>
        <v>564.39587280723561</v>
      </c>
      <c r="N15" s="24">
        <f t="shared" ca="1" si="0"/>
        <v>0.67307765767352778</v>
      </c>
      <c r="O15" s="24">
        <f t="shared" ca="1" si="1"/>
        <v>0.60385775768861993</v>
      </c>
    </row>
    <row r="16" spans="1:15" s="19" customFormat="1" ht="18" customHeight="1" x14ac:dyDescent="0.2">
      <c r="A16" s="143"/>
      <c r="B16" s="33" t="s">
        <v>25</v>
      </c>
      <c r="C16" s="21"/>
      <c r="D16" s="22">
        <v>229.1875</v>
      </c>
      <c r="E16" s="22">
        <v>226.875</v>
      </c>
      <c r="F16" s="22">
        <v>213.3631591796875</v>
      </c>
      <c r="G16" s="22">
        <v>224.41363525390625</v>
      </c>
      <c r="H16" s="22">
        <v>219.81817626953125</v>
      </c>
      <c r="I16" s="22">
        <v>245.47367858886719</v>
      </c>
      <c r="J16" s="22">
        <v>214.86956787109375</v>
      </c>
      <c r="K16" s="22">
        <v>246.30769348144531</v>
      </c>
      <c r="L16" s="22">
        <v>248.24000549316406</v>
      </c>
      <c r="M16" s="23">
        <v>233.66667175292969</v>
      </c>
      <c r="N16" s="24">
        <f t="shared" si="0"/>
        <v>8.3130648456674394E-2</v>
      </c>
      <c r="O16" s="24">
        <f t="shared" si="1"/>
        <v>0.12929699311481518</v>
      </c>
    </row>
    <row r="17" spans="1:15" s="19" customFormat="1" ht="18" customHeight="1" x14ac:dyDescent="0.2">
      <c r="A17" s="143"/>
      <c r="B17" s="33" t="s">
        <v>28</v>
      </c>
      <c r="C17" s="21"/>
      <c r="D17" s="22">
        <v>21.75</v>
      </c>
      <c r="E17" s="22">
        <v>18.875</v>
      </c>
      <c r="F17" s="22">
        <v>19.36842155456543</v>
      </c>
      <c r="G17" s="22">
        <v>19.681818008422852</v>
      </c>
      <c r="H17" s="22">
        <v>20.818181991577148</v>
      </c>
      <c r="I17" s="22">
        <v>21.789474487304688</v>
      </c>
      <c r="J17" s="22">
        <v>21.217391967773438</v>
      </c>
      <c r="K17" s="22">
        <v>22.346153259277344</v>
      </c>
      <c r="L17" s="22">
        <v>22.959999084472656</v>
      </c>
      <c r="M17" s="23">
        <v>21.791666030883789</v>
      </c>
      <c r="N17" s="24">
        <f t="shared" si="0"/>
        <v>5.5632141814834772E-2</v>
      </c>
      <c r="O17" s="24">
        <f t="shared" si="1"/>
        <v>0.10288204290663171</v>
      </c>
    </row>
    <row r="18" spans="1:15" s="19" customFormat="1" ht="18" customHeight="1" x14ac:dyDescent="0.2">
      <c r="A18" s="143"/>
      <c r="B18" s="33" t="s">
        <v>29</v>
      </c>
      <c r="C18" s="21"/>
      <c r="D18" s="34">
        <v>0.4676307737827301</v>
      </c>
      <c r="E18" s="34">
        <v>0.65692412853240967</v>
      </c>
      <c r="F18" s="34">
        <v>0.5831611156463623</v>
      </c>
      <c r="G18" s="34">
        <v>0.58541017770767212</v>
      </c>
      <c r="H18" s="34">
        <v>0.60804843902587891</v>
      </c>
      <c r="I18" s="34">
        <v>0.73873394727706909</v>
      </c>
      <c r="J18" s="34">
        <v>0.82583659887313843</v>
      </c>
      <c r="K18" s="34">
        <v>0.93797218799591064</v>
      </c>
      <c r="L18" s="34">
        <v>0.94545423984527588</v>
      </c>
      <c r="M18" s="35">
        <v>0.91620618104934692</v>
      </c>
      <c r="N18" s="24">
        <f t="shared" si="0"/>
        <v>1.0217964532089401</v>
      </c>
      <c r="O18" s="24">
        <f t="shared" si="1"/>
        <v>0.55489954280605724</v>
      </c>
    </row>
    <row r="19" spans="1:15" s="19" customFormat="1" ht="18" customHeight="1" x14ac:dyDescent="0.2">
      <c r="A19" s="144"/>
      <c r="B19" s="36" t="s">
        <v>8</v>
      </c>
      <c r="C19" s="37"/>
      <c r="D19" s="38">
        <f ca="1">4060.50698102132*OFFSET(D$108,MATCH($M$1,$C$109:$C$110,0),0)</f>
        <v>3303.0599791908917</v>
      </c>
      <c r="E19" s="38">
        <f ca="1">3016.95770785106*OFFSET(E$108,MATCH($M$1,$C$109:$C$110,0),0)</f>
        <v>2520.1550902967742</v>
      </c>
      <c r="F19" s="38">
        <f ca="1">3165.00046440976*OFFSET(F$108,MATCH($M$1,$C$109:$C$110,0),0)</f>
        <v>2719.748128660799</v>
      </c>
      <c r="G19" s="38">
        <f ca="1">3129.20620328329*OFFSET(G$108,MATCH($M$1,$C$109:$C$110,0),0)</f>
        <v>2767.0632062539539</v>
      </c>
      <c r="H19" s="38">
        <f ca="1">3063.78538768998*OFFSET(H$108,MATCH($M$1,$C$109:$C$110,0),0)</f>
        <v>2762.8604311917193</v>
      </c>
      <c r="I19" s="38">
        <f ca="1">3048.70663123824*OFFSET(I$108,MATCH($M$1,$C$109:$C$110,0),0)</f>
        <v>2836.4861256984345</v>
      </c>
      <c r="J19" s="38">
        <f ca="1">3308.62688854057*OFFSET(J$108,MATCH($M$1,$C$109:$C$110,0),0)</f>
        <v>3143.7248996027865</v>
      </c>
      <c r="K19" s="38">
        <f ca="1">2699.12633343505*OFFSET(K$108,MATCH($M$1,$C$109:$C$110,0),0)</f>
        <v>2607.1940650375009</v>
      </c>
      <c r="L19" s="38">
        <f ca="1">2566.60563629467*OFFSET(L$108,MATCH($M$1,$C$109:$C$110,0),0)</f>
        <v>2523.5636153846713</v>
      </c>
      <c r="M19" s="39">
        <f ca="1">2636.29394808243*OFFSET(M$108,MATCH($M$1,$C$109:$C$110,0),0)</f>
        <v>2636.2939378400238</v>
      </c>
      <c r="N19" s="40">
        <f ca="1">IF(L19=0,"",IFERROR(IF(AND(L19&gt;0,D19&lt;0),"na",IF(AND(L19&lt;0,D19&lt;0),-1,1)*(L19-D19)/D19),""))</f>
        <v>-0.23599219170012276</v>
      </c>
      <c r="O19" s="40">
        <f ca="1">IF(L19=0,"",IFERROR(IF(AND(L19&gt;0,H19&lt;0),"na",IF(AND(L19&lt;0,H19&lt;0),-1,1)*(L19-H19)/H19),""))</f>
        <v>-8.6611981229841151E-2</v>
      </c>
    </row>
    <row r="20" spans="1:15" s="19" customFormat="1" ht="18" customHeight="1" x14ac:dyDescent="0.2">
      <c r="A20" s="145" t="s">
        <v>9</v>
      </c>
      <c r="B20" s="28" t="s">
        <v>30</v>
      </c>
      <c r="C20" s="41"/>
      <c r="D20" s="42">
        <v>2.1498041157557153</v>
      </c>
      <c r="E20" s="42">
        <v>3.0541969579946731</v>
      </c>
      <c r="F20" s="42">
        <v>2.742008200491882</v>
      </c>
      <c r="G20" s="42">
        <v>2.7488912646530435</v>
      </c>
      <c r="H20" s="42">
        <v>2.8615045527187943</v>
      </c>
      <c r="I20" s="42">
        <v>3.4322476992770192</v>
      </c>
      <c r="J20" s="42">
        <v>3.7856728329881961</v>
      </c>
      <c r="K20" s="42">
        <v>4.3327882461999767</v>
      </c>
      <c r="L20" s="42">
        <v>4.354345631148349</v>
      </c>
      <c r="M20" s="43">
        <v>4.2068172603732119</v>
      </c>
      <c r="N20" s="32">
        <f t="shared" si="0"/>
        <v>1.0254615754225016</v>
      </c>
      <c r="O20" s="32">
        <f t="shared" si="1"/>
        <v>0.52169795676584374</v>
      </c>
    </row>
    <row r="21" spans="1:15" s="19" customFormat="1" ht="18" customHeight="1" x14ac:dyDescent="0.2">
      <c r="A21" s="145"/>
      <c r="B21" s="33" t="s">
        <v>31</v>
      </c>
      <c r="C21" s="21"/>
      <c r="D21" s="34">
        <f ca="1">8.72929461985445*OFFSET(D$108,MATCH($M$1,$C$109:$C$110,0),0)</f>
        <v>7.1009319378525682</v>
      </c>
      <c r="E21" s="34">
        <f ca="1">9.21438305371728*OFFSET(E$108,MATCH($M$1,$C$109:$C$110,0),0)</f>
        <v>7.6970500104591899</v>
      </c>
      <c r="F21" s="34">
        <f ca="1">8.67845708793576*OFFSET(F$108,MATCH($M$1,$C$109:$C$110,0),0)</f>
        <v>7.4575715517242704</v>
      </c>
      <c r="G21" s="34">
        <f ca="1">8.60184753805991*OFFSET(G$108,MATCH($M$1,$C$109:$C$110,0),0)</f>
        <v>7.6063558238501079</v>
      </c>
      <c r="H21" s="34">
        <f ca="1">8.76703577363186*OFFSET(H$108,MATCH($M$1,$C$109:$C$110,0),0)</f>
        <v>7.9059376466550173</v>
      </c>
      <c r="I21" s="34">
        <f ca="1">10.4639156865634*OFFSET(I$108,MATCH($M$1,$C$109:$C$110,0),0)</f>
        <v>9.7355223888368627</v>
      </c>
      <c r="J21" s="34">
        <f ca="1">12.5253801863182*OFFSET(J$108,MATCH($M$1,$C$109:$C$110,0),0)</f>
        <v>11.901115143898489</v>
      </c>
      <c r="K21" s="34">
        <f ca="1">11.6947433544233*OFFSET(K$108,MATCH($M$1,$C$109:$C$110,0),0)</f>
        <v>11.296420285368937</v>
      </c>
      <c r="L21" s="34">
        <f ca="1">11.1758882538725*OFFSET(L$108,MATCH($M$1,$C$109:$C$110,0),0)</f>
        <v>10.988468414568539</v>
      </c>
      <c r="M21" s="35">
        <f ca="1">11.0904068842106*OFFSET(M$108,MATCH($M$1,$C$109:$C$110,0),0)</f>
        <v>11.09040684112267</v>
      </c>
      <c r="N21" s="24">
        <f t="shared" ca="1" si="0"/>
        <v>0.54746848874763643</v>
      </c>
      <c r="O21" s="24">
        <f t="shared" ca="1" si="1"/>
        <v>0.38990071838192814</v>
      </c>
    </row>
    <row r="22" spans="1:15" s="19" customFormat="1" ht="18" customHeight="1" x14ac:dyDescent="0.2">
      <c r="A22" s="145"/>
      <c r="B22" s="33" t="s">
        <v>10</v>
      </c>
      <c r="C22" s="21"/>
      <c r="D22" s="34">
        <f ca="1">7.73964151168112*OFFSET(D$108,MATCH($M$1,$C$109:$C$110,0),0)</f>
        <v>6.295888727689932</v>
      </c>
      <c r="E22" s="34">
        <f ca="1">8.71236878388469*OFFSET(E$108,MATCH($M$1,$C$109:$C$110,0),0)</f>
        <v>7.2777024623553848</v>
      </c>
      <c r="F22" s="34">
        <f ca="1">7.58837104300267*OFFSET(F$108,MATCH($M$1,$C$109:$C$110,0),0)</f>
        <v>6.5208388358449003</v>
      </c>
      <c r="G22" s="34">
        <f ca="1">8.53343468473991*OFFSET(G$108,MATCH($M$1,$C$109:$C$110,0),0)</f>
        <v>7.5458603892386096</v>
      </c>
      <c r="H22" s="34">
        <f ca="1">8.02904281679823*OFFSET(H$108,MATCH($M$1,$C$109:$C$110,0),0)</f>
        <v>7.2404303473754315</v>
      </c>
      <c r="I22" s="34">
        <f ca="1">10.0027534963322*OFFSET(I$108,MATCH($M$1,$C$109:$C$110,0),0)</f>
        <v>9.3064617042552769</v>
      </c>
      <c r="J22" s="34">
        <f ca="1">12.0343479607656*OFFSET(J$108,MATCH($M$1,$C$109:$C$110,0),0)</f>
        <v>11.434555968149908</v>
      </c>
      <c r="K22" s="34">
        <f ca="1">9.96902663651825*OFFSET(K$108,MATCH($M$1,$C$109:$C$110,0),0)</f>
        <v>9.6294814951671359</v>
      </c>
      <c r="L22" s="34">
        <f ca="1">10.3770939716286*OFFSET(L$108,MATCH($M$1,$C$109:$C$110,0),0)</f>
        <v>10.203069926252983</v>
      </c>
      <c r="M22" s="35">
        <f ca="1">10.1869405924505*OFFSET(M$108,MATCH($M$1,$C$109:$C$110,0),0)</f>
        <v>10.186940552872674</v>
      </c>
      <c r="N22" s="24">
        <f t="shared" ca="1" si="0"/>
        <v>0.62059247987958988</v>
      </c>
      <c r="O22" s="24">
        <f t="shared" ca="1" si="1"/>
        <v>0.4091800399615021</v>
      </c>
    </row>
    <row r="23" spans="1:15" s="19" customFormat="1" ht="18" customHeight="1" x14ac:dyDescent="0.2">
      <c r="A23" s="146"/>
      <c r="B23" s="33" t="s">
        <v>32</v>
      </c>
      <c r="C23" s="44"/>
      <c r="D23" s="34">
        <f ca="1">0.989653108173333*OFFSET(D$108,MATCH($M$1,$C$109:$C$110,0),0)</f>
        <v>0.80504321016263936</v>
      </c>
      <c r="E23" s="34">
        <f ca="1">0.502014269832589*OFFSET(E$108,MATCH($M$1,$C$109:$C$110,0),0)</f>
        <v>0.41934754810380492</v>
      </c>
      <c r="F23" s="34">
        <f ca="1">1.09008604493309*OFFSET(F$108,MATCH($M$1,$C$109:$C$110,0),0)</f>
        <v>0.93673271587937046</v>
      </c>
      <c r="G23" s="34">
        <f ca="1">0.0684128533199942*OFFSET(G$108,MATCH($M$1,$C$109:$C$110,0),0)</f>
        <v>6.0495434611493655E-2</v>
      </c>
      <c r="H23" s="34">
        <f ca="1">0.737992956833636*OFFSET(H$108,MATCH($M$1,$C$109:$C$110,0),0)</f>
        <v>0.6655072992795904</v>
      </c>
      <c r="I23" s="34">
        <f ca="1">0.461162190231201*OFFSET(I$108,MATCH($M$1,$C$109:$C$110,0),0)</f>
        <v>0.42906068458158725</v>
      </c>
      <c r="J23" s="34">
        <f ca="1">0.491032225552617*OFFSET(J$108,MATCH($M$1,$C$109:$C$110,0),0)</f>
        <v>0.46655917574859707</v>
      </c>
      <c r="K23" s="34">
        <f ca="1">1.72571671790506*OFFSET(K$108,MATCH($M$1,$C$109:$C$110,0),0)</f>
        <v>1.6669387902018091</v>
      </c>
      <c r="L23" s="34">
        <f ca="1">0.798794282243909*OFFSET(L$108,MATCH($M$1,$C$109:$C$110,0),0)</f>
        <v>0.78539848831556491</v>
      </c>
      <c r="M23" s="35">
        <f ca="1">0.903466291760097*OFFSET(M$108,MATCH($M$1,$C$109:$C$110,0),0)</f>
        <v>0.90346628824999198</v>
      </c>
      <c r="N23" s="24">
        <f t="shared" ca="1" si="0"/>
        <v>-2.4402071341121809E-2</v>
      </c>
      <c r="O23" s="24">
        <f t="shared" ca="1" si="1"/>
        <v>0.18015007373436226</v>
      </c>
    </row>
    <row r="24" spans="1:15" s="19" customFormat="1" ht="18" customHeight="1" x14ac:dyDescent="0.2">
      <c r="A24" s="147" t="s">
        <v>11</v>
      </c>
      <c r="B24" s="28" t="s">
        <v>27</v>
      </c>
      <c r="C24" s="29"/>
      <c r="D24" s="30">
        <f ca="1">435.2*OFFSET(D$108,MATCH($M$1,$C$109:$C$110,0),0)</f>
        <v>354.01778882850505</v>
      </c>
      <c r="E24" s="30">
        <f ca="1">449.6*OFFSET(E$108,MATCH($M$1,$C$109:$C$110,0),0)</f>
        <v>375.56433941677454</v>
      </c>
      <c r="F24" s="30">
        <f ca="1">393.8*OFFSET(F$108,MATCH($M$1,$C$109:$C$110,0),0)</f>
        <v>338.40020723862989</v>
      </c>
      <c r="G24" s="30">
        <f ca="1">411.1*OFFSET(G$108,MATCH($M$1,$C$109:$C$110,0),0)</f>
        <v>363.52340184467482</v>
      </c>
      <c r="H24" s="30">
        <f ca="1">409.5*OFFSET(H$108,MATCH($M$1,$C$109:$C$110,0),0)</f>
        <v>369.27891591847128</v>
      </c>
      <c r="I24" s="30">
        <f ca="1">552.9*OFFSET(I$108,MATCH($M$1,$C$109:$C$110,0),0)</f>
        <v>514.4126243008493</v>
      </c>
      <c r="J24" s="30">
        <f ca="1">587.1*OFFSET(J$108,MATCH($M$1,$C$109:$C$110,0),0)</f>
        <v>557.83893159706588</v>
      </c>
      <c r="K24" s="30">
        <f ca="1">623.6*OFFSET(K$108,MATCH($M$1,$C$109:$C$110,0),0)</f>
        <v>602.36017811298518</v>
      </c>
      <c r="L24" s="30">
        <f ca="1">602.4*OFFSET(L$108,MATCH($M$1,$C$109:$C$110,0),0)</f>
        <v>592.29774158151713</v>
      </c>
      <c r="M24" s="31">
        <f ca="1">564.4*OFFSET(M$108,MATCH($M$1,$C$109:$C$110,0),0)</f>
        <v>564.39999780721951</v>
      </c>
      <c r="N24" s="32">
        <f t="shared" ca="1" si="0"/>
        <v>0.67307338860432453</v>
      </c>
      <c r="O24" s="32">
        <f t="shared" ca="1" si="1"/>
        <v>0.60393056860111538</v>
      </c>
    </row>
    <row r="25" spans="1:15" s="19" customFormat="1" ht="18" customHeight="1" x14ac:dyDescent="0.2">
      <c r="A25" s="148"/>
      <c r="B25" s="33" t="s">
        <v>33</v>
      </c>
      <c r="C25" s="25"/>
      <c r="D25" s="26">
        <f ca="1">3.4*OFFSET(D$108,MATCH($M$1,$C$109:$C$110,0),0)</f>
        <v>2.7657639752226957</v>
      </c>
      <c r="E25" s="26">
        <f ca="1">2.5*OFFSET(E$108,MATCH($M$1,$C$109:$C$110,0),0)</f>
        <v>2.0883248410630255</v>
      </c>
      <c r="F25" s="26">
        <f ca="1">16.8*OFFSET(F$108,MATCH($M$1,$C$109:$C$110,0),0)</f>
        <v>14.436575626229006</v>
      </c>
      <c r="G25" s="26">
        <f ca="1">0.1*OFFSET(G$108,MATCH($M$1,$C$109:$C$110,0),0)</f>
        <v>8.8427001178466261E-2</v>
      </c>
      <c r="H25" s="26">
        <f ca="1">0.6*OFFSET(H$108,MATCH($M$1,$C$109:$C$110,0),0)</f>
        <v>0.54106800867175275</v>
      </c>
      <c r="I25" s="26">
        <f ca="1">2.1*OFFSET(I$108,MATCH($M$1,$C$109:$C$110,0),0)</f>
        <v>1.9538189745555861</v>
      </c>
      <c r="J25" s="26">
        <f ca="1">0.4*OFFSET(J$108,MATCH($M$1,$C$109:$C$110,0),0)</f>
        <v>0.38006399700021526</v>
      </c>
      <c r="K25" s="26">
        <f ca="1">26.9*OFFSET(K$108,MATCH($M$1,$C$109:$C$110,0),0)</f>
        <v>25.983785746054043</v>
      </c>
      <c r="L25" s="26">
        <f ca="1">3.4*OFFSET(L$108,MATCH($M$1,$C$109:$C$110,0),0)</f>
        <v>3.342981941197142</v>
      </c>
      <c r="M25" s="27">
        <f ca="1">3.2*OFFSET(M$108,MATCH($M$1,$C$109:$C$110,0),0)</f>
        <v>3.19999998756751</v>
      </c>
      <c r="N25" s="24">
        <f t="shared" ca="1" si="0"/>
        <v>0.20870109349369534</v>
      </c>
      <c r="O25" s="24">
        <f t="shared" ca="1" si="1"/>
        <v>5.178487523968939</v>
      </c>
    </row>
    <row r="26" spans="1:15" s="19" customFormat="1" ht="18" customHeight="1" x14ac:dyDescent="0.2">
      <c r="A26" s="148"/>
      <c r="B26" s="45" t="s">
        <v>34</v>
      </c>
      <c r="C26" s="46"/>
      <c r="D26" s="47">
        <f ca="1">438.6*OFFSET(D$108,MATCH($M$1,$C$109:$C$110,0),0)</f>
        <v>356.78355280372773</v>
      </c>
      <c r="E26" s="47">
        <f ca="1">452.2*OFFSET(E$108,MATCH($M$1,$C$109:$C$110,0),0)</f>
        <v>377.73619725148006</v>
      </c>
      <c r="F26" s="47">
        <f ca="1">410.6*OFFSET(F$108,MATCH($M$1,$C$109:$C$110,0),0)</f>
        <v>352.83678286485895</v>
      </c>
      <c r="G26" s="47">
        <f ca="1">411.2*OFFSET(G$108,MATCH($M$1,$C$109:$C$110,0),0)</f>
        <v>363.61182884585327</v>
      </c>
      <c r="H26" s="47">
        <f ca="1">410.1*OFFSET(H$108,MATCH($M$1,$C$109:$C$110,0),0)</f>
        <v>369.81998392714308</v>
      </c>
      <c r="I26" s="47">
        <f ca="1">555*OFFSET(I$108,MATCH($M$1,$C$109:$C$110,0),0)</f>
        <v>516.36644327540489</v>
      </c>
      <c r="J26" s="47">
        <f ca="1">587.5*OFFSET(J$108,MATCH($M$1,$C$109:$C$110,0),0)</f>
        <v>558.21899559406609</v>
      </c>
      <c r="K26" s="47">
        <f ca="1">650.5*OFFSET(K$108,MATCH($M$1,$C$109:$C$110,0),0)</f>
        <v>628.34396385903926</v>
      </c>
      <c r="L26" s="47">
        <f ca="1">605.8*OFFSET(L$108,MATCH($M$1,$C$109:$C$110,0),0)</f>
        <v>595.64072352271432</v>
      </c>
      <c r="M26" s="48">
        <f ca="1">567.6*OFFSET(M$108,MATCH($M$1,$C$109:$C$110,0),0)</f>
        <v>567.5999977947871</v>
      </c>
      <c r="N26" s="49">
        <f t="shared" ca="1" si="0"/>
        <v>0.669473603370909</v>
      </c>
      <c r="O26" s="49">
        <f t="shared" ca="1" si="1"/>
        <v>0.61062340979404561</v>
      </c>
    </row>
    <row r="27" spans="1:15" s="19" customFormat="1" ht="18" customHeight="1" x14ac:dyDescent="0.2">
      <c r="A27" s="148"/>
      <c r="B27" s="33" t="s">
        <v>35</v>
      </c>
      <c r="C27" s="25"/>
      <c r="D27" s="26">
        <f ca="1">82.1*OFFSET(D$108,MATCH($M$1,$C$109:$C$110,0),0)</f>
        <v>66.785065401700976</v>
      </c>
      <c r="E27" s="26">
        <f ca="1">86.9*OFFSET(E$108,MATCH($M$1,$C$109:$C$110,0),0)</f>
        <v>72.590171475350772</v>
      </c>
      <c r="F27" s="26">
        <f ca="1">93.8*OFFSET(F$108,MATCH($M$1,$C$109:$C$110,0),0)</f>
        <v>80.604213913111948</v>
      </c>
      <c r="G27" s="26">
        <f ca="1">121.1*OFFSET(G$108,MATCH($M$1,$C$109:$C$110,0),0)</f>
        <v>107.08509842712263</v>
      </c>
      <c r="H27" s="26">
        <f ca="1">90.5*OFFSET(H$108,MATCH($M$1,$C$109:$C$110,0),0)</f>
        <v>81.611091307989383</v>
      </c>
      <c r="I27" s="26">
        <f ca="1">117.4*OFFSET(I$108,MATCH($M$1,$C$109:$C$110,0),0)</f>
        <v>109.2277845775361</v>
      </c>
      <c r="J27" s="26">
        <f ca="1">139.8*OFFSET(J$108,MATCH($M$1,$C$109:$C$110,0),0)</f>
        <v>132.83236695157524</v>
      </c>
      <c r="K27" s="26">
        <f ca="1">160.9*OFFSET(K$108,MATCH($M$1,$C$109:$C$110,0),0)</f>
        <v>155.41974448104446</v>
      </c>
      <c r="L27" s="26">
        <f ca="1">157.4*OFFSET(L$108,MATCH($M$1,$C$109:$C$110,0),0)</f>
        <v>154.76039927777359</v>
      </c>
      <c r="M27" s="27">
        <f ca="1">137.1*OFFSET(M$108,MATCH($M$1,$C$109:$C$110,0),0)</f>
        <v>137.0999994673455</v>
      </c>
      <c r="N27" s="24">
        <f t="shared" ca="1" si="0"/>
        <v>1.3172905251633089</v>
      </c>
      <c r="O27" s="24">
        <f t="shared" ca="1" si="1"/>
        <v>0.89631576783759037</v>
      </c>
    </row>
    <row r="28" spans="1:15" s="19" customFormat="1" ht="18" customHeight="1" x14ac:dyDescent="0.2">
      <c r="A28" s="148"/>
      <c r="B28" s="33" t="s">
        <v>36</v>
      </c>
      <c r="C28" s="25"/>
      <c r="D28" s="26">
        <f ca="1">121.2*OFFSET(D$108,MATCH($M$1,$C$109:$C$110,0),0)</f>
        <v>98.59135111676197</v>
      </c>
      <c r="E28" s="26">
        <f ca="1">156.6*OFFSET(E$108,MATCH($M$1,$C$109:$C$110,0),0)</f>
        <v>130.81266804418792</v>
      </c>
      <c r="F28" s="26">
        <f ca="1">102.8*OFFSET(F$108,MATCH($M$1,$C$109:$C$110,0),0)</f>
        <v>88.33809371287748</v>
      </c>
      <c r="G28" s="26">
        <f ca="1">105*OFFSET(G$108,MATCH($M$1,$C$109:$C$110,0),0)</f>
        <v>92.848351237389565</v>
      </c>
      <c r="H28" s="26">
        <f ca="1">104.3*OFFSET(H$108,MATCH($M$1,$C$109:$C$110,0),0)</f>
        <v>94.055655507439695</v>
      </c>
      <c r="I28" s="26">
        <f ca="1">144.4*OFFSET(I$108,MATCH($M$1,$C$109:$C$110,0),0)</f>
        <v>134.34831425039363</v>
      </c>
      <c r="J28" s="26">
        <f ca="1">156.6*OFFSET(J$108,MATCH($M$1,$C$109:$C$110,0),0)</f>
        <v>148.79505482558426</v>
      </c>
      <c r="K28" s="26">
        <f ca="1">156.8*OFFSET(K$108,MATCH($M$1,$C$109:$C$110,0),0)</f>
        <v>151.45939051974997</v>
      </c>
      <c r="L28" s="26">
        <f ca="1">147.6*OFFSET(L$108,MATCH($M$1,$C$109:$C$110,0),0)</f>
        <v>145.12474544726416</v>
      </c>
      <c r="M28" s="27">
        <f ca="1">143*OFFSET(M$108,MATCH($M$1,$C$109:$C$110,0),0)</f>
        <v>142.99999944442308</v>
      </c>
      <c r="N28" s="24">
        <f t="shared" ca="1" si="0"/>
        <v>0.47198251979925276</v>
      </c>
      <c r="O28" s="24">
        <f t="shared" ca="1" si="1"/>
        <v>0.54296671119138562</v>
      </c>
    </row>
    <row r="29" spans="1:15" s="19" customFormat="1" ht="18" customHeight="1" x14ac:dyDescent="0.2">
      <c r="A29" s="148"/>
      <c r="B29" s="33" t="s">
        <v>37</v>
      </c>
      <c r="C29" s="25"/>
      <c r="D29" s="26">
        <f ca="1">87.6*OFFSET(D$108,MATCH($M$1,$C$109:$C$110,0),0)</f>
        <v>71.259095361620041</v>
      </c>
      <c r="E29" s="26">
        <f ca="1">82.4*OFFSET(E$108,MATCH($M$1,$C$109:$C$110,0),0)</f>
        <v>68.831186761437323</v>
      </c>
      <c r="F29" s="26">
        <f ca="1">78*OFFSET(F$108,MATCH($M$1,$C$109:$C$110,0),0)</f>
        <v>67.026958264634672</v>
      </c>
      <c r="G29" s="26">
        <f ca="1">88.5*OFFSET(G$108,MATCH($M$1,$C$109:$C$110,0),0)</f>
        <v>78.257896042942633</v>
      </c>
      <c r="H29" s="26">
        <f ca="1">87.9*OFFSET(H$108,MATCH($M$1,$C$109:$C$110,0),0)</f>
        <v>79.266463270411791</v>
      </c>
      <c r="I29" s="26">
        <f ca="1">158.4*OFFSET(I$108,MATCH($M$1,$C$109:$C$110,0),0)</f>
        <v>147.37377408076421</v>
      </c>
      <c r="J29" s="26">
        <f ca="1">162.8*OFFSET(J$108,MATCH($M$1,$C$109:$C$110,0),0)</f>
        <v>154.6860467790876</v>
      </c>
      <c r="K29" s="26">
        <f ca="1">120.9*OFFSET(K$108,MATCH($M$1,$C$109:$C$110,0),0)</f>
        <v>116.78214485865925</v>
      </c>
      <c r="L29" s="26">
        <f ca="1">121.3*OFFSET(L$108,MATCH($M$1,$C$109:$C$110,0),0)</f>
        <v>119.26579690212156</v>
      </c>
      <c r="M29" s="27">
        <f ca="1">113.7*OFFSET(M$108,MATCH($M$1,$C$109:$C$110,0),0)</f>
        <v>113.69999955825809</v>
      </c>
      <c r="N29" s="24">
        <f t="shared" ca="1" si="0"/>
        <v>0.67369226758887268</v>
      </c>
      <c r="O29" s="24">
        <f t="shared" ca="1" si="1"/>
        <v>0.50461862408639258</v>
      </c>
    </row>
    <row r="30" spans="1:15" s="19" customFormat="1" ht="18" customHeight="1" x14ac:dyDescent="0.2">
      <c r="A30" s="148"/>
      <c r="B30" s="33" t="s">
        <v>38</v>
      </c>
      <c r="C30" s="25"/>
      <c r="D30" s="26">
        <f ca="1">290.9*OFFSET(D$108,MATCH($M$1,$C$109:$C$110,0),0)</f>
        <v>236.63551188008296</v>
      </c>
      <c r="E30" s="26">
        <f ca="1">325.9*OFFSET(E$108,MATCH($M$1,$C$109:$C$110,0),0)</f>
        <v>272.23402628097602</v>
      </c>
      <c r="F30" s="26">
        <f ca="1">274.5*OFFSET(F$108,MATCH($M$1,$C$109:$C$110,0),0)</f>
        <v>235.88333389284892</v>
      </c>
      <c r="G30" s="26">
        <f ca="1">314.6*OFFSET(G$108,MATCH($M$1,$C$109:$C$110,0),0)</f>
        <v>278.19134570745484</v>
      </c>
      <c r="H30" s="26">
        <f ca="1">282.7*OFFSET(H$108,MATCH($M$1,$C$109:$C$110,0),0)</f>
        <v>254.93321008584084</v>
      </c>
      <c r="I30" s="26">
        <f ca="1">420.3*OFFSET(I$108,MATCH($M$1,$C$109:$C$110,0),0)</f>
        <v>391.04291190748228</v>
      </c>
      <c r="J30" s="26">
        <f ca="1">459.2*OFFSET(J$108,MATCH($M$1,$C$109:$C$110,0),0)</f>
        <v>436.31346855624707</v>
      </c>
      <c r="K30" s="26">
        <f ca="1">438.6*OFFSET(K$108,MATCH($M$1,$C$109:$C$110,0),0)</f>
        <v>423.66127985945366</v>
      </c>
      <c r="L30" s="26">
        <f ca="1">426.3*OFFSET(L$108,MATCH($M$1,$C$109:$C$110,0),0)</f>
        <v>419.15094162715934</v>
      </c>
      <c r="M30" s="27">
        <f ca="1">393.8*OFFSET(M$108,MATCH($M$1,$C$109:$C$110,0),0)</f>
        <v>393.79999847002671</v>
      </c>
      <c r="N30" s="24">
        <f t="shared" ca="1" si="0"/>
        <v>0.77129348970904932</v>
      </c>
      <c r="O30" s="24">
        <f t="shared" ca="1" si="1"/>
        <v>0.64415982321810206</v>
      </c>
    </row>
    <row r="31" spans="1:15" s="19" customFormat="1" ht="18" customHeight="1" x14ac:dyDescent="0.2">
      <c r="A31" s="148"/>
      <c r="B31" s="33" t="s">
        <v>39</v>
      </c>
      <c r="C31" s="25"/>
      <c r="D31" s="26">
        <f ca="1">98.4*OFFSET(D$108,MATCH($M$1,$C$109:$C$110,0),0)</f>
        <v>80.044463282915672</v>
      </c>
      <c r="E31" s="26">
        <f ca="1">101.8*OFFSET(E$108,MATCH($M$1,$C$109:$C$110,0),0)</f>
        <v>85.0365875280864</v>
      </c>
      <c r="F31" s="26">
        <f ca="1">86.7*OFFSET(F$108,MATCH($M$1,$C$109:$C$110,0),0)</f>
        <v>74.503042071074688</v>
      </c>
      <c r="G31" s="26">
        <f ca="1">93.3*OFFSET(G$108,MATCH($M$1,$C$109:$C$110,0),0)</f>
        <v>82.502392099509009</v>
      </c>
      <c r="H31" s="26">
        <f ca="1">93*OFFSET(H$108,MATCH($M$1,$C$109:$C$110,0),0)</f>
        <v>83.865541344121681</v>
      </c>
      <c r="I31" s="26">
        <f ca="1">110.3*OFFSET(I$108,MATCH($M$1,$C$109:$C$110,0),0)</f>
        <v>102.62201566356244</v>
      </c>
      <c r="J31" s="26">
        <f ca="1">105.2*OFFSET(J$108,MATCH($M$1,$C$109:$C$110,0),0)</f>
        <v>99.95683121105661</v>
      </c>
      <c r="K31" s="26">
        <f ca="1">119.8*OFFSET(K$108,MATCH($M$1,$C$109:$C$110,0),0)</f>
        <v>115.71961086904365</v>
      </c>
      <c r="L31" s="26">
        <f ca="1">136.4*OFFSET(L$108,MATCH($M$1,$C$109:$C$110,0),0)</f>
        <v>134.11256964096771</v>
      </c>
      <c r="M31" s="27">
        <f ca="1">127.8*OFFSET(M$108,MATCH($M$1,$C$109:$C$110,0),0)</f>
        <v>127.79999950347742</v>
      </c>
      <c r="N31" s="24">
        <f t="shared" ca="1" si="0"/>
        <v>0.67547590602174834</v>
      </c>
      <c r="O31" s="24">
        <f t="shared" ca="1" si="1"/>
        <v>0.59913794738019599</v>
      </c>
    </row>
    <row r="32" spans="1:15" s="19" customFormat="1" ht="18" customHeight="1" x14ac:dyDescent="0.2">
      <c r="A32" s="148"/>
      <c r="B32" s="33" t="s">
        <v>40</v>
      </c>
      <c r="C32" s="25"/>
      <c r="D32" s="26">
        <f ca="1">389.3*OFFSET(D$108,MATCH($M$1,$C$109:$C$110,0),0)</f>
        <v>316.67997516299863</v>
      </c>
      <c r="E32" s="26">
        <f ca="1">427.7*OFFSET(E$108,MATCH($M$1,$C$109:$C$110,0),0)</f>
        <v>357.27061380906241</v>
      </c>
      <c r="F32" s="26">
        <f ca="1">361.2*OFFSET(F$108,MATCH($M$1,$C$109:$C$110,0),0)</f>
        <v>310.38637596392363</v>
      </c>
      <c r="G32" s="26">
        <f ca="1">408*OFFSET(G$108,MATCH($M$1,$C$109:$C$110,0),0)</f>
        <v>360.78216480814234</v>
      </c>
      <c r="H32" s="26">
        <f ca="1">375.6*OFFSET(H$108,MATCH($M$1,$C$109:$C$110,0),0)</f>
        <v>338.7085734285173</v>
      </c>
      <c r="I32" s="26">
        <f ca="1">530.6*OFFSET(I$108,MATCH($M$1,$C$109:$C$110,0),0)</f>
        <v>493.66492757104476</v>
      </c>
      <c r="J32" s="26">
        <f ca="1">564.4*OFFSET(J$108,MATCH($M$1,$C$109:$C$110,0),0)</f>
        <v>536.27029976730364</v>
      </c>
      <c r="K32" s="26">
        <f ca="1">558.4*OFFSET(K$108,MATCH($M$1,$C$109:$C$110,0),0)</f>
        <v>539.38089072849732</v>
      </c>
      <c r="L32" s="26">
        <f ca="1">562.8*OFFSET(L$108,MATCH($M$1,$C$109:$C$110,0),0)</f>
        <v>553.36183426639752</v>
      </c>
      <c r="M32" s="27">
        <f ca="1">521.6*OFFSET(M$108,MATCH($M$1,$C$109:$C$110,0),0)</f>
        <v>521.59999797350406</v>
      </c>
      <c r="N32" s="24">
        <f t="shared" ca="1" si="0"/>
        <v>0.74738498694644695</v>
      </c>
      <c r="O32" s="24">
        <f t="shared" ca="1" si="1"/>
        <v>0.63374026427819874</v>
      </c>
    </row>
    <row r="33" spans="1:15" s="19" customFormat="1" ht="18" customHeight="1" x14ac:dyDescent="0.2">
      <c r="A33" s="148"/>
      <c r="B33" s="45" t="s">
        <v>41</v>
      </c>
      <c r="C33" s="46"/>
      <c r="D33" s="47">
        <f ca="1">170.5*OFFSET(D$108,MATCH($M$1,$C$109:$C$110,0),0)</f>
        <v>138.69492875749106</v>
      </c>
      <c r="E33" s="47">
        <f ca="1">181.1*OFFSET(E$108,MATCH($M$1,$C$109:$C$110,0),0)</f>
        <v>151.27825148660557</v>
      </c>
      <c r="F33" s="47">
        <f ca="1">152.3*OFFSET(F$108,MATCH($M$1,$C$109:$C$110,0),0)</f>
        <v>130.87443261158796</v>
      </c>
      <c r="G33" s="47">
        <f ca="1">108.3*OFFSET(G$108,MATCH($M$1,$C$109:$C$110,0),0)</f>
        <v>95.766442276278951</v>
      </c>
      <c r="H33" s="47">
        <f ca="1">138.8*OFFSET(H$108,MATCH($M$1,$C$109:$C$110,0),0)</f>
        <v>125.1670660060655</v>
      </c>
      <c r="I33" s="47">
        <f ca="1">168.8*OFFSET(I$108,MATCH($M$1,$C$109:$C$110,0),0)</f>
        <v>157.04982995475379</v>
      </c>
      <c r="J33" s="47">
        <f ca="1">179.6*OFFSET(J$108,MATCH($M$1,$C$109:$C$110,0),0)</f>
        <v>170.64873465309662</v>
      </c>
      <c r="K33" s="47">
        <f ca="1">248.8*OFFSET(K$108,MATCH($M$1,$C$109:$C$110,0),0)</f>
        <v>240.32586965123593</v>
      </c>
      <c r="L33" s="47">
        <f ca="1">190.7*OFFSET(L$108,MATCH($M$1,$C$109:$C$110,0),0)</f>
        <v>187.50195770185147</v>
      </c>
      <c r="M33" s="48">
        <f ca="1">189*OFFSET(M$108,MATCH($M$1,$C$109:$C$110,0),0)</f>
        <v>188.99999926570604</v>
      </c>
      <c r="N33" s="49">
        <f t="shared" ca="1" si="0"/>
        <v>0.35190204415981063</v>
      </c>
      <c r="O33" s="49">
        <f t="shared" ca="1" si="1"/>
        <v>0.49801352452221953</v>
      </c>
    </row>
    <row r="34" spans="1:15" s="19" customFormat="1" ht="18" customHeight="1" x14ac:dyDescent="0.2">
      <c r="A34" s="148"/>
      <c r="B34" s="45" t="s">
        <v>42</v>
      </c>
      <c r="C34" s="46"/>
      <c r="D34" s="47">
        <f ca="1">49.3*OFFSET(D$108,MATCH($M$1,$C$109:$C$110,0),0)</f>
        <v>40.103577640729085</v>
      </c>
      <c r="E34" s="47">
        <f ca="1">24.5*OFFSET(E$108,MATCH($M$1,$C$109:$C$110,0),0)</f>
        <v>20.46558344241765</v>
      </c>
      <c r="F34" s="47">
        <f ca="1">49.5*OFFSET(F$108,MATCH($M$1,$C$109:$C$110,0),0)</f>
        <v>42.536338898710461</v>
      </c>
      <c r="G34" s="47">
        <f ca="1">3.3*OFFSET(G$108,MATCH($M$1,$C$109:$C$110,0),0)</f>
        <v>2.9180910388893864</v>
      </c>
      <c r="H34" s="47">
        <f ca="1">34.5*OFFSET(H$108,MATCH($M$1,$C$109:$C$110,0),0)</f>
        <v>31.111410498625787</v>
      </c>
      <c r="I34" s="47">
        <f ca="1">24.4*OFFSET(I$108,MATCH($M$1,$C$109:$C$110,0),0)</f>
        <v>22.701515704360141</v>
      </c>
      <c r="J34" s="47">
        <f ca="1">23*OFFSET(J$108,MATCH($M$1,$C$109:$C$110,0),0)</f>
        <v>21.853679827512376</v>
      </c>
      <c r="K34" s="47">
        <f ca="1">92*OFFSET(K$108,MATCH($M$1,$C$109:$C$110,0),0)</f>
        <v>88.866479131485946</v>
      </c>
      <c r="L34" s="47">
        <f ca="1">43.1*OFFSET(L$108,MATCH($M$1,$C$109:$C$110,0),0)</f>
        <v>42.377212254587306</v>
      </c>
      <c r="M34" s="48">
        <f ca="1">46*OFFSET(M$108,MATCH($M$1,$C$109:$C$110,0),0)</f>
        <v>45.999999821282955</v>
      </c>
      <c r="N34" s="49">
        <f t="shared" ca="1" si="0"/>
        <v>5.6694059423494515E-2</v>
      </c>
      <c r="O34" s="49">
        <f t="shared" ca="1" si="1"/>
        <v>0.36211157178036457</v>
      </c>
    </row>
    <row r="35" spans="1:15" s="19" customFormat="1" ht="18" customHeight="1" x14ac:dyDescent="0.2">
      <c r="A35" s="148"/>
      <c r="B35" s="33" t="s">
        <v>43</v>
      </c>
      <c r="C35" s="25"/>
      <c r="D35" s="26"/>
      <c r="E35" s="26">
        <f ca="1">26.4*OFFSET(E$108,MATCH($M$1,$C$109:$C$110,0),0)</f>
        <v>22.05271032162555</v>
      </c>
      <c r="F35" s="26">
        <f ca="1">9.2*OFFSET(F$108,MATCH($M$1,$C$109:$C$110,0),0)</f>
        <v>7.9057437953158836</v>
      </c>
      <c r="G35" s="26">
        <f ca="1">10*OFFSET(G$108,MATCH($M$1,$C$109:$C$110,0),0)</f>
        <v>8.8427001178466256</v>
      </c>
      <c r="H35" s="26">
        <f ca="1">7.6*OFFSET(H$108,MATCH($M$1,$C$109:$C$110,0),0)</f>
        <v>6.8535281098422018</v>
      </c>
      <c r="I35" s="26">
        <f ca="1">10.2*OFFSET(I$108,MATCH($M$1,$C$109:$C$110,0),0)</f>
        <v>9.489977876412846</v>
      </c>
      <c r="J35" s="26">
        <f ca="1">13.6*OFFSET(J$108,MATCH($M$1,$C$109:$C$110,0),0)</f>
        <v>12.922175898007318</v>
      </c>
      <c r="K35" s="26">
        <f ca="1">10.5*OFFSET(K$108,MATCH($M$1,$C$109:$C$110,0),0)</f>
        <v>10.142369900876114</v>
      </c>
      <c r="L35" s="26">
        <f ca="1">6.7*OFFSET(L$108,MATCH($M$1,$C$109:$C$110,0),0)</f>
        <v>6.5876408841237799</v>
      </c>
      <c r="M35" s="27"/>
      <c r="N35" s="24" t="str">
        <f t="shared" ca="1" si="0"/>
        <v/>
      </c>
      <c r="O35" s="24">
        <f t="shared" ca="1" si="1"/>
        <v>-3.8795671580683692E-2</v>
      </c>
    </row>
    <row r="36" spans="1:15" s="19" customFormat="1" ht="18" customHeight="1" x14ac:dyDescent="0.2">
      <c r="A36" s="148"/>
      <c r="B36" s="33" t="s">
        <v>44</v>
      </c>
      <c r="C36" s="25"/>
      <c r="D36" s="26"/>
      <c r="E36" s="26"/>
      <c r="F36" s="26">
        <f ca="1">26.1*OFFSET(F$108,MATCH($M$1,$C$109:$C$110,0),0)</f>
        <v>22.428251419320063</v>
      </c>
      <c r="G36" s="26">
        <f ca="1">19.6*OFFSET(G$108,MATCH($M$1,$C$109:$C$110,0),0)</f>
        <v>17.331692230979389</v>
      </c>
      <c r="H36" s="26">
        <f ca="1">9*OFFSET(H$108,MATCH($M$1,$C$109:$C$110,0),0)</f>
        <v>8.1160201300762917</v>
      </c>
      <c r="I36" s="26">
        <f ca="1">6*OFFSET(I$108,MATCH($M$1,$C$109:$C$110,0),0)</f>
        <v>5.5823399273016747</v>
      </c>
      <c r="J36" s="26">
        <f ca="1">8.6*OFFSET(J$108,MATCH($M$1,$C$109:$C$110,0),0)</f>
        <v>8.1713759355046278</v>
      </c>
      <c r="K36" s="26">
        <f ca="1">6.7*OFFSET(K$108,MATCH($M$1,$C$109:$C$110,0),0)</f>
        <v>6.4717979367495202</v>
      </c>
      <c r="L36" s="26">
        <f ca="1">6.8*OFFSET(L$108,MATCH($M$1,$C$109:$C$110,0),0)</f>
        <v>6.685963882394284</v>
      </c>
      <c r="M36" s="27"/>
      <c r="N36" s="24" t="str">
        <f t="shared" ca="1" si="0"/>
        <v/>
      </c>
      <c r="O36" s="24">
        <f t="shared" ca="1" si="1"/>
        <v>-0.17620166347080821</v>
      </c>
    </row>
    <row r="37" spans="1:15" s="19" customFormat="1" ht="18" customHeight="1" x14ac:dyDescent="0.2">
      <c r="A37" s="148"/>
      <c r="B37" s="33" t="s">
        <v>45</v>
      </c>
      <c r="C37" s="25"/>
      <c r="D37" s="26"/>
      <c r="E37" s="26"/>
      <c r="F37" s="26"/>
      <c r="G37" s="26"/>
      <c r="H37" s="26">
        <f ca="1">1.2*OFFSET(H$108,MATCH($M$1,$C$109:$C$110,0),0)</f>
        <v>1.0821360173435055</v>
      </c>
      <c r="I37" s="26"/>
      <c r="J37" s="26">
        <f ca="1">5*OFFSET(J$108,MATCH($M$1,$C$109:$C$110,0),0)</f>
        <v>4.7507999625026907</v>
      </c>
      <c r="K37" s="26">
        <f ca="1">2.6*OFFSET(K$108,MATCH($M$1,$C$109:$C$110,0),0)</f>
        <v>2.5114439754550379</v>
      </c>
      <c r="L37" s="26">
        <f ca="1">1.8*OFFSET(L$108,MATCH($M$1,$C$109:$C$110,0),0)</f>
        <v>1.7698139688690753</v>
      </c>
      <c r="M37" s="27"/>
      <c r="N37" s="24" t="str">
        <f t="shared" ca="1" si="0"/>
        <v/>
      </c>
      <c r="O37" s="24">
        <f t="shared" ca="1" si="1"/>
        <v>0.63548199163883679</v>
      </c>
    </row>
    <row r="38" spans="1:15" s="19" customFormat="1" ht="18" customHeight="1" thickBot="1" x14ac:dyDescent="0.25">
      <c r="A38" s="149"/>
      <c r="B38" s="50" t="s">
        <v>46</v>
      </c>
      <c r="C38" s="51"/>
      <c r="D38" s="52"/>
      <c r="E38" s="52">
        <f ca="1">-1.9*OFFSET(E$108,MATCH($M$1,$C$109:$C$110,0),0)</f>
        <v>-1.5871268792078994</v>
      </c>
      <c r="F38" s="52">
        <f ca="1">14.2*OFFSET(F$108,MATCH($M$1,$C$109:$C$110,0),0)</f>
        <v>12.202343684074515</v>
      </c>
      <c r="G38" s="52">
        <f ca="1">-26.3*OFFSET(G$108,MATCH($M$1,$C$109:$C$110,0),0)</f>
        <v>-23.256301309936628</v>
      </c>
      <c r="H38" s="52">
        <f ca="1">16.6*OFFSET(H$108,MATCH($M$1,$C$109:$C$110,0),0)</f>
        <v>14.969548239918495</v>
      </c>
      <c r="I38" s="52">
        <f ca="1">8.2*OFFSET(I$108,MATCH($M$1,$C$109:$C$110,0),0)</f>
        <v>7.6291979006456208</v>
      </c>
      <c r="J38" s="52">
        <f ca="1">-4.2*OFFSET(J$108,MATCH($M$1,$C$109:$C$110,0),0)</f>
        <v>-3.99067196850226</v>
      </c>
      <c r="K38" s="52">
        <f ca="1">72.1*OFFSET(K$108,MATCH($M$1,$C$109:$C$110,0),0)</f>
        <v>69.64427331934931</v>
      </c>
      <c r="L38" s="52">
        <f ca="1">27.8*OFFSET(L$108,MATCH($M$1,$C$109:$C$110,0),0)</f>
        <v>27.333793519200164</v>
      </c>
      <c r="M38" s="53"/>
      <c r="N38" s="54" t="str">
        <f t="shared" ca="1" si="0"/>
        <v/>
      </c>
      <c r="O38" s="54">
        <f t="shared" ca="1" si="1"/>
        <v>0.82595981395821927</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South West beamers under 250kW</v>
      </c>
      <c r="C45" s="61"/>
      <c r="D45" s="61"/>
      <c r="E45" s="61"/>
      <c r="F45" s="61" t="str">
        <f>$B21&amp;CHAR(10)&amp;$A$1</f>
        <v>Income per kW day at sea (£)
South West beamers under 250kW</v>
      </c>
      <c r="G45" s="61"/>
      <c r="K45" s="61" t="str">
        <f>$B23&amp;CHAR(10)&amp;$A$1</f>
        <v>Operating profit per kW day at sea (£)
South West beamers under 250kW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South West beamers under 250kW</v>
      </c>
      <c r="F59" s="61" t="str">
        <f>$B19&amp;CHAR(10)&amp;$A$1</f>
        <v>Average price per tonne landed (£)
South West beamers under 250kW</v>
      </c>
      <c r="K59" s="61" t="str">
        <f>"Average annual operating profit per vessel (£'000)"&amp;CHAR(10)&amp;$A$1</f>
        <v>Average annual operating profit per vessel (£'000)
South West beamers under 250kW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South West beamers under 250kW</v>
      </c>
      <c r="F73" s="61" t="str">
        <f>"Top 5 landed species by value in "&amp;A74&amp;CHAR(10)&amp;A1</f>
        <v>Top 5 landed species by value in 2013
South West beamers under 250kW</v>
      </c>
    </row>
    <row r="74" spans="1:9" s="61" customFormat="1" x14ac:dyDescent="0.2">
      <c r="A74" s="61">
        <v>2013</v>
      </c>
      <c r="B74" s="61" t="s">
        <v>403</v>
      </c>
      <c r="C74" s="62">
        <v>0.24680415487951768</v>
      </c>
      <c r="D74" s="63">
        <v>2171775</v>
      </c>
      <c r="G74" s="61" t="s">
        <v>404</v>
      </c>
      <c r="H74" s="62">
        <v>0.29606675666061577</v>
      </c>
      <c r="I74" s="63">
        <v>8211234</v>
      </c>
    </row>
    <row r="75" spans="1:9" s="61" customFormat="1" x14ac:dyDescent="0.2">
      <c r="B75" s="61" t="s">
        <v>405</v>
      </c>
      <c r="C75" s="62">
        <v>0.1335699965664216</v>
      </c>
      <c r="D75" s="63">
        <v>2783840</v>
      </c>
      <c r="G75" s="61" t="s">
        <v>406</v>
      </c>
      <c r="H75" s="62">
        <v>0.17362668863990519</v>
      </c>
      <c r="I75" s="63">
        <v>2171775</v>
      </c>
    </row>
    <row r="76" spans="1:9" s="61" customFormat="1" x14ac:dyDescent="0.2">
      <c r="B76" s="61" t="s">
        <v>407</v>
      </c>
      <c r="C76" s="62">
        <v>0.10988257053690148</v>
      </c>
      <c r="D76" s="63">
        <v>2764187</v>
      </c>
      <c r="G76" s="61" t="s">
        <v>408</v>
      </c>
      <c r="H76" s="62">
        <v>0.15728838102594297</v>
      </c>
      <c r="I76" s="63">
        <v>2783840</v>
      </c>
    </row>
    <row r="77" spans="1:9" s="61" customFormat="1" x14ac:dyDescent="0.2">
      <c r="B77" s="61" t="s">
        <v>409</v>
      </c>
      <c r="C77" s="62">
        <v>8.9675356244161217E-2</v>
      </c>
      <c r="D77" s="63">
        <v>3511670</v>
      </c>
      <c r="G77" s="61" t="s">
        <v>410</v>
      </c>
      <c r="H77" s="62">
        <v>5.6955986046311802E-2</v>
      </c>
      <c r="I77" s="63">
        <v>6763595</v>
      </c>
    </row>
    <row r="78" spans="1:9" s="61" customFormat="1" x14ac:dyDescent="0.2">
      <c r="B78" s="61" t="s">
        <v>411</v>
      </c>
      <c r="C78" s="62">
        <v>8.815770793412922E-2</v>
      </c>
      <c r="D78" s="63">
        <v>6763595</v>
      </c>
      <c r="G78" s="61" t="s">
        <v>412</v>
      </c>
      <c r="H78" s="62">
        <v>5.1237277907260195E-2</v>
      </c>
      <c r="I78" s="63">
        <v>2764187</v>
      </c>
    </row>
    <row r="79" spans="1:9" s="61" customFormat="1" x14ac:dyDescent="0.2">
      <c r="B79" s="61" t="s">
        <v>413</v>
      </c>
      <c r="C79" s="62">
        <v>0.33191021383886876</v>
      </c>
      <c r="D79" s="63">
        <v>32768</v>
      </c>
      <c r="G79" s="61" t="s">
        <v>414</v>
      </c>
      <c r="H79" s="62">
        <v>0.26482490971996409</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84</v>
      </c>
      <c r="D88" s="66">
        <v>0.58422114816597326</v>
      </c>
      <c r="E88" s="66">
        <v>0.64164787327845607</v>
      </c>
      <c r="F88" s="66">
        <v>0.57598534238176813</v>
      </c>
      <c r="G88" s="66">
        <v>0.48184982715416158</v>
      </c>
      <c r="H88" s="66">
        <v>0.4529425601273816</v>
      </c>
      <c r="I88" s="66">
        <v>0.40199757290121696</v>
      </c>
      <c r="J88" s="66">
        <v>0.33226175382802625</v>
      </c>
      <c r="K88" s="66">
        <v>0.29618205986184509</v>
      </c>
      <c r="L88" s="66">
        <v>0.301116473220777</v>
      </c>
      <c r="M88" s="66">
        <v>0.31139527434238129</v>
      </c>
      <c r="N88" s="61"/>
      <c r="O88" s="61">
        <v>8211234</v>
      </c>
    </row>
    <row r="89" spans="1:15" s="65" customFormat="1" hidden="1" x14ac:dyDescent="0.2">
      <c r="A89" s="61"/>
      <c r="B89" s="61">
        <v>2</v>
      </c>
      <c r="C89" s="61" t="s">
        <v>133</v>
      </c>
      <c r="D89" s="66"/>
      <c r="E89" s="66">
        <v>2.9033772396690721E-2</v>
      </c>
      <c r="F89" s="66">
        <v>6.1326023058018E-2</v>
      </c>
      <c r="G89" s="66">
        <v>8.2962048064228522E-2</v>
      </c>
      <c r="H89" s="66">
        <v>8.0895378122195133E-2</v>
      </c>
      <c r="I89" s="66">
        <v>0.13992956092739323</v>
      </c>
      <c r="J89" s="66">
        <v>0.18711437887891114</v>
      </c>
      <c r="K89" s="66">
        <v>0.22727195377357787</v>
      </c>
      <c r="L89" s="66">
        <v>0.17658806658993259</v>
      </c>
      <c r="M89" s="66">
        <v>0.13066580187768617</v>
      </c>
      <c r="N89" s="61"/>
      <c r="O89" s="61">
        <v>2171775</v>
      </c>
    </row>
    <row r="90" spans="1:15" s="65" customFormat="1" hidden="1" x14ac:dyDescent="0.2">
      <c r="A90" s="61"/>
      <c r="B90" s="61">
        <v>3</v>
      </c>
      <c r="C90" s="61" t="s">
        <v>82</v>
      </c>
      <c r="D90" s="66"/>
      <c r="E90" s="66"/>
      <c r="F90" s="66">
        <v>4.1703593320304204E-2</v>
      </c>
      <c r="G90" s="66">
        <v>8.3720079270321907E-2</v>
      </c>
      <c r="H90" s="66">
        <v>9.5891412526347045E-2</v>
      </c>
      <c r="I90" s="66">
        <v>0.12707362438395228</v>
      </c>
      <c r="J90" s="66">
        <v>0.14828701859492394</v>
      </c>
      <c r="K90" s="66">
        <v>0.14484610231630807</v>
      </c>
      <c r="L90" s="66">
        <v>0.15997109269322454</v>
      </c>
      <c r="M90" s="66">
        <v>0.15454733826382649</v>
      </c>
      <c r="N90" s="61"/>
      <c r="O90" s="61">
        <v>2783840</v>
      </c>
    </row>
    <row r="91" spans="1:15" s="65" customFormat="1" hidden="1" x14ac:dyDescent="0.2">
      <c r="A91" s="61"/>
      <c r="B91" s="61">
        <v>4</v>
      </c>
      <c r="C91" s="61" t="s">
        <v>59</v>
      </c>
      <c r="D91" s="66">
        <v>4.8280167357745124E-2</v>
      </c>
      <c r="E91" s="66">
        <v>3.8301815754963393E-2</v>
      </c>
      <c r="F91" s="66"/>
      <c r="G91" s="66">
        <v>5.9188993121490244E-2</v>
      </c>
      <c r="H91" s="66">
        <v>5.5183218713550489E-2</v>
      </c>
      <c r="I91" s="66">
        <v>7.410924732822162E-2</v>
      </c>
      <c r="J91" s="66">
        <v>4.7243865310277432E-2</v>
      </c>
      <c r="K91" s="66"/>
      <c r="L91" s="66">
        <v>5.7927427721096186E-2</v>
      </c>
      <c r="M91" s="66">
        <v>7.9308592941671183E-2</v>
      </c>
      <c r="N91" s="61"/>
      <c r="O91" s="61">
        <v>6763595</v>
      </c>
    </row>
    <row r="92" spans="1:15" s="65" customFormat="1" hidden="1" x14ac:dyDescent="0.2">
      <c r="A92" s="61"/>
      <c r="B92" s="61">
        <v>5</v>
      </c>
      <c r="C92" s="61" t="s">
        <v>85</v>
      </c>
      <c r="D92" s="66">
        <v>0.10229700901856502</v>
      </c>
      <c r="E92" s="66">
        <v>0.10517032691925934</v>
      </c>
      <c r="F92" s="66">
        <v>8.0334757182845717E-2</v>
      </c>
      <c r="G92" s="66">
        <v>8.3294904391021413E-2</v>
      </c>
      <c r="H92" s="66">
        <v>8.2864574794085655E-2</v>
      </c>
      <c r="I92" s="66">
        <v>6.6534699991865329E-2</v>
      </c>
      <c r="J92" s="66">
        <v>6.0446343331875603E-2</v>
      </c>
      <c r="K92" s="66">
        <v>5.3265657682062387E-2</v>
      </c>
      <c r="L92" s="66">
        <v>5.2111181258194195E-2</v>
      </c>
      <c r="M92" s="66"/>
      <c r="N92" s="61"/>
      <c r="O92" s="61">
        <v>2764187</v>
      </c>
    </row>
    <row r="93" spans="1:15" s="65" customFormat="1" hidden="1" x14ac:dyDescent="0.2">
      <c r="A93" s="61"/>
      <c r="B93" s="61">
        <v>6</v>
      </c>
      <c r="C93" s="61" t="s">
        <v>132</v>
      </c>
      <c r="D93" s="66">
        <v>5.9640258662726993E-2</v>
      </c>
      <c r="E93" s="66">
        <v>4.6247844508056961E-2</v>
      </c>
      <c r="F93" s="66">
        <v>5.5334879661458225E-2</v>
      </c>
      <c r="G93" s="66"/>
      <c r="H93" s="66"/>
      <c r="I93" s="66"/>
      <c r="J93" s="66"/>
      <c r="K93" s="66">
        <v>4.2328655440737578E-2</v>
      </c>
      <c r="L93" s="66"/>
      <c r="M93" s="66">
        <v>6.1401092694910286E-2</v>
      </c>
      <c r="N93" s="61"/>
      <c r="O93" s="61">
        <v>3511670</v>
      </c>
    </row>
    <row r="94" spans="1:15" s="65" customFormat="1" hidden="1" x14ac:dyDescent="0.2">
      <c r="A94" s="61"/>
      <c r="B94" s="61">
        <v>7</v>
      </c>
      <c r="C94" s="61" t="s">
        <v>243</v>
      </c>
      <c r="D94" s="66">
        <v>3.1966081534840346E-2</v>
      </c>
      <c r="E94" s="66"/>
      <c r="F94" s="66"/>
      <c r="G94" s="66"/>
      <c r="H94" s="66"/>
      <c r="I94" s="66"/>
      <c r="J94" s="66"/>
      <c r="K94" s="66"/>
      <c r="L94" s="66"/>
      <c r="M94" s="66"/>
      <c r="N94" s="61"/>
      <c r="O94" s="61">
        <v>1464488</v>
      </c>
    </row>
    <row r="95" spans="1:15" s="65" customFormat="1" hidden="1" x14ac:dyDescent="0.2">
      <c r="A95" s="61"/>
      <c r="B95" s="61">
        <v>8</v>
      </c>
      <c r="C95" s="61" t="s">
        <v>68</v>
      </c>
      <c r="D95" s="66">
        <v>0.17359533526014928</v>
      </c>
      <c r="E95" s="66">
        <v>0.13959836714257357</v>
      </c>
      <c r="F95" s="66">
        <v>0.18531540439560576</v>
      </c>
      <c r="G95" s="66">
        <v>0.20898414799877635</v>
      </c>
      <c r="H95" s="66">
        <v>0.23222285571644011</v>
      </c>
      <c r="I95" s="66">
        <v>0.19035529446735056</v>
      </c>
      <c r="J95" s="66">
        <v>0.22464664005598561</v>
      </c>
      <c r="K95" s="66">
        <v>0.23610557092546899</v>
      </c>
      <c r="L95" s="66">
        <v>0.25228575851677548</v>
      </c>
      <c r="M95" s="66">
        <v>0.26268189987952456</v>
      </c>
      <c r="N95" s="61"/>
      <c r="O95" s="61">
        <v>32768</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9</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'South West beamers u250kW'!D3:L3</xm:f>
              <xm:sqref>C3</xm:sqref>
            </x14:sparkline>
            <x14:sparkline>
              <xm:f>'South West beamers u250kW'!D4:L4</xm:f>
              <xm:sqref>C4</xm:sqref>
            </x14:sparkline>
            <x14:sparkline>
              <xm:f>'South West beamers u250kW'!D5:L5</xm:f>
              <xm:sqref>C5</xm:sqref>
            </x14:sparkline>
            <x14:sparkline>
              <xm:f>'South West beamers u250kW'!D6:L6</xm:f>
              <xm:sqref>C6</xm:sqref>
            </x14:sparkline>
            <x14:sparkline>
              <xm:f>'South West beamers u250kW'!D7:L7</xm:f>
              <xm:sqref>C7</xm:sqref>
            </x14:sparkline>
            <x14:sparkline>
              <xm:f>'South West beamers u250kW'!D8:L8</xm:f>
              <xm:sqref>C8</xm:sqref>
            </x14:sparkline>
            <x14:sparkline>
              <xm:f>'South West beamers u250kW'!D9:L9</xm:f>
              <xm:sqref>C9</xm:sqref>
            </x14:sparkline>
            <x14:sparkline>
              <xm:f>'South West beamers u250kW'!D10:L10</xm:f>
              <xm:sqref>C10</xm:sqref>
            </x14:sparkline>
            <x14:sparkline>
              <xm:f>'South West beamers u250kW'!D11:L11</xm:f>
              <xm:sqref>C11</xm:sqref>
            </x14:sparkline>
            <x14:sparkline>
              <xm:f>'South West beamers u250kW'!D12:L12</xm:f>
              <xm:sqref>C12</xm:sqref>
            </x14:sparkline>
            <x14:sparkline>
              <xm:f>'South West beamers u250kW'!D13:L13</xm:f>
              <xm:sqref>C13</xm:sqref>
            </x14:sparkline>
            <x14:sparkline>
              <xm:f>'South West beamers u250kW'!D14:L14</xm:f>
              <xm:sqref>C14</xm:sqref>
            </x14:sparkline>
            <x14:sparkline>
              <xm:f>'South West beamers u250kW'!D15:L15</xm:f>
              <xm:sqref>C15</xm:sqref>
            </x14:sparkline>
            <x14:sparkline>
              <xm:f>'South West beamers u250kW'!D16:L16</xm:f>
              <xm:sqref>C16</xm:sqref>
            </x14:sparkline>
            <x14:sparkline>
              <xm:f>'South West beamers u250kW'!D17:L17</xm:f>
              <xm:sqref>C17</xm:sqref>
            </x14:sparkline>
            <x14:sparkline>
              <xm:f>'South West beamers u250kW'!D18:L18</xm:f>
              <xm:sqref>C18</xm:sqref>
            </x14:sparkline>
            <x14:sparkline>
              <xm:f>'South West beamers u250kW'!D19:L19</xm:f>
              <xm:sqref>C19</xm:sqref>
            </x14:sparkline>
            <x14:sparkline>
              <xm:f>'South West beamers u250kW'!D20:L20</xm:f>
              <xm:sqref>C20</xm:sqref>
            </x14:sparkline>
            <x14:sparkline>
              <xm:f>'South West beamers u250kW'!D21:L21</xm:f>
              <xm:sqref>C21</xm:sqref>
            </x14:sparkline>
            <x14:sparkline>
              <xm:f>'South West beamers u250kW'!D22:L22</xm:f>
              <xm:sqref>C22</xm:sqref>
            </x14:sparkline>
            <x14:sparkline>
              <xm:f>'South West beamers u250kW'!D23:L23</xm:f>
              <xm:sqref>C23</xm:sqref>
            </x14:sparkline>
            <x14:sparkline>
              <xm:f>'South West beamers u250kW'!D24:L24</xm:f>
              <xm:sqref>C24</xm:sqref>
            </x14:sparkline>
            <x14:sparkline>
              <xm:f>'South West beamers u250kW'!D25:L25</xm:f>
              <xm:sqref>C25</xm:sqref>
            </x14:sparkline>
            <x14:sparkline>
              <xm:f>'South West beamers u250kW'!D26:L26</xm:f>
              <xm:sqref>C26</xm:sqref>
            </x14:sparkline>
            <x14:sparkline>
              <xm:f>'South West beamers u250kW'!D27:L27</xm:f>
              <xm:sqref>C27</xm:sqref>
            </x14:sparkline>
            <x14:sparkline>
              <xm:f>'South West beamers u250kW'!D28:L28</xm:f>
              <xm:sqref>C28</xm:sqref>
            </x14:sparkline>
            <x14:sparkline>
              <xm:f>'South West beamers u250kW'!D29:L29</xm:f>
              <xm:sqref>C29</xm:sqref>
            </x14:sparkline>
            <x14:sparkline>
              <xm:f>'South West beamers u250kW'!D30:L30</xm:f>
              <xm:sqref>C30</xm:sqref>
            </x14:sparkline>
            <x14:sparkline>
              <xm:f>'South West beamers u250kW'!D31:L31</xm:f>
              <xm:sqref>C31</xm:sqref>
            </x14:sparkline>
            <x14:sparkline>
              <xm:f>'South West beamers u250kW'!D32:L32</xm:f>
              <xm:sqref>C32</xm:sqref>
            </x14:sparkline>
            <x14:sparkline>
              <xm:f>'South West beamers u250kW'!D33:L33</xm:f>
              <xm:sqref>C33</xm:sqref>
            </x14:sparkline>
            <x14:sparkline>
              <xm:f>'South West beamers u250kW'!D34:L34</xm:f>
              <xm:sqref>C34</xm:sqref>
            </x14:sparkline>
            <x14:sparkline>
              <xm:f>'South West beamers u250kW'!D35:L35</xm:f>
              <xm:sqref>C35</xm:sqref>
            </x14:sparkline>
            <x14:sparkline>
              <xm:f>'South West beamers u250kW'!D36:L36</xm:f>
              <xm:sqref>C36</xm:sqref>
            </x14:sparkline>
            <x14:sparkline>
              <xm:f>'South West beamers u250kW'!D37:L37</xm:f>
              <xm:sqref>C37</xm:sqref>
            </x14:sparkline>
            <x14:sparkline>
              <xm:f>'South West beamers u250kW'!D38:L38</xm:f>
              <xm:sqref>C38</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C33"/>
  <sheetViews>
    <sheetView workbookViewId="0">
      <selection activeCell="C1" sqref="C1"/>
    </sheetView>
  </sheetViews>
  <sheetFormatPr defaultRowHeight="15" x14ac:dyDescent="0.25"/>
  <cols>
    <col min="1" max="1" width="9" style="120"/>
    <col min="2" max="2" width="72.25" style="122" customWidth="1"/>
    <col min="3" max="16384" width="9" style="120"/>
  </cols>
  <sheetData>
    <row r="1" spans="1:3" ht="27" customHeight="1" thickBot="1" x14ac:dyDescent="0.3">
      <c r="B1" s="121" t="s">
        <v>593</v>
      </c>
      <c r="C1" s="119" t="s">
        <v>515</v>
      </c>
    </row>
    <row r="2" spans="1:3" x14ac:dyDescent="0.25">
      <c r="A2" s="136"/>
      <c r="B2" s="136"/>
      <c r="C2" s="136"/>
    </row>
    <row r="3" spans="1:3" ht="30.75" customHeight="1" x14ac:dyDescent="0.25">
      <c r="A3" s="135" t="s">
        <v>594</v>
      </c>
      <c r="B3" s="135"/>
      <c r="C3" s="135"/>
    </row>
    <row r="4" spans="1:3" x14ac:dyDescent="0.25">
      <c r="A4" s="136"/>
      <c r="B4" s="136"/>
      <c r="C4" s="136"/>
    </row>
    <row r="5" spans="1:3" ht="30" customHeight="1" x14ac:dyDescent="0.25">
      <c r="A5" s="135" t="s">
        <v>595</v>
      </c>
      <c r="B5" s="135"/>
      <c r="C5" s="135"/>
    </row>
    <row r="6" spans="1:3" x14ac:dyDescent="0.25">
      <c r="A6" s="136"/>
      <c r="B6" s="136"/>
      <c r="C6" s="136"/>
    </row>
    <row r="7" spans="1:3" ht="15" customHeight="1" x14ac:dyDescent="0.25">
      <c r="A7" s="135" t="s">
        <v>596</v>
      </c>
      <c r="B7" s="135"/>
      <c r="C7" s="135"/>
    </row>
    <row r="8" spans="1:3" x14ac:dyDescent="0.25">
      <c r="A8" s="136"/>
      <c r="B8" s="136"/>
      <c r="C8" s="136"/>
    </row>
    <row r="9" spans="1:3" ht="66.75" customHeight="1" x14ac:dyDescent="0.25">
      <c r="A9" s="135" t="s">
        <v>597</v>
      </c>
      <c r="B9" s="135"/>
      <c r="C9" s="135"/>
    </row>
    <row r="10" spans="1:3" x14ac:dyDescent="0.25">
      <c r="A10" s="136"/>
      <c r="B10" s="136"/>
      <c r="C10" s="136"/>
    </row>
    <row r="11" spans="1:3" ht="48.75" customHeight="1" x14ac:dyDescent="0.25">
      <c r="A11" s="135" t="s">
        <v>598</v>
      </c>
      <c r="B11" s="135"/>
      <c r="C11" s="135"/>
    </row>
    <row r="12" spans="1:3" x14ac:dyDescent="0.25">
      <c r="A12" s="136"/>
      <c r="B12" s="136"/>
      <c r="C12" s="136"/>
    </row>
    <row r="13" spans="1:3" ht="33" customHeight="1" x14ac:dyDescent="0.25">
      <c r="A13" s="135" t="s">
        <v>599</v>
      </c>
      <c r="B13" s="135"/>
      <c r="C13" s="135"/>
    </row>
    <row r="14" spans="1:3" x14ac:dyDescent="0.25">
      <c r="A14" s="136"/>
      <c r="B14" s="136"/>
      <c r="C14" s="136"/>
    </row>
    <row r="15" spans="1:3" x14ac:dyDescent="0.25">
      <c r="A15" s="135" t="s">
        <v>600</v>
      </c>
      <c r="B15" s="135"/>
      <c r="C15" s="135"/>
    </row>
    <row r="16" spans="1:3" x14ac:dyDescent="0.25">
      <c r="A16" s="136"/>
      <c r="B16" s="136"/>
      <c r="C16" s="136"/>
    </row>
    <row r="17" spans="1:3" ht="60" customHeight="1" x14ac:dyDescent="0.25">
      <c r="A17" s="135" t="s">
        <v>601</v>
      </c>
      <c r="B17" s="135"/>
      <c r="C17" s="135"/>
    </row>
    <row r="18" spans="1:3" x14ac:dyDescent="0.25">
      <c r="A18" s="136"/>
      <c r="B18" s="136"/>
      <c r="C18" s="136"/>
    </row>
    <row r="19" spans="1:3" ht="30" customHeight="1" x14ac:dyDescent="0.25">
      <c r="A19" s="135" t="s">
        <v>602</v>
      </c>
      <c r="B19" s="135"/>
      <c r="C19" s="135"/>
    </row>
    <row r="20" spans="1:3" x14ac:dyDescent="0.25">
      <c r="A20" s="136"/>
      <c r="B20" s="136"/>
      <c r="C20" s="136"/>
    </row>
    <row r="21" spans="1:3" ht="29.25" customHeight="1" x14ac:dyDescent="0.25">
      <c r="A21" s="135" t="s">
        <v>603</v>
      </c>
      <c r="B21" s="135"/>
      <c r="C21" s="135"/>
    </row>
    <row r="22" spans="1:3" x14ac:dyDescent="0.25">
      <c r="A22" s="136"/>
      <c r="B22" s="136"/>
      <c r="C22" s="136"/>
    </row>
    <row r="23" spans="1:3" ht="60" customHeight="1" x14ac:dyDescent="0.25">
      <c r="A23" s="135" t="s">
        <v>604</v>
      </c>
      <c r="B23" s="135"/>
      <c r="C23" s="135"/>
    </row>
    <row r="24" spans="1:3" x14ac:dyDescent="0.25">
      <c r="A24" s="136"/>
      <c r="B24" s="136"/>
      <c r="C24" s="136"/>
    </row>
    <row r="25" spans="1:3" ht="45" customHeight="1" x14ac:dyDescent="0.25">
      <c r="A25" s="135" t="s">
        <v>605</v>
      </c>
      <c r="B25" s="135"/>
      <c r="C25" s="135"/>
    </row>
    <row r="26" spans="1:3" x14ac:dyDescent="0.25">
      <c r="A26" s="136"/>
      <c r="B26" s="136"/>
      <c r="C26" s="136"/>
    </row>
    <row r="27" spans="1:3" ht="34.5" customHeight="1" x14ac:dyDescent="0.25">
      <c r="A27" s="135" t="s">
        <v>606</v>
      </c>
      <c r="B27" s="135"/>
      <c r="C27" s="135"/>
    </row>
    <row r="28" spans="1:3" x14ac:dyDescent="0.25">
      <c r="A28" s="136"/>
      <c r="B28" s="136"/>
      <c r="C28" s="136"/>
    </row>
    <row r="29" spans="1:3" ht="48" customHeight="1" x14ac:dyDescent="0.25">
      <c r="A29" s="135" t="s">
        <v>607</v>
      </c>
      <c r="B29" s="135"/>
      <c r="C29" s="135"/>
    </row>
    <row r="30" spans="1:3" x14ac:dyDescent="0.25">
      <c r="A30" s="136"/>
      <c r="B30" s="136"/>
      <c r="C30" s="136"/>
    </row>
    <row r="31" spans="1:3" ht="18" customHeight="1" x14ac:dyDescent="0.25">
      <c r="A31" s="135" t="s">
        <v>608</v>
      </c>
      <c r="B31" s="135"/>
      <c r="C31" s="135"/>
    </row>
    <row r="32" spans="1:3" x14ac:dyDescent="0.25">
      <c r="A32" s="136"/>
      <c r="B32" s="136"/>
      <c r="C32" s="136"/>
    </row>
    <row r="33" spans="1:3" ht="48.75" customHeight="1" x14ac:dyDescent="0.25">
      <c r="A33" s="135" t="s">
        <v>609</v>
      </c>
      <c r="B33" s="135"/>
      <c r="C33" s="135"/>
    </row>
  </sheetData>
  <mergeCells count="32">
    <mergeCell ref="A32:C32"/>
    <mergeCell ref="A33:C33"/>
    <mergeCell ref="A26:C26"/>
    <mergeCell ref="A27:C27"/>
    <mergeCell ref="A28:C28"/>
    <mergeCell ref="A29:C29"/>
    <mergeCell ref="A30:C30"/>
    <mergeCell ref="A31:C31"/>
    <mergeCell ref="A25:C25"/>
    <mergeCell ref="A14:C14"/>
    <mergeCell ref="A15:C15"/>
    <mergeCell ref="A16:C16"/>
    <mergeCell ref="A17:C17"/>
    <mergeCell ref="A18:C18"/>
    <mergeCell ref="A19:C19"/>
    <mergeCell ref="A20:C20"/>
    <mergeCell ref="A21:C21"/>
    <mergeCell ref="A22:C22"/>
    <mergeCell ref="A23:C23"/>
    <mergeCell ref="A24:C24"/>
    <mergeCell ref="A13:C13"/>
    <mergeCell ref="A2:C2"/>
    <mergeCell ref="A3:C3"/>
    <mergeCell ref="A4:C4"/>
    <mergeCell ref="A5:C5"/>
    <mergeCell ref="A6:C6"/>
    <mergeCell ref="A7:C7"/>
    <mergeCell ref="A8:C8"/>
    <mergeCell ref="A9:C9"/>
    <mergeCell ref="A10:C10"/>
    <mergeCell ref="A11:C11"/>
    <mergeCell ref="A12:C12"/>
  </mergeCells>
  <hyperlinks>
    <hyperlink ref="C1" location="Home_page" display="Back to_x000a_home page"/>
  </hyperlinks>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415</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86</v>
      </c>
      <c r="E3" s="16">
        <v>77</v>
      </c>
      <c r="F3" s="16">
        <v>69</v>
      </c>
      <c r="G3" s="16">
        <v>63</v>
      </c>
      <c r="H3" s="16">
        <v>75</v>
      </c>
      <c r="I3" s="16">
        <v>83</v>
      </c>
      <c r="J3" s="16">
        <v>82</v>
      </c>
      <c r="K3" s="16">
        <v>88</v>
      </c>
      <c r="L3" s="16">
        <v>99</v>
      </c>
      <c r="M3" s="17">
        <v>96</v>
      </c>
      <c r="N3" s="18">
        <f t="shared" ref="N3:N38" si="0">IF(L3=0,"",IFERROR(IF(AND(L3&gt;0,D3&lt;0),"na",IF(AND(L3&lt;0,D3&lt;0),-1,1)*(L3-D3)/D3),""))</f>
        <v>0.15116279069767441</v>
      </c>
      <c r="O3" s="18">
        <f t="shared" ref="O3:O38" si="1">IF(L3=0,"",IFERROR(IF(AND(L3&gt;0,H3&lt;0),"na",IF(AND(L3&lt;0,H3&lt;0),-1,1)*(L3-H3)/H3),""))</f>
        <v>0.32</v>
      </c>
    </row>
    <row r="4" spans="1:15" s="19" customFormat="1" ht="18" customHeight="1" x14ac:dyDescent="0.2">
      <c r="A4" s="141"/>
      <c r="B4" s="20" t="s">
        <v>20</v>
      </c>
      <c r="C4" s="21"/>
      <c r="D4" s="22">
        <v>29243.55078125</v>
      </c>
      <c r="E4" s="22">
        <v>27688.529296875</v>
      </c>
      <c r="F4" s="22">
        <v>27160.169921875</v>
      </c>
      <c r="G4" s="22">
        <v>23916.26953125</v>
      </c>
      <c r="H4" s="22">
        <v>28407.05078125</v>
      </c>
      <c r="I4" s="22">
        <v>33767.6796875</v>
      </c>
      <c r="J4" s="22">
        <v>30968.939453125</v>
      </c>
      <c r="K4" s="22">
        <v>32647.0390625</v>
      </c>
      <c r="L4" s="22">
        <v>37577.91015625</v>
      </c>
      <c r="M4" s="23">
        <v>35941.5</v>
      </c>
      <c r="N4" s="24">
        <f t="shared" si="0"/>
        <v>0.28499820139296206</v>
      </c>
      <c r="O4" s="24">
        <f t="shared" si="1"/>
        <v>0.32283743376321211</v>
      </c>
    </row>
    <row r="5" spans="1:15" s="19" customFormat="1" ht="18" customHeight="1" x14ac:dyDescent="0.2">
      <c r="A5" s="141"/>
      <c r="B5" s="20" t="s">
        <v>21</v>
      </c>
      <c r="C5" s="21"/>
      <c r="D5" s="22">
        <v>7930.740234375</v>
      </c>
      <c r="E5" s="22">
        <v>7550.58984375</v>
      </c>
      <c r="F5" s="22">
        <v>7658.14990234375</v>
      </c>
      <c r="G5" s="22">
        <v>6889.47021484375</v>
      </c>
      <c r="H5" s="22">
        <v>7966.25</v>
      </c>
      <c r="I5" s="22">
        <v>10440.849609375</v>
      </c>
      <c r="J5" s="22">
        <v>9044.8798828125</v>
      </c>
      <c r="K5" s="22">
        <v>10017.6298828125</v>
      </c>
      <c r="L5" s="22">
        <v>11632.3603515625</v>
      </c>
      <c r="M5" s="23">
        <v>11312.1103515625</v>
      </c>
      <c r="N5" s="24">
        <f t="shared" si="0"/>
        <v>0.46674333136561424</v>
      </c>
      <c r="O5" s="24">
        <f t="shared" si="1"/>
        <v>0.46020528499136987</v>
      </c>
    </row>
    <row r="6" spans="1:15" s="19" customFormat="1" ht="18" customHeight="1" x14ac:dyDescent="0.2">
      <c r="A6" s="141"/>
      <c r="B6" s="20" t="s">
        <v>22</v>
      </c>
      <c r="C6" s="21"/>
      <c r="D6" s="22">
        <v>20020.69140625</v>
      </c>
      <c r="E6" s="22">
        <v>22330.25</v>
      </c>
      <c r="F6" s="22">
        <v>19961.88671875</v>
      </c>
      <c r="G6" s="22">
        <v>19444.521484375</v>
      </c>
      <c r="H6" s="22">
        <v>22964.669921875</v>
      </c>
      <c r="I6" s="22">
        <v>27345.423828125</v>
      </c>
      <c r="J6" s="22">
        <v>25012.255859375</v>
      </c>
      <c r="K6" s="22">
        <v>27157.04296875</v>
      </c>
      <c r="L6" s="22">
        <v>31241.8984375</v>
      </c>
      <c r="M6" s="23">
        <v>30057.501953125</v>
      </c>
      <c r="N6" s="24">
        <f t="shared" si="0"/>
        <v>0.56048049508155329</v>
      </c>
      <c r="O6" s="24">
        <f t="shared" si="1"/>
        <v>0.36043315857723368</v>
      </c>
    </row>
    <row r="7" spans="1:15" s="19" customFormat="1" ht="18" customHeight="1" x14ac:dyDescent="0.2">
      <c r="A7" s="141"/>
      <c r="B7" s="20" t="s">
        <v>23</v>
      </c>
      <c r="C7" s="21"/>
      <c r="D7" s="22">
        <v>19499.306640625</v>
      </c>
      <c r="E7" s="22">
        <v>17517.28515625</v>
      </c>
      <c r="F7" s="22">
        <v>20036.681640625</v>
      </c>
      <c r="G7" s="22">
        <v>19571.400390625</v>
      </c>
      <c r="H7" s="22">
        <v>26221.439453125</v>
      </c>
      <c r="I7" s="22">
        <v>34400.0703125</v>
      </c>
      <c r="J7" s="22">
        <v>40231.59765625</v>
      </c>
      <c r="K7" s="22">
        <v>41349.92578125</v>
      </c>
      <c r="L7" s="22">
        <v>36479.0234375</v>
      </c>
      <c r="M7" s="23">
        <v>27117.7109375</v>
      </c>
      <c r="N7" s="24">
        <f t="shared" si="0"/>
        <v>0.87078566996322482</v>
      </c>
      <c r="O7" s="24">
        <f t="shared" si="1"/>
        <v>0.39119072782835074</v>
      </c>
    </row>
    <row r="8" spans="1:15" s="19" customFormat="1" ht="18" customHeight="1" x14ac:dyDescent="0.2">
      <c r="A8" s="141"/>
      <c r="B8" s="20" t="s">
        <v>24</v>
      </c>
      <c r="C8" s="25"/>
      <c r="D8" s="26">
        <f ca="1">31.476022*OFFSET(D$108,MATCH($M$1,$C$109:$C$110,0),0)</f>
        <v>25.604484626740302</v>
      </c>
      <c r="E8" s="26">
        <f ca="1">31.226482*OFFSET(E$108,MATCH($M$1,$C$109:$C$110,0),0)</f>
        <v>26.084415223842974</v>
      </c>
      <c r="F8" s="26">
        <f ca="1">34.325024*OFFSET(F$108,MATCH($M$1,$C$109:$C$110,0),0)</f>
        <v>29.496178860007479</v>
      </c>
      <c r="G8" s="26">
        <f ca="1">33.235192*OFFSET(G$108,MATCH($M$1,$C$109:$C$110,0),0)</f>
        <v>29.388883621505521</v>
      </c>
      <c r="H8" s="26">
        <f ca="1">39.565736*OFFSET(H$108,MATCH($M$1,$C$109:$C$110,0),0)</f>
        <v>35.679589981920472</v>
      </c>
      <c r="I8" s="26">
        <f ca="1">48.883084*OFFSET(I$108,MATCH($M$1,$C$109:$C$110,0),0)</f>
        <v>45.480331930473604</v>
      </c>
      <c r="J8" s="26">
        <f ca="1">47.599448*OFFSET(J$108,MATCH($M$1,$C$109:$C$110,0),0)</f>
        <v>45.227091154709754</v>
      </c>
      <c r="K8" s="26">
        <f ca="1">48.322956*OFFSET(K$108,MATCH($M$1,$C$109:$C$110,0),0)</f>
        <v>46.677075662453404</v>
      </c>
      <c r="L8" s="26">
        <f ca="1">44.73822*OFFSET(L$108,MATCH($M$1,$C$109:$C$110,0),0)</f>
        <v>43.987959276854355</v>
      </c>
      <c r="M8" s="27">
        <f ca="1">39.658188*OFFSET(M$108,MATCH($M$1,$C$109:$C$110,0),0)</f>
        <v>39.658187845921866</v>
      </c>
      <c r="N8" s="24">
        <f t="shared" ca="1" si="0"/>
        <v>0.71797870248538753</v>
      </c>
      <c r="O8" s="24">
        <f t="shared" ca="1" si="1"/>
        <v>0.23286055975261744</v>
      </c>
    </row>
    <row r="9" spans="1:15" s="19" customFormat="1" ht="18" customHeight="1" x14ac:dyDescent="0.2">
      <c r="A9" s="141"/>
      <c r="B9" s="20" t="s">
        <v>25</v>
      </c>
      <c r="C9" s="25"/>
      <c r="D9" s="22">
        <v>14942.8330078125</v>
      </c>
      <c r="E9" s="22">
        <v>12937.4169921875</v>
      </c>
      <c r="F9" s="22">
        <v>12835.75</v>
      </c>
      <c r="G9" s="22">
        <v>11807</v>
      </c>
      <c r="H9" s="22">
        <v>14030.5830078125</v>
      </c>
      <c r="I9" s="22">
        <v>15487.892578125</v>
      </c>
      <c r="J9" s="22">
        <v>14375.5234375</v>
      </c>
      <c r="K9" s="22">
        <v>15383.142578125</v>
      </c>
      <c r="L9" s="22">
        <v>16629.857421875</v>
      </c>
      <c r="M9" s="23">
        <v>16393</v>
      </c>
      <c r="N9" s="24">
        <f t="shared" si="0"/>
        <v>0.11289856569905318</v>
      </c>
      <c r="O9" s="24">
        <f t="shared" si="1"/>
        <v>0.18525776246184308</v>
      </c>
    </row>
    <row r="10" spans="1:15" s="19" customFormat="1" ht="18" customHeight="1" x14ac:dyDescent="0.2">
      <c r="A10" s="142" t="s">
        <v>7</v>
      </c>
      <c r="B10" s="28" t="s">
        <v>26</v>
      </c>
      <c r="C10" s="29"/>
      <c r="D10" s="30">
        <v>20.6593017578125</v>
      </c>
      <c r="E10" s="30">
        <v>21.103116989135742</v>
      </c>
      <c r="F10" s="30">
        <v>21.972028732299805</v>
      </c>
      <c r="G10" s="30">
        <v>21.60444450378418</v>
      </c>
      <c r="H10" s="30">
        <v>21.542533874511719</v>
      </c>
      <c r="I10" s="30">
        <v>21.943252563476563</v>
      </c>
      <c r="J10" s="30">
        <v>21.596706390380859</v>
      </c>
      <c r="K10" s="30">
        <v>21.801136016845703</v>
      </c>
      <c r="L10" s="30">
        <v>22.105655670166016</v>
      </c>
      <c r="M10" s="31">
        <v>22.100000381469727</v>
      </c>
      <c r="N10" s="32">
        <f t="shared" si="0"/>
        <v>7.0009815883857934E-2</v>
      </c>
      <c r="O10" s="32">
        <f t="shared" si="1"/>
        <v>2.6139998151311277E-2</v>
      </c>
    </row>
    <row r="11" spans="1:15" s="19" customFormat="1" ht="18" customHeight="1" x14ac:dyDescent="0.2">
      <c r="A11" s="143"/>
      <c r="B11" s="33" t="s">
        <v>20</v>
      </c>
      <c r="C11" s="21"/>
      <c r="D11" s="22">
        <v>340.04129028320312</v>
      </c>
      <c r="E11" s="22">
        <v>359.59130859375</v>
      </c>
      <c r="F11" s="22">
        <v>393.62564086914063</v>
      </c>
      <c r="G11" s="22">
        <v>379.62332153320312</v>
      </c>
      <c r="H11" s="22">
        <v>378.76068115234375</v>
      </c>
      <c r="I11" s="22">
        <v>406.83950805664062</v>
      </c>
      <c r="J11" s="22">
        <v>377.67001342773437</v>
      </c>
      <c r="K11" s="22">
        <v>370.98910522460937</v>
      </c>
      <c r="L11" s="22">
        <v>379.57485961914062</v>
      </c>
      <c r="M11" s="23">
        <v>374.390625</v>
      </c>
      <c r="N11" s="24">
        <f t="shared" si="0"/>
        <v>0.11626108494945422</v>
      </c>
      <c r="O11" s="24">
        <f t="shared" si="1"/>
        <v>2.149585496360957E-3</v>
      </c>
    </row>
    <row r="12" spans="1:15" s="19" customFormat="1" ht="18" customHeight="1" x14ac:dyDescent="0.2">
      <c r="A12" s="143"/>
      <c r="B12" s="33" t="s">
        <v>21</v>
      </c>
      <c r="C12" s="21"/>
      <c r="D12" s="22">
        <v>92.217910766601563</v>
      </c>
      <c r="E12" s="22">
        <v>98.059608459472656</v>
      </c>
      <c r="F12" s="22">
        <v>110.98767852783203</v>
      </c>
      <c r="G12" s="22">
        <v>109.35666656494141</v>
      </c>
      <c r="H12" s="22">
        <v>106.21666717529297</v>
      </c>
      <c r="I12" s="22">
        <v>125.79337310791016</v>
      </c>
      <c r="J12" s="22">
        <v>110.30341339111328</v>
      </c>
      <c r="K12" s="22">
        <v>113.83670806884766</v>
      </c>
      <c r="L12" s="22">
        <v>117.49858856201172</v>
      </c>
      <c r="M12" s="23">
        <v>117.83448028564453</v>
      </c>
      <c r="N12" s="24">
        <f t="shared" si="0"/>
        <v>0.27414064779014735</v>
      </c>
      <c r="O12" s="24">
        <f t="shared" si="1"/>
        <v>0.10621611171530936</v>
      </c>
    </row>
    <row r="13" spans="1:15" s="19" customFormat="1" ht="18" customHeight="1" x14ac:dyDescent="0.2">
      <c r="A13" s="143"/>
      <c r="B13" s="33" t="s">
        <v>22</v>
      </c>
      <c r="C13" s="21"/>
      <c r="D13" s="22">
        <v>232.79873657226562</v>
      </c>
      <c r="E13" s="22">
        <v>290.00326538085937</v>
      </c>
      <c r="F13" s="22">
        <v>289.30270385742187</v>
      </c>
      <c r="G13" s="22">
        <v>308.64321899414062</v>
      </c>
      <c r="H13" s="22">
        <v>306.19561767578125</v>
      </c>
      <c r="I13" s="22">
        <v>329.46295166015625</v>
      </c>
      <c r="J13" s="22">
        <v>305.02752685546875</v>
      </c>
      <c r="K13" s="22">
        <v>308.60275268554688</v>
      </c>
      <c r="L13" s="22">
        <v>315.57473754882812</v>
      </c>
      <c r="M13" s="23">
        <v>313.09896850585937</v>
      </c>
      <c r="N13" s="24">
        <f t="shared" si="0"/>
        <v>0.35556894421060181</v>
      </c>
      <c r="O13" s="24">
        <f t="shared" si="1"/>
        <v>3.0631136866818467E-2</v>
      </c>
    </row>
    <row r="14" spans="1:15" s="19" customFormat="1" ht="18" customHeight="1" x14ac:dyDescent="0.2">
      <c r="A14" s="143"/>
      <c r="B14" s="33" t="s">
        <v>23</v>
      </c>
      <c r="C14" s="25"/>
      <c r="D14" s="26">
        <v>226.73611450195312</v>
      </c>
      <c r="E14" s="26">
        <v>227.49722290039062</v>
      </c>
      <c r="F14" s="26">
        <v>290.38668823242187</v>
      </c>
      <c r="G14" s="26">
        <v>310.65713500976562</v>
      </c>
      <c r="H14" s="26">
        <v>349.61920166015625</v>
      </c>
      <c r="I14" s="26">
        <v>414.45867919921875</v>
      </c>
      <c r="J14" s="26">
        <v>490.62924194335937</v>
      </c>
      <c r="K14" s="26">
        <v>469.88552856445312</v>
      </c>
      <c r="L14" s="26">
        <v>368.4749755859375</v>
      </c>
      <c r="M14" s="27">
        <v>282.47616577148437</v>
      </c>
      <c r="N14" s="24">
        <f t="shared" si="0"/>
        <v>0.62512697368624714</v>
      </c>
      <c r="O14" s="24">
        <f t="shared" si="1"/>
        <v>5.3932317893997744E-2</v>
      </c>
    </row>
    <row r="15" spans="1:15" s="19" customFormat="1" ht="18" customHeight="1" x14ac:dyDescent="0.2">
      <c r="A15" s="143"/>
      <c r="B15" s="33" t="s">
        <v>27</v>
      </c>
      <c r="C15" s="25"/>
      <c r="D15" s="26">
        <f ca="1">366.00025*OFFSET(D$108,MATCH($M$1,$C$109:$C$110,0),0)</f>
        <v>297.72656069779424</v>
      </c>
      <c r="E15" s="26">
        <f ca="1">405.53875*OFFSET(E$108,MATCH($M$1,$C$109:$C$110,0),0)</f>
        <v>338.75865825545924</v>
      </c>
      <c r="F15" s="26">
        <f ca="1">497.464125*OFFSET(F$108,MATCH($M$1,$C$109:$C$110,0),0)</f>
        <v>427.48086082728213</v>
      </c>
      <c r="G15" s="26">
        <f ca="1">527.54275*OFFSET(G$108,MATCH($M$1,$C$109:$C$110,0),0)</f>
        <v>466.49023375941329</v>
      </c>
      <c r="H15" s="26">
        <f ca="1">527.543125*OFFSET(H$108,MATCH($M$1,$C$109:$C$110,0),0)</f>
        <v>475.72784688703933</v>
      </c>
      <c r="I15" s="26">
        <f ca="1">588.9528125*OFFSET(I$108,MATCH($M$1,$C$109:$C$110,0),0)</f>
        <v>547.95580008589445</v>
      </c>
      <c r="J15" s="26">
        <f ca="1">580.4810625*OFFSET(J$108,MATCH($M$1,$C$109:$C$110,0),0)</f>
        <v>551.54988199170441</v>
      </c>
      <c r="K15" s="26">
        <f ca="1">549.1245*OFFSET(K$108,MATCH($M$1,$C$109:$C$110,0),0)</f>
        <v>530.42131434606154</v>
      </c>
      <c r="L15" s="26">
        <f ca="1">451.90121875*OFFSET(L$108,MATCH($M$1,$C$109:$C$110,0),0)</f>
        <v>444.32282749594981</v>
      </c>
      <c r="M15" s="27">
        <f ca="1">413.10615625*OFFSET(M$108,MATCH($M$1,$C$109:$C$110,0),0)</f>
        <v>413.10615464501933</v>
      </c>
      <c r="N15" s="24">
        <f t="shared" ca="1" si="0"/>
        <v>0.49238558513077146</v>
      </c>
      <c r="O15" s="24">
        <f t="shared" ca="1" si="1"/>
        <v>-6.601467540021172E-2</v>
      </c>
    </row>
    <row r="16" spans="1:15" s="19" customFormat="1" ht="18" customHeight="1" x14ac:dyDescent="0.2">
      <c r="A16" s="143"/>
      <c r="B16" s="33" t="s">
        <v>25</v>
      </c>
      <c r="C16" s="21"/>
      <c r="D16" s="22">
        <v>173.75387573242187</v>
      </c>
      <c r="E16" s="22">
        <v>168.01840209960937</v>
      </c>
      <c r="F16" s="22">
        <v>186.02536010742187</v>
      </c>
      <c r="G16" s="22">
        <v>187.41270446777344</v>
      </c>
      <c r="H16" s="22">
        <v>187.07444763183594</v>
      </c>
      <c r="I16" s="22">
        <v>186.60111999511719</v>
      </c>
      <c r="J16" s="22">
        <v>175.31126403808594</v>
      </c>
      <c r="K16" s="22">
        <v>174.80844116210937</v>
      </c>
      <c r="L16" s="22">
        <v>167.97834777832031</v>
      </c>
      <c r="M16" s="23">
        <v>170.76042175292969</v>
      </c>
      <c r="N16" s="24">
        <f t="shared" si="0"/>
        <v>-3.3239707199370798E-2</v>
      </c>
      <c r="O16" s="24">
        <f t="shared" si="1"/>
        <v>-0.10207754236482851</v>
      </c>
    </row>
    <row r="17" spans="1:15" s="19" customFormat="1" ht="18" customHeight="1" x14ac:dyDescent="0.2">
      <c r="A17" s="143"/>
      <c r="B17" s="33" t="s">
        <v>28</v>
      </c>
      <c r="C17" s="21"/>
      <c r="D17" s="22">
        <v>28.837209701538086</v>
      </c>
      <c r="E17" s="22">
        <v>28.10389518737793</v>
      </c>
      <c r="F17" s="22">
        <v>27.550724029541016</v>
      </c>
      <c r="G17" s="22">
        <v>27.857143402099609</v>
      </c>
      <c r="H17" s="22">
        <v>30.333333969116211</v>
      </c>
      <c r="I17" s="22">
        <v>31.843374252319336</v>
      </c>
      <c r="J17" s="22">
        <v>33.451217651367188</v>
      </c>
      <c r="K17" s="22">
        <v>34.136363983154297</v>
      </c>
      <c r="L17" s="22">
        <v>34.424243927001953</v>
      </c>
      <c r="M17" s="23">
        <v>35.708332061767578</v>
      </c>
      <c r="N17" s="24">
        <f t="shared" si="0"/>
        <v>0.19374392610412208</v>
      </c>
      <c r="O17" s="24">
        <f t="shared" si="1"/>
        <v>0.13486516062002579</v>
      </c>
    </row>
    <row r="18" spans="1:15" s="19" customFormat="1" ht="18" customHeight="1" x14ac:dyDescent="0.2">
      <c r="A18" s="143"/>
      <c r="B18" s="33" t="s">
        <v>29</v>
      </c>
      <c r="C18" s="21"/>
      <c r="D18" s="34">
        <v>1.3049269914627075</v>
      </c>
      <c r="E18" s="34">
        <v>1.3540018796920776</v>
      </c>
      <c r="F18" s="34">
        <v>1.5610059499740601</v>
      </c>
      <c r="G18" s="34">
        <v>1.6576098203659058</v>
      </c>
      <c r="H18" s="34">
        <v>1.8688774108886719</v>
      </c>
      <c r="I18" s="34">
        <v>2.2210943698883057</v>
      </c>
      <c r="J18" s="34">
        <v>2.7986178398132324</v>
      </c>
      <c r="K18" s="34">
        <v>2.6880025863647461</v>
      </c>
      <c r="L18" s="34">
        <v>2.1935861110687256</v>
      </c>
      <c r="M18" s="35">
        <v>1.6542249917984009</v>
      </c>
      <c r="N18" s="24">
        <f t="shared" si="0"/>
        <v>0.68100294148250384</v>
      </c>
      <c r="O18" s="24">
        <f t="shared" si="1"/>
        <v>0.17374531806537868</v>
      </c>
    </row>
    <row r="19" spans="1:15" s="19" customFormat="1" ht="18" customHeight="1" x14ac:dyDescent="0.2">
      <c r="A19" s="144"/>
      <c r="B19" s="36" t="s">
        <v>8</v>
      </c>
      <c r="C19" s="37"/>
      <c r="D19" s="38">
        <f ca="1">1614.21237073233*OFFSET(D$108,MATCH($M$1,$C$109:$C$110,0),0)</f>
        <v>1313.0971833324415</v>
      </c>
      <c r="E19" s="38">
        <f ca="1">1782.60967504195*OFFSET(E$108,MATCH($M$1,$C$109:$C$110,0),0)</f>
        <v>1489.0672265237567</v>
      </c>
      <c r="F19" s="38">
        <f ca="1">1713.10921716722*OFFSET(F$108,MATCH($M$1,$C$109:$C$110,0),0)</f>
        <v>1472.1089743824132</v>
      </c>
      <c r="G19" s="38">
        <f ca="1">1698.15094150954*OFFSET(G$108,MATCH($M$1,$C$109:$C$110,0),0)</f>
        <v>1501.6239530607768</v>
      </c>
      <c r="H19" s="38">
        <f ca="1">1508.9078565168*OFFSET(H$108,MATCH($M$1,$C$109:$C$110,0),0)</f>
        <v>1360.7029486578465</v>
      </c>
      <c r="I19" s="38">
        <f ca="1">1421.01697920766*OFFSET(I$108,MATCH($M$1,$C$109:$C$110,0),0)</f>
        <v>1322.0999700674222</v>
      </c>
      <c r="J19" s="38">
        <f ca="1">1183.13591239162*OFFSET(J$108,MATCH($M$1,$C$109:$C$110,0),0)</f>
        <v>1124.1684096451388</v>
      </c>
      <c r="K19" s="38">
        <f ca="1">1168.63464896258*OFFSET(K$108,MATCH($M$1,$C$109:$C$110,0),0)</f>
        <v>1128.830941786571</v>
      </c>
      <c r="L19" s="38">
        <f ca="1">1226.40947547981*OFFSET(L$108,MATCH($M$1,$C$109:$C$110,0),0)</f>
        <v>1205.842567365313</v>
      </c>
      <c r="M19" s="39">
        <f ca="1">1462.44600406734*OFFSET(M$108,MATCH($M$1,$C$109:$C$110,0),0)</f>
        <v>1462.4459983855133</v>
      </c>
      <c r="N19" s="40">
        <f ca="1">IF(L19=0,"",IFERROR(IF(AND(L19&gt;0,D19&lt;0),"na",IF(AND(L19&lt;0,D19&lt;0),-1,1)*(L19-D19)/D19),""))</f>
        <v>-8.1680638210595027E-2</v>
      </c>
      <c r="O19" s="40">
        <f ca="1">IF(L19=0,"",IFERROR(IF(AND(L19&gt;0,H19&lt;0),"na",IF(AND(L19&lt;0,H19&lt;0),-1,1)*(L19-H19)/H19),""))</f>
        <v>-0.11380910245346551</v>
      </c>
    </row>
    <row r="20" spans="1:15" s="19" customFormat="1" ht="18" customHeight="1" x14ac:dyDescent="0.2">
      <c r="A20" s="145" t="s">
        <v>9</v>
      </c>
      <c r="B20" s="28" t="s">
        <v>30</v>
      </c>
      <c r="C20" s="41"/>
      <c r="D20" s="42">
        <v>3.4444058452917972</v>
      </c>
      <c r="E20" s="42">
        <v>3.3712528109552697</v>
      </c>
      <c r="F20" s="42">
        <v>3.7243842251652746</v>
      </c>
      <c r="G20" s="42">
        <v>3.985102837413399</v>
      </c>
      <c r="H20" s="42">
        <v>4.5144944299261711</v>
      </c>
      <c r="I20" s="42">
        <v>4.958012221453167</v>
      </c>
      <c r="J20" s="42">
        <v>6.6362854546825405</v>
      </c>
      <c r="K20" s="42">
        <v>6.6024260008663402</v>
      </c>
      <c r="L20" s="42">
        <v>5.3110190607456405</v>
      </c>
      <c r="M20" s="43">
        <v>4.1098179193348354</v>
      </c>
      <c r="N20" s="32">
        <f t="shared" si="0"/>
        <v>0.541926038711536</v>
      </c>
      <c r="O20" s="32">
        <f t="shared" si="1"/>
        <v>0.17643717213147508</v>
      </c>
    </row>
    <row r="21" spans="1:15" s="19" customFormat="1" ht="18" customHeight="1" x14ac:dyDescent="0.2">
      <c r="A21" s="145"/>
      <c r="B21" s="33" t="s">
        <v>31</v>
      </c>
      <c r="C21" s="21"/>
      <c r="D21" s="34">
        <f ca="1">5.56000266321667*OFFSET(D$108,MATCH($M$1,$C$109:$C$110,0),0)</f>
        <v>4.522839725902033</v>
      </c>
      <c r="E21" s="34">
        <f ca="1">6.00962786911646*OFFSET(E$108,MATCH($M$1,$C$109:$C$110,0),0)</f>
        <v>5.0200220658482237</v>
      </c>
      <c r="F21" s="34">
        <f ca="1">6.38027710916532*OFFSET(F$108,MATCH($M$1,$C$109:$C$110,0),0)</f>
        <v>5.4826995834977925</v>
      </c>
      <c r="G21" s="34">
        <f ca="1">6.76730669590377*OFFSET(G$108,MATCH($M$1,$C$109:$C$110,0),0)</f>
        <v>5.9841263717372524</v>
      </c>
      <c r="H21" s="34">
        <f ca="1">6.81195565932716*OFFSET(H$108,MATCH($M$1,$C$109:$C$110,0),0)</f>
        <v>6.1428854729207059</v>
      </c>
      <c r="I21" s="34">
        <f ca="1">7.04541945623157*OFFSET(I$108,MATCH($M$1,$C$109:$C$110,0),0)</f>
        <v>6.5549877225182573</v>
      </c>
      <c r="J21" s="34">
        <f ca="1">7.85162746624902*OFFSET(J$108,MATCH($M$1,$C$109:$C$110,0),0)</f>
        <v>7.460302294448188</v>
      </c>
      <c r="K21" s="34">
        <f ca="1">7.71582365515524*OFFSET(K$108,MATCH($M$1,$C$109:$C$110,0),0)</f>
        <v>7.4530226286204213</v>
      </c>
      <c r="L21" s="34">
        <f ca="1">6.51348434866965*OFFSET(L$108,MATCH($M$1,$C$109:$C$110,0),0)</f>
        <v>6.40425310349202</v>
      </c>
      <c r="M21" s="35">
        <f ca="1">6.01038703179387*OFFSET(M$108,MATCH($M$1,$C$109:$C$110,0),0)</f>
        <v>6.0103870084425957</v>
      </c>
      <c r="N21" s="24">
        <f t="shared" ca="1" si="0"/>
        <v>0.41598055460936301</v>
      </c>
      <c r="O21" s="24">
        <f t="shared" ca="1" si="1"/>
        <v>4.2548022704229894E-2</v>
      </c>
    </row>
    <row r="22" spans="1:15" s="19" customFormat="1" ht="18" customHeight="1" x14ac:dyDescent="0.2">
      <c r="A22" s="145"/>
      <c r="B22" s="33" t="s">
        <v>10</v>
      </c>
      <c r="C22" s="21"/>
      <c r="D22" s="34">
        <f ca="1">4.64554401956539*OFFSET(D$108,MATCH($M$1,$C$109:$C$110,0),0)</f>
        <v>3.7789642043015275</v>
      </c>
      <c r="E22" s="34">
        <f ca="1">5.10702984255061*OFFSET(E$108,MATCH($M$1,$C$109:$C$110,0),0)</f>
        <v>4.2660549136994526</v>
      </c>
      <c r="F22" s="34">
        <f ca="1">4.77437310358938*OFFSET(F$108,MATCH($M$1,$C$109:$C$110,0),0)</f>
        <v>4.1027141891548675</v>
      </c>
      <c r="G22" s="34">
        <f ca="1">5.37801104208278*OFFSET(G$108,MATCH($M$1,$C$109:$C$110,0),0)</f>
        <v>4.7556138875605853</v>
      </c>
      <c r="H22" s="34">
        <f ca="1">5.53200817731023*OFFSET(H$108,MATCH($M$1,$C$109:$C$110,0),0)</f>
        <v>4.9886544140884981</v>
      </c>
      <c r="I22" s="34">
        <f ca="1">5.16842211903631*OFFSET(I$108,MATCH($M$1,$C$109:$C$110,0),0)</f>
        <v>4.8086481927075866</v>
      </c>
      <c r="J22" s="34">
        <f ca="1">5.96029887119662*OFFSET(J$108,MATCH($M$1,$C$109:$C$110,0),0)</f>
        <v>5.6632375307571454</v>
      </c>
      <c r="K22" s="34">
        <f ca="1">5.99950546583746*OFFSET(K$108,MATCH($M$1,$C$109:$C$110,0),0)</f>
        <v>5.7951622530334843</v>
      </c>
      <c r="L22" s="34">
        <f ca="1">5.43059459684671*OFFSET(L$108,MATCH($M$1,$C$109:$C$110,0),0)</f>
        <v>5.3395234315356843</v>
      </c>
      <c r="M22" s="35">
        <f ca="1">5.01031394451801*OFFSET(M$108,MATCH($M$1,$C$109:$C$110,0),0)</f>
        <v>5.0103139250521727</v>
      </c>
      <c r="N22" s="24">
        <f t="shared" ca="1" si="0"/>
        <v>0.41295951558837213</v>
      </c>
      <c r="O22" s="24">
        <f t="shared" ca="1" si="1"/>
        <v>7.0333398211809242E-2</v>
      </c>
    </row>
    <row r="23" spans="1:15" s="19" customFormat="1" ht="18" customHeight="1" x14ac:dyDescent="0.2">
      <c r="A23" s="146"/>
      <c r="B23" s="33" t="s">
        <v>32</v>
      </c>
      <c r="C23" s="44"/>
      <c r="D23" s="34">
        <f ca="1">0.914458643651284*OFFSET(D$108,MATCH($M$1,$C$109:$C$110,0),0)</f>
        <v>0.74387552160050874</v>
      </c>
      <c r="E23" s="34">
        <f ca="1">0.902598026565843*OFFSET(E$108,MATCH($M$1,$C$109:$C$110,0),0)</f>
        <v>0.75396715214876586</v>
      </c>
      <c r="F23" s="34">
        <f ca="1">1.60590400557593*OFFSET(F$108,MATCH($M$1,$C$109:$C$110,0),0)</f>
        <v>1.3799853943429166</v>
      </c>
      <c r="G23" s="34">
        <f ca="1">1.38929565382098*OFFSET(G$108,MATCH($M$1,$C$109:$C$110,0),0)</f>
        <v>1.2285124841766584</v>
      </c>
      <c r="H23" s="34">
        <f ca="1">1.27994748201693*OFFSET(H$108,MATCH($M$1,$C$109:$C$110,0),0)</f>
        <v>1.1542310588322076</v>
      </c>
      <c r="I23" s="34">
        <f ca="1">1.87699733719527*OFFSET(I$108,MATCH($M$1,$C$109:$C$110,0),0)</f>
        <v>1.7463395298106799</v>
      </c>
      <c r="J23" s="34">
        <f ca="1">1.8913285950524*OFFSET(J$108,MATCH($M$1,$C$109:$C$110,0),0)</f>
        <v>1.7970647636910415</v>
      </c>
      <c r="K23" s="34">
        <f ca="1">1.71631818931778*OFFSET(K$108,MATCH($M$1,$C$109:$C$110,0),0)</f>
        <v>1.6578603755869374</v>
      </c>
      <c r="L23" s="34">
        <f ca="1">1.08288975182294*OFFSET(L$108,MATCH($M$1,$C$109:$C$110,0),0)</f>
        <v>1.0647296719563362</v>
      </c>
      <c r="M23" s="35">
        <f ca="1">1.00007308727587*OFFSET(M$108,MATCH($M$1,$C$109:$C$110,0),0)</f>
        <v>1.000073083390433</v>
      </c>
      <c r="N23" s="24">
        <f t="shared" ca="1" si="0"/>
        <v>0.43132774374062427</v>
      </c>
      <c r="O23" s="24">
        <f t="shared" ca="1" si="1"/>
        <v>-7.7542001829706747E-2</v>
      </c>
    </row>
    <row r="24" spans="1:15" s="19" customFormat="1" ht="18" customHeight="1" x14ac:dyDescent="0.2">
      <c r="A24" s="147" t="s">
        <v>11</v>
      </c>
      <c r="B24" s="28" t="s">
        <v>27</v>
      </c>
      <c r="C24" s="29"/>
      <c r="D24" s="30">
        <f ca="1">366*OFFSET(D$108,MATCH($M$1,$C$109:$C$110,0),0)</f>
        <v>297.72635733279606</v>
      </c>
      <c r="E24" s="30">
        <f ca="1">405.5*OFFSET(E$108,MATCH($M$1,$C$109:$C$110,0),0)</f>
        <v>338.72628922042276</v>
      </c>
      <c r="F24" s="30">
        <f ca="1">497.5*OFFSET(F$108,MATCH($M$1,$C$109:$C$110,0),0)</f>
        <v>427.51168893148395</v>
      </c>
      <c r="G24" s="30">
        <f ca="1">527.5*OFFSET(G$108,MATCH($M$1,$C$109:$C$110,0),0)</f>
        <v>466.45243121640954</v>
      </c>
      <c r="H24" s="30">
        <f ca="1">527.5*OFFSET(H$108,MATCH($M$1,$C$109:$C$110,0),0)</f>
        <v>475.688957623916</v>
      </c>
      <c r="I24" s="30">
        <f ca="1">589*OFFSET(I$108,MATCH($M$1,$C$109:$C$110,0),0)</f>
        <v>547.99970286344774</v>
      </c>
      <c r="J24" s="30">
        <f ca="1">580.5*OFFSET(J$108,MATCH($M$1,$C$109:$C$110,0),0)</f>
        <v>551.56787564656236</v>
      </c>
      <c r="K24" s="30">
        <f ca="1">549.1*OFFSET(K$108,MATCH($M$1,$C$109:$C$110,0),0)</f>
        <v>530.39764881629276</v>
      </c>
      <c r="L24" s="30">
        <f ca="1">451.9*OFFSET(L$108,MATCH($M$1,$C$109:$C$110,0),0)</f>
        <v>444.32162918440838</v>
      </c>
      <c r="M24" s="31">
        <f ca="1">413.1*OFFSET(M$108,MATCH($M$1,$C$109:$C$110,0),0)</f>
        <v>413.09999839504326</v>
      </c>
      <c r="N24" s="32">
        <f t="shared" ca="1" si="0"/>
        <v>0.49238257964426491</v>
      </c>
      <c r="O24" s="32">
        <f t="shared" ca="1" si="1"/>
        <v>-6.5940837887405637E-2</v>
      </c>
    </row>
    <row r="25" spans="1:15" s="19" customFormat="1" ht="18" customHeight="1" x14ac:dyDescent="0.2">
      <c r="A25" s="148"/>
      <c r="B25" s="33" t="s">
        <v>33</v>
      </c>
      <c r="C25" s="25"/>
      <c r="D25" s="26">
        <f ca="1">6.7*OFFSET(D$108,MATCH($M$1,$C$109:$C$110,0),0)</f>
        <v>5.4501819511741356</v>
      </c>
      <c r="E25" s="26">
        <f ca="1">10.2*OFFSET(E$108,MATCH($M$1,$C$109:$C$110,0),0)</f>
        <v>8.5203653515371442</v>
      </c>
      <c r="F25" s="26">
        <f ca="1">1.6*OFFSET(F$108,MATCH($M$1,$C$109:$C$110,0),0)</f>
        <v>1.3749119644027625</v>
      </c>
      <c r="G25" s="26">
        <f ca="1">11.2*OFFSET(G$108,MATCH($M$1,$C$109:$C$110,0),0)</f>
        <v>9.9038241319882196</v>
      </c>
      <c r="H25" s="26">
        <f ca="1">11.1*OFFSET(H$108,MATCH($M$1,$C$109:$C$110,0),0)</f>
        <v>10.009758160427426</v>
      </c>
      <c r="I25" s="26">
        <f ca="1">27.2*OFFSET(I$108,MATCH($M$1,$C$109:$C$110,0),0)</f>
        <v>25.306607670434257</v>
      </c>
      <c r="J25" s="26">
        <f ca="1">6.3*OFFSET(J$108,MATCH($M$1,$C$109:$C$110,0),0)</f>
        <v>5.9860079527533898</v>
      </c>
      <c r="K25" s="26">
        <f ca="1">9.1*OFFSET(K$108,MATCH($M$1,$C$109:$C$110,0),0)</f>
        <v>8.7900539140926313</v>
      </c>
      <c r="L25" s="26">
        <f ca="1">5.4*OFFSET(L$108,MATCH($M$1,$C$109:$C$110,0),0)</f>
        <v>5.3094419066072263</v>
      </c>
      <c r="M25" s="27">
        <f ca="1">4.9*OFFSET(M$108,MATCH($M$1,$C$109:$C$110,0),0)</f>
        <v>4.8999999809627495</v>
      </c>
      <c r="N25" s="24">
        <f t="shared" ca="1" si="0"/>
        <v>-2.5822999273737945E-2</v>
      </c>
      <c r="O25" s="24">
        <f t="shared" ca="1" si="1"/>
        <v>-0.46957340811713394</v>
      </c>
    </row>
    <row r="26" spans="1:15" s="19" customFormat="1" ht="18" customHeight="1" x14ac:dyDescent="0.2">
      <c r="A26" s="148"/>
      <c r="B26" s="45" t="s">
        <v>34</v>
      </c>
      <c r="C26" s="46"/>
      <c r="D26" s="47">
        <f ca="1">372.7*OFFSET(D$108,MATCH($M$1,$C$109:$C$110,0),0)</f>
        <v>303.17653928397016</v>
      </c>
      <c r="E26" s="47">
        <f ca="1">415.7*OFFSET(E$108,MATCH($M$1,$C$109:$C$110,0),0)</f>
        <v>347.24665457195988</v>
      </c>
      <c r="F26" s="47">
        <f ca="1">499.1*OFFSET(F$108,MATCH($M$1,$C$109:$C$110,0),0)</f>
        <v>428.88660089588672</v>
      </c>
      <c r="G26" s="47">
        <f ca="1">538.7*OFFSET(G$108,MATCH($M$1,$C$109:$C$110,0),0)</f>
        <v>476.35625534839778</v>
      </c>
      <c r="H26" s="47">
        <f ca="1">538.7*OFFSET(H$108,MATCH($M$1,$C$109:$C$110,0),0)</f>
        <v>485.78889378578879</v>
      </c>
      <c r="I26" s="47">
        <f ca="1">616.1*OFFSET(I$108,MATCH($M$1,$C$109:$C$110,0),0)</f>
        <v>573.21327153509355</v>
      </c>
      <c r="J26" s="47">
        <f ca="1">586.8*OFFSET(J$108,MATCH($M$1,$C$109:$C$110,0),0)</f>
        <v>557.55388359931567</v>
      </c>
      <c r="K26" s="47">
        <f ca="1">558.2*OFFSET(K$108,MATCH($M$1,$C$109:$C$110,0),0)</f>
        <v>539.18770273038547</v>
      </c>
      <c r="L26" s="47">
        <f ca="1">457.3*OFFSET(L$108,MATCH($M$1,$C$109:$C$110,0),0)</f>
        <v>449.63107109101566</v>
      </c>
      <c r="M26" s="48">
        <f ca="1">418*OFFSET(M$108,MATCH($M$1,$C$109:$C$110,0),0)</f>
        <v>417.99999837600598</v>
      </c>
      <c r="N26" s="49">
        <f t="shared" ca="1" si="0"/>
        <v>0.4830668367444782</v>
      </c>
      <c r="O26" s="49">
        <f t="shared" ca="1" si="1"/>
        <v>-7.4431143151488174E-2</v>
      </c>
    </row>
    <row r="27" spans="1:15" s="19" customFormat="1" ht="18" customHeight="1" x14ac:dyDescent="0.2">
      <c r="A27" s="148"/>
      <c r="B27" s="33" t="s">
        <v>35</v>
      </c>
      <c r="C27" s="25"/>
      <c r="D27" s="26">
        <f ca="1">49.7*OFFSET(D$108,MATCH($M$1,$C$109:$C$110,0),0)</f>
        <v>40.428961637814112</v>
      </c>
      <c r="E27" s="26">
        <f ca="1">65.4*OFFSET(E$108,MATCH($M$1,$C$109:$C$110,0),0)</f>
        <v>54.630577842208758</v>
      </c>
      <c r="F27" s="26">
        <f ca="1">79.2*OFFSET(F$108,MATCH($M$1,$C$109:$C$110,0),0)</f>
        <v>68.05814223793675</v>
      </c>
      <c r="G27" s="26">
        <f ca="1">106.4*OFFSET(G$108,MATCH($M$1,$C$109:$C$110,0),0)</f>
        <v>94.08632925388811</v>
      </c>
      <c r="H27" s="26">
        <f ca="1">80.1*OFFSET(H$108,MATCH($M$1,$C$109:$C$110,0),0)</f>
        <v>72.232579157678998</v>
      </c>
      <c r="I27" s="26">
        <f ca="1">89*OFFSET(I$108,MATCH($M$1,$C$109:$C$110,0),0)</f>
        <v>82.804708921641506</v>
      </c>
      <c r="J27" s="26">
        <f ca="1">109.3*OFFSET(J$108,MATCH($M$1,$C$109:$C$110,0),0)</f>
        <v>103.85248718030881</v>
      </c>
      <c r="K27" s="26">
        <f ca="1">110.2*OFFSET(K$108,MATCH($M$1,$C$109:$C$110,0),0)</f>
        <v>106.44658695967121</v>
      </c>
      <c r="L27" s="26">
        <f ca="1">101.2*OFFSET(L$108,MATCH($M$1,$C$109:$C$110,0),0)</f>
        <v>99.502874249750235</v>
      </c>
      <c r="M27" s="27">
        <f ca="1">92.4*OFFSET(M$108,MATCH($M$1,$C$109:$C$110,0),0)</f>
        <v>92.399999641011846</v>
      </c>
      <c r="N27" s="24">
        <f t="shared" ca="1" si="0"/>
        <v>1.4611780817215689</v>
      </c>
      <c r="O27" s="24">
        <f t="shared" ca="1" si="1"/>
        <v>0.37753456141365194</v>
      </c>
    </row>
    <row r="28" spans="1:15" s="19" customFormat="1" ht="18" customHeight="1" x14ac:dyDescent="0.2">
      <c r="A28" s="148"/>
      <c r="B28" s="33" t="s">
        <v>36</v>
      </c>
      <c r="C28" s="25"/>
      <c r="D28" s="26">
        <f ca="1">112.4*OFFSET(D$108,MATCH($M$1,$C$109:$C$110,0),0)</f>
        <v>91.432903180891472</v>
      </c>
      <c r="E28" s="26">
        <f ca="1">120.7*OFFSET(E$108,MATCH($M$1,$C$109:$C$110,0),0)</f>
        <v>100.82432332652289</v>
      </c>
      <c r="F28" s="26">
        <f ca="1">100.6*OFFSET(F$108,MATCH($M$1,$C$109:$C$110,0),0)</f>
        <v>86.447589761823679</v>
      </c>
      <c r="G28" s="26">
        <f ca="1">134.8*OFFSET(G$108,MATCH($M$1,$C$109:$C$110,0),0)</f>
        <v>119.19959758857253</v>
      </c>
      <c r="H28" s="26">
        <f ca="1">151.8*OFFSET(H$108,MATCH($M$1,$C$109:$C$110,0),0)</f>
        <v>136.89020619395347</v>
      </c>
      <c r="I28" s="26">
        <f ca="1">168*OFFSET(I$108,MATCH($M$1,$C$109:$C$110,0),0)</f>
        <v>156.30551796444689</v>
      </c>
      <c r="J28" s="26">
        <f ca="1">169.3*OFFSET(J$108,MATCH($M$1,$C$109:$C$110,0),0)</f>
        <v>160.8620867303411</v>
      </c>
      <c r="K28" s="26">
        <f ca="1">135.5*OFFSET(K$108,MATCH($M$1,$C$109:$C$110,0),0)</f>
        <v>130.88486872082984</v>
      </c>
      <c r="L28" s="26">
        <f ca="1">105.2*OFFSET(L$108,MATCH($M$1,$C$109:$C$110,0),0)</f>
        <v>103.4357941805704</v>
      </c>
      <c r="M28" s="27">
        <f ca="1">96.2*OFFSET(M$108,MATCH($M$1,$C$109:$C$110,0),0)</f>
        <v>96.199999626248271</v>
      </c>
      <c r="N28" s="24">
        <f t="shared" ca="1" si="0"/>
        <v>0.13127540067203516</v>
      </c>
      <c r="O28" s="24">
        <f t="shared" ca="1" si="1"/>
        <v>-0.24438864505750726</v>
      </c>
    </row>
    <row r="29" spans="1:15" s="19" customFormat="1" ht="18" customHeight="1" x14ac:dyDescent="0.2">
      <c r="A29" s="148"/>
      <c r="B29" s="33" t="s">
        <v>37</v>
      </c>
      <c r="C29" s="25"/>
      <c r="D29" s="26">
        <f ca="1">39.8*OFFSET(D$108,MATCH($M$1,$C$109:$C$110,0),0)</f>
        <v>32.375707709959791</v>
      </c>
      <c r="E29" s="26">
        <f ca="1">44.5*OFFSET(E$108,MATCH($M$1,$C$109:$C$110,0),0)</f>
        <v>37.172182170921857</v>
      </c>
      <c r="F29" s="26">
        <f ca="1">57.7*OFFSET(F$108,MATCH($M$1,$C$109:$C$110,0),0)</f>
        <v>49.582762716274623</v>
      </c>
      <c r="G29" s="26">
        <f ca="1">47.4*OFFSET(G$108,MATCH($M$1,$C$109:$C$110,0),0)</f>
        <v>41.914398558593007</v>
      </c>
      <c r="H29" s="26">
        <f ca="1">40.2*OFFSET(H$108,MATCH($M$1,$C$109:$C$110,0),0)</f>
        <v>36.251556581007442</v>
      </c>
      <c r="I29" s="26">
        <f ca="1">45.9*OFFSET(I$108,MATCH($M$1,$C$109:$C$110,0),0)</f>
        <v>42.704900443857809</v>
      </c>
      <c r="J29" s="26">
        <f ca="1">44.8*OFFSET(J$108,MATCH($M$1,$C$109:$C$110,0),0)</f>
        <v>42.567167664024105</v>
      </c>
      <c r="K29" s="26">
        <f ca="1">45.3*OFFSET(K$108,MATCH($M$1,$C$109:$C$110,0),0)</f>
        <v>43.757081572351233</v>
      </c>
      <c r="L29" s="26">
        <f ca="1">41.5*OFFSET(L$108,MATCH($M$1,$C$109:$C$110,0),0)</f>
        <v>40.804044282259234</v>
      </c>
      <c r="M29" s="27">
        <f ca="1">37.9*OFFSET(M$108,MATCH($M$1,$C$109:$C$110,0),0)</f>
        <v>37.899999852752693</v>
      </c>
      <c r="N29" s="24">
        <f t="shared" ca="1" si="0"/>
        <v>0.26032902964794868</v>
      </c>
      <c r="O29" s="24">
        <f t="shared" ca="1" si="1"/>
        <v>0.12558047517432358</v>
      </c>
    </row>
    <row r="30" spans="1:15" s="19" customFormat="1" ht="18" customHeight="1" x14ac:dyDescent="0.2">
      <c r="A30" s="148"/>
      <c r="B30" s="33" t="s">
        <v>38</v>
      </c>
      <c r="C30" s="25"/>
      <c r="D30" s="26">
        <f ca="1">201.9*OFFSET(D$108,MATCH($M$1,$C$109:$C$110,0),0)</f>
        <v>164.23757252866537</v>
      </c>
      <c r="E30" s="26">
        <f ca="1">230.6*OFFSET(E$108,MATCH($M$1,$C$109:$C$110,0),0)</f>
        <v>192.62708333965347</v>
      </c>
      <c r="F30" s="26">
        <f ca="1">237.4*OFFSET(F$108,MATCH($M$1,$C$109:$C$110,0),0)</f>
        <v>204.0025627182599</v>
      </c>
      <c r="G30" s="26">
        <f ca="1">288.6*OFFSET(G$108,MATCH($M$1,$C$109:$C$110,0),0)</f>
        <v>255.20032540105365</v>
      </c>
      <c r="H30" s="26">
        <f ca="1">272.2*OFFSET(H$108,MATCH($M$1,$C$109:$C$110,0),0)</f>
        <v>245.46451993408519</v>
      </c>
      <c r="I30" s="26">
        <f ca="1">302.9*OFFSET(I$108,MATCH($M$1,$C$109:$C$110,0),0)</f>
        <v>281.81512732994616</v>
      </c>
      <c r="J30" s="26">
        <f ca="1">323.5*OFFSET(J$108,MATCH($M$1,$C$109:$C$110,0),0)</f>
        <v>307.37675757392407</v>
      </c>
      <c r="K30" s="26">
        <f ca="1">291*OFFSET(K$108,MATCH($M$1,$C$109:$C$110,0),0)</f>
        <v>281.08853725285229</v>
      </c>
      <c r="L30" s="26">
        <f ca="1">247.8*OFFSET(L$108,MATCH($M$1,$C$109:$C$110,0),0)</f>
        <v>243.64438971430937</v>
      </c>
      <c r="M30" s="27">
        <f ca="1">226.5*OFFSET(M$108,MATCH($M$1,$C$109:$C$110,0),0)</f>
        <v>226.4999991200128</v>
      </c>
      <c r="N30" s="24">
        <f t="shared" ca="1" si="0"/>
        <v>0.48348752336670497</v>
      </c>
      <c r="O30" s="24">
        <f t="shared" ca="1" si="1"/>
        <v>-7.4150440164003368E-3</v>
      </c>
    </row>
    <row r="31" spans="1:15" s="19" customFormat="1" ht="18" customHeight="1" x14ac:dyDescent="0.2">
      <c r="A31" s="148"/>
      <c r="B31" s="33" t="s">
        <v>39</v>
      </c>
      <c r="C31" s="25"/>
      <c r="D31" s="26">
        <f ca="1">110.7*OFFSET(D$108,MATCH($M$1,$C$109:$C$110,0),0)</f>
        <v>90.050021193280116</v>
      </c>
      <c r="E31" s="26">
        <f ca="1">124.3*OFFSET(E$108,MATCH($M$1,$C$109:$C$110,0),0)</f>
        <v>103.83151109765363</v>
      </c>
      <c r="F31" s="26">
        <f ca="1">136.4*OFFSET(F$108,MATCH($M$1,$C$109:$C$110,0),0)</f>
        <v>117.21124496533551</v>
      </c>
      <c r="G31" s="26">
        <f ca="1">141.9*OFFSET(G$108,MATCH($M$1,$C$109:$C$110,0),0)</f>
        <v>125.47791467224363</v>
      </c>
      <c r="H31" s="26">
        <f ca="1">167.4*OFFSET(H$108,MATCH($M$1,$C$109:$C$110,0),0)</f>
        <v>150.95797441941903</v>
      </c>
      <c r="I31" s="26">
        <f ca="1">156.3*OFFSET(I$108,MATCH($M$1,$C$109:$C$110,0),0)</f>
        <v>145.41995510620862</v>
      </c>
      <c r="J31" s="26">
        <f ca="1">123.4*OFFSET(J$108,MATCH($M$1,$C$109:$C$110,0),0)</f>
        <v>117.2497430745664</v>
      </c>
      <c r="K31" s="26">
        <f ca="1">145.1*OFFSET(K$108,MATCH($M$1,$C$109:$C$110,0),0)</f>
        <v>140.1578926302023</v>
      </c>
      <c r="L31" s="26">
        <f ca="1">134.3*OFFSET(L$108,MATCH($M$1,$C$109:$C$110,0),0)</f>
        <v>132.04778667728712</v>
      </c>
      <c r="M31" s="27">
        <f ca="1">122.8*OFFSET(M$108,MATCH($M$1,$C$109:$C$110,0),0)</f>
        <v>122.79999952290318</v>
      </c>
      <c r="N31" s="24">
        <f t="shared" ca="1" si="0"/>
        <v>0.46638262742731085</v>
      </c>
      <c r="O31" s="24">
        <f t="shared" ca="1" si="1"/>
        <v>-0.12526789535206778</v>
      </c>
    </row>
    <row r="32" spans="1:15" s="19" customFormat="1" ht="18" customHeight="1" x14ac:dyDescent="0.2">
      <c r="A32" s="148"/>
      <c r="B32" s="33" t="s">
        <v>40</v>
      </c>
      <c r="C32" s="25"/>
      <c r="D32" s="26">
        <f ca="1">312.5*OFFSET(D$108,MATCH($M$1,$C$109:$C$110,0),0)</f>
        <v>254.20624772267422</v>
      </c>
      <c r="E32" s="26">
        <f ca="1">354.8*OFFSET(E$108,MATCH($M$1,$C$109:$C$110,0),0)</f>
        <v>296.37506144366461</v>
      </c>
      <c r="F32" s="26">
        <f ca="1">373.9*OFFSET(F$108,MATCH($M$1,$C$109:$C$110,0),0)</f>
        <v>321.29973968137051</v>
      </c>
      <c r="G32" s="26">
        <f ca="1">430.4*OFFSET(G$108,MATCH($M$1,$C$109:$C$110,0),0)</f>
        <v>380.58981307211877</v>
      </c>
      <c r="H32" s="26">
        <f ca="1">439.5*OFFSET(H$108,MATCH($M$1,$C$109:$C$110,0),0)</f>
        <v>396.33231635205891</v>
      </c>
      <c r="I32" s="26">
        <f ca="1">459.2*OFFSET(I$108,MATCH($M$1,$C$109:$C$110,0),0)</f>
        <v>427.23508243615481</v>
      </c>
      <c r="J32" s="26">
        <f ca="1">446.9*OFFSET(J$108,MATCH($M$1,$C$109:$C$110,0),0)</f>
        <v>424.62650064849043</v>
      </c>
      <c r="K32" s="26">
        <f ca="1">436.1*OFFSET(K$108,MATCH($M$1,$C$109:$C$110,0),0)</f>
        <v>421.24642988305459</v>
      </c>
      <c r="L32" s="26">
        <f ca="1">382.2*OFFSET(L$108,MATCH($M$1,$C$109:$C$110,0),0)</f>
        <v>375.79049938986697</v>
      </c>
      <c r="M32" s="27">
        <f ca="1">349.3*OFFSET(M$108,MATCH($M$1,$C$109:$C$110,0),0)</f>
        <v>349.29999864291602</v>
      </c>
      <c r="N32" s="24">
        <f t="shared" ca="1" si="0"/>
        <v>0.47828978538652928</v>
      </c>
      <c r="O32" s="24">
        <f t="shared" ca="1" si="1"/>
        <v>-5.1829780501534493E-2</v>
      </c>
    </row>
    <row r="33" spans="1:15" s="19" customFormat="1" ht="18" customHeight="1" x14ac:dyDescent="0.2">
      <c r="A33" s="148"/>
      <c r="B33" s="45" t="s">
        <v>41</v>
      </c>
      <c r="C33" s="46"/>
      <c r="D33" s="47">
        <f ca="1">172.6*OFFSET(D$108,MATCH($M$1,$C$109:$C$110,0),0)</f>
        <v>140.40319474218742</v>
      </c>
      <c r="E33" s="47">
        <f ca="1">181.6*OFFSET(E$108,MATCH($M$1,$C$109:$C$110,0),0)</f>
        <v>151.69591645481819</v>
      </c>
      <c r="F33" s="47">
        <f ca="1">225.8*OFFSET(F$108,MATCH($M$1,$C$109:$C$110,0),0)</f>
        <v>194.03445097633985</v>
      </c>
      <c r="G33" s="47">
        <f ca="1">243.1*OFFSET(G$108,MATCH($M$1,$C$109:$C$110,0),0)</f>
        <v>214.96603986485147</v>
      </c>
      <c r="H33" s="47">
        <f ca="1">250.9*OFFSET(H$108,MATCH($M$1,$C$109:$C$110,0),0)</f>
        <v>226.25660562623796</v>
      </c>
      <c r="I33" s="47">
        <f ca="1">324.9*OFFSET(I$108,MATCH($M$1,$C$109:$C$110,0),0)</f>
        <v>302.28370706338563</v>
      </c>
      <c r="J33" s="47">
        <f ca="1">309.1*OFFSET(J$108,MATCH($M$1,$C$109:$C$110,0),0)</f>
        <v>293.69445368191634</v>
      </c>
      <c r="K33" s="47">
        <f ca="1">257.6*OFFSET(K$108,MATCH($M$1,$C$109:$C$110,0),0)</f>
        <v>248.82614156816066</v>
      </c>
      <c r="L33" s="47">
        <f ca="1">180.3*OFFSET(L$108,MATCH($M$1,$C$109:$C$110,0),0)</f>
        <v>177.27636588171904</v>
      </c>
      <c r="M33" s="48">
        <f ca="1">164.9*OFFSET(M$108,MATCH($M$1,$C$109:$C$110,0),0)</f>
        <v>164.89999935933824</v>
      </c>
      <c r="N33" s="49">
        <f t="shared" ca="1" si="0"/>
        <v>0.26262344818605621</v>
      </c>
      <c r="O33" s="49">
        <f t="shared" ca="1" si="1"/>
        <v>-0.2164809270825501</v>
      </c>
    </row>
    <row r="34" spans="1:15" s="19" customFormat="1" ht="18" customHeight="1" x14ac:dyDescent="0.2">
      <c r="A34" s="148"/>
      <c r="B34" s="45" t="s">
        <v>42</v>
      </c>
      <c r="C34" s="46"/>
      <c r="D34" s="47">
        <f ca="1">60.2*OFFSET(D$108,MATCH($M$1,$C$109:$C$110,0),0)</f>
        <v>48.970291561295966</v>
      </c>
      <c r="E34" s="47">
        <f ca="1">60.9*OFFSET(E$108,MATCH($M$1,$C$109:$C$110,0),0)</f>
        <v>50.871593128295302</v>
      </c>
      <c r="F34" s="47">
        <f ca="1">125.2*OFFSET(F$108,MATCH($M$1,$C$109:$C$110,0),0)</f>
        <v>107.58686121451616</v>
      </c>
      <c r="G34" s="47">
        <f ca="1">108.3*OFFSET(G$108,MATCH($M$1,$C$109:$C$110,0),0)</f>
        <v>95.766442276278951</v>
      </c>
      <c r="H34" s="47">
        <f ca="1">99.1*OFFSET(H$108,MATCH($M$1,$C$109:$C$110,0),0)</f>
        <v>89.366399432284496</v>
      </c>
      <c r="I34" s="47">
        <f ca="1">156.9*OFFSET(I$108,MATCH($M$1,$C$109:$C$110,0),0)</f>
        <v>145.9781890989388</v>
      </c>
      <c r="J34" s="47">
        <f ca="1">139.8*OFFSET(J$108,MATCH($M$1,$C$109:$C$110,0),0)</f>
        <v>132.83236695157524</v>
      </c>
      <c r="K34" s="47">
        <f ca="1">122.1*OFFSET(K$108,MATCH($M$1,$C$109:$C$110,0),0)</f>
        <v>117.94127284733081</v>
      </c>
      <c r="L34" s="47">
        <f ca="1">75.1*OFFSET(L$108,MATCH($M$1,$C$109:$C$110,0),0)</f>
        <v>73.840571701148633</v>
      </c>
      <c r="M34" s="48">
        <f ca="1">68.7*OFFSET(M$108,MATCH($M$1,$C$109:$C$110,0),0)</f>
        <v>68.699999733089982</v>
      </c>
      <c r="N34" s="49">
        <f t="shared" ca="1" si="0"/>
        <v>0.50786465317901186</v>
      </c>
      <c r="O34" s="49">
        <f t="shared" ca="1" si="1"/>
        <v>-0.17373227331263616</v>
      </c>
    </row>
    <row r="35" spans="1:15" s="19" customFormat="1" ht="18" customHeight="1" x14ac:dyDescent="0.2">
      <c r="A35" s="148"/>
      <c r="B35" s="33" t="s">
        <v>43</v>
      </c>
      <c r="C35" s="25"/>
      <c r="D35" s="26">
        <f ca="1">37.5*OFFSET(D$108,MATCH($M$1,$C$109:$C$110,0),0)</f>
        <v>30.504749726720906</v>
      </c>
      <c r="E35" s="26">
        <f ca="1">38.3*OFFSET(E$108,MATCH($M$1,$C$109:$C$110,0),0)</f>
        <v>31.99313656508555</v>
      </c>
      <c r="F35" s="26">
        <f ca="1">10.7*OFFSET(F$108,MATCH($M$1,$C$109:$C$110,0),0)</f>
        <v>9.1947237619434734</v>
      </c>
      <c r="G35" s="26">
        <f ca="1">30*OFFSET(G$108,MATCH($M$1,$C$109:$C$110,0),0)</f>
        <v>26.528100353539877</v>
      </c>
      <c r="H35" s="26">
        <f ca="1">27.8*OFFSET(H$108,MATCH($M$1,$C$109:$C$110,0),0)</f>
        <v>25.069484401791215</v>
      </c>
      <c r="I35" s="26">
        <f ca="1">26.1*OFFSET(I$108,MATCH($M$1,$C$109:$C$110,0),0)</f>
        <v>24.283178683762284</v>
      </c>
      <c r="J35" s="26">
        <f ca="1">21.5*OFFSET(J$108,MATCH($M$1,$C$109:$C$110,0),0)</f>
        <v>20.42843983876157</v>
      </c>
      <c r="K35" s="26">
        <f ca="1">25.5*OFFSET(K$108,MATCH($M$1,$C$109:$C$110,0),0)</f>
        <v>24.631469759270562</v>
      </c>
      <c r="L35" s="26">
        <f ca="1">19.4*OFFSET(L$108,MATCH($M$1,$C$109:$C$110,0),0)</f>
        <v>19.074661664477809</v>
      </c>
      <c r="M35" s="27"/>
      <c r="N35" s="24">
        <f t="shared" ca="1" si="0"/>
        <v>-0.37469863429926159</v>
      </c>
      <c r="O35" s="24">
        <f t="shared" ca="1" si="1"/>
        <v>-0.23912828206730394</v>
      </c>
    </row>
    <row r="36" spans="1:15" s="19" customFormat="1" ht="18" customHeight="1" x14ac:dyDescent="0.2">
      <c r="A36" s="148"/>
      <c r="B36" s="33" t="s">
        <v>44</v>
      </c>
      <c r="C36" s="25"/>
      <c r="D36" s="26">
        <f ca="1">6.9*OFFSET(D$108,MATCH($M$1,$C$109:$C$110,0),0)</f>
        <v>5.6128739497166471</v>
      </c>
      <c r="E36" s="26">
        <f ca="1">9.8*OFFSET(E$108,MATCH($M$1,$C$109:$C$110,0),0)</f>
        <v>8.1862333769670617</v>
      </c>
      <c r="F36" s="26">
        <f ca="1">5*OFFSET(F$108,MATCH($M$1,$C$109:$C$110,0),0)</f>
        <v>4.2965998887586325</v>
      </c>
      <c r="G36" s="26">
        <f ca="1">10.8*OFFSET(G$108,MATCH($M$1,$C$109:$C$110,0),0)</f>
        <v>9.5501161272743573</v>
      </c>
      <c r="H36" s="26">
        <f ca="1">4*OFFSET(H$108,MATCH($M$1,$C$109:$C$110,0),0)</f>
        <v>3.6071200578116853</v>
      </c>
      <c r="I36" s="26">
        <f ca="1">3.2*OFFSET(I$108,MATCH($M$1,$C$109:$C$110,0),0)</f>
        <v>2.97724796122756</v>
      </c>
      <c r="J36" s="26">
        <f ca="1">2.7*OFFSET(J$108,MATCH($M$1,$C$109:$C$110,0),0)</f>
        <v>2.5654319797514531</v>
      </c>
      <c r="K36" s="26">
        <f ca="1">5.1*OFFSET(K$108,MATCH($M$1,$C$109:$C$110,0),0)</f>
        <v>4.9262939518541122</v>
      </c>
      <c r="L36" s="26">
        <f ca="1">3.2*OFFSET(L$108,MATCH($M$1,$C$109:$C$110,0),0)</f>
        <v>3.1463359446561339</v>
      </c>
      <c r="M36" s="27"/>
      <c r="N36" s="24">
        <f t="shared" ca="1" si="0"/>
        <v>-0.43944297113335862</v>
      </c>
      <c r="O36" s="24">
        <f t="shared" ca="1" si="1"/>
        <v>-0.12774293779262041</v>
      </c>
    </row>
    <row r="37" spans="1:15" s="19" customFormat="1" ht="18" customHeight="1" x14ac:dyDescent="0.2">
      <c r="A37" s="148"/>
      <c r="B37" s="33" t="s">
        <v>45</v>
      </c>
      <c r="C37" s="25"/>
      <c r="D37" s="26"/>
      <c r="E37" s="26"/>
      <c r="F37" s="26"/>
      <c r="G37" s="26"/>
      <c r="H37" s="26">
        <f ca="1">2.1*OFFSET(H$108,MATCH($M$1,$C$109:$C$110,0),0)</f>
        <v>1.8937380303511349</v>
      </c>
      <c r="I37" s="26">
        <f ca="1">1.6*OFFSET(I$108,MATCH($M$1,$C$109:$C$110,0),0)</f>
        <v>1.48862398061378</v>
      </c>
      <c r="J37" s="26">
        <f ca="1">2*OFFSET(J$108,MATCH($M$1,$C$109:$C$110,0),0)</f>
        <v>1.9003199850010761</v>
      </c>
      <c r="K37" s="26">
        <f ca="1">1.3*OFFSET(K$108,MATCH($M$1,$C$109:$C$110,0),0)</f>
        <v>1.255721987727519</v>
      </c>
      <c r="L37" s="26">
        <f ca="1">1.7*OFFSET(L$108,MATCH($M$1,$C$109:$C$110,0),0)</f>
        <v>1.671490970598571</v>
      </c>
      <c r="M37" s="27"/>
      <c r="N37" s="24" t="str">
        <f t="shared" ca="1" si="0"/>
        <v/>
      </c>
      <c r="O37" s="24">
        <f t="shared" ca="1" si="1"/>
        <v>-0.11735892514729455</v>
      </c>
    </row>
    <row r="38" spans="1:15" s="19" customFormat="1" ht="18" customHeight="1" thickBot="1" x14ac:dyDescent="0.25">
      <c r="A38" s="149"/>
      <c r="B38" s="50" t="s">
        <v>46</v>
      </c>
      <c r="C38" s="51"/>
      <c r="D38" s="52">
        <f ca="1">15.8*OFFSET(D$108,MATCH($M$1,$C$109:$C$110,0),0)</f>
        <v>12.852667884858409</v>
      </c>
      <c r="E38" s="52">
        <f ca="1">12.8*OFFSET(E$108,MATCH($M$1,$C$109:$C$110,0),0)</f>
        <v>10.692223186242693</v>
      </c>
      <c r="F38" s="52">
        <f ca="1">109.6*OFFSET(F$108,MATCH($M$1,$C$109:$C$110,0),0)</f>
        <v>94.181469561589225</v>
      </c>
      <c r="G38" s="52">
        <f ca="1">67.5*OFFSET(G$108,MATCH($M$1,$C$109:$C$110,0),0)</f>
        <v>59.688225795464724</v>
      </c>
      <c r="H38" s="52">
        <f ca="1">65.2*OFFSET(H$108,MATCH($M$1,$C$109:$C$110,0),0)</f>
        <v>58.796056942330473</v>
      </c>
      <c r="I38" s="52">
        <f ca="1">126*OFFSET(I$108,MATCH($M$1,$C$109:$C$110,0),0)</f>
        <v>117.22913847333515</v>
      </c>
      <c r="J38" s="52">
        <f ca="1">113.6*OFFSET(J$108,MATCH($M$1,$C$109:$C$110,0),0)</f>
        <v>107.93817514806112</v>
      </c>
      <c r="K38" s="52">
        <f ca="1">90.3*OFFSET(K$108,MATCH($M$1,$C$109:$C$110,0),0)</f>
        <v>87.224381147534572</v>
      </c>
      <c r="L38" s="52">
        <f ca="1">50.8*OFFSET(L$108,MATCH($M$1,$C$109:$C$110,0),0)</f>
        <v>49.948083121416119</v>
      </c>
      <c r="M38" s="53"/>
      <c r="N38" s="54">
        <f t="shared" ca="1" si="0"/>
        <v>2.8862035157898562</v>
      </c>
      <c r="O38" s="54">
        <f t="shared" ca="1" si="1"/>
        <v>-0.15048583665385593</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UK scallop dredge over 15m</v>
      </c>
      <c r="C45" s="61"/>
      <c r="D45" s="61"/>
      <c r="E45" s="61"/>
      <c r="F45" s="61" t="str">
        <f>$B21&amp;CHAR(10)&amp;$A$1</f>
        <v>Income per kW day at sea (£)
UK scallop dredge over 15m</v>
      </c>
      <c r="G45" s="61"/>
      <c r="K45" s="61" t="str">
        <f>$B23&amp;CHAR(10)&amp;$A$1</f>
        <v>Operating profit per kW day at sea (£)
UK scallop dredge over 15m</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UK scallop dredge over 15m</v>
      </c>
      <c r="F59" s="61" t="str">
        <f>$B19&amp;CHAR(10)&amp;$A$1</f>
        <v>Average price per tonne landed (£)
UK scallop dredge over 15m</v>
      </c>
      <c r="K59" s="61" t="str">
        <f>"Average annual operating profit per vessel (£'000)"&amp;CHAR(10)&amp;$A$1</f>
        <v>Average annual operating profit per vessel (£'000)
UK scallop dredge over 15m</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UK scallop dredge over 15m</v>
      </c>
      <c r="F73" s="61" t="str">
        <f>"Top 5 landed species by value in "&amp;A74&amp;CHAR(10)&amp;A1</f>
        <v>Top 5 landed species by value in 2013
UK scallop dredge over 15m</v>
      </c>
    </row>
    <row r="74" spans="1:9" s="61" customFormat="1" x14ac:dyDescent="0.2">
      <c r="A74" s="61">
        <v>2013</v>
      </c>
      <c r="B74" s="61" t="s">
        <v>416</v>
      </c>
      <c r="C74" s="62">
        <v>0.54433455442607748</v>
      </c>
      <c r="D74" s="63">
        <v>8211234</v>
      </c>
      <c r="G74" s="61" t="s">
        <v>417</v>
      </c>
      <c r="H74" s="62">
        <v>0.77309530866449316</v>
      </c>
      <c r="I74" s="63">
        <v>8211234</v>
      </c>
    </row>
    <row r="75" spans="1:9" s="61" customFormat="1" x14ac:dyDescent="0.2">
      <c r="B75" s="61" t="s">
        <v>418</v>
      </c>
      <c r="C75" s="62">
        <v>0.39182024022795636</v>
      </c>
      <c r="D75" s="63">
        <v>2171775</v>
      </c>
      <c r="G75" s="61" t="s">
        <v>419</v>
      </c>
      <c r="H75" s="62">
        <v>0.15511198255093744</v>
      </c>
      <c r="I75" s="63">
        <v>2171775</v>
      </c>
    </row>
    <row r="76" spans="1:9" s="61" customFormat="1" x14ac:dyDescent="0.2">
      <c r="B76" s="61" t="s">
        <v>420</v>
      </c>
      <c r="C76" s="62">
        <v>3.8707176534459549E-2</v>
      </c>
      <c r="D76" s="63">
        <v>3511670</v>
      </c>
      <c r="G76" s="61" t="s">
        <v>421</v>
      </c>
      <c r="H76" s="62">
        <v>9.4908440422976151E-3</v>
      </c>
      <c r="I76" s="63">
        <v>2783840</v>
      </c>
    </row>
    <row r="77" spans="1:9" s="61" customFormat="1" x14ac:dyDescent="0.2">
      <c r="B77" s="61" t="s">
        <v>422</v>
      </c>
      <c r="C77" s="62">
        <v>6.5090859486348638E-3</v>
      </c>
      <c r="D77" s="63">
        <v>2783840</v>
      </c>
      <c r="G77" s="61" t="s">
        <v>423</v>
      </c>
      <c r="H77" s="62">
        <v>8.3800551295961263E-3</v>
      </c>
      <c r="I77" s="63">
        <v>6763595</v>
      </c>
    </row>
    <row r="78" spans="1:9" s="61" customFormat="1" x14ac:dyDescent="0.2">
      <c r="B78" s="61" t="s">
        <v>424</v>
      </c>
      <c r="C78" s="62">
        <v>3.6745364918355262E-3</v>
      </c>
      <c r="D78" s="63">
        <v>2764187</v>
      </c>
      <c r="G78" s="61" t="s">
        <v>425</v>
      </c>
      <c r="H78" s="62">
        <v>8.3455362663065278E-3</v>
      </c>
      <c r="I78" s="63">
        <v>2764187</v>
      </c>
    </row>
    <row r="79" spans="1:9" s="61" customFormat="1" x14ac:dyDescent="0.2">
      <c r="B79" s="61" t="s">
        <v>426</v>
      </c>
      <c r="C79" s="62">
        <v>1.4954406371036177E-2</v>
      </c>
      <c r="D79" s="63">
        <v>32768</v>
      </c>
      <c r="G79" s="61" t="s">
        <v>58</v>
      </c>
      <c r="H79" s="62">
        <v>4.5576273346369045E-2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59</v>
      </c>
      <c r="D88" s="66">
        <v>0.86933718328399046</v>
      </c>
      <c r="E88" s="66">
        <v>0.84395004281483621</v>
      </c>
      <c r="F88" s="66">
        <v>0.87577882966540077</v>
      </c>
      <c r="G88" s="66">
        <v>0.91068793221273736</v>
      </c>
      <c r="H88" s="66">
        <v>0.89313497678280362</v>
      </c>
      <c r="I88" s="66">
        <v>0.76329205336495787</v>
      </c>
      <c r="J88" s="66">
        <v>0.7809641867723166</v>
      </c>
      <c r="K88" s="66">
        <v>0.78359852703712629</v>
      </c>
      <c r="L88" s="66">
        <v>0.78628124605005556</v>
      </c>
      <c r="M88" s="66">
        <v>0.83330359588757852</v>
      </c>
      <c r="N88" s="61"/>
      <c r="O88" s="61">
        <v>8211234</v>
      </c>
    </row>
    <row r="89" spans="1:15" s="65" customFormat="1" hidden="1" x14ac:dyDescent="0.2">
      <c r="A89" s="61"/>
      <c r="B89" s="61">
        <v>2</v>
      </c>
      <c r="C89" s="61" t="s">
        <v>62</v>
      </c>
      <c r="D89" s="66">
        <v>8.1758199071693849E-2</v>
      </c>
      <c r="E89" s="66">
        <v>9.4067382992205004E-2</v>
      </c>
      <c r="F89" s="66">
        <v>5.8280046772158291E-2</v>
      </c>
      <c r="G89" s="66">
        <v>5.5177078176905252E-2</v>
      </c>
      <c r="H89" s="66">
        <v>5.7763054887292983E-2</v>
      </c>
      <c r="I89" s="66">
        <v>7.1781198738830668E-2</v>
      </c>
      <c r="J89" s="66">
        <v>0.16892690504416291</v>
      </c>
      <c r="K89" s="66">
        <v>0.16452406958824928</v>
      </c>
      <c r="L89" s="66">
        <v>0.15775757730069773</v>
      </c>
      <c r="M89" s="66">
        <v>0.1016699777942474</v>
      </c>
      <c r="N89" s="61"/>
      <c r="O89" s="61">
        <v>2171775</v>
      </c>
    </row>
    <row r="90" spans="1:15" s="65" customFormat="1" hidden="1" x14ac:dyDescent="0.2">
      <c r="A90" s="61"/>
      <c r="B90" s="61">
        <v>3</v>
      </c>
      <c r="C90" s="61" t="s">
        <v>133</v>
      </c>
      <c r="D90" s="66"/>
      <c r="E90" s="66"/>
      <c r="F90" s="66">
        <v>7.717462269690516E-3</v>
      </c>
      <c r="G90" s="66"/>
      <c r="H90" s="66">
        <v>7.7330401769213257E-3</v>
      </c>
      <c r="I90" s="66"/>
      <c r="J90" s="66">
        <v>1.000546121828582E-2</v>
      </c>
      <c r="K90" s="66">
        <v>1.1472036616003968E-2</v>
      </c>
      <c r="L90" s="66">
        <v>9.6527201704739198E-3</v>
      </c>
      <c r="M90" s="66">
        <v>1.196876848924429E-2</v>
      </c>
      <c r="N90" s="61"/>
      <c r="O90" s="61">
        <v>2783840</v>
      </c>
    </row>
    <row r="91" spans="1:15" s="65" customFormat="1" hidden="1" x14ac:dyDescent="0.2">
      <c r="A91" s="61"/>
      <c r="B91" s="61">
        <v>4</v>
      </c>
      <c r="C91" s="61" t="s">
        <v>101</v>
      </c>
      <c r="D91" s="66"/>
      <c r="E91" s="66"/>
      <c r="F91" s="66"/>
      <c r="G91" s="66"/>
      <c r="H91" s="66"/>
      <c r="I91" s="66"/>
      <c r="J91" s="66"/>
      <c r="K91" s="66"/>
      <c r="L91" s="66">
        <v>8.5229856078799741E-3</v>
      </c>
      <c r="M91" s="66">
        <v>1.1147917434057509E-2</v>
      </c>
      <c r="N91" s="61"/>
      <c r="O91" s="61">
        <v>6763595</v>
      </c>
    </row>
    <row r="92" spans="1:15" s="65" customFormat="1" hidden="1" x14ac:dyDescent="0.2">
      <c r="A92" s="61"/>
      <c r="B92" s="61">
        <v>5</v>
      </c>
      <c r="C92" s="61" t="s">
        <v>82</v>
      </c>
      <c r="D92" s="66">
        <v>5.8080165030859436E-3</v>
      </c>
      <c r="E92" s="66">
        <v>8.5759323689669729E-3</v>
      </c>
      <c r="F92" s="66"/>
      <c r="G92" s="66">
        <v>4.4092460371241045E-3</v>
      </c>
      <c r="H92" s="66"/>
      <c r="I92" s="66">
        <v>9.3024428119829906E-3</v>
      </c>
      <c r="J92" s="66">
        <v>1.0110942113938443E-2</v>
      </c>
      <c r="K92" s="66">
        <v>6.933208632220236E-3</v>
      </c>
      <c r="L92" s="66">
        <v>8.4878779897953893E-3</v>
      </c>
      <c r="M92" s="66"/>
      <c r="N92" s="61"/>
      <c r="O92" s="61">
        <v>2764187</v>
      </c>
    </row>
    <row r="93" spans="1:15" s="65" customFormat="1" hidden="1" x14ac:dyDescent="0.2">
      <c r="A93" s="61"/>
      <c r="B93" s="61">
        <v>6</v>
      </c>
      <c r="C93" s="61" t="s">
        <v>84</v>
      </c>
      <c r="D93" s="66">
        <v>1.2472740858593363E-2</v>
      </c>
      <c r="E93" s="66">
        <v>2.0865324816932838E-2</v>
      </c>
      <c r="F93" s="66">
        <v>2.1833185263312061E-2</v>
      </c>
      <c r="G93" s="66">
        <v>8.768899556546618E-3</v>
      </c>
      <c r="H93" s="66">
        <v>9.5130460166748566E-3</v>
      </c>
      <c r="I93" s="66">
        <v>1.504154037397968E-2</v>
      </c>
      <c r="J93" s="66">
        <v>9.2008466253675238E-3</v>
      </c>
      <c r="K93" s="66">
        <v>1.2538881237976432E-2</v>
      </c>
      <c r="L93" s="66"/>
      <c r="M93" s="66">
        <v>8.6048772722669749E-3</v>
      </c>
      <c r="N93" s="61"/>
      <c r="O93" s="61">
        <v>3511670</v>
      </c>
    </row>
    <row r="94" spans="1:15" s="65" customFormat="1" hidden="1" x14ac:dyDescent="0.2">
      <c r="A94" s="61"/>
      <c r="B94" s="61">
        <v>7</v>
      </c>
      <c r="C94" s="61" t="s">
        <v>257</v>
      </c>
      <c r="D94" s="66"/>
      <c r="E94" s="66"/>
      <c r="F94" s="66"/>
      <c r="G94" s="66"/>
      <c r="H94" s="66"/>
      <c r="I94" s="66">
        <v>0.11253380911995102</v>
      </c>
      <c r="J94" s="66"/>
      <c r="K94" s="66"/>
      <c r="L94" s="66"/>
      <c r="M94" s="66"/>
      <c r="N94" s="61"/>
      <c r="O94" s="61">
        <v>1464488</v>
      </c>
    </row>
    <row r="95" spans="1:15" s="65" customFormat="1" hidden="1" x14ac:dyDescent="0.2">
      <c r="A95" s="61"/>
      <c r="B95" s="61">
        <v>8</v>
      </c>
      <c r="C95" s="61" t="s">
        <v>60</v>
      </c>
      <c r="D95" s="66">
        <v>6.644312891640386E-3</v>
      </c>
      <c r="E95" s="66">
        <v>9.4352649106654342E-3</v>
      </c>
      <c r="F95" s="66">
        <v>1.1661755861267459E-2</v>
      </c>
      <c r="G95" s="66">
        <v>8.9219415834231753E-3</v>
      </c>
      <c r="H95" s="66">
        <v>8.3522939292348334E-3</v>
      </c>
      <c r="I95" s="66"/>
      <c r="J95" s="66"/>
      <c r="K95" s="66"/>
      <c r="L95" s="66"/>
      <c r="M95" s="66"/>
      <c r="N95" s="61"/>
      <c r="O95" s="61">
        <v>8274269</v>
      </c>
    </row>
    <row r="96" spans="1:15" s="65" customFormat="1" hidden="1" x14ac:dyDescent="0.2">
      <c r="A96" s="61"/>
      <c r="B96" s="61">
        <v>9</v>
      </c>
      <c r="C96" s="61" t="s">
        <v>68</v>
      </c>
      <c r="D96" s="66">
        <v>2.3979547390996045E-2</v>
      </c>
      <c r="E96" s="66">
        <v>2.3106052096393496E-2</v>
      </c>
      <c r="F96" s="66">
        <v>2.4728720168170928E-2</v>
      </c>
      <c r="G96" s="66">
        <v>1.2034902433263543E-2</v>
      </c>
      <c r="H96" s="66">
        <v>2.3503588207072348E-2</v>
      </c>
      <c r="I96" s="66">
        <v>2.8048955590297801E-2</v>
      </c>
      <c r="J96" s="66">
        <v>2.0791658225928673E-2</v>
      </c>
      <c r="K96" s="66">
        <v>2.0933276888423773E-2</v>
      </c>
      <c r="L96" s="66">
        <v>2.9297592881097463E-2</v>
      </c>
      <c r="M96" s="66">
        <v>3.3304863122605284E-2</v>
      </c>
      <c r="N96" s="61"/>
      <c r="O96" s="61">
        <v>32768</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10</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'UK scallop dredge over 15m'!D3:L3</xm:f>
              <xm:sqref>C3</xm:sqref>
            </x14:sparkline>
            <x14:sparkline>
              <xm:f>'UK scallop dredge over 15m'!D4:L4</xm:f>
              <xm:sqref>C4</xm:sqref>
            </x14:sparkline>
            <x14:sparkline>
              <xm:f>'UK scallop dredge over 15m'!D5:L5</xm:f>
              <xm:sqref>C5</xm:sqref>
            </x14:sparkline>
            <x14:sparkline>
              <xm:f>'UK scallop dredge over 15m'!D6:L6</xm:f>
              <xm:sqref>C6</xm:sqref>
            </x14:sparkline>
            <x14:sparkline>
              <xm:f>'UK scallop dredge over 15m'!D7:L7</xm:f>
              <xm:sqref>C7</xm:sqref>
            </x14:sparkline>
            <x14:sparkline>
              <xm:f>'UK scallop dredge over 15m'!D8:L8</xm:f>
              <xm:sqref>C8</xm:sqref>
            </x14:sparkline>
            <x14:sparkline>
              <xm:f>'UK scallop dredge over 15m'!D9:L9</xm:f>
              <xm:sqref>C9</xm:sqref>
            </x14:sparkline>
            <x14:sparkline>
              <xm:f>'UK scallop dredge over 15m'!D10:L10</xm:f>
              <xm:sqref>C10</xm:sqref>
            </x14:sparkline>
            <x14:sparkline>
              <xm:f>'UK scallop dredge over 15m'!D11:L11</xm:f>
              <xm:sqref>C11</xm:sqref>
            </x14:sparkline>
            <x14:sparkline>
              <xm:f>'UK scallop dredge over 15m'!D12:L12</xm:f>
              <xm:sqref>C12</xm:sqref>
            </x14:sparkline>
            <x14:sparkline>
              <xm:f>'UK scallop dredge over 15m'!D13:L13</xm:f>
              <xm:sqref>C13</xm:sqref>
            </x14:sparkline>
            <x14:sparkline>
              <xm:f>'UK scallop dredge over 15m'!D14:L14</xm:f>
              <xm:sqref>C14</xm:sqref>
            </x14:sparkline>
            <x14:sparkline>
              <xm:f>'UK scallop dredge over 15m'!D15:L15</xm:f>
              <xm:sqref>C15</xm:sqref>
            </x14:sparkline>
            <x14:sparkline>
              <xm:f>'UK scallop dredge over 15m'!D16:L16</xm:f>
              <xm:sqref>C16</xm:sqref>
            </x14:sparkline>
            <x14:sparkline>
              <xm:f>'UK scallop dredge over 15m'!D17:L17</xm:f>
              <xm:sqref>C17</xm:sqref>
            </x14:sparkline>
            <x14:sparkline>
              <xm:f>'UK scallop dredge over 15m'!D18:L18</xm:f>
              <xm:sqref>C18</xm:sqref>
            </x14:sparkline>
            <x14:sparkline>
              <xm:f>'UK scallop dredge over 15m'!D19:L19</xm:f>
              <xm:sqref>C19</xm:sqref>
            </x14:sparkline>
            <x14:sparkline>
              <xm:f>'UK scallop dredge over 15m'!D20:L20</xm:f>
              <xm:sqref>C20</xm:sqref>
            </x14:sparkline>
            <x14:sparkline>
              <xm:f>'UK scallop dredge over 15m'!D21:L21</xm:f>
              <xm:sqref>C21</xm:sqref>
            </x14:sparkline>
            <x14:sparkline>
              <xm:f>'UK scallop dredge over 15m'!D22:L22</xm:f>
              <xm:sqref>C22</xm:sqref>
            </x14:sparkline>
            <x14:sparkline>
              <xm:f>'UK scallop dredge over 15m'!D23:L23</xm:f>
              <xm:sqref>C23</xm:sqref>
            </x14:sparkline>
            <x14:sparkline>
              <xm:f>'UK scallop dredge over 15m'!D24:L24</xm:f>
              <xm:sqref>C24</xm:sqref>
            </x14:sparkline>
            <x14:sparkline>
              <xm:f>'UK scallop dredge over 15m'!D25:L25</xm:f>
              <xm:sqref>C25</xm:sqref>
            </x14:sparkline>
            <x14:sparkline>
              <xm:f>'UK scallop dredge over 15m'!D26:L26</xm:f>
              <xm:sqref>C26</xm:sqref>
            </x14:sparkline>
            <x14:sparkline>
              <xm:f>'UK scallop dredge over 15m'!D27:L27</xm:f>
              <xm:sqref>C27</xm:sqref>
            </x14:sparkline>
            <x14:sparkline>
              <xm:f>'UK scallop dredge over 15m'!D28:L28</xm:f>
              <xm:sqref>C28</xm:sqref>
            </x14:sparkline>
            <x14:sparkline>
              <xm:f>'UK scallop dredge over 15m'!D29:L29</xm:f>
              <xm:sqref>C29</xm:sqref>
            </x14:sparkline>
            <x14:sparkline>
              <xm:f>'UK scallop dredge over 15m'!D30:L30</xm:f>
              <xm:sqref>C30</xm:sqref>
            </x14:sparkline>
            <x14:sparkline>
              <xm:f>'UK scallop dredge over 15m'!D31:L31</xm:f>
              <xm:sqref>C31</xm:sqref>
            </x14:sparkline>
            <x14:sparkline>
              <xm:f>'UK scallop dredge over 15m'!D32:L32</xm:f>
              <xm:sqref>C32</xm:sqref>
            </x14:sparkline>
            <x14:sparkline>
              <xm:f>'UK scallop dredge over 15m'!D33:L33</xm:f>
              <xm:sqref>C33</xm:sqref>
            </x14:sparkline>
            <x14:sparkline>
              <xm:f>'UK scallop dredge over 15m'!D34:L34</xm:f>
              <xm:sqref>C34</xm:sqref>
            </x14:sparkline>
            <x14:sparkline>
              <xm:f>'UK scallop dredge over 15m'!D35:L35</xm:f>
              <xm:sqref>C35</xm:sqref>
            </x14:sparkline>
            <x14:sparkline>
              <xm:f>'UK scallop dredge over 15m'!D36:L36</xm:f>
              <xm:sqref>C36</xm:sqref>
            </x14:sparkline>
            <x14:sparkline>
              <xm:f>'UK scallop dredge over 15m'!D37:L37</xm:f>
              <xm:sqref>C37</xm:sqref>
            </x14:sparkline>
            <x14:sparkline>
              <xm:f>'UK scallop dredge over 15m'!D38:L38</xm:f>
              <xm:sqref>C38</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O300"/>
  <sheetViews>
    <sheetView topLeftCell="A22"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427</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108</v>
      </c>
      <c r="E3" s="16">
        <v>128</v>
      </c>
      <c r="F3" s="16">
        <v>109</v>
      </c>
      <c r="G3" s="16">
        <v>123</v>
      </c>
      <c r="H3" s="16">
        <v>132</v>
      </c>
      <c r="I3" s="16">
        <v>126</v>
      </c>
      <c r="J3" s="16">
        <v>172</v>
      </c>
      <c r="K3" s="16">
        <v>158</v>
      </c>
      <c r="L3" s="16">
        <v>194</v>
      </c>
      <c r="M3" s="17">
        <v>185</v>
      </c>
      <c r="N3" s="18">
        <f t="shared" ref="N3:N38" si="0">IF(L3=0,"",IFERROR(IF(AND(L3&gt;0,D3&lt;0),"na",IF(AND(L3&lt;0,D3&lt;0),-1,1)*(L3-D3)/D3),""))</f>
        <v>0.79629629629629628</v>
      </c>
      <c r="O3" s="18">
        <f t="shared" ref="O3:O38" si="1">IF(L3=0,"",IFERROR(IF(AND(L3&gt;0,H3&lt;0),"na",IF(AND(L3&lt;0,H3&lt;0),-1,1)*(L3-H3)/H3),""))</f>
        <v>0.46969696969696972</v>
      </c>
    </row>
    <row r="4" spans="1:15" s="19" customFormat="1" ht="18" customHeight="1" x14ac:dyDescent="0.2">
      <c r="A4" s="141"/>
      <c r="B4" s="20" t="s">
        <v>20</v>
      </c>
      <c r="C4" s="21"/>
      <c r="D4" s="22">
        <v>14229</v>
      </c>
      <c r="E4" s="22">
        <v>17137.33984375</v>
      </c>
      <c r="F4" s="22">
        <v>14382.759765625</v>
      </c>
      <c r="G4" s="22">
        <v>14816.349609375</v>
      </c>
      <c r="H4" s="22">
        <v>16202.1298828125</v>
      </c>
      <c r="I4" s="22">
        <v>17086.419921875</v>
      </c>
      <c r="J4" s="22">
        <v>22522.330078125</v>
      </c>
      <c r="K4" s="22">
        <v>21950.58984375</v>
      </c>
      <c r="L4" s="22">
        <v>27183.779296875</v>
      </c>
      <c r="M4" s="23">
        <v>26201.6796875</v>
      </c>
      <c r="N4" s="24">
        <f t="shared" si="0"/>
        <v>0.91044903344402273</v>
      </c>
      <c r="O4" s="24">
        <f t="shared" si="1"/>
        <v>0.67779048146700904</v>
      </c>
    </row>
    <row r="5" spans="1:15" s="19" customFormat="1" ht="18" customHeight="1" x14ac:dyDescent="0.2">
      <c r="A5" s="141"/>
      <c r="B5" s="20" t="s">
        <v>21</v>
      </c>
      <c r="C5" s="21"/>
      <c r="D5" s="22">
        <v>1900.489990234375</v>
      </c>
      <c r="E5" s="22">
        <v>2121.300048828125</v>
      </c>
      <c r="F5" s="22">
        <v>1785.989990234375</v>
      </c>
      <c r="G5" s="22">
        <v>1798.06005859375</v>
      </c>
      <c r="H5" s="22">
        <v>2039.5699462890625</v>
      </c>
      <c r="I5" s="22">
        <v>2165.239990234375</v>
      </c>
      <c r="J5" s="22">
        <v>2898.830078125</v>
      </c>
      <c r="K5" s="22">
        <v>2901.530029296875</v>
      </c>
      <c r="L5" s="22">
        <v>3489.659912109375</v>
      </c>
      <c r="M5" s="23">
        <v>3482.27001953125</v>
      </c>
      <c r="N5" s="24">
        <f t="shared" si="0"/>
        <v>0.83618957744629741</v>
      </c>
      <c r="O5" s="24">
        <f t="shared" si="1"/>
        <v>0.71097829640935262</v>
      </c>
    </row>
    <row r="6" spans="1:15" s="19" customFormat="1" ht="18" customHeight="1" x14ac:dyDescent="0.2">
      <c r="A6" s="141"/>
      <c r="B6" s="20" t="s">
        <v>22</v>
      </c>
      <c r="C6" s="21"/>
      <c r="D6" s="22">
        <v>11299.41796875</v>
      </c>
      <c r="E6" s="22">
        <v>13977.7763671875</v>
      </c>
      <c r="F6" s="22">
        <v>9696.560546875</v>
      </c>
      <c r="G6" s="22">
        <v>12212.251953125</v>
      </c>
      <c r="H6" s="22">
        <v>13109.650390625</v>
      </c>
      <c r="I6" s="22">
        <v>13922.84375</v>
      </c>
      <c r="J6" s="22">
        <v>18498.61328125</v>
      </c>
      <c r="K6" s="22">
        <v>17864.919921875</v>
      </c>
      <c r="L6" s="22">
        <v>22244.84765625</v>
      </c>
      <c r="M6" s="23">
        <v>21296.060546875</v>
      </c>
      <c r="N6" s="24">
        <f t="shared" si="0"/>
        <v>0.96867198981142211</v>
      </c>
      <c r="O6" s="24">
        <f t="shared" si="1"/>
        <v>0.69682996826198973</v>
      </c>
    </row>
    <row r="7" spans="1:15" s="19" customFormat="1" ht="18" customHeight="1" x14ac:dyDescent="0.2">
      <c r="A7" s="141"/>
      <c r="B7" s="20" t="s">
        <v>23</v>
      </c>
      <c r="C7" s="21"/>
      <c r="D7" s="22">
        <v>16516.6328125</v>
      </c>
      <c r="E7" s="22">
        <v>10871.8662109375</v>
      </c>
      <c r="F7" s="22">
        <v>10613.5810546875</v>
      </c>
      <c r="G7" s="22">
        <v>11399.4453125</v>
      </c>
      <c r="H7" s="22">
        <v>10314.8251953125</v>
      </c>
      <c r="I7" s="22">
        <v>12265.763671875</v>
      </c>
      <c r="J7" s="22">
        <v>17105.39453125</v>
      </c>
      <c r="K7" s="22">
        <v>16376.4951171875</v>
      </c>
      <c r="L7" s="22">
        <v>21613.806640625</v>
      </c>
      <c r="M7" s="23">
        <v>18761.57421875</v>
      </c>
      <c r="N7" s="24">
        <f t="shared" si="0"/>
        <v>0.30860853334872185</v>
      </c>
      <c r="O7" s="24">
        <f t="shared" si="1"/>
        <v>1.0954118204976699</v>
      </c>
    </row>
    <row r="8" spans="1:15" s="19" customFormat="1" ht="18" customHeight="1" x14ac:dyDescent="0.2">
      <c r="A8" s="141"/>
      <c r="B8" s="20" t="s">
        <v>24</v>
      </c>
      <c r="C8" s="25"/>
      <c r="D8" s="26">
        <f ca="1">12.958167*OFFSET(D$108,MATCH($M$1,$C$109:$C$110,0),0)</f>
        <v>10.540950433388103</v>
      </c>
      <c r="E8" s="26">
        <f ca="1">14.20525*OFFSET(E$108,MATCH($M$1,$C$109:$C$110,0),0)</f>
        <v>11.866070579404218</v>
      </c>
      <c r="F8" s="26">
        <f ca="1">12.931122*OFFSET(F$108,MATCH($M$1,$C$109:$C$110,0),0)</f>
        <v>11.111971469344862</v>
      </c>
      <c r="G8" s="26">
        <f ca="1">13.824881*OFFSET(G$108,MATCH($M$1,$C$109:$C$110,0),0)</f>
        <v>12.224927684791558</v>
      </c>
      <c r="H8" s="26">
        <f ca="1">20.528442*OFFSET(H$108,MATCH($M$1,$C$109:$C$110,0),0)</f>
        <v>18.512138723455955</v>
      </c>
      <c r="I8" s="26">
        <f ca="1">17.010966*OFFSET(I$108,MATCH($M$1,$C$109:$C$110,0),0)</f>
        <v>15.826832450628542</v>
      </c>
      <c r="J8" s="26">
        <f ca="1">20.910056*OFFSET(J$108,MATCH($M$1,$C$109:$C$110,0),0)</f>
        <v>19.867898652145833</v>
      </c>
      <c r="K8" s="26">
        <f ca="1">23.321774*OFFSET(K$108,MATCH($M$1,$C$109:$C$110,0),0)</f>
        <v>22.527434157393824</v>
      </c>
      <c r="L8" s="26">
        <f ca="1">22.679392*OFFSET(L$108,MATCH($M$1,$C$109:$C$110,0),0)</f>
        <v>22.299058203920865</v>
      </c>
      <c r="M8" s="27">
        <f ca="1">24.216916*OFFSET(M$108,MATCH($M$1,$C$109:$C$110,0),0)</f>
        <v>24.216915905913574</v>
      </c>
      <c r="N8" s="24">
        <f t="shared" ca="1" si="0"/>
        <v>1.115469410926111</v>
      </c>
      <c r="O8" s="24">
        <f t="shared" ca="1" si="1"/>
        <v>0.20456412611400016</v>
      </c>
    </row>
    <row r="9" spans="1:15" s="19" customFormat="1" ht="18" customHeight="1" x14ac:dyDescent="0.2">
      <c r="A9" s="141"/>
      <c r="B9" s="20" t="s">
        <v>25</v>
      </c>
      <c r="C9" s="25"/>
      <c r="D9" s="22">
        <v>11892</v>
      </c>
      <c r="E9" s="22">
        <v>12223</v>
      </c>
      <c r="F9" s="22">
        <v>11257</v>
      </c>
      <c r="G9" s="22">
        <v>12883</v>
      </c>
      <c r="H9" s="22">
        <v>13324.5</v>
      </c>
      <c r="I9" s="22">
        <v>13447</v>
      </c>
      <c r="J9" s="22">
        <v>16097</v>
      </c>
      <c r="K9" s="22">
        <v>16798</v>
      </c>
      <c r="L9" s="22">
        <v>18243</v>
      </c>
      <c r="M9" s="23">
        <v>16257</v>
      </c>
      <c r="N9" s="24">
        <f t="shared" si="0"/>
        <v>0.53405650857719478</v>
      </c>
      <c r="O9" s="24">
        <f t="shared" si="1"/>
        <v>0.36913204998311383</v>
      </c>
    </row>
    <row r="10" spans="1:15" s="19" customFormat="1" ht="18" customHeight="1" x14ac:dyDescent="0.2">
      <c r="A10" s="142" t="s">
        <v>7</v>
      </c>
      <c r="B10" s="28" t="s">
        <v>26</v>
      </c>
      <c r="C10" s="29"/>
      <c r="D10" s="30">
        <v>11.111296653747559</v>
      </c>
      <c r="E10" s="30">
        <v>10.923515319824219</v>
      </c>
      <c r="F10" s="30">
        <v>10.934403419494629</v>
      </c>
      <c r="G10" s="30">
        <v>10.367073059082031</v>
      </c>
      <c r="H10" s="30">
        <v>10.379923820495605</v>
      </c>
      <c r="I10" s="30">
        <v>10.899365425109863</v>
      </c>
      <c r="J10" s="30">
        <v>10.860814094543457</v>
      </c>
      <c r="K10" s="30">
        <v>11.154620170593262</v>
      </c>
      <c r="L10" s="30">
        <v>11.34051513671875</v>
      </c>
      <c r="M10" s="31">
        <v>11.401891708374023</v>
      </c>
      <c r="N10" s="32">
        <f t="shared" si="0"/>
        <v>2.0629318981766346E-2</v>
      </c>
      <c r="O10" s="32">
        <f t="shared" si="1"/>
        <v>9.2543195194401684E-2</v>
      </c>
    </row>
    <row r="11" spans="1:15" s="19" customFormat="1" ht="18" customHeight="1" x14ac:dyDescent="0.2">
      <c r="A11" s="143"/>
      <c r="B11" s="33" t="s">
        <v>20</v>
      </c>
      <c r="C11" s="21"/>
      <c r="D11" s="22">
        <v>131.75</v>
      </c>
      <c r="E11" s="22">
        <v>133.88546752929687</v>
      </c>
      <c r="F11" s="22">
        <v>131.95191955566406</v>
      </c>
      <c r="G11" s="22">
        <v>120.4581298828125</v>
      </c>
      <c r="H11" s="22">
        <v>122.743408203125</v>
      </c>
      <c r="I11" s="22">
        <v>135.60650634765625</v>
      </c>
      <c r="J11" s="22">
        <v>130.94378662109375</v>
      </c>
      <c r="K11" s="22">
        <v>138.92778015136719</v>
      </c>
      <c r="L11" s="22">
        <v>140.12257385253906</v>
      </c>
      <c r="M11" s="23">
        <v>141.63070678710937</v>
      </c>
      <c r="N11" s="24">
        <f t="shared" si="0"/>
        <v>6.3548947647355317E-2</v>
      </c>
      <c r="O11" s="24">
        <f t="shared" si="1"/>
        <v>0.14158940104265083</v>
      </c>
    </row>
    <row r="12" spans="1:15" s="19" customFormat="1" ht="18" customHeight="1" x14ac:dyDescent="0.2">
      <c r="A12" s="143"/>
      <c r="B12" s="33" t="s">
        <v>21</v>
      </c>
      <c r="C12" s="21"/>
      <c r="D12" s="22">
        <v>17.597129821777344</v>
      </c>
      <c r="E12" s="22">
        <v>16.572656631469727</v>
      </c>
      <c r="F12" s="22">
        <v>16.385229110717773</v>
      </c>
      <c r="G12" s="22">
        <v>14.618373870849609</v>
      </c>
      <c r="H12" s="22">
        <v>15.451288223266602</v>
      </c>
      <c r="I12" s="22">
        <v>17.184444427490234</v>
      </c>
      <c r="J12" s="22">
        <v>16.853662490844727</v>
      </c>
      <c r="K12" s="22">
        <v>18.364114761352539</v>
      </c>
      <c r="L12" s="22">
        <v>17.987937927246094</v>
      </c>
      <c r="M12" s="23">
        <v>18.823081970214844</v>
      </c>
      <c r="N12" s="24">
        <f t="shared" si="0"/>
        <v>2.2208627737979467E-2</v>
      </c>
      <c r="O12" s="24">
        <f t="shared" si="1"/>
        <v>0.16417075827760411</v>
      </c>
    </row>
    <row r="13" spans="1:15" s="19" customFormat="1" ht="18" customHeight="1" x14ac:dyDescent="0.2">
      <c r="A13" s="143"/>
      <c r="B13" s="33" t="s">
        <v>22</v>
      </c>
      <c r="C13" s="21"/>
      <c r="D13" s="22">
        <v>104.62423706054687</v>
      </c>
      <c r="E13" s="22">
        <v>109.20137786865234</v>
      </c>
      <c r="F13" s="22">
        <v>88.959274291992188</v>
      </c>
      <c r="G13" s="22">
        <v>99.286598205566406</v>
      </c>
      <c r="H13" s="22">
        <v>99.315528869628906</v>
      </c>
      <c r="I13" s="22">
        <v>110.49876403808594</v>
      </c>
      <c r="J13" s="22">
        <v>107.55007934570312</v>
      </c>
      <c r="K13" s="22">
        <v>113.06910705566406</v>
      </c>
      <c r="L13" s="22">
        <v>114.66416168212891</v>
      </c>
      <c r="M13" s="23">
        <v>115.73946380615234</v>
      </c>
      <c r="N13" s="24">
        <f t="shared" si="0"/>
        <v>9.5961747522917154E-2</v>
      </c>
      <c r="O13" s="24">
        <f t="shared" si="1"/>
        <v>0.15454413813420947</v>
      </c>
    </row>
    <row r="14" spans="1:15" s="19" customFormat="1" ht="18" customHeight="1" x14ac:dyDescent="0.2">
      <c r="A14" s="143"/>
      <c r="B14" s="33" t="s">
        <v>23</v>
      </c>
      <c r="C14" s="25"/>
      <c r="D14" s="26">
        <v>152.93177795410156</v>
      </c>
      <c r="E14" s="26">
        <v>84.936454772949219</v>
      </c>
      <c r="F14" s="26">
        <v>97.372306823730469</v>
      </c>
      <c r="G14" s="26">
        <v>92.678421020507813</v>
      </c>
      <c r="H14" s="26">
        <v>78.142616271972656</v>
      </c>
      <c r="I14" s="26">
        <v>97.347328186035156</v>
      </c>
      <c r="J14" s="26">
        <v>99.449966430664063</v>
      </c>
      <c r="K14" s="26">
        <v>103.64870452880859</v>
      </c>
      <c r="L14" s="26">
        <v>111.411376953125</v>
      </c>
      <c r="M14" s="27">
        <v>101.41390991210937</v>
      </c>
      <c r="N14" s="24">
        <f t="shared" si="0"/>
        <v>-0.27149622894881803</v>
      </c>
      <c r="O14" s="24">
        <f t="shared" si="1"/>
        <v>0.42574413640517972</v>
      </c>
    </row>
    <row r="15" spans="1:15" s="19" customFormat="1" ht="18" customHeight="1" x14ac:dyDescent="0.2">
      <c r="A15" s="143"/>
      <c r="B15" s="33" t="s">
        <v>27</v>
      </c>
      <c r="C15" s="25"/>
      <c r="D15" s="26">
        <f ca="1">119.98303125*OFFSET(D$108,MATCH($M$1,$C$109:$C$110,0),0)</f>
        <v>97.601395726255561</v>
      </c>
      <c r="E15" s="26">
        <f ca="1">110.978515625*OFFSET(E$108,MATCH($M$1,$C$109:$C$110,0),0)</f>
        <v>92.703676401595459</v>
      </c>
      <c r="F15" s="26">
        <f ca="1">118.6341484375*OFFSET(F$108,MATCH($M$1,$C$109:$C$110,0),0)</f>
        <v>101.94469379590753</v>
      </c>
      <c r="G15" s="26">
        <f ca="1">112.39740625*OFFSET(G$108,MATCH($M$1,$C$109:$C$110,0),0)</f>
        <v>99.389655749253009</v>
      </c>
      <c r="H15" s="26">
        <f ca="1">155.5185*OFFSET(H$108,MATCH($M$1,$C$109:$C$110,0),0)</f>
        <v>140.24347517769664</v>
      </c>
      <c r="I15" s="26">
        <f ca="1">135.007671875*OFFSET(I$108,MATCH($M$1,$C$109:$C$110,0),0)</f>
        <v>125.60978619997597</v>
      </c>
      <c r="J15" s="26">
        <f ca="1">121.5700859375*OFFSET(J$108,MATCH($M$1,$C$109:$C$110,0),0)</f>
        <v>115.51103194266476</v>
      </c>
      <c r="K15" s="26">
        <f ca="1">147.606171875*OFFSET(K$108,MATCH($M$1,$C$109:$C$110,0),0)</f>
        <v>142.57870426748062</v>
      </c>
      <c r="L15" s="26">
        <f ca="1">116.904078125*OFFSET(L$108,MATCH($M$1,$C$109:$C$110,0),0)</f>
        <v>114.94359471299261</v>
      </c>
      <c r="M15" s="27">
        <f ca="1">130.90225*OFFSET(M$108,MATCH($M$1,$C$109:$C$110,0),0)</f>
        <v>130.90224949142473</v>
      </c>
      <c r="N15" s="24">
        <f t="shared" ca="1" si="0"/>
        <v>0.17768392406371966</v>
      </c>
      <c r="O15" s="24">
        <f t="shared" ca="1" si="1"/>
        <v>-0.18039969725969504</v>
      </c>
    </row>
    <row r="16" spans="1:15" s="19" customFormat="1" ht="18" customHeight="1" x14ac:dyDescent="0.2">
      <c r="A16" s="143"/>
      <c r="B16" s="33" t="s">
        <v>25</v>
      </c>
      <c r="C16" s="21"/>
      <c r="D16" s="22">
        <v>110.11111450195312</v>
      </c>
      <c r="E16" s="22">
        <v>95.4921875</v>
      </c>
      <c r="F16" s="22">
        <v>103.27523040771484</v>
      </c>
      <c r="G16" s="22">
        <v>104.73983764648437</v>
      </c>
      <c r="H16" s="22">
        <v>100.94318389892578</v>
      </c>
      <c r="I16" s="22">
        <v>106.72222137451172</v>
      </c>
      <c r="J16" s="22">
        <v>93.587211608886719</v>
      </c>
      <c r="K16" s="22">
        <v>106.31645202636719</v>
      </c>
      <c r="L16" s="22">
        <v>94.036079406738281</v>
      </c>
      <c r="M16" s="23">
        <v>87.875679016113281</v>
      </c>
      <c r="N16" s="24">
        <f t="shared" si="0"/>
        <v>-0.14598921433067238</v>
      </c>
      <c r="O16" s="24">
        <f t="shared" si="1"/>
        <v>-6.8425665066237359E-2</v>
      </c>
    </row>
    <row r="17" spans="1:15" s="19" customFormat="1" ht="18" customHeight="1" x14ac:dyDescent="0.2">
      <c r="A17" s="143"/>
      <c r="B17" s="33" t="s">
        <v>28</v>
      </c>
      <c r="C17" s="21"/>
      <c r="D17" s="22">
        <v>20.416666030883789</v>
      </c>
      <c r="E17" s="22">
        <v>16.9921875</v>
      </c>
      <c r="F17" s="22">
        <v>18.449541091918945</v>
      </c>
      <c r="G17" s="22">
        <v>19.056911468505859</v>
      </c>
      <c r="H17" s="22">
        <v>19.333333969116211</v>
      </c>
      <c r="I17" s="22">
        <v>20.833333969116211</v>
      </c>
      <c r="J17" s="22">
        <v>21.325580596923828</v>
      </c>
      <c r="K17" s="22">
        <v>21.841772079467773</v>
      </c>
      <c r="L17" s="22">
        <v>21.721649169921875</v>
      </c>
      <c r="M17" s="23">
        <v>22.691892623901367</v>
      </c>
      <c r="N17" s="24">
        <f t="shared" si="0"/>
        <v>6.3917543494323215E-2</v>
      </c>
      <c r="O17" s="24">
        <f t="shared" si="1"/>
        <v>0.1235335408068183</v>
      </c>
    </row>
    <row r="18" spans="1:15" s="19" customFormat="1" ht="18" customHeight="1" x14ac:dyDescent="0.2">
      <c r="A18" s="143"/>
      <c r="B18" s="33" t="s">
        <v>29</v>
      </c>
      <c r="C18" s="21"/>
      <c r="D18" s="34">
        <v>1.3888859748840332</v>
      </c>
      <c r="E18" s="34">
        <v>0.88945972919464111</v>
      </c>
      <c r="F18" s="34">
        <v>0.94284278154373169</v>
      </c>
      <c r="G18" s="34">
        <v>0.88484406471252441</v>
      </c>
      <c r="H18" s="34">
        <v>0.77412474155426025</v>
      </c>
      <c r="I18" s="34">
        <v>0.91215610504150391</v>
      </c>
      <c r="J18" s="34">
        <v>1.0626448392868042</v>
      </c>
      <c r="K18" s="34">
        <v>0.97490745782852173</v>
      </c>
      <c r="L18" s="34">
        <v>1.1847727298736572</v>
      </c>
      <c r="M18" s="35">
        <v>1.1540611982345581</v>
      </c>
      <c r="N18" s="24">
        <f t="shared" si="0"/>
        <v>-0.14696184474569171</v>
      </c>
      <c r="O18" s="24">
        <f t="shared" si="1"/>
        <v>0.53046746380294274</v>
      </c>
    </row>
    <row r="19" spans="1:15" s="19" customFormat="1" ht="18" customHeight="1" x14ac:dyDescent="0.2">
      <c r="A19" s="144"/>
      <c r="B19" s="36" t="s">
        <v>8</v>
      </c>
      <c r="C19" s="37"/>
      <c r="D19" s="38">
        <f ca="1">784.552586904583*OFFSET(D$108,MATCH($M$1,$C$109:$C$110,0),0)</f>
        <v>638.20214162602019</v>
      </c>
      <c r="E19" s="38">
        <f ca="1">1306.60640265321*OFFSET(E$108,MATCH($M$1,$C$109:$C$110,0),0)</f>
        <v>1091.4474432610784</v>
      </c>
      <c r="F19" s="38">
        <f ca="1">1218.35617341321*OFFSET(F$108,MATCH($M$1,$C$109:$C$110,0),0)</f>
        <v>1046.9577998311183</v>
      </c>
      <c r="G19" s="38">
        <f ca="1">1212.76786905065*OFFSET(G$108,MATCH($M$1,$C$109:$C$110,0),0)</f>
        <v>1072.4142578574783</v>
      </c>
      <c r="H19" s="38">
        <f ca="1">1990.1880653614*OFFSET(H$108,MATCH($M$1,$C$109:$C$110,0),0)</f>
        <v>1794.7118223456348</v>
      </c>
      <c r="I19" s="38">
        <f ca="1">1386.86562492685*OFFSET(I$108,MATCH($M$1,$C$109:$C$110,0),0)</f>
        <v>1290.3258919718903</v>
      </c>
      <c r="J19" s="38">
        <f ca="1">1222.42465450295*OFFSET(J$108,MATCH($M$1,$C$109:$C$110,0),0)</f>
        <v>1161.4990005549957</v>
      </c>
      <c r="K19" s="38">
        <f ca="1">1424.10044598146*OFFSET(K$108,MATCH($M$1,$C$109:$C$110,0),0)</f>
        <v>1375.5955713472963</v>
      </c>
      <c r="L19" s="38">
        <f ca="1">1049.30114241756*OFFSET(L$108,MATCH($M$1,$C$109:$C$110,0),0)</f>
        <v>1031.7043441115982</v>
      </c>
      <c r="M19" s="39">
        <f ca="1">1290.77207049065*OFFSET(M$108,MATCH($M$1,$C$109:$C$110,0),0)</f>
        <v>1290.7720654758029</v>
      </c>
      <c r="N19" s="40">
        <f ca="1">IF(L19=0,"",IFERROR(IF(AND(L19&gt;0,D19&lt;0),"na",IF(AND(L19&lt;0,D19&lt;0),-1,1)*(L19-D19)/D19),""))</f>
        <v>0.61657925729144003</v>
      </c>
      <c r="O19" s="40">
        <f ca="1">IF(L19=0,"",IFERROR(IF(AND(L19&gt;0,H19&lt;0),"na",IF(AND(L19&lt;0,H19&lt;0),-1,1)*(L19-H19)/H19),""))</f>
        <v>-0.42514205831486007</v>
      </c>
    </row>
    <row r="20" spans="1:15" s="19" customFormat="1" ht="18" customHeight="1" x14ac:dyDescent="0.2">
      <c r="A20" s="145" t="s">
        <v>9</v>
      </c>
      <c r="B20" s="28" t="s">
        <v>30</v>
      </c>
      <c r="C20" s="41"/>
      <c r="D20" s="42">
        <v>9.1701609982456311</v>
      </c>
      <c r="E20" s="42">
        <v>6.2314814113272554</v>
      </c>
      <c r="F20" s="42">
        <v>6.5200859334043786</v>
      </c>
      <c r="G20" s="42">
        <v>6.7637798378250018</v>
      </c>
      <c r="H20" s="42">
        <v>5.519957187378373</v>
      </c>
      <c r="I20" s="42">
        <v>6.1952163514947554</v>
      </c>
      <c r="J20" s="42">
        <v>7.2923673846530175</v>
      </c>
      <c r="K20" s="42">
        <v>6.4219569563417451</v>
      </c>
      <c r="L20" s="42">
        <v>7.7947006673427044</v>
      </c>
      <c r="M20" s="43">
        <v>7.3368950865803386</v>
      </c>
      <c r="N20" s="32">
        <f t="shared" si="0"/>
        <v>-0.14999304059831337</v>
      </c>
      <c r="O20" s="32">
        <f t="shared" si="1"/>
        <v>0.41209440630547522</v>
      </c>
    </row>
    <row r="21" spans="1:15" s="19" customFormat="1" ht="18" customHeight="1" x14ac:dyDescent="0.2">
      <c r="A21" s="145"/>
      <c r="B21" s="33" t="s">
        <v>31</v>
      </c>
      <c r="C21" s="21"/>
      <c r="D21" s="34">
        <f ca="1">7.19447408732966*OFFSET(D$108,MATCH($M$1,$C$109:$C$110,0),0)</f>
        <v>5.8524168386498694</v>
      </c>
      <c r="E21" s="34">
        <f ca="1">8.14209351005464*OFFSET(E$108,MATCH($M$1,$C$109:$C$110,0),0)</f>
        <v>6.8013344541220588</v>
      </c>
      <c r="F21" s="34">
        <f ca="1">7.9437867673095*OFFSET(F$108,MATCH($M$1,$C$109:$C$110,0),0)</f>
        <v>6.8262546681488585</v>
      </c>
      <c r="G21" s="34">
        <f ca="1">8.2028945017239*OFFSET(G$108,MATCH($M$1,$C$109:$C$110,0),0)</f>
        <v>7.2535736177077368</v>
      </c>
      <c r="H21" s="34">
        <f ca="1">10.9857527531133*OFFSET(H$108,MATCH($M$1,$C$109:$C$110,0),0)</f>
        <v>9.9067322764787313</v>
      </c>
      <c r="I21" s="34">
        <f ca="1">8.59193315279118*OFFSET(I$108,MATCH($M$1,$C$109:$C$110,0),0)</f>
        <v>7.9938485819221929</v>
      </c>
      <c r="J21" s="34">
        <f ca="1">8.91436932015634*OFFSET(J$108,MATCH($M$1,$C$109:$C$110,0),0)</f>
        <v>8.4700770863867749</v>
      </c>
      <c r="K21" s="34">
        <f ca="1">9.14551210824022*OFFSET(K$108,MATCH($M$1,$C$109:$C$110,0),0)</f>
        <v>8.8340158794965387</v>
      </c>
      <c r="L21" s="34">
        <f ca="1">8.17898782598667*OFFSET(L$108,MATCH($M$1,$C$109:$C$110,0),0)</f>
        <v>8.0418260586896206</v>
      </c>
      <c r="M21" s="35">
        <f ca="1">9.47025980636836*OFFSET(M$108,MATCH($M$1,$C$109:$C$110,0),0)</f>
        <v>9.4702597695749482</v>
      </c>
      <c r="N21" s="24">
        <f t="shared" ca="1" si="0"/>
        <v>0.37410343118089306</v>
      </c>
      <c r="O21" s="24">
        <f t="shared" ca="1" si="1"/>
        <v>-0.18824635265625414</v>
      </c>
    </row>
    <row r="22" spans="1:15" s="19" customFormat="1" ht="18" customHeight="1" x14ac:dyDescent="0.2">
      <c r="A22" s="145"/>
      <c r="B22" s="33" t="s">
        <v>10</v>
      </c>
      <c r="C22" s="21"/>
      <c r="D22" s="34">
        <f ca="1">6.18048550829871*OFFSET(D$108,MATCH($M$1,$C$109:$C$110,0),0)</f>
        <v>5.0275776965407362</v>
      </c>
      <c r="E22" s="34">
        <f ca="1">7.25516208527926*OFFSET(E$108,MATCH($M$1,$C$109:$C$110,0),0)</f>
        <v>6.0604540834509208</v>
      </c>
      <c r="F22" s="34">
        <f ca="1">6.33591782497539*OFFSET(F$108,MATCH($M$1,$C$109:$C$110,0),0)</f>
        <v>5.4445807643946189</v>
      </c>
      <c r="G22" s="34">
        <f ca="1">6.85596923273411*OFFSET(G$108,MATCH($M$1,$C$109:$C$110,0),0)</f>
        <v>6.0625279942250758</v>
      </c>
      <c r="H22" s="34">
        <f ca="1">7.42769099678576*OFFSET(H$108,MATCH($M$1,$C$109:$C$110,0),0)</f>
        <v>6.6981432944332964</v>
      </c>
      <c r="I22" s="34">
        <f ca="1">7.04868839698143*OFFSET(I$108,MATCH($M$1,$C$109:$C$110,0),0)</f>
        <v>6.5580291122629122</v>
      </c>
      <c r="J22" s="34">
        <f ca="1">7.78182533093999*OFFSET(J$108,MATCH($M$1,$C$109:$C$110,0),0)</f>
        <v>7.3939790980864375</v>
      </c>
      <c r="K22" s="34">
        <f ca="1">7.02416323452426*OFFSET(K$108,MATCH($M$1,$C$109:$C$110,0),0)</f>
        <v>6.7849201684456633</v>
      </c>
      <c r="L22" s="34">
        <f ca="1">6.92314510990446*OFFSET(L$108,MATCH($M$1,$C$109:$C$110,0),0)</f>
        <v>6.8070438466758567</v>
      </c>
      <c r="M22" s="35">
        <f ca="1">7.70320699976226*OFFSET(M$108,MATCH($M$1,$C$109:$C$110,0),0)</f>
        <v>7.7032069698341212</v>
      </c>
      <c r="N22" s="24">
        <f t="shared" ca="1" si="0"/>
        <v>0.35394105422965338</v>
      </c>
      <c r="O22" s="24">
        <f t="shared" ca="1" si="1"/>
        <v>1.6258319276786091E-2</v>
      </c>
    </row>
    <row r="23" spans="1:15" s="19" customFormat="1" ht="18" customHeight="1" x14ac:dyDescent="0.2">
      <c r="A23" s="146"/>
      <c r="B23" s="33" t="s">
        <v>32</v>
      </c>
      <c r="C23" s="44"/>
      <c r="D23" s="34">
        <f ca="1">1.01398857903095*OFFSET(D$108,MATCH($M$1,$C$109:$C$110,0),0)</f>
        <v>0.82483914210913312</v>
      </c>
      <c r="E23" s="34">
        <f ca="1">0.886931424775373*OFFSET(E$108,MATCH($M$1,$C$109:$C$110,0),0)</f>
        <v>0.74088037067113344</v>
      </c>
      <c r="F23" s="34">
        <f ca="1">1.60786894233411*OFFSET(F$108,MATCH($M$1,$C$109:$C$110,0),0)</f>
        <v>1.3816739037542394</v>
      </c>
      <c r="G23" s="34">
        <f ca="1">1.34692526898979*OFFSET(G$108,MATCH($M$1,$C$109:$C$110,0),0)</f>
        <v>1.1910456234826614</v>
      </c>
      <c r="H23" s="34">
        <f ca="1">3.55806175632758*OFFSET(H$108,MATCH($M$1,$C$109:$C$110,0),0)</f>
        <v>3.2085889820454718</v>
      </c>
      <c r="I23" s="34">
        <f ca="1">1.54324475580974*OFFSET(I$108,MATCH($M$1,$C$109:$C$110,0),0)</f>
        <v>1.4358194696592723</v>
      </c>
      <c r="J23" s="34">
        <f ca="1">1.13254398921635*OFFSET(J$108,MATCH($M$1,$C$109:$C$110,0),0)</f>
        <v>1.0760979883003365</v>
      </c>
      <c r="K23" s="34">
        <f ca="1">2.12134887371596*OFFSET(K$108,MATCH($M$1,$C$109:$C$110,0),0)</f>
        <v>2.0490957110508758</v>
      </c>
      <c r="L23" s="34">
        <f ca="1">1.25584271608221*OFFSET(L$108,MATCH($M$1,$C$109:$C$110,0),0)</f>
        <v>1.2347822120137641</v>
      </c>
      <c r="M23" s="35">
        <f ca="1">1.7670528066061*OFFSET(M$108,MATCH($M$1,$C$109:$C$110,0),0)</f>
        <v>1.7670527997408292</v>
      </c>
      <c r="N23" s="24">
        <f t="shared" ca="1" si="0"/>
        <v>0.49699759501761392</v>
      </c>
      <c r="O23" s="24">
        <f t="shared" ca="1" si="1"/>
        <v>-0.61516348185344949</v>
      </c>
    </row>
    <row r="24" spans="1:15" s="19" customFormat="1" ht="18" customHeight="1" x14ac:dyDescent="0.2">
      <c r="A24" s="147" t="s">
        <v>11</v>
      </c>
      <c r="B24" s="28" t="s">
        <v>27</v>
      </c>
      <c r="C24" s="29"/>
      <c r="D24" s="30">
        <f ca="1">120*OFFSET(D$108,MATCH($M$1,$C$109:$C$110,0),0)</f>
        <v>97.615199125506905</v>
      </c>
      <c r="E24" s="30">
        <f ca="1">111*OFFSET(E$108,MATCH($M$1,$C$109:$C$110,0),0)</f>
        <v>92.721622943198341</v>
      </c>
      <c r="F24" s="30">
        <f ca="1">118.6*OFFSET(F$108,MATCH($M$1,$C$109:$C$110,0),0)</f>
        <v>101.91534936135476</v>
      </c>
      <c r="G24" s="30">
        <f ca="1">112.4*OFFSET(G$108,MATCH($M$1,$C$109:$C$110,0),0)</f>
        <v>99.391949324596084</v>
      </c>
      <c r="H24" s="30">
        <f ca="1">155.5*OFFSET(H$108,MATCH($M$1,$C$109:$C$110,0),0)</f>
        <v>140.22679224742927</v>
      </c>
      <c r="I24" s="30">
        <f ca="1">135*OFFSET(I$108,MATCH($M$1,$C$109:$C$110,0),0)</f>
        <v>125.60264836428767</v>
      </c>
      <c r="J24" s="30">
        <f ca="1">121.6*OFFSET(J$108,MATCH($M$1,$C$109:$C$110,0),0)</f>
        <v>115.53945508806542</v>
      </c>
      <c r="K24" s="30">
        <f ca="1">147.6*OFFSET(K$108,MATCH($M$1,$C$109:$C$110,0),0)</f>
        <v>142.57274260660137</v>
      </c>
      <c r="L24" s="30">
        <f ca="1">116.9*OFFSET(L$108,MATCH($M$1,$C$109:$C$110,0),0)</f>
        <v>114.93958497821939</v>
      </c>
      <c r="M24" s="31">
        <f ca="1">130.9*OFFSET(M$108,MATCH($M$1,$C$109:$C$110,0),0)</f>
        <v>130.89999949143345</v>
      </c>
      <c r="N24" s="32">
        <f t="shared" ca="1" si="0"/>
        <v>0.17747631524510829</v>
      </c>
      <c r="O24" s="32">
        <f t="shared" ca="1" si="1"/>
        <v>-0.18033078318293677</v>
      </c>
    </row>
    <row r="25" spans="1:15" s="19" customFormat="1" ht="18" customHeight="1" x14ac:dyDescent="0.2">
      <c r="A25" s="148"/>
      <c r="B25" s="33" t="s">
        <v>33</v>
      </c>
      <c r="C25" s="25"/>
      <c r="D25" s="26">
        <f ca="1">0.2*OFFSET(D$108,MATCH($M$1,$C$109:$C$110,0),0)</f>
        <v>0.16269199854251151</v>
      </c>
      <c r="E25" s="26">
        <f ca="1">2.3*OFFSET(E$108,MATCH($M$1,$C$109:$C$110,0),0)</f>
        <v>1.9212588537779833</v>
      </c>
      <c r="F25" s="26">
        <f ca="1">1.5*OFFSET(F$108,MATCH($M$1,$C$109:$C$110,0),0)</f>
        <v>1.2889799666275898</v>
      </c>
      <c r="G25" s="26">
        <f ca="1">1.1*OFFSET(G$108,MATCH($M$1,$C$109:$C$110,0),0)</f>
        <v>0.97269701296312894</v>
      </c>
      <c r="H25" s="26">
        <f ca="1">3.8*OFFSET(H$108,MATCH($M$1,$C$109:$C$110,0),0)</f>
        <v>3.4267640549211009</v>
      </c>
      <c r="I25" s="26">
        <f ca="1">2.1*OFFSET(I$108,MATCH($M$1,$C$109:$C$110,0),0)</f>
        <v>1.9538189745555861</v>
      </c>
      <c r="J25" s="26">
        <f ca="1">0.8*OFFSET(J$108,MATCH($M$1,$C$109:$C$110,0),0)</f>
        <v>0.76012799400043052</v>
      </c>
      <c r="K25" s="26">
        <f ca="1">5.6*OFFSET(K$108,MATCH($M$1,$C$109:$C$110,0),0)</f>
        <v>5.409263947133927</v>
      </c>
      <c r="L25" s="26">
        <f ca="1">3.7*OFFSET(L$108,MATCH($M$1,$C$109:$C$110,0),0)</f>
        <v>3.637950936008655</v>
      </c>
      <c r="M25" s="27">
        <f ca="1">4.2*OFFSET(M$108,MATCH($M$1,$C$109:$C$110,0),0)</f>
        <v>4.1999999836823569</v>
      </c>
      <c r="N25" s="24">
        <f t="shared" ca="1" si="0"/>
        <v>21.360970229633367</v>
      </c>
      <c r="O25" s="24">
        <f t="shared" ca="1" si="1"/>
        <v>6.1628661239245014E-2</v>
      </c>
    </row>
    <row r="26" spans="1:15" s="19" customFormat="1" ht="18" customHeight="1" x14ac:dyDescent="0.2">
      <c r="A26" s="148"/>
      <c r="B26" s="45" t="s">
        <v>34</v>
      </c>
      <c r="C26" s="46"/>
      <c r="D26" s="47">
        <f ca="1">120.2*OFFSET(D$108,MATCH($M$1,$C$109:$C$110,0),0)</f>
        <v>97.777891124049418</v>
      </c>
      <c r="E26" s="47">
        <f ca="1">113.3*OFFSET(E$108,MATCH($M$1,$C$109:$C$110,0),0)</f>
        <v>94.642881796976326</v>
      </c>
      <c r="F26" s="47">
        <f ca="1">120.1*OFFSET(F$108,MATCH($M$1,$C$109:$C$110,0),0)</f>
        <v>103.20432932798235</v>
      </c>
      <c r="G26" s="47">
        <f ca="1">113.5*OFFSET(G$108,MATCH($M$1,$C$109:$C$110,0),0)</f>
        <v>100.36464633755921</v>
      </c>
      <c r="H26" s="47">
        <f ca="1">159.3*OFFSET(H$108,MATCH($M$1,$C$109:$C$110,0),0)</f>
        <v>143.65355630235038</v>
      </c>
      <c r="I26" s="47">
        <f ca="1">137.1*OFFSET(I$108,MATCH($M$1,$C$109:$C$110,0),0)</f>
        <v>127.55646733884325</v>
      </c>
      <c r="J26" s="47">
        <f ca="1">122.4*OFFSET(J$108,MATCH($M$1,$C$109:$C$110,0),0)</f>
        <v>116.29958308206587</v>
      </c>
      <c r="K26" s="47">
        <f ca="1">153.2*OFFSET(K$108,MATCH($M$1,$C$109:$C$110,0),0)</f>
        <v>147.98200655373529</v>
      </c>
      <c r="L26" s="47">
        <f ca="1">120.6*OFFSET(L$108,MATCH($M$1,$C$109:$C$110,0),0)</f>
        <v>118.57753591422804</v>
      </c>
      <c r="M26" s="48">
        <f ca="1">135.1*OFFSET(M$108,MATCH($M$1,$C$109:$C$110,0),0)</f>
        <v>135.09999947511579</v>
      </c>
      <c r="N26" s="49">
        <f t="shared" ca="1" si="0"/>
        <v>0.2127233933056544</v>
      </c>
      <c r="O26" s="49">
        <f t="shared" ca="1" si="1"/>
        <v>-0.17455899480375109</v>
      </c>
    </row>
    <row r="27" spans="1:15" s="19" customFormat="1" ht="18" customHeight="1" x14ac:dyDescent="0.2">
      <c r="A27" s="148"/>
      <c r="B27" s="33" t="s">
        <v>35</v>
      </c>
      <c r="C27" s="25"/>
      <c r="D27" s="26">
        <f ca="1">17.4*OFFSET(D$108,MATCH($M$1,$C$109:$C$110,0),0)</f>
        <v>14.154203873198499</v>
      </c>
      <c r="E27" s="26">
        <f ca="1">17.2*OFFSET(E$108,MATCH($M$1,$C$109:$C$110,0),0)</f>
        <v>14.367674906513615</v>
      </c>
      <c r="F27" s="26">
        <f ca="1">19.5*OFFSET(F$108,MATCH($M$1,$C$109:$C$110,0),0)</f>
        <v>16.756739566158668</v>
      </c>
      <c r="G27" s="26">
        <f ca="1">25.3*OFFSET(G$108,MATCH($M$1,$C$109:$C$110,0),0)</f>
        <v>22.372031298151963</v>
      </c>
      <c r="H27" s="26">
        <f ca="1">19.6*OFFSET(H$108,MATCH($M$1,$C$109:$C$110,0),0)</f>
        <v>17.674888283277259</v>
      </c>
      <c r="I27" s="26">
        <f ca="1">24*OFFSET(I$108,MATCH($M$1,$C$109:$C$110,0),0)</f>
        <v>22.329359709206699</v>
      </c>
      <c r="J27" s="26">
        <f ca="1">27.4*OFFSET(J$108,MATCH($M$1,$C$109:$C$110,0),0)</f>
        <v>26.034383794514742</v>
      </c>
      <c r="K27" s="26">
        <f ca="1">32.7*OFFSET(K$108,MATCH($M$1,$C$109:$C$110,0),0)</f>
        <v>31.5862376912999</v>
      </c>
      <c r="L27" s="26">
        <f ca="1">28*OFFSET(L$108,MATCH($M$1,$C$109:$C$110,0),0)</f>
        <v>27.530439515741172</v>
      </c>
      <c r="M27" s="27">
        <f ca="1">24.2*OFFSET(M$108,MATCH($M$1,$C$109:$C$110,0),0)</f>
        <v>24.199999905979293</v>
      </c>
      <c r="N27" s="24">
        <f t="shared" ca="1" si="0"/>
        <v>0.94503624240364814</v>
      </c>
      <c r="O27" s="24">
        <f t="shared" ca="1" si="1"/>
        <v>0.55760189679889205</v>
      </c>
    </row>
    <row r="28" spans="1:15" s="19" customFormat="1" ht="18" customHeight="1" x14ac:dyDescent="0.2">
      <c r="A28" s="148"/>
      <c r="B28" s="33" t="s">
        <v>36</v>
      </c>
      <c r="C28" s="25"/>
      <c r="D28" s="26">
        <f ca="1">33.9*OFFSET(D$108,MATCH($M$1,$C$109:$C$110,0),0)</f>
        <v>27.576293752955699</v>
      </c>
      <c r="E28" s="26">
        <f ca="1">27.2*OFFSET(E$108,MATCH($M$1,$C$109:$C$110,0),0)</f>
        <v>22.720974270765719</v>
      </c>
      <c r="F28" s="26">
        <f ca="1">37.1*OFFSET(F$108,MATCH($M$1,$C$109:$C$110,0),0)</f>
        <v>31.880771174589054</v>
      </c>
      <c r="G28" s="26">
        <f ca="1">36.1*OFFSET(G$108,MATCH($M$1,$C$109:$C$110,0),0)</f>
        <v>31.922147425426321</v>
      </c>
      <c r="H28" s="26">
        <f ca="1">33.3*OFFSET(H$108,MATCH($M$1,$C$109:$C$110,0),0)</f>
        <v>30.029274481282279</v>
      </c>
      <c r="I28" s="26">
        <f ca="1">39.3*OFFSET(I$108,MATCH($M$1,$C$109:$C$110,0),0)</f>
        <v>36.564326523825962</v>
      </c>
      <c r="J28" s="26">
        <f ca="1">36.4*OFFSET(J$108,MATCH($M$1,$C$109:$C$110,0),0)</f>
        <v>34.585823727019587</v>
      </c>
      <c r="K28" s="26">
        <f ca="1">44.4*OFFSET(K$108,MATCH($M$1,$C$109:$C$110,0),0)</f>
        <v>42.887735580847561</v>
      </c>
      <c r="L28" s="26">
        <f ca="1">30*OFFSET(L$108,MATCH($M$1,$C$109:$C$110,0),0)</f>
        <v>29.496899481151253</v>
      </c>
      <c r="M28" s="27">
        <f ca="1">36.5*OFFSET(M$108,MATCH($M$1,$C$109:$C$110,0),0)</f>
        <v>36.499999858191906</v>
      </c>
      <c r="N28" s="24">
        <f t="shared" ca="1" si="0"/>
        <v>6.9646985392650823E-2</v>
      </c>
      <c r="O28" s="24">
        <f t="shared" ca="1" si="1"/>
        <v>-1.772853355024823E-2</v>
      </c>
    </row>
    <row r="29" spans="1:15" s="19" customFormat="1" ht="18" customHeight="1" x14ac:dyDescent="0.2">
      <c r="A29" s="148"/>
      <c r="B29" s="33" t="s">
        <v>37</v>
      </c>
      <c r="C29" s="25"/>
      <c r="D29" s="26">
        <f ca="1">24.5*OFFSET(D$108,MATCH($M$1,$C$109:$C$110,0),0)</f>
        <v>19.929769821457661</v>
      </c>
      <c r="E29" s="26">
        <f ca="1">25.1*OFFSET(E$108,MATCH($M$1,$C$109:$C$110,0),0)</f>
        <v>20.96678140427278</v>
      </c>
      <c r="F29" s="26">
        <f ca="1">16.8*OFFSET(F$108,MATCH($M$1,$C$109:$C$110,0),0)</f>
        <v>14.436575626229006</v>
      </c>
      <c r="G29" s="26">
        <f ca="1">6.7*OFFSET(G$108,MATCH($M$1,$C$109:$C$110,0),0)</f>
        <v>5.9246090789572392</v>
      </c>
      <c r="H29" s="26">
        <f ca="1">23.9*OFFSET(H$108,MATCH($M$1,$C$109:$C$110,0),0)</f>
        <v>21.552542345424818</v>
      </c>
      <c r="I29" s="26">
        <f ca="1">12.9*OFFSET(I$108,MATCH($M$1,$C$109:$C$110,0),0)</f>
        <v>12.0020308436986</v>
      </c>
      <c r="J29" s="26">
        <f ca="1">12.8*OFFSET(J$108,MATCH($M$1,$C$109:$C$110,0),0)</f>
        <v>12.162047904006888</v>
      </c>
      <c r="K29" s="26">
        <f ca="1">14.5*OFFSET(K$108,MATCH($M$1,$C$109:$C$110,0),0)</f>
        <v>14.006129863114634</v>
      </c>
      <c r="L29" s="26">
        <f ca="1">14*OFFSET(L$108,MATCH($M$1,$C$109:$C$110,0),0)</f>
        <v>13.765219757870586</v>
      </c>
      <c r="M29" s="27">
        <f ca="1">15.7*OFFSET(M$108,MATCH($M$1,$C$109:$C$110,0),0)</f>
        <v>15.699999939003094</v>
      </c>
      <c r="N29" s="24">
        <f t="shared" ca="1" si="0"/>
        <v>-0.30931366086074552</v>
      </c>
      <c r="O29" s="24">
        <f t="shared" ca="1" si="1"/>
        <v>-0.36131805068497302</v>
      </c>
    </row>
    <row r="30" spans="1:15" s="19" customFormat="1" ht="18" customHeight="1" x14ac:dyDescent="0.2">
      <c r="A30" s="148"/>
      <c r="B30" s="33" t="s">
        <v>38</v>
      </c>
      <c r="C30" s="25"/>
      <c r="D30" s="26">
        <f ca="1">75.8*OFFSET(D$108,MATCH($M$1,$C$109:$C$110,0),0)</f>
        <v>61.660267447611858</v>
      </c>
      <c r="E30" s="26">
        <f ca="1">69.4*OFFSET(E$108,MATCH($M$1,$C$109:$C$110,0),0)</f>
        <v>57.971897587909595</v>
      </c>
      <c r="F30" s="26">
        <f ca="1">73.4*OFFSET(F$108,MATCH($M$1,$C$109:$C$110,0),0)</f>
        <v>63.074086366976729</v>
      </c>
      <c r="G30" s="26">
        <f ca="1">68.1*OFFSET(G$108,MATCH($M$1,$C$109:$C$110,0),0)</f>
        <v>60.218787802535516</v>
      </c>
      <c r="H30" s="26">
        <f ca="1">76.7*OFFSET(H$108,MATCH($M$1,$C$109:$C$110,0),0)</f>
        <v>69.166527108539071</v>
      </c>
      <c r="I30" s="26">
        <f ca="1">76.2*OFFSET(I$108,MATCH($M$1,$C$109:$C$110,0),0)</f>
        <v>70.895717076731259</v>
      </c>
      <c r="J30" s="26">
        <f ca="1">76.6*OFFSET(J$108,MATCH($M$1,$C$109:$C$110,0),0)</f>
        <v>72.782255425541209</v>
      </c>
      <c r="K30" s="26">
        <f ca="1">91.7*OFFSET(K$108,MATCH($M$1,$C$109:$C$110,0),0)</f>
        <v>88.576697134318067</v>
      </c>
      <c r="L30" s="26">
        <f ca="1">72.1*OFFSET(L$108,MATCH($M$1,$C$109:$C$110,0),0)</f>
        <v>70.890881753033511</v>
      </c>
      <c r="M30" s="27">
        <f ca="1">76.4*OFFSET(M$108,MATCH($M$1,$C$109:$C$110,0),0)</f>
        <v>76.399999703174302</v>
      </c>
      <c r="N30" s="24">
        <f t="shared" ca="1" si="0"/>
        <v>0.14970117204347547</v>
      </c>
      <c r="O30" s="24">
        <f t="shared" ca="1" si="1"/>
        <v>2.4930478897523783E-2</v>
      </c>
    </row>
    <row r="31" spans="1:15" s="19" customFormat="1" ht="18" customHeight="1" x14ac:dyDescent="0.2">
      <c r="A31" s="148"/>
      <c r="B31" s="33" t="s">
        <v>39</v>
      </c>
      <c r="C31" s="25"/>
      <c r="D31" s="26">
        <f ca="1">27.5*OFFSET(D$108,MATCH($M$1,$C$109:$C$110,0),0)</f>
        <v>22.370149799595332</v>
      </c>
      <c r="E31" s="26">
        <f ca="1">31.8*OFFSET(E$108,MATCH($M$1,$C$109:$C$110,0),0)</f>
        <v>26.563491978321686</v>
      </c>
      <c r="F31" s="26">
        <f ca="1">22.8*OFFSET(F$108,MATCH($M$1,$C$109:$C$110,0),0)</f>
        <v>19.592495492739367</v>
      </c>
      <c r="G31" s="26">
        <f ca="1">26.9*OFFSET(G$108,MATCH($M$1,$C$109:$C$110,0),0)</f>
        <v>23.786863317007423</v>
      </c>
      <c r="H31" s="26">
        <f ca="1">32.2*OFFSET(H$108,MATCH($M$1,$C$109:$C$110,0),0)</f>
        <v>29.03731646538407</v>
      </c>
      <c r="I31" s="26">
        <f ca="1">36.7*OFFSET(I$108,MATCH($M$1,$C$109:$C$110,0),0)</f>
        <v>34.14531255532858</v>
      </c>
      <c r="J31" s="26">
        <f ca="1">30.4*OFFSET(J$108,MATCH($M$1,$C$109:$C$110,0),0)</f>
        <v>28.884863772016356</v>
      </c>
      <c r="K31" s="26">
        <f ca="1">27.2*OFFSET(K$108,MATCH($M$1,$C$109:$C$110,0),0)</f>
        <v>26.273567743221932</v>
      </c>
      <c r="L31" s="26">
        <f ca="1">30.6*OFFSET(L$108,MATCH($M$1,$C$109:$C$110,0),0)</f>
        <v>30.086837470774281</v>
      </c>
      <c r="M31" s="27">
        <f ca="1">34.3*OFFSET(M$108,MATCH($M$1,$C$109:$C$110,0),0)</f>
        <v>34.299999866739242</v>
      </c>
      <c r="N31" s="24">
        <f t="shared" ca="1" si="0"/>
        <v>0.34495467130571211</v>
      </c>
      <c r="O31" s="24">
        <f t="shared" ca="1" si="1"/>
        <v>3.614387047926295E-2</v>
      </c>
    </row>
    <row r="32" spans="1:15" s="19" customFormat="1" ht="18" customHeight="1" x14ac:dyDescent="0.2">
      <c r="A32" s="148"/>
      <c r="B32" s="33" t="s">
        <v>40</v>
      </c>
      <c r="C32" s="25"/>
      <c r="D32" s="26">
        <f ca="1">103.3*OFFSET(D$108,MATCH($M$1,$C$109:$C$110,0),0)</f>
        <v>84.030417247207197</v>
      </c>
      <c r="E32" s="26">
        <f ca="1">101.2*OFFSET(E$108,MATCH($M$1,$C$109:$C$110,0),0)</f>
        <v>84.535389566231274</v>
      </c>
      <c r="F32" s="26">
        <f ca="1">96.1*OFFSET(F$108,MATCH($M$1,$C$109:$C$110,0),0)</f>
        <v>82.580649861940913</v>
      </c>
      <c r="G32" s="26">
        <f ca="1">95*OFFSET(G$108,MATCH($M$1,$C$109:$C$110,0),0)</f>
        <v>84.005651119542947</v>
      </c>
      <c r="H32" s="26">
        <f ca="1">108.9*OFFSET(H$108,MATCH($M$1,$C$109:$C$110,0),0)</f>
        <v>98.203843573923137</v>
      </c>
      <c r="I32" s="26">
        <f ca="1">112.8*OFFSET(I$108,MATCH($M$1,$C$109:$C$110,0),0)</f>
        <v>104.94799063327147</v>
      </c>
      <c r="J32" s="26">
        <f ca="1">107*OFFSET(J$108,MATCH($M$1,$C$109:$C$110,0),0)</f>
        <v>101.66711919755757</v>
      </c>
      <c r="K32" s="26">
        <f ca="1">118.9*OFFSET(K$108,MATCH($M$1,$C$109:$C$110,0),0)</f>
        <v>114.85026487754</v>
      </c>
      <c r="L32" s="26">
        <f ca="1">102.7*OFFSET(L$108,MATCH($M$1,$C$109:$C$110,0),0)</f>
        <v>100.9777192238078</v>
      </c>
      <c r="M32" s="27">
        <f ca="1">110.6*OFFSET(M$108,MATCH($M$1,$C$109:$C$110,0),0)</f>
        <v>110.59999957030205</v>
      </c>
      <c r="N32" s="24">
        <f t="shared" ca="1" si="0"/>
        <v>0.20168056439305437</v>
      </c>
      <c r="O32" s="24">
        <f t="shared" ca="1" si="1"/>
        <v>2.8246100650802103E-2</v>
      </c>
    </row>
    <row r="33" spans="1:15" s="19" customFormat="1" ht="18" customHeight="1" x14ac:dyDescent="0.2">
      <c r="A33" s="148"/>
      <c r="B33" s="45" t="s">
        <v>41</v>
      </c>
      <c r="C33" s="46"/>
      <c r="D33" s="47">
        <f ca="1">50.8*OFFSET(D$108,MATCH($M$1,$C$109:$C$110,0),0)</f>
        <v>41.323767629797921</v>
      </c>
      <c r="E33" s="47">
        <f ca="1">39.3*OFFSET(E$108,MATCH($M$1,$C$109:$C$110,0),0)</f>
        <v>32.828466501510761</v>
      </c>
      <c r="F33" s="47">
        <f ca="1">61.1*OFFSET(F$108,MATCH($M$1,$C$109:$C$110,0),0)</f>
        <v>52.504450640630495</v>
      </c>
      <c r="G33" s="47">
        <f ca="1">54.6*OFFSET(G$108,MATCH($M$1,$C$109:$C$110,0),0)</f>
        <v>48.281142643442578</v>
      </c>
      <c r="H33" s="47">
        <f ca="1">83.7*OFFSET(H$108,MATCH($M$1,$C$109:$C$110,0),0)</f>
        <v>75.478987209709516</v>
      </c>
      <c r="I33" s="47">
        <f ca="1">63.5*OFFSET(I$108,MATCH($M$1,$C$109:$C$110,0),0)</f>
        <v>59.079764230609385</v>
      </c>
      <c r="J33" s="47">
        <f ca="1">51.8*OFFSET(J$108,MATCH($M$1,$C$109:$C$110,0),0)</f>
        <v>49.21828761152787</v>
      </c>
      <c r="K33" s="47">
        <f ca="1">78.6*OFFSET(K$108,MATCH($M$1,$C$109:$C$110,0),0)</f>
        <v>75.922883257986896</v>
      </c>
      <c r="L33" s="47">
        <f ca="1">48*OFFSET(L$108,MATCH($M$1,$C$109:$C$110,0),0)</f>
        <v>47.195039169842005</v>
      </c>
      <c r="M33" s="48">
        <f ca="1">60.9*OFFSET(M$108,MATCH($M$1,$C$109:$C$110,0),0)</f>
        <v>60.89999976339417</v>
      </c>
      <c r="N33" s="49">
        <f t="shared" ca="1" si="0"/>
        <v>0.14207977337986971</v>
      </c>
      <c r="O33" s="49">
        <f t="shared" ca="1" si="1"/>
        <v>-0.37472612028144836</v>
      </c>
    </row>
    <row r="34" spans="1:15" s="19" customFormat="1" ht="18" customHeight="1" x14ac:dyDescent="0.2">
      <c r="A34" s="148"/>
      <c r="B34" s="45" t="s">
        <v>42</v>
      </c>
      <c r="C34" s="46"/>
      <c r="D34" s="47">
        <f ca="1">16.9*OFFSET(D$108,MATCH($M$1,$C$109:$C$110,0),0)</f>
        <v>13.747473876842221</v>
      </c>
      <c r="E34" s="47">
        <f ca="1">12.1*OFFSET(E$108,MATCH($M$1,$C$109:$C$110,0),0)</f>
        <v>10.107492230745043</v>
      </c>
      <c r="F34" s="47">
        <f ca="1">24*OFFSET(F$108,MATCH($M$1,$C$109:$C$110,0),0)</f>
        <v>20.623679466041438</v>
      </c>
      <c r="G34" s="47">
        <f ca="1">18.5*OFFSET(G$108,MATCH($M$1,$C$109:$C$110,0),0)</f>
        <v>16.358995218016258</v>
      </c>
      <c r="H34" s="47">
        <f ca="1">50.4*OFFSET(H$108,MATCH($M$1,$C$109:$C$110,0),0)</f>
        <v>45.449712728427237</v>
      </c>
      <c r="I34" s="47">
        <f ca="1">24.2*OFFSET(I$108,MATCH($M$1,$C$109:$C$110,0),0)</f>
        <v>22.51543770678342</v>
      </c>
      <c r="J34" s="47">
        <f ca="1">15.4*OFFSET(J$108,MATCH($M$1,$C$109:$C$110,0),0)</f>
        <v>14.632463884508287</v>
      </c>
      <c r="K34" s="47">
        <f ca="1">34.2*OFFSET(K$108,MATCH($M$1,$C$109:$C$110,0),0)</f>
        <v>33.035147677139342</v>
      </c>
      <c r="L34" s="47">
        <f ca="1">18*OFFSET(L$108,MATCH($M$1,$C$109:$C$110,0),0)</f>
        <v>17.698139688690752</v>
      </c>
      <c r="M34" s="48">
        <f ca="1">24.4*OFFSET(M$108,MATCH($M$1,$C$109:$C$110,0),0)</f>
        <v>24.399999905202261</v>
      </c>
      <c r="N34" s="49">
        <f t="shared" ca="1" si="0"/>
        <v>0.28737394573293007</v>
      </c>
      <c r="O34" s="49">
        <f t="shared" ca="1" si="1"/>
        <v>-0.61059952580027699</v>
      </c>
    </row>
    <row r="35" spans="1:15" s="19" customFormat="1" ht="18" customHeight="1" x14ac:dyDescent="0.2">
      <c r="A35" s="148"/>
      <c r="B35" s="33" t="s">
        <v>43</v>
      </c>
      <c r="C35" s="25"/>
      <c r="D35" s="26">
        <f ca="1">4.8*OFFSET(D$108,MATCH($M$1,$C$109:$C$110,0),0)</f>
        <v>3.9046079650202761</v>
      </c>
      <c r="E35" s="26">
        <f ca="1">8.6*OFFSET(E$108,MATCH($M$1,$C$109:$C$110,0),0)</f>
        <v>7.1838374532568077</v>
      </c>
      <c r="F35" s="26">
        <f ca="1">6.6*OFFSET(F$108,MATCH($M$1,$C$109:$C$110,0),0)</f>
        <v>5.6715118531613946</v>
      </c>
      <c r="G35" s="26">
        <f ca="1">5.8*OFFSET(G$108,MATCH($M$1,$C$109:$C$110,0),0)</f>
        <v>5.1287660683510428</v>
      </c>
      <c r="H35" s="26">
        <f ca="1">12.8*OFFSET(H$108,MATCH($M$1,$C$109:$C$110,0),0)</f>
        <v>11.542784184997394</v>
      </c>
      <c r="I35" s="26">
        <f ca="1">6.4*OFFSET(I$108,MATCH($M$1,$C$109:$C$110,0),0)</f>
        <v>5.9544959224551199</v>
      </c>
      <c r="J35" s="26">
        <f ca="1">8.3*OFFSET(J$108,MATCH($M$1,$C$109:$C$110,0),0)</f>
        <v>7.8863279377544666</v>
      </c>
      <c r="K35" s="26">
        <f ca="1">7*OFFSET(K$108,MATCH($M$1,$C$109:$C$110,0),0)</f>
        <v>6.7615799339174094</v>
      </c>
      <c r="L35" s="26">
        <f ca="1">8.7*OFFSET(L$108,MATCH($M$1,$C$109:$C$110,0),0)</f>
        <v>8.5541008495338637</v>
      </c>
      <c r="M35" s="27"/>
      <c r="N35" s="24">
        <f t="shared" ca="1" si="0"/>
        <v>1.1907707319573231</v>
      </c>
      <c r="O35" s="24">
        <f t="shared" ca="1" si="1"/>
        <v>-0.25892222253865221</v>
      </c>
    </row>
    <row r="36" spans="1:15" s="19" customFormat="1" ht="18" customHeight="1" x14ac:dyDescent="0.2">
      <c r="A36" s="148"/>
      <c r="B36" s="33" t="s">
        <v>44</v>
      </c>
      <c r="C36" s="25"/>
      <c r="D36" s="26"/>
      <c r="E36" s="26">
        <f ca="1">4.2*OFFSET(E$108,MATCH($M$1,$C$109:$C$110,0),0)</f>
        <v>3.5083857329858832</v>
      </c>
      <c r="F36" s="26">
        <f ca="1">0.7*OFFSET(F$108,MATCH($M$1,$C$109:$C$110,0),0)</f>
        <v>0.60152398442620858</v>
      </c>
      <c r="G36" s="26">
        <f ca="1">1.5*OFFSET(G$108,MATCH($M$1,$C$109:$C$110,0),0)</f>
        <v>1.3264050176769939</v>
      </c>
      <c r="H36" s="26">
        <f ca="1">2*OFFSET(H$108,MATCH($M$1,$C$109:$C$110,0),0)</f>
        <v>1.8035600289058427</v>
      </c>
      <c r="I36" s="26">
        <f ca="1">2.2*OFFSET(I$108,MATCH($M$1,$C$109:$C$110,0),0)</f>
        <v>2.0468579733439474</v>
      </c>
      <c r="J36" s="26">
        <f ca="1">1.1*OFFSET(J$108,MATCH($M$1,$C$109:$C$110,0),0)</f>
        <v>1.0451759917505921</v>
      </c>
      <c r="K36" s="26">
        <f ca="1">1.1*OFFSET(K$108,MATCH($M$1,$C$109:$C$110,0),0)</f>
        <v>1.062533989615593</v>
      </c>
      <c r="L36" s="26">
        <f ca="1">2.2*OFFSET(L$108,MATCH($M$1,$C$109:$C$110,0),0)</f>
        <v>2.1631059619510919</v>
      </c>
      <c r="M36" s="27"/>
      <c r="N36" s="24" t="str">
        <f t="shared" ca="1" si="0"/>
        <v/>
      </c>
      <c r="O36" s="24">
        <f t="shared" ca="1" si="1"/>
        <v>0.19935346053514688</v>
      </c>
    </row>
    <row r="37" spans="1:15" s="19" customFormat="1" ht="18" customHeight="1" x14ac:dyDescent="0.2">
      <c r="A37" s="148"/>
      <c r="B37" s="33" t="s">
        <v>45</v>
      </c>
      <c r="C37" s="25"/>
      <c r="D37" s="26"/>
      <c r="E37" s="26"/>
      <c r="F37" s="26"/>
      <c r="G37" s="26"/>
      <c r="H37" s="26"/>
      <c r="I37" s="26">
        <f ca="1">0.6*OFFSET(I$108,MATCH($M$1,$C$109:$C$110,0),0)</f>
        <v>0.55823399273016738</v>
      </c>
      <c r="J37" s="26">
        <f ca="1">1.4*OFFSET(J$108,MATCH($M$1,$C$109:$C$110,0),0)</f>
        <v>1.3302239895007533</v>
      </c>
      <c r="K37" s="26">
        <f ca="1">0.4*OFFSET(K$108,MATCH($M$1,$C$109:$C$110,0),0)</f>
        <v>0.38637599622385199</v>
      </c>
      <c r="L37" s="26">
        <f ca="1">0.3*OFFSET(L$108,MATCH($M$1,$C$109:$C$110,0),0)</f>
        <v>0.29496899481151251</v>
      </c>
      <c r="M37" s="27"/>
      <c r="N37" s="24" t="str">
        <f t="shared" ca="1" si="0"/>
        <v/>
      </c>
      <c r="O37" s="24" t="str">
        <f t="shared" ca="1" si="1"/>
        <v/>
      </c>
    </row>
    <row r="38" spans="1:15" s="19" customFormat="1" ht="18" customHeight="1" thickBot="1" x14ac:dyDescent="0.25">
      <c r="A38" s="149"/>
      <c r="B38" s="50" t="s">
        <v>46</v>
      </c>
      <c r="C38" s="51"/>
      <c r="D38" s="52">
        <f ca="1">12.2*OFFSET(D$108,MATCH($M$1,$C$109:$C$110,0),0)</f>
        <v>9.9242119110932006</v>
      </c>
      <c r="E38" s="52">
        <f ca="1">-0.8*OFFSET(E$108,MATCH($M$1,$C$109:$C$110,0),0)</f>
        <v>-0.66826394914016829</v>
      </c>
      <c r="F38" s="52">
        <f ca="1">16.7*OFFSET(F$108,MATCH($M$1,$C$109:$C$110,0),0)</f>
        <v>14.350643628453833</v>
      </c>
      <c r="G38" s="52">
        <f ca="1">11.1*OFFSET(G$108,MATCH($M$1,$C$109:$C$110,0),0)</f>
        <v>9.815397130809755</v>
      </c>
      <c r="H38" s="52">
        <f ca="1">35.5*OFFSET(H$108,MATCH($M$1,$C$109:$C$110,0),0)</f>
        <v>32.013190513078705</v>
      </c>
      <c r="I38" s="52">
        <f ca="1">15.1*OFFSET(I$108,MATCH($M$1,$C$109:$C$110,0),0)</f>
        <v>14.048888817042547</v>
      </c>
      <c r="J38" s="52">
        <f ca="1">4.6*OFFSET(J$108,MATCH($M$1,$C$109:$C$110,0),0)</f>
        <v>4.3707359655024751</v>
      </c>
      <c r="K38" s="52">
        <f ca="1">25.7*OFFSET(K$108,MATCH($M$1,$C$109:$C$110,0),0)</f>
        <v>24.824657757382486</v>
      </c>
      <c r="L38" s="52">
        <f ca="1">6.7*OFFSET(L$108,MATCH($M$1,$C$109:$C$110,0),0)</f>
        <v>6.5876408841237799</v>
      </c>
      <c r="M38" s="53"/>
      <c r="N38" s="54">
        <f t="shared" ca="1" si="0"/>
        <v>-0.3362051371796918</v>
      </c>
      <c r="O38" s="54">
        <f t="shared" ca="1" si="1"/>
        <v>-0.79422104518347036</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UK scallop dredge under 15m</v>
      </c>
      <c r="C45" s="61"/>
      <c r="D45" s="61"/>
      <c r="E45" s="61"/>
      <c r="F45" s="61" t="str">
        <f>$B21&amp;CHAR(10)&amp;$A$1</f>
        <v>Income per kW day at sea (£)
UK scallop dredge under 15m</v>
      </c>
      <c r="G45" s="61"/>
      <c r="K45" s="61" t="str">
        <f>$B23&amp;CHAR(10)&amp;$A$1</f>
        <v>Operating profit per kW day at sea (£)
UK scallop dredge under 15m</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UK scallop dredge under 15m</v>
      </c>
      <c r="F59" s="61" t="str">
        <f>$B19&amp;CHAR(10)&amp;$A$1</f>
        <v>Average price per tonne landed (£)
UK scallop dredge under 15m</v>
      </c>
      <c r="K59" s="61" t="str">
        <f>"Average annual operating profit per vessel (£'000)"&amp;CHAR(10)&amp;$A$1</f>
        <v>Average annual operating profit per vessel (£'000)
UK scallop dredge under 15m</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UK scallop dredge under 15m</v>
      </c>
      <c r="F73" s="61" t="str">
        <f>"Top 5 landed species by value in "&amp;A74&amp;CHAR(10)&amp;A1</f>
        <v>Top 5 landed species by value in 2013
UK scallop dredge under 15m</v>
      </c>
    </row>
    <row r="74" spans="1:9" s="61" customFormat="1" x14ac:dyDescent="0.2">
      <c r="A74" s="61">
        <v>2013</v>
      </c>
      <c r="B74" s="61" t="s">
        <v>428</v>
      </c>
      <c r="C74" s="62">
        <v>0.42324382318918868</v>
      </c>
      <c r="D74" s="63">
        <v>2171775</v>
      </c>
      <c r="G74" s="61" t="s">
        <v>429</v>
      </c>
      <c r="H74" s="62">
        <v>0.61415694036242241</v>
      </c>
      <c r="I74" s="63">
        <v>8211234</v>
      </c>
    </row>
    <row r="75" spans="1:9" s="61" customFormat="1" x14ac:dyDescent="0.2">
      <c r="B75" s="61" t="s">
        <v>430</v>
      </c>
      <c r="C75" s="62">
        <v>0.36742821812844056</v>
      </c>
      <c r="D75" s="63">
        <v>8211234</v>
      </c>
      <c r="G75" s="61" t="s">
        <v>431</v>
      </c>
      <c r="H75" s="62">
        <v>0.21180704491548979</v>
      </c>
      <c r="I75" s="63">
        <v>2171775</v>
      </c>
    </row>
    <row r="76" spans="1:9" s="61" customFormat="1" x14ac:dyDescent="0.2">
      <c r="B76" s="61" t="s">
        <v>432</v>
      </c>
      <c r="C76" s="62">
        <v>0.14919245818080148</v>
      </c>
      <c r="D76" s="63">
        <v>2783840</v>
      </c>
      <c r="G76" s="61" t="s">
        <v>433</v>
      </c>
      <c r="H76" s="62">
        <v>6.0928160022984741E-2</v>
      </c>
      <c r="I76" s="63">
        <v>2783840</v>
      </c>
    </row>
    <row r="77" spans="1:9" s="61" customFormat="1" x14ac:dyDescent="0.2">
      <c r="B77" s="61" t="s">
        <v>434</v>
      </c>
      <c r="C77" s="62">
        <v>1.8961027255437222E-2</v>
      </c>
      <c r="D77" s="63">
        <v>3511670</v>
      </c>
      <c r="G77" s="61" t="s">
        <v>435</v>
      </c>
      <c r="H77" s="62">
        <v>1.2303941227789527E-2</v>
      </c>
      <c r="I77" s="63">
        <v>6763595</v>
      </c>
    </row>
    <row r="78" spans="1:9" s="61" customFormat="1" x14ac:dyDescent="0.2">
      <c r="B78" s="61" t="s">
        <v>436</v>
      </c>
      <c r="C78" s="62">
        <v>5.3958103025735235E-3</v>
      </c>
      <c r="D78" s="63">
        <v>6763595</v>
      </c>
      <c r="G78" s="61" t="s">
        <v>437</v>
      </c>
      <c r="H78" s="62">
        <v>1.1090497239740819E-2</v>
      </c>
      <c r="I78" s="63">
        <v>2764187</v>
      </c>
    </row>
    <row r="79" spans="1:9" s="61" customFormat="1" x14ac:dyDescent="0.2">
      <c r="B79" s="61" t="s">
        <v>438</v>
      </c>
      <c r="C79" s="62">
        <v>3.577866294355847E-2</v>
      </c>
      <c r="D79" s="63">
        <v>32768</v>
      </c>
      <c r="G79" s="61" t="s">
        <v>439</v>
      </c>
      <c r="H79" s="62">
        <v>8.9713416231572696E-2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59</v>
      </c>
      <c r="D88" s="66">
        <v>0.56213619265815695</v>
      </c>
      <c r="E88" s="66">
        <v>0.69129699218022478</v>
      </c>
      <c r="F88" s="66">
        <v>0.57652557768554291</v>
      </c>
      <c r="G88" s="66">
        <v>0.62987676736229181</v>
      </c>
      <c r="H88" s="66">
        <v>0.45944050330653324</v>
      </c>
      <c r="I88" s="66">
        <v>0.70009931866975539</v>
      </c>
      <c r="J88" s="66">
        <v>0.67863127745068952</v>
      </c>
      <c r="K88" s="66">
        <v>0.77535266555436366</v>
      </c>
      <c r="L88" s="66">
        <v>0.62463203602591644</v>
      </c>
      <c r="M88" s="66">
        <v>0.5873012897265697</v>
      </c>
      <c r="N88" s="61"/>
      <c r="O88" s="61">
        <v>8211234</v>
      </c>
    </row>
    <row r="89" spans="1:15" s="65" customFormat="1" hidden="1" x14ac:dyDescent="0.2">
      <c r="A89" s="61"/>
      <c r="B89" s="61">
        <v>2</v>
      </c>
      <c r="C89" s="61" t="s">
        <v>193</v>
      </c>
      <c r="D89" s="66">
        <v>8.1396268837249014E-2</v>
      </c>
      <c r="E89" s="66">
        <v>5.802183768509709E-2</v>
      </c>
      <c r="F89" s="66">
        <v>0.19652019880181473</v>
      </c>
      <c r="G89" s="66">
        <v>8.5957108373735075E-2</v>
      </c>
      <c r="H89" s="66">
        <v>0.35922563347356207</v>
      </c>
      <c r="I89" s="66">
        <v>9.3188637297177523E-2</v>
      </c>
      <c r="J89" s="66">
        <v>0.12131615533762052</v>
      </c>
      <c r="K89" s="66">
        <v>4.8613698080305107E-2</v>
      </c>
      <c r="L89" s="66">
        <v>0.21541963790578059</v>
      </c>
      <c r="M89" s="66">
        <v>0.31388833739192884</v>
      </c>
      <c r="N89" s="61"/>
      <c r="O89" s="61">
        <v>2171775</v>
      </c>
    </row>
    <row r="90" spans="1:15" s="65" customFormat="1" hidden="1" x14ac:dyDescent="0.2">
      <c r="A90" s="61"/>
      <c r="B90" s="61">
        <v>3</v>
      </c>
      <c r="C90" s="61" t="s">
        <v>62</v>
      </c>
      <c r="D90" s="66"/>
      <c r="E90" s="66"/>
      <c r="F90" s="66"/>
      <c r="G90" s="66"/>
      <c r="H90" s="66"/>
      <c r="I90" s="66">
        <v>3.8338849124142524E-2</v>
      </c>
      <c r="J90" s="66">
        <v>5.0631988723719039E-2</v>
      </c>
      <c r="K90" s="66">
        <v>4.6017935287259081E-2</v>
      </c>
      <c r="L90" s="66">
        <v>6.1967354181508477E-2</v>
      </c>
      <c r="M90" s="66">
        <v>3.3821183093668904E-2</v>
      </c>
      <c r="N90" s="61"/>
      <c r="O90" s="61">
        <v>2783840</v>
      </c>
    </row>
    <row r="91" spans="1:15" s="65" customFormat="1" hidden="1" x14ac:dyDescent="0.2">
      <c r="A91" s="61"/>
      <c r="B91" s="61">
        <v>4</v>
      </c>
      <c r="C91" s="61" t="s">
        <v>440</v>
      </c>
      <c r="D91" s="66"/>
      <c r="E91" s="66"/>
      <c r="F91" s="66"/>
      <c r="G91" s="66">
        <v>2.9792435059121415E-2</v>
      </c>
      <c r="H91" s="66">
        <v>2.5508125398589834E-2</v>
      </c>
      <c r="I91" s="66">
        <v>3.6045402292423256E-2</v>
      </c>
      <c r="J91" s="66">
        <v>2.8217705768370665E-2</v>
      </c>
      <c r="K91" s="66">
        <v>2.1321992609100532E-2</v>
      </c>
      <c r="L91" s="66">
        <v>1.2513797948325888E-2</v>
      </c>
      <c r="M91" s="66">
        <v>1.081399697013443E-2</v>
      </c>
      <c r="N91" s="61"/>
      <c r="O91" s="61">
        <v>6763595</v>
      </c>
    </row>
    <row r="92" spans="1:15" s="65" customFormat="1" hidden="1" x14ac:dyDescent="0.2">
      <c r="A92" s="61"/>
      <c r="B92" s="61">
        <v>5</v>
      </c>
      <c r="C92" s="61" t="s">
        <v>84</v>
      </c>
      <c r="D92" s="66"/>
      <c r="E92" s="66"/>
      <c r="F92" s="66">
        <v>2.5409044219067888E-2</v>
      </c>
      <c r="G92" s="66"/>
      <c r="H92" s="66"/>
      <c r="I92" s="66">
        <v>1.8915609174621352E-2</v>
      </c>
      <c r="J92" s="66">
        <v>1.9297059004430163E-2</v>
      </c>
      <c r="K92" s="66"/>
      <c r="L92" s="66">
        <v>1.1279657390684397E-2</v>
      </c>
      <c r="M92" s="66"/>
      <c r="N92" s="61"/>
      <c r="O92" s="61">
        <v>2764187</v>
      </c>
    </row>
    <row r="93" spans="1:15" s="65" customFormat="1" hidden="1" x14ac:dyDescent="0.2">
      <c r="A93" s="61"/>
      <c r="B93" s="61">
        <v>6</v>
      </c>
      <c r="C93" s="61" t="s">
        <v>441</v>
      </c>
      <c r="D93" s="66"/>
      <c r="E93" s="66"/>
      <c r="F93" s="66"/>
      <c r="G93" s="66"/>
      <c r="H93" s="66">
        <v>1.7172540389446104E-2</v>
      </c>
      <c r="I93" s="66"/>
      <c r="J93" s="66"/>
      <c r="K93" s="66"/>
      <c r="L93" s="66"/>
      <c r="M93" s="66">
        <v>7.0989808064329911E-3</v>
      </c>
      <c r="N93" s="61"/>
      <c r="O93" s="61">
        <v>3511670</v>
      </c>
    </row>
    <row r="94" spans="1:15" s="65" customFormat="1" hidden="1" x14ac:dyDescent="0.2">
      <c r="A94" s="61"/>
      <c r="B94" s="61">
        <v>7</v>
      </c>
      <c r="C94" s="61" t="s">
        <v>60</v>
      </c>
      <c r="D94" s="66"/>
      <c r="E94" s="66">
        <v>1.6212090176022896E-2</v>
      </c>
      <c r="F94" s="66"/>
      <c r="G94" s="66"/>
      <c r="H94" s="66"/>
      <c r="I94" s="66"/>
      <c r="J94" s="66"/>
      <c r="K94" s="66">
        <v>2.2669358114643684E-2</v>
      </c>
      <c r="L94" s="66"/>
      <c r="M94" s="66"/>
      <c r="N94" s="61"/>
      <c r="O94" s="61">
        <v>1464488</v>
      </c>
    </row>
    <row r="95" spans="1:15" s="65" customFormat="1" hidden="1" x14ac:dyDescent="0.2">
      <c r="A95" s="61"/>
      <c r="B95" s="61">
        <v>8</v>
      </c>
      <c r="C95" s="61" t="s">
        <v>170</v>
      </c>
      <c r="D95" s="66"/>
      <c r="E95" s="66"/>
      <c r="F95" s="66">
        <v>2.4153860732717896E-2</v>
      </c>
      <c r="G95" s="66">
        <v>3.3675942400310445E-2</v>
      </c>
      <c r="H95" s="66">
        <v>2.3843297097828463E-2</v>
      </c>
      <c r="I95" s="66"/>
      <c r="J95" s="66"/>
      <c r="K95" s="66"/>
      <c r="L95" s="66"/>
      <c r="M95" s="66"/>
      <c r="N95" s="61"/>
      <c r="O95" s="61">
        <v>8274269</v>
      </c>
    </row>
    <row r="96" spans="1:15" s="65" customFormat="1" hidden="1" x14ac:dyDescent="0.2">
      <c r="A96" s="61"/>
      <c r="B96" s="61">
        <v>9</v>
      </c>
      <c r="C96" s="61" t="s">
        <v>99</v>
      </c>
      <c r="D96" s="66">
        <v>0.10597318078541308</v>
      </c>
      <c r="E96" s="66">
        <v>6.1226726709011491E-2</v>
      </c>
      <c r="F96" s="66">
        <v>5.7301130465513272E-2</v>
      </c>
      <c r="G96" s="66">
        <v>7.5443298148119828E-2</v>
      </c>
      <c r="H96" s="66"/>
      <c r="I96" s="66"/>
      <c r="J96" s="66"/>
      <c r="K96" s="66"/>
      <c r="L96" s="66"/>
      <c r="M96" s="66"/>
      <c r="N96" s="61"/>
      <c r="O96" s="61">
        <v>10520359</v>
      </c>
    </row>
    <row r="97" spans="1:15" s="65" customFormat="1" hidden="1" x14ac:dyDescent="0.2">
      <c r="A97" s="61"/>
      <c r="B97" s="61">
        <v>10</v>
      </c>
      <c r="C97" s="61" t="s">
        <v>442</v>
      </c>
      <c r="D97" s="66">
        <v>3.5703337341510967E-2</v>
      </c>
      <c r="E97" s="66">
        <v>2.6936566824567864E-2</v>
      </c>
      <c r="F97" s="66"/>
      <c r="G97" s="66"/>
      <c r="H97" s="66"/>
      <c r="I97" s="66"/>
      <c r="J97" s="66"/>
      <c r="K97" s="66"/>
      <c r="L97" s="66"/>
      <c r="M97" s="66"/>
      <c r="N97" s="61"/>
      <c r="O97" s="61">
        <v>1928395</v>
      </c>
    </row>
    <row r="98" spans="1:15" s="65" customFormat="1" hidden="1" x14ac:dyDescent="0.2">
      <c r="A98" s="61"/>
      <c r="B98" s="61">
        <v>11</v>
      </c>
      <c r="C98" s="61" t="s">
        <v>132</v>
      </c>
      <c r="D98" s="66">
        <v>1.8237614375364648E-2</v>
      </c>
      <c r="E98" s="66"/>
      <c r="F98" s="66"/>
      <c r="G98" s="66"/>
      <c r="H98" s="66"/>
      <c r="I98" s="66"/>
      <c r="J98" s="66"/>
      <c r="K98" s="66"/>
      <c r="L98" s="66"/>
      <c r="M98" s="66"/>
      <c r="N98" s="61"/>
      <c r="O98" s="61">
        <v>10782840</v>
      </c>
    </row>
    <row r="99" spans="1:15" s="65" customFormat="1" hidden="1" x14ac:dyDescent="0.2">
      <c r="A99" s="61"/>
      <c r="B99" s="61">
        <v>12</v>
      </c>
      <c r="C99" s="61" t="s">
        <v>68</v>
      </c>
      <c r="D99" s="66">
        <v>0.19655340600230531</v>
      </c>
      <c r="E99" s="66">
        <v>0.14630578642507586</v>
      </c>
      <c r="F99" s="66">
        <v>0.1200901880953433</v>
      </c>
      <c r="G99" s="66">
        <v>0.14525444865642143</v>
      </c>
      <c r="H99" s="66">
        <v>0.11480990033404029</v>
      </c>
      <c r="I99" s="66">
        <v>0.11341218344188</v>
      </c>
      <c r="J99" s="66">
        <v>0.10190581371517007</v>
      </c>
      <c r="K99" s="66">
        <v>8.6024350354327969E-2</v>
      </c>
      <c r="L99" s="66">
        <v>7.4187516547784216E-2</v>
      </c>
      <c r="M99" s="66">
        <v>4.7076212011265182E-2</v>
      </c>
      <c r="N99" s="61"/>
      <c r="O99" s="61">
        <v>32768</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13</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'UK scallop dredge under 15m'!D3:L3</xm:f>
              <xm:sqref>C3</xm:sqref>
            </x14:sparkline>
            <x14:sparkline>
              <xm:f>'UK scallop dredge under 15m'!D4:L4</xm:f>
              <xm:sqref>C4</xm:sqref>
            </x14:sparkline>
            <x14:sparkline>
              <xm:f>'UK scallop dredge under 15m'!D5:L5</xm:f>
              <xm:sqref>C5</xm:sqref>
            </x14:sparkline>
            <x14:sparkline>
              <xm:f>'UK scallop dredge under 15m'!D6:L6</xm:f>
              <xm:sqref>C6</xm:sqref>
            </x14:sparkline>
            <x14:sparkline>
              <xm:f>'UK scallop dredge under 15m'!D7:L7</xm:f>
              <xm:sqref>C7</xm:sqref>
            </x14:sparkline>
            <x14:sparkline>
              <xm:f>'UK scallop dredge under 15m'!D8:L8</xm:f>
              <xm:sqref>C8</xm:sqref>
            </x14:sparkline>
            <x14:sparkline>
              <xm:f>'UK scallop dredge under 15m'!D9:L9</xm:f>
              <xm:sqref>C9</xm:sqref>
            </x14:sparkline>
            <x14:sparkline>
              <xm:f>'UK scallop dredge under 15m'!D10:L10</xm:f>
              <xm:sqref>C10</xm:sqref>
            </x14:sparkline>
            <x14:sparkline>
              <xm:f>'UK scallop dredge under 15m'!D11:L11</xm:f>
              <xm:sqref>C11</xm:sqref>
            </x14:sparkline>
            <x14:sparkline>
              <xm:f>'UK scallop dredge under 15m'!D12:L12</xm:f>
              <xm:sqref>C12</xm:sqref>
            </x14:sparkline>
            <x14:sparkline>
              <xm:f>'UK scallop dredge under 15m'!D13:L13</xm:f>
              <xm:sqref>C13</xm:sqref>
            </x14:sparkline>
            <x14:sparkline>
              <xm:f>'UK scallop dredge under 15m'!D14:L14</xm:f>
              <xm:sqref>C14</xm:sqref>
            </x14:sparkline>
            <x14:sparkline>
              <xm:f>'UK scallop dredge under 15m'!D15:L15</xm:f>
              <xm:sqref>C15</xm:sqref>
            </x14:sparkline>
            <x14:sparkline>
              <xm:f>'UK scallop dredge under 15m'!D16:L16</xm:f>
              <xm:sqref>C16</xm:sqref>
            </x14:sparkline>
            <x14:sparkline>
              <xm:f>'UK scallop dredge under 15m'!D17:L17</xm:f>
              <xm:sqref>C17</xm:sqref>
            </x14:sparkline>
            <x14:sparkline>
              <xm:f>'UK scallop dredge under 15m'!D18:L18</xm:f>
              <xm:sqref>C18</xm:sqref>
            </x14:sparkline>
            <x14:sparkline>
              <xm:f>'UK scallop dredge under 15m'!D19:L19</xm:f>
              <xm:sqref>C19</xm:sqref>
            </x14:sparkline>
            <x14:sparkline>
              <xm:f>'UK scallop dredge under 15m'!D20:L20</xm:f>
              <xm:sqref>C20</xm:sqref>
            </x14:sparkline>
            <x14:sparkline>
              <xm:f>'UK scallop dredge under 15m'!D21:L21</xm:f>
              <xm:sqref>C21</xm:sqref>
            </x14:sparkline>
            <x14:sparkline>
              <xm:f>'UK scallop dredge under 15m'!D22:L22</xm:f>
              <xm:sqref>C22</xm:sqref>
            </x14:sparkline>
            <x14:sparkline>
              <xm:f>'UK scallop dredge under 15m'!D23:L23</xm:f>
              <xm:sqref>C23</xm:sqref>
            </x14:sparkline>
            <x14:sparkline>
              <xm:f>'UK scallop dredge under 15m'!D24:L24</xm:f>
              <xm:sqref>C24</xm:sqref>
            </x14:sparkline>
            <x14:sparkline>
              <xm:f>'UK scallop dredge under 15m'!D25:L25</xm:f>
              <xm:sqref>C25</xm:sqref>
            </x14:sparkline>
            <x14:sparkline>
              <xm:f>'UK scallop dredge under 15m'!D26:L26</xm:f>
              <xm:sqref>C26</xm:sqref>
            </x14:sparkline>
            <x14:sparkline>
              <xm:f>'UK scallop dredge under 15m'!D27:L27</xm:f>
              <xm:sqref>C27</xm:sqref>
            </x14:sparkline>
            <x14:sparkline>
              <xm:f>'UK scallop dredge under 15m'!D28:L28</xm:f>
              <xm:sqref>C28</xm:sqref>
            </x14:sparkline>
            <x14:sparkline>
              <xm:f>'UK scallop dredge under 15m'!D29:L29</xm:f>
              <xm:sqref>C29</xm:sqref>
            </x14:sparkline>
            <x14:sparkline>
              <xm:f>'UK scallop dredge under 15m'!D30:L30</xm:f>
              <xm:sqref>C30</xm:sqref>
            </x14:sparkline>
            <x14:sparkline>
              <xm:f>'UK scallop dredge under 15m'!D31:L31</xm:f>
              <xm:sqref>C31</xm:sqref>
            </x14:sparkline>
            <x14:sparkline>
              <xm:f>'UK scallop dredge under 15m'!D32:L32</xm:f>
              <xm:sqref>C32</xm:sqref>
            </x14:sparkline>
            <x14:sparkline>
              <xm:f>'UK scallop dredge under 15m'!D33:L33</xm:f>
              <xm:sqref>C33</xm:sqref>
            </x14:sparkline>
            <x14:sparkline>
              <xm:f>'UK scallop dredge under 15m'!D34:L34</xm:f>
              <xm:sqref>C34</xm:sqref>
            </x14:sparkline>
            <x14:sparkline>
              <xm:f>'UK scallop dredge under 15m'!D35:L35</xm:f>
              <xm:sqref>C35</xm:sqref>
            </x14:sparkline>
            <x14:sparkline>
              <xm:f>'UK scallop dredge under 15m'!D36:L36</xm:f>
              <xm:sqref>C36</xm:sqref>
            </x14:sparkline>
            <x14:sparkline>
              <xm:f>'UK scallop dredge under 15m'!D37:L37</xm:f>
              <xm:sqref>C37</xm:sqref>
            </x14:sparkline>
            <x14:sparkline>
              <xm:f>'UK scallop dredge under 15m'!D38:L38</xm:f>
              <xm:sqref>C38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443</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170</v>
      </c>
      <c r="E3" s="16">
        <v>218</v>
      </c>
      <c r="F3" s="16">
        <v>269</v>
      </c>
      <c r="G3" s="16">
        <v>253</v>
      </c>
      <c r="H3" s="16">
        <v>231</v>
      </c>
      <c r="I3" s="16">
        <v>216</v>
      </c>
      <c r="J3" s="16">
        <v>210</v>
      </c>
      <c r="K3" s="16">
        <v>221</v>
      </c>
      <c r="L3" s="16">
        <v>200</v>
      </c>
      <c r="M3" s="17">
        <v>195</v>
      </c>
      <c r="N3" s="18">
        <f t="shared" ref="N3:N38" si="0">IF(L3=0,"",IFERROR(IF(AND(L3&gt;0,D3&lt;0),"na",IF(AND(L3&lt;0,D3&lt;0),-1,1)*(L3-D3)/D3),""))</f>
        <v>0.17647058823529413</v>
      </c>
      <c r="O3" s="18">
        <f t="shared" ref="O3:O38" si="1">IF(L3=0,"",IFERROR(IF(AND(L3&gt;0,H3&lt;0),"na",IF(AND(L3&lt;0,H3&lt;0),-1,1)*(L3-H3)/H3),""))</f>
        <v>-0.13419913419913421</v>
      </c>
    </row>
    <row r="4" spans="1:15" s="19" customFormat="1" ht="18" customHeight="1" x14ac:dyDescent="0.2">
      <c r="A4" s="141"/>
      <c r="B4" s="20" t="s">
        <v>20</v>
      </c>
      <c r="C4" s="21"/>
      <c r="D4" s="22">
        <v>19195.05078125</v>
      </c>
      <c r="E4" s="22">
        <v>24236.66015625</v>
      </c>
      <c r="F4" s="22">
        <v>29482.55078125</v>
      </c>
      <c r="G4" s="22">
        <v>28400.970703125</v>
      </c>
      <c r="H4" s="22">
        <v>25882.400390625</v>
      </c>
      <c r="I4" s="22">
        <v>24203.630859375</v>
      </c>
      <c r="J4" s="22">
        <v>23930.4296875</v>
      </c>
      <c r="K4" s="22">
        <v>24602.509765625</v>
      </c>
      <c r="L4" s="22">
        <v>22676.330078125</v>
      </c>
      <c r="M4" s="23">
        <v>22022.439453125</v>
      </c>
      <c r="N4" s="24">
        <f t="shared" si="0"/>
        <v>0.18136338041239064</v>
      </c>
      <c r="O4" s="24">
        <f t="shared" si="1"/>
        <v>-0.12387067134860055</v>
      </c>
    </row>
    <row r="5" spans="1:15" s="19" customFormat="1" ht="18" customHeight="1" x14ac:dyDescent="0.2">
      <c r="A5" s="141"/>
      <c r="B5" s="20" t="s">
        <v>21</v>
      </c>
      <c r="C5" s="21"/>
      <c r="D5" s="22">
        <v>1818.27001953125</v>
      </c>
      <c r="E5" s="22">
        <v>2301.409912109375</v>
      </c>
      <c r="F5" s="22">
        <v>2805.340087890625</v>
      </c>
      <c r="G5" s="22">
        <v>2669.760009765625</v>
      </c>
      <c r="H5" s="22">
        <v>2424.8798828125</v>
      </c>
      <c r="I5" s="22">
        <v>2287.010009765625</v>
      </c>
      <c r="J5" s="22">
        <v>2170.010009765625</v>
      </c>
      <c r="K5" s="22">
        <v>2302.2900390625</v>
      </c>
      <c r="L5" s="22">
        <v>2106.760009765625</v>
      </c>
      <c r="M5" s="23">
        <v>2064.60009765625</v>
      </c>
      <c r="N5" s="24">
        <f t="shared" si="0"/>
        <v>0.15866179782733683</v>
      </c>
      <c r="O5" s="24">
        <f t="shared" si="1"/>
        <v>-0.13118995101642036</v>
      </c>
    </row>
    <row r="6" spans="1:15" s="19" customFormat="1" ht="18" customHeight="1" x14ac:dyDescent="0.2">
      <c r="A6" s="141"/>
      <c r="B6" s="20" t="s">
        <v>22</v>
      </c>
      <c r="C6" s="21"/>
      <c r="D6" s="22">
        <v>14988.068359375</v>
      </c>
      <c r="E6" s="22">
        <v>19083.79296875</v>
      </c>
      <c r="F6" s="22">
        <v>19185.857421875</v>
      </c>
      <c r="G6" s="22">
        <v>22779.294921875</v>
      </c>
      <c r="H6" s="22">
        <v>20891.599609375</v>
      </c>
      <c r="I6" s="22">
        <v>19479.7578125</v>
      </c>
      <c r="J6" s="22">
        <v>19004.828125</v>
      </c>
      <c r="K6" s="22">
        <v>19789.296875</v>
      </c>
      <c r="L6" s="22">
        <v>18156.865234375</v>
      </c>
      <c r="M6" s="23">
        <v>17616.392578125</v>
      </c>
      <c r="N6" s="24">
        <f t="shared" si="0"/>
        <v>0.21142129853030228</v>
      </c>
      <c r="O6" s="24">
        <f t="shared" si="1"/>
        <v>-0.13090114812332521</v>
      </c>
    </row>
    <row r="7" spans="1:15" s="19" customFormat="1" ht="18" customHeight="1" x14ac:dyDescent="0.2">
      <c r="A7" s="141"/>
      <c r="B7" s="20" t="s">
        <v>23</v>
      </c>
      <c r="C7" s="21"/>
      <c r="D7" s="22">
        <v>3715.9296875</v>
      </c>
      <c r="E7" s="22">
        <v>5738.78759765625</v>
      </c>
      <c r="F7" s="22">
        <v>7665.09130859375</v>
      </c>
      <c r="G7" s="22">
        <v>6236.07958984375</v>
      </c>
      <c r="H7" s="22">
        <v>6293.29150390625</v>
      </c>
      <c r="I7" s="22">
        <v>5464.3095703125</v>
      </c>
      <c r="J7" s="22">
        <v>5633.8662109375</v>
      </c>
      <c r="K7" s="22">
        <v>6398.328125</v>
      </c>
      <c r="L7" s="22">
        <v>5839.44580078125</v>
      </c>
      <c r="M7" s="23">
        <v>5403.3017578125</v>
      </c>
      <c r="N7" s="24">
        <f t="shared" si="0"/>
        <v>0.57146294248369034</v>
      </c>
      <c r="O7" s="24">
        <f t="shared" si="1"/>
        <v>-7.2115792323190125E-2</v>
      </c>
    </row>
    <row r="8" spans="1:15" s="19" customFormat="1" ht="18" customHeight="1" x14ac:dyDescent="0.2">
      <c r="A8" s="141"/>
      <c r="B8" s="20" t="s">
        <v>24</v>
      </c>
      <c r="C8" s="25"/>
      <c r="D8" s="26">
        <f ca="1">10.364849*OFFSET(D$108,MATCH($M$1,$C$109:$C$110,0),0)</f>
        <v>8.4313899920067588</v>
      </c>
      <c r="E8" s="26">
        <f ca="1">15.377483*OFFSET(E$108,MATCH($M$1,$C$109:$C$110,0),0)</f>
        <v>12.845271896769752</v>
      </c>
      <c r="F8" s="26">
        <f ca="1">19.445746*OFFSET(F$108,MATCH($M$1,$C$109:$C$110,0),0)</f>
        <v>16.710118020085726</v>
      </c>
      <c r="G8" s="26">
        <f ca="1">15.833443*OFFSET(G$108,MATCH($M$1,$C$109:$C$110,0),0)</f>
        <v>14.001038828201784</v>
      </c>
      <c r="H8" s="26">
        <f ca="1">14.13689*OFFSET(H$108,MATCH($M$1,$C$109:$C$110,0),0)</f>
        <v>12.748364868519358</v>
      </c>
      <c r="I8" s="26">
        <f ca="1">13.010617*OFFSET(I$108,MATCH($M$1,$C$109:$C$110,0),0)</f>
        <v>12.104947792988321</v>
      </c>
      <c r="J8" s="26">
        <f ca="1">14.798226*OFFSET(J$108,MATCH($M$1,$C$109:$C$110,0),0)</f>
        <v>14.060682305181267</v>
      </c>
      <c r="K8" s="26">
        <f ca="1">15.22922*OFFSET(K$108,MATCH($M$1,$C$109:$C$110,0),0)</f>
        <v>14.710512623030526</v>
      </c>
      <c r="L8" s="26">
        <f ca="1">12.438417*OFFSET(L$108,MATCH($M$1,$C$109:$C$110,0),0)</f>
        <v>12.229824531788097</v>
      </c>
      <c r="M8" s="27">
        <f ca="1">13.131521*OFFSET(M$108,MATCH($M$1,$C$109:$C$110,0),0)</f>
        <v>13.131520948982029</v>
      </c>
      <c r="N8" s="24">
        <f t="shared" ca="1" si="0"/>
        <v>0.4505110715294135</v>
      </c>
      <c r="O8" s="24">
        <f t="shared" ca="1" si="1"/>
        <v>-4.0675046727893543E-2</v>
      </c>
    </row>
    <row r="9" spans="1:15" s="19" customFormat="1" ht="18" customHeight="1" x14ac:dyDescent="0.2">
      <c r="A9" s="141"/>
      <c r="B9" s="20" t="s">
        <v>25</v>
      </c>
      <c r="C9" s="25"/>
      <c r="D9" s="22">
        <v>18390</v>
      </c>
      <c r="E9" s="22">
        <v>21463</v>
      </c>
      <c r="F9" s="22">
        <v>27914.5</v>
      </c>
      <c r="G9" s="22">
        <v>24872.833984375</v>
      </c>
      <c r="H9" s="22">
        <v>22310.666015625</v>
      </c>
      <c r="I9" s="22">
        <v>21154</v>
      </c>
      <c r="J9" s="22">
        <v>21712</v>
      </c>
      <c r="K9" s="22">
        <v>22190</v>
      </c>
      <c r="L9" s="22">
        <v>19475</v>
      </c>
      <c r="M9" s="23">
        <v>20870</v>
      </c>
      <c r="N9" s="24">
        <f t="shared" si="0"/>
        <v>5.8999456226209897E-2</v>
      </c>
      <c r="O9" s="24">
        <f t="shared" si="1"/>
        <v>-0.12709911992941297</v>
      </c>
    </row>
    <row r="10" spans="1:15" s="19" customFormat="1" ht="18" customHeight="1" x14ac:dyDescent="0.2">
      <c r="A10" s="142" t="s">
        <v>7</v>
      </c>
      <c r="B10" s="28" t="s">
        <v>26</v>
      </c>
      <c r="C10" s="29"/>
      <c r="D10" s="30">
        <v>9.6881179809570312</v>
      </c>
      <c r="E10" s="30">
        <v>9.6260547637939453</v>
      </c>
      <c r="F10" s="30">
        <v>9.6355390548706055</v>
      </c>
      <c r="G10" s="30">
        <v>9.6592092514038086</v>
      </c>
      <c r="H10" s="30">
        <v>9.6388740539550781</v>
      </c>
      <c r="I10" s="30">
        <v>9.6411571502685547</v>
      </c>
      <c r="J10" s="30">
        <v>9.6466188430786133</v>
      </c>
      <c r="K10" s="30">
        <v>9.6216745376586914</v>
      </c>
      <c r="L10" s="30">
        <v>9.6498003005981445</v>
      </c>
      <c r="M10" s="31">
        <v>9.6651792526245117</v>
      </c>
      <c r="N10" s="32">
        <f t="shared" si="0"/>
        <v>-3.9551211529632452E-3</v>
      </c>
      <c r="O10" s="32">
        <f t="shared" si="1"/>
        <v>1.1335604741700184E-3</v>
      </c>
    </row>
    <row r="11" spans="1:15" s="19" customFormat="1" ht="18" customHeight="1" x14ac:dyDescent="0.2">
      <c r="A11" s="143"/>
      <c r="B11" s="33" t="s">
        <v>20</v>
      </c>
      <c r="C11" s="21"/>
      <c r="D11" s="22">
        <v>112.91205596923828</v>
      </c>
      <c r="E11" s="22">
        <v>111.17733764648437</v>
      </c>
      <c r="F11" s="22">
        <v>109.60055541992187</v>
      </c>
      <c r="G11" s="22">
        <v>112.25679779052734</v>
      </c>
      <c r="H11" s="22">
        <v>112.04502105712891</v>
      </c>
      <c r="I11" s="22">
        <v>112.05384063720703</v>
      </c>
      <c r="J11" s="22">
        <v>113.95442962646484</v>
      </c>
      <c r="K11" s="22">
        <v>111.32357788085937</v>
      </c>
      <c r="L11" s="22">
        <v>113.38165283203125</v>
      </c>
      <c r="M11" s="23">
        <v>112.93559265136719</v>
      </c>
      <c r="N11" s="24">
        <f t="shared" si="0"/>
        <v>4.158961226610784E-3</v>
      </c>
      <c r="O11" s="24">
        <f t="shared" si="1"/>
        <v>1.192941696374736E-2</v>
      </c>
    </row>
    <row r="12" spans="1:15" s="19" customFormat="1" ht="18" customHeight="1" x14ac:dyDescent="0.2">
      <c r="A12" s="143"/>
      <c r="B12" s="33" t="s">
        <v>21</v>
      </c>
      <c r="C12" s="21"/>
      <c r="D12" s="22">
        <v>10.695705413818359</v>
      </c>
      <c r="E12" s="22">
        <v>10.556926727294922</v>
      </c>
      <c r="F12" s="22">
        <v>10.428772926330566</v>
      </c>
      <c r="G12" s="22">
        <v>10.552411079406738</v>
      </c>
      <c r="H12" s="22">
        <v>10.497316360473633</v>
      </c>
      <c r="I12" s="22">
        <v>10.588008880615234</v>
      </c>
      <c r="J12" s="22">
        <v>10.333380699157715</v>
      </c>
      <c r="K12" s="22">
        <v>10.417601585388184</v>
      </c>
      <c r="L12" s="22">
        <v>10.53380012512207</v>
      </c>
      <c r="M12" s="23">
        <v>10.587692260742188</v>
      </c>
      <c r="N12" s="24">
        <f t="shared" si="0"/>
        <v>-1.5137410991809375E-2</v>
      </c>
      <c r="O12" s="24">
        <f t="shared" si="1"/>
        <v>3.4755325452334347E-3</v>
      </c>
    </row>
    <row r="13" spans="1:15" s="19" customFormat="1" ht="18" customHeight="1" x14ac:dyDescent="0.2">
      <c r="A13" s="143"/>
      <c r="B13" s="33" t="s">
        <v>22</v>
      </c>
      <c r="C13" s="21"/>
      <c r="D13" s="22">
        <v>88.165107727050781</v>
      </c>
      <c r="E13" s="22">
        <v>87.540328979492188</v>
      </c>
      <c r="F13" s="22">
        <v>71.322891235351563</v>
      </c>
      <c r="G13" s="22">
        <v>90.036735534667969</v>
      </c>
      <c r="H13" s="22">
        <v>90.439826965332031</v>
      </c>
      <c r="I13" s="22">
        <v>90.184059143066406</v>
      </c>
      <c r="J13" s="22">
        <v>90.499183654785156</v>
      </c>
      <c r="K13" s="22">
        <v>89.544326782226562</v>
      </c>
      <c r="L13" s="22">
        <v>90.784324645996094</v>
      </c>
      <c r="M13" s="23">
        <v>90.340476989746094</v>
      </c>
      <c r="N13" s="24">
        <f t="shared" si="0"/>
        <v>2.9708089588617214E-2</v>
      </c>
      <c r="O13" s="24">
        <f t="shared" si="1"/>
        <v>3.8091368838655292E-3</v>
      </c>
    </row>
    <row r="14" spans="1:15" s="19" customFormat="1" ht="18" customHeight="1" x14ac:dyDescent="0.2">
      <c r="A14" s="143"/>
      <c r="B14" s="33" t="s">
        <v>23</v>
      </c>
      <c r="C14" s="25"/>
      <c r="D14" s="26">
        <v>21.858409881591797</v>
      </c>
      <c r="E14" s="26">
        <v>26.324712753295898</v>
      </c>
      <c r="F14" s="26">
        <v>28.494762420654297</v>
      </c>
      <c r="G14" s="26">
        <v>24.648536682128906</v>
      </c>
      <c r="H14" s="26">
        <v>27.243686676025391</v>
      </c>
      <c r="I14" s="26">
        <v>25.2977294921875</v>
      </c>
      <c r="J14" s="26">
        <v>26.827934265136719</v>
      </c>
      <c r="K14" s="26">
        <v>28.951709747314453</v>
      </c>
      <c r="L14" s="26">
        <v>29.197229385375977</v>
      </c>
      <c r="M14" s="27">
        <v>27.709238052368164</v>
      </c>
      <c r="N14" s="24">
        <f t="shared" si="0"/>
        <v>0.3357435213054823</v>
      </c>
      <c r="O14" s="24">
        <f t="shared" si="1"/>
        <v>7.1706253730693337E-2</v>
      </c>
    </row>
    <row r="15" spans="1:15" s="19" customFormat="1" ht="18" customHeight="1" x14ac:dyDescent="0.2">
      <c r="A15" s="143"/>
      <c r="B15" s="33" t="s">
        <v>27</v>
      </c>
      <c r="C15" s="25"/>
      <c r="D15" s="26">
        <f ca="1">60.9696953125*OFFSET(D$108,MATCH($M$1,$C$109:$C$110,0),0)</f>
        <v>49.596407904593107</v>
      </c>
      <c r="E15" s="26">
        <f ca="1">70.5389140625*OFFSET(E$108,MATCH($M$1,$C$109:$C$110,0),0)</f>
        <v>58.923266599331491</v>
      </c>
      <c r="F15" s="26">
        <f ca="1">72.2890234375*OFFSET(F$108,MATCH($M$1,$C$109:$C$110,0),0)</f>
        <v>62.119402012006546</v>
      </c>
      <c r="G15" s="26">
        <f ca="1">62.58277734375*OFFSET(G$108,MATCH($M$1,$C$109:$C$110,0),0)</f>
        <v>55.340073259274732</v>
      </c>
      <c r="H15" s="26">
        <f ca="1">61.19866015625*OFFSET(H$108,MATCH($M$1,$C$109:$C$110,0),0)</f>
        <v>55.187728640202543</v>
      </c>
      <c r="I15" s="26">
        <f ca="1">60.23433984375*OFFSET(I$108,MATCH($M$1,$C$109:$C$110,0),0)</f>
        <v>56.041426717403951</v>
      </c>
      <c r="J15" s="26">
        <f ca="1">70.4677421875*OFFSET(J$108,MATCH($M$1,$C$109:$C$110,0),0)</f>
        <v>66.955629388404844</v>
      </c>
      <c r="K15" s="26">
        <f ca="1">68.9105*OFFSET(K$108,MATCH($M$1,$C$109:$C$110,0),0)</f>
        <v>66.563407719459377</v>
      </c>
      <c r="L15" s="26">
        <f ca="1">62.1920859375*OFFSET(L$108,MATCH($M$1,$C$109:$C$110,0),0)</f>
        <v>61.149123580718602</v>
      </c>
      <c r="M15" s="27">
        <f ca="1">67.3411328125*OFFSET(M$108,MATCH($M$1,$C$109:$C$110,0),0)</f>
        <v>67.341132550869389</v>
      </c>
      <c r="N15" s="24">
        <f t="shared" ca="1" si="0"/>
        <v>0.23293452417661081</v>
      </c>
      <c r="O15" s="24">
        <f t="shared" ca="1" si="1"/>
        <v>0.10802029884907</v>
      </c>
    </row>
    <row r="16" spans="1:15" s="19" customFormat="1" ht="18" customHeight="1" x14ac:dyDescent="0.2">
      <c r="A16" s="143"/>
      <c r="B16" s="33" t="s">
        <v>25</v>
      </c>
      <c r="C16" s="21"/>
      <c r="D16" s="22">
        <v>108.17646789550781</v>
      </c>
      <c r="E16" s="22">
        <v>98.454132080078125</v>
      </c>
      <c r="F16" s="22">
        <v>103.77137756347656</v>
      </c>
      <c r="G16" s="22">
        <v>98.311592102050781</v>
      </c>
      <c r="H16" s="22">
        <v>96.582969665527344</v>
      </c>
      <c r="I16" s="22">
        <v>97.935188293457031</v>
      </c>
      <c r="J16" s="22">
        <v>103.39047241210937</v>
      </c>
      <c r="K16" s="22">
        <v>100.40724182128906</v>
      </c>
      <c r="L16" s="22">
        <v>97.375</v>
      </c>
      <c r="M16" s="23">
        <v>107.02564239501953</v>
      </c>
      <c r="N16" s="24">
        <f t="shared" si="0"/>
        <v>-9.9850439801208918E-2</v>
      </c>
      <c r="O16" s="24">
        <f t="shared" si="1"/>
        <v>8.2005175158260824E-3</v>
      </c>
    </row>
    <row r="17" spans="1:15" s="19" customFormat="1" ht="18" customHeight="1" x14ac:dyDescent="0.2">
      <c r="A17" s="143"/>
      <c r="B17" s="33" t="s">
        <v>28</v>
      </c>
      <c r="C17" s="21"/>
      <c r="D17" s="22">
        <v>13.976470947265625</v>
      </c>
      <c r="E17" s="22">
        <v>15.229357719421387</v>
      </c>
      <c r="F17" s="22">
        <v>16.788105010986328</v>
      </c>
      <c r="G17" s="22">
        <v>17.035573959350586</v>
      </c>
      <c r="H17" s="22">
        <v>17.112554550170898</v>
      </c>
      <c r="I17" s="22">
        <v>17.939815521240234</v>
      </c>
      <c r="J17" s="22">
        <v>19.076190948486328</v>
      </c>
      <c r="K17" s="22">
        <v>19.796380996704102</v>
      </c>
      <c r="L17" s="22">
        <v>20.709999084472656</v>
      </c>
      <c r="M17" s="23">
        <v>22.610256195068359</v>
      </c>
      <c r="N17" s="24">
        <f t="shared" si="0"/>
        <v>0.48177599070703808</v>
      </c>
      <c r="O17" s="24">
        <f t="shared" si="1"/>
        <v>0.21022253128571217</v>
      </c>
    </row>
    <row r="18" spans="1:15" s="19" customFormat="1" ht="18" customHeight="1" x14ac:dyDescent="0.2">
      <c r="A18" s="143"/>
      <c r="B18" s="33" t="s">
        <v>29</v>
      </c>
      <c r="C18" s="21"/>
      <c r="D18" s="34">
        <v>0.20206251740455627</v>
      </c>
      <c r="E18" s="34">
        <v>0.2673804759979248</v>
      </c>
      <c r="F18" s="34">
        <v>0.27459174394607544</v>
      </c>
      <c r="G18" s="34">
        <v>0.25071850419044495</v>
      </c>
      <c r="H18" s="34">
        <v>0.28207546472549438</v>
      </c>
      <c r="I18" s="34">
        <v>0.2583109438419342</v>
      </c>
      <c r="J18" s="34">
        <v>0.25948169827461243</v>
      </c>
      <c r="K18" s="34">
        <v>0.28834283351898193</v>
      </c>
      <c r="L18" s="34">
        <v>0.2998431921005249</v>
      </c>
      <c r="M18" s="35">
        <v>0.25890278816223145</v>
      </c>
      <c r="N18" s="24">
        <f t="shared" si="0"/>
        <v>0.4839129787747749</v>
      </c>
      <c r="O18" s="24">
        <f t="shared" si="1"/>
        <v>6.2989269174195728E-2</v>
      </c>
    </row>
    <row r="19" spans="1:15" s="19" customFormat="1" ht="18" customHeight="1" x14ac:dyDescent="0.2">
      <c r="A19" s="144"/>
      <c r="B19" s="36" t="s">
        <v>8</v>
      </c>
      <c r="C19" s="37"/>
      <c r="D19" s="38">
        <f ca="1">2789.30170150051*OFFSET(D$108,MATCH($M$1,$C$109:$C$110,0),0)</f>
        <v>2268.985341775729</v>
      </c>
      <c r="E19" s="38">
        <f ca="1">2679.569985528*OFFSET(E$108,MATCH($M$1,$C$109:$C$110,0),0)</f>
        <v>2238.3250256580059</v>
      </c>
      <c r="F19" s="38">
        <f ca="1">2536.92294287458*OFFSET(F$108,MATCH($M$1,$C$109:$C$110,0),0)</f>
        <v>2180.0285668288284</v>
      </c>
      <c r="G19" s="38">
        <f ca="1">2539.00592060864*OFFSET(G$108,MATCH($M$1,$C$109:$C$110,0),0)</f>
        <v>2245.1667953379301</v>
      </c>
      <c r="H19" s="38">
        <f ca="1">2246.34279076779*OFFSET(H$108,MATCH($M$1,$C$109:$C$110,0),0)</f>
        <v>2025.7070343247933</v>
      </c>
      <c r="I19" s="38">
        <f ca="1">2381.01755264498*OFFSET(I$108,MATCH($M$1,$C$109:$C$110,0),0)</f>
        <v>2215.2748919560313</v>
      </c>
      <c r="J19" s="38">
        <f ca="1">2626.65555871223*OFFSET(J$108,MATCH($M$1,$C$109:$C$110,0),0)</f>
        <v>2495.7430259675089</v>
      </c>
      <c r="K19" s="38">
        <f ca="1">2380.18740247086*OFFSET(K$108,MATCH($M$1,$C$109:$C$110,0),0)</f>
        <v>2299.1181970728526</v>
      </c>
      <c r="L19" s="38">
        <f ca="1">2130.06806199586*OFFSET(L$108,MATCH($M$1,$C$109:$C$110,0),0)</f>
        <v>2094.3467837567509</v>
      </c>
      <c r="M19" s="39">
        <f ca="1">2430.27718764984*OFFSET(M$108,MATCH($M$1,$C$109:$C$110,0),0)</f>
        <v>2430.2771782078407</v>
      </c>
      <c r="N19" s="40">
        <f ca="1">IF(L19=0,"",IFERROR(IF(AND(L19&gt;0,D19&lt;0),"na",IF(AND(L19&lt;0,D19&lt;0),-1,1)*(L19-D19)/D19),""))</f>
        <v>-7.6967688950473484E-2</v>
      </c>
      <c r="O19" s="40">
        <f ca="1">IF(L19=0,"",IFERROR(IF(AND(L19&gt;0,H19&lt;0),"na",IF(AND(L19&lt;0,H19&lt;0),-1,1)*(L19-H19)/H19),""))</f>
        <v>3.3884341747787115E-2</v>
      </c>
    </row>
    <row r="20" spans="1:15" s="19" customFormat="1" ht="18" customHeight="1" x14ac:dyDescent="0.2">
      <c r="A20" s="145" t="s">
        <v>9</v>
      </c>
      <c r="B20" s="28" t="s">
        <v>30</v>
      </c>
      <c r="C20" s="41"/>
      <c r="D20" s="42">
        <v>1.7640136454458162</v>
      </c>
      <c r="E20" s="42">
        <v>2.3530804304718198</v>
      </c>
      <c r="F20" s="42">
        <v>2.4257278765443018</v>
      </c>
      <c r="G20" s="42">
        <v>2.180923987630651</v>
      </c>
      <c r="H20" s="42">
        <v>2.430407127964139</v>
      </c>
      <c r="I20" s="42">
        <v>2.2376317665257308</v>
      </c>
      <c r="J20" s="42">
        <v>2.2355458456570521</v>
      </c>
      <c r="K20" s="42">
        <v>2.5677119709876282</v>
      </c>
      <c r="L20" s="42">
        <v>2.6321314727994696</v>
      </c>
      <c r="M20" s="43">
        <v>2.3035398448607642</v>
      </c>
      <c r="N20" s="32">
        <f t="shared" si="0"/>
        <v>0.49212648076441351</v>
      </c>
      <c r="O20" s="32">
        <f t="shared" si="1"/>
        <v>8.3000227622072292E-2</v>
      </c>
    </row>
    <row r="21" spans="1:15" s="19" customFormat="1" ht="18" customHeight="1" x14ac:dyDescent="0.2">
      <c r="A21" s="145"/>
      <c r="B21" s="33" t="s">
        <v>31</v>
      </c>
      <c r="C21" s="21"/>
      <c r="D21" s="34">
        <f ca="1">4.9203658945246*OFFSET(D$108,MATCH($M$1,$C$109:$C$110,0),0)</f>
        <v>4.0025208047030976</v>
      </c>
      <c r="E21" s="34">
        <f ca="1">6.30524404284034*OFFSET(E$108,MATCH($M$1,$C$109:$C$110,0),0)</f>
        <v>5.2669591054512575</v>
      </c>
      <c r="F21" s="34">
        <f ca="1">6.15388529063166*OFFSET(F$108,MATCH($M$1,$C$109:$C$110,0),0)</f>
        <v>5.2881565710322755</v>
      </c>
      <c r="G21" s="34">
        <f ca="1">5.53737863150681*OFFSET(G$108,MATCH($M$1,$C$109:$C$110,0),0)</f>
        <v>4.8965378677386653</v>
      </c>
      <c r="H21" s="34">
        <f ca="1">5.45952761953084*OFFSET(H$108,MATCH($M$1,$C$109:$C$110,0),0)</f>
        <v>4.9232928956466449</v>
      </c>
      <c r="I21" s="34">
        <f ca="1">5.32784067881291*OFFSET(I$108,MATCH($M$1,$C$109:$C$110,0),0)</f>
        <v>4.9569696246065602</v>
      </c>
      <c r="J21" s="34">
        <f ca="1">5.87200888235421*OFFSET(J$108,MATCH($M$1,$C$109:$C$110,0),0)</f>
        <v>5.5793479156207697</v>
      </c>
      <c r="K21" s="34">
        <f ca="1">6.11163614588102*OFFSET(K$108,MATCH($M$1,$C$109:$C$110,0),0)</f>
        <v>5.9034737610562047</v>
      </c>
      <c r="L21" s="34">
        <f ca="1">5.60661919644795*OFFSET(L$108,MATCH($M$1,$C$109:$C$110,0),0)</f>
        <v>5.5125960955572726</v>
      </c>
      <c r="M21" s="35">
        <f ca="1">5.59824064228994*OFFSET(M$108,MATCH($M$1,$C$109:$C$110,0),0)</f>
        <v>5.5982406205399178</v>
      </c>
      <c r="N21" s="24">
        <f t="shared" ca="1" si="0"/>
        <v>0.37728105974609438</v>
      </c>
      <c r="O21" s="24">
        <f t="shared" ca="1" si="1"/>
        <v>0.11969696144458744</v>
      </c>
    </row>
    <row r="22" spans="1:15" s="19" customFormat="1" ht="18" customHeight="1" x14ac:dyDescent="0.2">
      <c r="A22" s="145"/>
      <c r="B22" s="33" t="s">
        <v>10</v>
      </c>
      <c r="C22" s="21"/>
      <c r="D22" s="34">
        <f ca="1">4.06912749974702*OFFSET(D$108,MATCH($M$1,$C$109:$C$110,0),0)</f>
        <v>3.3100724262906782</v>
      </c>
      <c r="E22" s="34">
        <f ca="1">5.1144886226995*OFFSET(E$108,MATCH($M$1,$C$109:$C$110,0),0)</f>
        <v>4.272285456047034</v>
      </c>
      <c r="F22" s="34">
        <f ca="1">4.57533787404032*OFFSET(F$108,MATCH($M$1,$C$109:$C$110,0),0)</f>
        <v>3.93167924012696</v>
      </c>
      <c r="G22" s="34">
        <f ca="1">4.84509043064694*OFFSET(G$108,MATCH($M$1,$C$109:$C$110,0),0)</f>
        <v>4.2843681722059257</v>
      </c>
      <c r="H22" s="34">
        <f ca="1">4.10012959831839*OFFSET(H$108,MATCH($M$1,$C$109:$C$110,0),0)</f>
        <v>3.6974149284304088</v>
      </c>
      <c r="I22" s="34">
        <f ca="1">4.23973724954038*OFFSET(I$108,MATCH($M$1,$C$109:$C$110,0),0)</f>
        <v>3.9446090882295746</v>
      </c>
      <c r="J22" s="34">
        <f ca="1">4.63153463598965*OFFSET(J$108,MATCH($M$1,$C$109:$C$110,0),0)</f>
        <v>4.4006989149979079</v>
      </c>
      <c r="K22" s="34">
        <f ca="1">4.86164796825748*OFFSET(K$108,MATCH($M$1,$C$109:$C$110,0),0)</f>
        <v>4.6960601925628742</v>
      </c>
      <c r="L22" s="34">
        <f ca="1">4.19772263737119*OFFSET(L$108,MATCH($M$1,$C$109:$C$110,0),0)</f>
        <v>4.127326756143038</v>
      </c>
      <c r="M22" s="35">
        <f ca="1">4.13992573437345*OFFSET(M$108,MATCH($M$1,$C$109:$C$110,0),0)</f>
        <v>4.139925718289204</v>
      </c>
      <c r="N22" s="24">
        <f t="shared" ca="1" si="0"/>
        <v>0.24689922895982927</v>
      </c>
      <c r="O22" s="24">
        <f t="shared" ca="1" si="1"/>
        <v>0.116273622526626</v>
      </c>
    </row>
    <row r="23" spans="1:15" s="19" customFormat="1" ht="18" customHeight="1" x14ac:dyDescent="0.2">
      <c r="A23" s="146"/>
      <c r="B23" s="33" t="s">
        <v>32</v>
      </c>
      <c r="C23" s="44"/>
      <c r="D23" s="34">
        <f ca="1">0.851238394777583*OFFSET(D$108,MATCH($M$1,$C$109:$C$110,0),0)</f>
        <v>0.69244837841242179</v>
      </c>
      <c r="E23" s="34">
        <f ca="1">1.19075542014084*OFFSET(E$108,MATCH($M$1,$C$109:$C$110,0),0)</f>
        <v>0.99467364940422232</v>
      </c>
      <c r="F23" s="34">
        <f ca="1">1.57854741659134*OFFSET(F$108,MATCH($M$1,$C$109:$C$110,0),0)</f>
        <v>1.3564773309053157</v>
      </c>
      <c r="G23" s="34">
        <f ca="1">0.692288200859872*OFFSET(G$108,MATCH($M$1,$C$109:$C$110,0),0)</f>
        <v>0.61216969553274181</v>
      </c>
      <c r="H23" s="34">
        <f ca="1">1.35939802121245*OFFSET(H$108,MATCH($M$1,$C$109:$C$110,0),0)</f>
        <v>1.2258779672162357</v>
      </c>
      <c r="I23" s="34">
        <f ca="1">1.08810342927253*OFFSET(I$108,MATCH($M$1,$C$109:$C$110,0),0)</f>
        <v>1.0123605363769863</v>
      </c>
      <c r="J23" s="34">
        <f ca="1">1.24047424636457*OFFSET(J$108,MATCH($M$1,$C$109:$C$110,0),0)</f>
        <v>1.1786490006228705</v>
      </c>
      <c r="K23" s="34">
        <f ca="1">1.24998817762354*OFFSET(K$108,MATCH($M$1,$C$109:$C$110,0),0)</f>
        <v>1.2074135684933311</v>
      </c>
      <c r="L23" s="34">
        <f ca="1">1.40889655907676*OFFSET(L$108,MATCH($M$1,$C$109:$C$110,0),0)</f>
        <v>1.3852693394142355</v>
      </c>
      <c r="M23" s="35">
        <f ca="1">1.45831490791648*OFFSET(M$108,MATCH($M$1,$C$109:$C$110,0),0)</f>
        <v>1.4583149022507034</v>
      </c>
      <c r="N23" s="24">
        <f t="shared" ca="1" si="0"/>
        <v>1.0005380655092964</v>
      </c>
      <c r="O23" s="24">
        <f t="shared" ca="1" si="1"/>
        <v>0.13002221792104726</v>
      </c>
    </row>
    <row r="24" spans="1:15" s="19" customFormat="1" ht="18" customHeight="1" x14ac:dyDescent="0.2">
      <c r="A24" s="147" t="s">
        <v>11</v>
      </c>
      <c r="B24" s="28" t="s">
        <v>27</v>
      </c>
      <c r="C24" s="29"/>
      <c r="D24" s="30">
        <f ca="1">61*OFFSET(D$108,MATCH($M$1,$C$109:$C$110,0),0)</f>
        <v>49.621059555466012</v>
      </c>
      <c r="E24" s="30">
        <f ca="1">70.5*OFFSET(E$108,MATCH($M$1,$C$109:$C$110,0),0)</f>
        <v>58.89076051797732</v>
      </c>
      <c r="F24" s="30">
        <f ca="1">72.3*OFFSET(F$108,MATCH($M$1,$C$109:$C$110,0),0)</f>
        <v>62.128834391449828</v>
      </c>
      <c r="G24" s="30">
        <f ca="1">62.6*OFFSET(G$108,MATCH($M$1,$C$109:$C$110,0),0)</f>
        <v>55.355302737719882</v>
      </c>
      <c r="H24" s="30">
        <f ca="1">61.2*OFFSET(H$108,MATCH($M$1,$C$109:$C$110,0),0)</f>
        <v>55.188936884518789</v>
      </c>
      <c r="I24" s="30">
        <f ca="1">60.2*OFFSET(I$108,MATCH($M$1,$C$109:$C$110,0),0)</f>
        <v>56.009477270593464</v>
      </c>
      <c r="J24" s="30">
        <f ca="1">70.5*OFFSET(J$108,MATCH($M$1,$C$109:$C$110,0),0)</f>
        <v>66.986279471287929</v>
      </c>
      <c r="K24" s="30">
        <f ca="1">68.9*OFFSET(K$108,MATCH($M$1,$C$109:$C$110,0),0)</f>
        <v>66.553265349558501</v>
      </c>
      <c r="L24" s="30">
        <f ca="1">62.2*OFFSET(L$108,MATCH($M$1,$C$109:$C$110,0),0)</f>
        <v>61.156904924253602</v>
      </c>
      <c r="M24" s="31">
        <f ca="1">67.3*OFFSET(M$108,MATCH($M$1,$C$109:$C$110,0),0)</f>
        <v>67.299999738529181</v>
      </c>
      <c r="N24" s="32">
        <f t="shared" ca="1" si="0"/>
        <v>0.23247881992307959</v>
      </c>
      <c r="O24" s="32">
        <f t="shared" ca="1" si="1"/>
        <v>0.10813703572914639</v>
      </c>
    </row>
    <row r="25" spans="1:15" s="19" customFormat="1" ht="18" customHeight="1" x14ac:dyDescent="0.2">
      <c r="A25" s="148"/>
      <c r="B25" s="33" t="s">
        <v>33</v>
      </c>
      <c r="C25" s="25"/>
      <c r="D25" s="26">
        <f ca="1">1.4*OFFSET(D$108,MATCH($M$1,$C$109:$C$110,0),0)</f>
        <v>1.1388439897975804</v>
      </c>
      <c r="E25" s="26">
        <f ca="1">4.6*OFFSET(E$108,MATCH($M$1,$C$109:$C$110,0),0)</f>
        <v>3.8425177075559667</v>
      </c>
      <c r="F25" s="26">
        <f ca="1">2.2*OFFSET(F$108,MATCH($M$1,$C$109:$C$110,0),0)</f>
        <v>1.8905039510537984</v>
      </c>
      <c r="G25" s="26">
        <f ca="1">1.7*OFFSET(G$108,MATCH($M$1,$C$109:$C$110,0),0)</f>
        <v>1.5032590200339264</v>
      </c>
      <c r="H25" s="26">
        <f ca="1">0.8*OFFSET(H$108,MATCH($M$1,$C$109:$C$110,0),0)</f>
        <v>0.72142401156233715</v>
      </c>
      <c r="I25" s="26">
        <f ca="1">1*OFFSET(I$108,MATCH($M$1,$C$109:$C$110,0),0)</f>
        <v>0.93038998788361238</v>
      </c>
      <c r="J25" s="26">
        <f ca="1">1.9*OFFSET(J$108,MATCH($M$1,$C$109:$C$110,0),0)</f>
        <v>1.8053039857510222</v>
      </c>
      <c r="K25" s="26">
        <f ca="1">3.4*OFFSET(K$108,MATCH($M$1,$C$109:$C$110,0),0)</f>
        <v>3.2841959679027415</v>
      </c>
      <c r="L25" s="26">
        <f ca="1">6.5*OFFSET(L$108,MATCH($M$1,$C$109:$C$110,0),0)</f>
        <v>6.3909948875827718</v>
      </c>
      <c r="M25" s="27">
        <f ca="1">7*OFFSET(M$108,MATCH($M$1,$C$109:$C$110,0),0)</f>
        <v>6.9999999728039279</v>
      </c>
      <c r="N25" s="24">
        <f t="shared" ca="1" si="0"/>
        <v>4.6118265055064436</v>
      </c>
      <c r="O25" s="24">
        <f t="shared" ca="1" si="1"/>
        <v>7.8588607880436987</v>
      </c>
    </row>
    <row r="26" spans="1:15" s="19" customFormat="1" ht="18" customHeight="1" x14ac:dyDescent="0.2">
      <c r="A26" s="148"/>
      <c r="B26" s="45" t="s">
        <v>34</v>
      </c>
      <c r="C26" s="46"/>
      <c r="D26" s="47">
        <f ca="1">62.4*OFFSET(D$108,MATCH($M$1,$C$109:$C$110,0),0)</f>
        <v>50.75990354526359</v>
      </c>
      <c r="E26" s="47">
        <f ca="1">75.1*OFFSET(E$108,MATCH($M$1,$C$109:$C$110,0),0)</f>
        <v>62.733278225533283</v>
      </c>
      <c r="F26" s="47">
        <f ca="1">74.5*OFFSET(F$108,MATCH($M$1,$C$109:$C$110,0),0)</f>
        <v>64.01933834250363</v>
      </c>
      <c r="G26" s="47">
        <f ca="1">64.3*OFFSET(G$108,MATCH($M$1,$C$109:$C$110,0),0)</f>
        <v>56.858561757753804</v>
      </c>
      <c r="H26" s="47">
        <f ca="1">62*OFFSET(H$108,MATCH($M$1,$C$109:$C$110,0),0)</f>
        <v>55.910360896081123</v>
      </c>
      <c r="I26" s="47">
        <f ca="1">61.3*OFFSET(I$108,MATCH($M$1,$C$109:$C$110,0),0)</f>
        <v>57.032906257265438</v>
      </c>
      <c r="J26" s="47">
        <f ca="1">72.4*OFFSET(J$108,MATCH($M$1,$C$109:$C$110,0),0)</f>
        <v>68.791583457038968</v>
      </c>
      <c r="K26" s="47">
        <f ca="1">72.3*OFFSET(K$108,MATCH($M$1,$C$109:$C$110,0),0)</f>
        <v>69.837461317461234</v>
      </c>
      <c r="L26" s="47">
        <f ca="1">68.7*OFFSET(L$108,MATCH($M$1,$C$109:$C$110,0),0)</f>
        <v>67.547899811836373</v>
      </c>
      <c r="M26" s="48">
        <f ca="1">74.3*OFFSET(M$108,MATCH($M$1,$C$109:$C$110,0),0)</f>
        <v>74.299999711333115</v>
      </c>
      <c r="N26" s="49">
        <f t="shared" ca="1" si="0"/>
        <v>0.33073341543296275</v>
      </c>
      <c r="O26" s="49">
        <f t="shared" ca="1" si="1"/>
        <v>0.20814637446868905</v>
      </c>
    </row>
    <row r="27" spans="1:15" s="19" customFormat="1" ht="18" customHeight="1" x14ac:dyDescent="0.2">
      <c r="A27" s="148"/>
      <c r="B27" s="33" t="s">
        <v>35</v>
      </c>
      <c r="C27" s="25"/>
      <c r="D27" s="26">
        <f ca="1">6.9*OFFSET(D$108,MATCH($M$1,$C$109:$C$110,0),0)</f>
        <v>5.6128739497166471</v>
      </c>
      <c r="E27" s="26">
        <f ca="1">7*OFFSET(E$108,MATCH($M$1,$C$109:$C$110,0),0)</f>
        <v>5.847309554976472</v>
      </c>
      <c r="F27" s="26">
        <f ca="1">8.3*OFFSET(F$108,MATCH($M$1,$C$109:$C$110,0),0)</f>
        <v>7.1323558153393307</v>
      </c>
      <c r="G27" s="26">
        <f ca="1">9.9*OFFSET(G$108,MATCH($M$1,$C$109:$C$110,0),0)</f>
        <v>8.7542731166681591</v>
      </c>
      <c r="H27" s="26">
        <f ca="1">7.5*OFFSET(H$108,MATCH($M$1,$C$109:$C$110,0),0)</f>
        <v>6.7633501083969101</v>
      </c>
      <c r="I27" s="26">
        <f ca="1">8.4*OFFSET(I$108,MATCH($M$1,$C$109:$C$110,0),0)</f>
        <v>7.8152758982223443</v>
      </c>
      <c r="J27" s="26">
        <f ca="1">11.8*OFFSET(J$108,MATCH($M$1,$C$109:$C$110,0),0)</f>
        <v>11.21188791150635</v>
      </c>
      <c r="K27" s="26">
        <f ca="1">11.6*OFFSET(K$108,MATCH($M$1,$C$109:$C$110,0),0)</f>
        <v>11.204903890491707</v>
      </c>
      <c r="L27" s="26">
        <f ca="1">10.8*OFFSET(L$108,MATCH($M$1,$C$109:$C$110,0),0)</f>
        <v>10.618883813214453</v>
      </c>
      <c r="M27" s="27">
        <f ca="1">10.6*OFFSET(M$108,MATCH($M$1,$C$109:$C$110,0),0)</f>
        <v>10.599999958817376</v>
      </c>
      <c r="N27" s="24">
        <f t="shared" ca="1" si="0"/>
        <v>0.89187997242491468</v>
      </c>
      <c r="O27" s="24">
        <f t="shared" ca="1" si="1"/>
        <v>0.57006271197328329</v>
      </c>
    </row>
    <row r="28" spans="1:15" s="19" customFormat="1" ht="18" customHeight="1" x14ac:dyDescent="0.2">
      <c r="A28" s="148"/>
      <c r="B28" s="33" t="s">
        <v>36</v>
      </c>
      <c r="C28" s="25"/>
      <c r="D28" s="26">
        <f ca="1">21.6*OFFSET(D$108,MATCH($M$1,$C$109:$C$110,0),0)</f>
        <v>17.570735842591244</v>
      </c>
      <c r="E28" s="26">
        <f ca="1">19.8*OFFSET(E$108,MATCH($M$1,$C$109:$C$110,0),0)</f>
        <v>16.539532741219162</v>
      </c>
      <c r="F28" s="26">
        <f ca="1">21.6*OFFSET(F$108,MATCH($M$1,$C$109:$C$110,0),0)</f>
        <v>18.561311519437293</v>
      </c>
      <c r="G28" s="26">
        <f ca="1">17.5*OFFSET(G$108,MATCH($M$1,$C$109:$C$110,0),0)</f>
        <v>15.474725206231595</v>
      </c>
      <c r="H28" s="26">
        <f ca="1">17*OFFSET(H$108,MATCH($M$1,$C$109:$C$110,0),0)</f>
        <v>15.330260245699662</v>
      </c>
      <c r="I28" s="26">
        <f ca="1">13.2*OFFSET(I$108,MATCH($M$1,$C$109:$C$110,0),0)</f>
        <v>12.281147840063683</v>
      </c>
      <c r="J28" s="26">
        <f ca="1">20.5*OFFSET(J$108,MATCH($M$1,$C$109:$C$110,0),0)</f>
        <v>19.478279846261032</v>
      </c>
      <c r="K28" s="26">
        <f ca="1">20.4*OFFSET(K$108,MATCH($M$1,$C$109:$C$110,0),0)</f>
        <v>19.705175807416449</v>
      </c>
      <c r="L28" s="26">
        <f ca="1">17.7*OFFSET(L$108,MATCH($M$1,$C$109:$C$110,0),0)</f>
        <v>17.40317069387924</v>
      </c>
      <c r="M28" s="27">
        <f ca="1">19.6*OFFSET(M$108,MATCH($M$1,$C$109:$C$110,0),0)</f>
        <v>19.599999923850998</v>
      </c>
      <c r="N28" s="24">
        <f t="shared" ca="1" si="0"/>
        <v>-9.5366039426663281E-3</v>
      </c>
      <c r="O28" s="24">
        <f t="shared" ca="1" si="1"/>
        <v>0.13521691184342782</v>
      </c>
    </row>
    <row r="29" spans="1:15" s="19" customFormat="1" ht="18" customHeight="1" x14ac:dyDescent="0.2">
      <c r="A29" s="148"/>
      <c r="B29" s="33" t="s">
        <v>37</v>
      </c>
      <c r="C29" s="25"/>
      <c r="D29" s="26">
        <f ca="1">9.6*OFFSET(D$108,MATCH($M$1,$C$109:$C$110,0),0)</f>
        <v>7.8092159300405521</v>
      </c>
      <c r="E29" s="26">
        <f ca="1">14.5*OFFSET(E$108,MATCH($M$1,$C$109:$C$110,0),0)</f>
        <v>12.112284078165549</v>
      </c>
      <c r="F29" s="26">
        <f ca="1">9.4*OFFSET(F$108,MATCH($M$1,$C$109:$C$110,0),0)</f>
        <v>8.0776077908662298</v>
      </c>
      <c r="G29" s="26">
        <f ca="1">10*OFFSET(G$108,MATCH($M$1,$C$109:$C$110,0),0)</f>
        <v>8.8427001178466256</v>
      </c>
      <c r="H29" s="26">
        <f ca="1">8*OFFSET(H$108,MATCH($M$1,$C$109:$C$110,0),0)</f>
        <v>7.2142401156233706</v>
      </c>
      <c r="I29" s="26">
        <f ca="1">12.8*OFFSET(I$108,MATCH($M$1,$C$109:$C$110,0),0)</f>
        <v>11.90899184491024</v>
      </c>
      <c r="J29" s="26">
        <f ca="1">9.7*OFFSET(J$108,MATCH($M$1,$C$109:$C$110,0),0)</f>
        <v>9.2165519272552192</v>
      </c>
      <c r="K29" s="26">
        <f ca="1">8.7*OFFSET(K$108,MATCH($M$1,$C$109:$C$110,0),0)</f>
        <v>8.4036779178687784</v>
      </c>
      <c r="L29" s="26">
        <f ca="1">10.3*OFFSET(L$108,MATCH($M$1,$C$109:$C$110,0),0)</f>
        <v>10.12726882186193</v>
      </c>
      <c r="M29" s="27">
        <f ca="1">11.2*OFFSET(M$108,MATCH($M$1,$C$109:$C$110,0),0)</f>
        <v>11.199999956486284</v>
      </c>
      <c r="N29" s="24">
        <f t="shared" ca="1" si="0"/>
        <v>0.29683554822761071</v>
      </c>
      <c r="O29" s="24">
        <f t="shared" ca="1" si="1"/>
        <v>0.40378870949000145</v>
      </c>
    </row>
    <row r="30" spans="1:15" s="19" customFormat="1" ht="18" customHeight="1" x14ac:dyDescent="0.2">
      <c r="A30" s="148"/>
      <c r="B30" s="33" t="s">
        <v>38</v>
      </c>
      <c r="C30" s="25"/>
      <c r="D30" s="26">
        <f ca="1">38*OFFSET(D$108,MATCH($M$1,$C$109:$C$110,0),0)</f>
        <v>30.911479723077186</v>
      </c>
      <c r="E30" s="26">
        <f ca="1">41.3*OFFSET(E$108,MATCH($M$1,$C$109:$C$110,0),0)</f>
        <v>34.499126374361182</v>
      </c>
      <c r="F30" s="26">
        <f ca="1">39.3*OFFSET(F$108,MATCH($M$1,$C$109:$C$110,0),0)</f>
        <v>33.771275125642852</v>
      </c>
      <c r="G30" s="26">
        <f ca="1">37.5*OFFSET(G$108,MATCH($M$1,$C$109:$C$110,0),0)</f>
        <v>33.160125441924848</v>
      </c>
      <c r="H30" s="26">
        <f ca="1">32.4*OFFSET(H$108,MATCH($M$1,$C$109:$C$110,0),0)</f>
        <v>29.21767246827465</v>
      </c>
      <c r="I30" s="26">
        <f ca="1">34.4*OFFSET(I$108,MATCH($M$1,$C$109:$C$110,0),0)</f>
        <v>32.005415583196267</v>
      </c>
      <c r="J30" s="26">
        <f ca="1">42*OFFSET(J$108,MATCH($M$1,$C$109:$C$110,0),0)</f>
        <v>39.906719685022601</v>
      </c>
      <c r="K30" s="26">
        <f ca="1">40.7*OFFSET(K$108,MATCH($M$1,$C$109:$C$110,0),0)</f>
        <v>39.313757615776936</v>
      </c>
      <c r="L30" s="26">
        <f ca="1">38.8*OFFSET(L$108,MATCH($M$1,$C$109:$C$110,0),0)</f>
        <v>38.149323328955617</v>
      </c>
      <c r="M30" s="27">
        <f ca="1">41.3*OFFSET(M$108,MATCH($M$1,$C$109:$C$110,0),0)</f>
        <v>41.299999839543169</v>
      </c>
      <c r="N30" s="24">
        <f t="shared" ca="1" si="0"/>
        <v>0.23414743230408888</v>
      </c>
      <c r="O30" s="24">
        <f t="shared" ca="1" si="1"/>
        <v>0.30569344188450326</v>
      </c>
    </row>
    <row r="31" spans="1:15" s="19" customFormat="1" ht="18" customHeight="1" x14ac:dyDescent="0.2">
      <c r="A31" s="148"/>
      <c r="B31" s="33" t="s">
        <v>39</v>
      </c>
      <c r="C31" s="25"/>
      <c r="D31" s="26">
        <f ca="1">13.9*OFFSET(D$108,MATCH($M$1,$C$109:$C$110,0),0)</f>
        <v>11.307093898704551</v>
      </c>
      <c r="E31" s="26">
        <f ca="1">20.5*OFFSET(E$108,MATCH($M$1,$C$109:$C$110,0),0)</f>
        <v>17.12426369671681</v>
      </c>
      <c r="F31" s="26">
        <f ca="1">16.7*OFFSET(F$108,MATCH($M$1,$C$109:$C$110,0),0)</f>
        <v>14.350643628453833</v>
      </c>
      <c r="G31" s="26">
        <f ca="1">19*OFFSET(G$108,MATCH($M$1,$C$109:$C$110,0),0)</f>
        <v>16.80113022390859</v>
      </c>
      <c r="H31" s="26">
        <f ca="1">14.4*OFFSET(H$108,MATCH($M$1,$C$109:$C$110,0),0)</f>
        <v>12.985632208122068</v>
      </c>
      <c r="I31" s="26">
        <f ca="1">14.6*OFFSET(I$108,MATCH($M$1,$C$109:$C$110,0),0)</f>
        <v>13.58369382310074</v>
      </c>
      <c r="J31" s="26">
        <f ca="1">15.5*OFFSET(J$108,MATCH($M$1,$C$109:$C$110,0),0)</f>
        <v>14.72747988375834</v>
      </c>
      <c r="K31" s="26">
        <f ca="1">17.5*OFFSET(K$108,MATCH($M$1,$C$109:$C$110,0),0)</f>
        <v>16.903949834793522</v>
      </c>
      <c r="L31" s="26">
        <f ca="1">14.3*OFFSET(L$108,MATCH($M$1,$C$109:$C$110,0),0)</f>
        <v>14.060188752682098</v>
      </c>
      <c r="M31" s="27">
        <f ca="1">15.5*OFFSET(M$108,MATCH($M$1,$C$109:$C$110,0),0)</f>
        <v>15.499999939780125</v>
      </c>
      <c r="N31" s="24">
        <f t="shared" ca="1" si="0"/>
        <v>0.24348385877408946</v>
      </c>
      <c r="O31" s="24">
        <f t="shared" ca="1" si="1"/>
        <v>8.2749651872007585E-2</v>
      </c>
    </row>
    <row r="32" spans="1:15" s="19" customFormat="1" ht="18" customHeight="1" x14ac:dyDescent="0.2">
      <c r="A32" s="148"/>
      <c r="B32" s="33" t="s">
        <v>40</v>
      </c>
      <c r="C32" s="25"/>
      <c r="D32" s="26">
        <f ca="1">51.9*OFFSET(D$108,MATCH($M$1,$C$109:$C$110,0),0)</f>
        <v>42.218573621781736</v>
      </c>
      <c r="E32" s="26">
        <f ca="1">61.8*OFFSET(E$108,MATCH($M$1,$C$109:$C$110,0),0)</f>
        <v>51.623390071077992</v>
      </c>
      <c r="F32" s="26">
        <f ca="1">56*OFFSET(F$108,MATCH($M$1,$C$109:$C$110,0),0)</f>
        <v>48.121918754096683</v>
      </c>
      <c r="G32" s="26">
        <f ca="1">56.5*OFFSET(G$108,MATCH($M$1,$C$109:$C$110,0),0)</f>
        <v>49.961255665833434</v>
      </c>
      <c r="H32" s="26">
        <f ca="1">46.8*OFFSET(H$108,MATCH($M$1,$C$109:$C$110,0),0)</f>
        <v>42.203304676396719</v>
      </c>
      <c r="I32" s="26">
        <f ca="1">49*OFFSET(I$108,MATCH($M$1,$C$109:$C$110,0),0)</f>
        <v>45.589109406297005</v>
      </c>
      <c r="J32" s="26">
        <f ca="1">57.5*OFFSET(J$108,MATCH($M$1,$C$109:$C$110,0),0)</f>
        <v>54.634199568780936</v>
      </c>
      <c r="K32" s="26">
        <f ca="1">58.2*OFFSET(K$108,MATCH($M$1,$C$109:$C$110,0),0)</f>
        <v>56.217707450570458</v>
      </c>
      <c r="L32" s="26">
        <f ca="1">53*OFFSET(L$108,MATCH($M$1,$C$109:$C$110,0),0)</f>
        <v>52.111189083367215</v>
      </c>
      <c r="M32" s="27">
        <f ca="1">56.8*OFFSET(M$108,MATCH($M$1,$C$109:$C$110,0),0)</f>
        <v>56.799999779323294</v>
      </c>
      <c r="N32" s="24">
        <f t="shared" ca="1" si="0"/>
        <v>0.23431903574500687</v>
      </c>
      <c r="O32" s="24">
        <f t="shared" ca="1" si="1"/>
        <v>0.23476560622305329</v>
      </c>
    </row>
    <row r="33" spans="1:15" s="19" customFormat="1" ht="18" customHeight="1" x14ac:dyDescent="0.2">
      <c r="A33" s="148"/>
      <c r="B33" s="45" t="s">
        <v>41</v>
      </c>
      <c r="C33" s="46"/>
      <c r="D33" s="47">
        <f ca="1">32.1*OFFSET(D$108,MATCH($M$1,$C$109:$C$110,0),0)</f>
        <v>26.112065766073098</v>
      </c>
      <c r="E33" s="47">
        <f ca="1">33.1*OFFSET(E$108,MATCH($M$1,$C$109:$C$110,0),0)</f>
        <v>27.64942089567446</v>
      </c>
      <c r="F33" s="47">
        <f ca="1">40.1*OFFSET(F$108,MATCH($M$1,$C$109:$C$110,0),0)</f>
        <v>34.458731107844237</v>
      </c>
      <c r="G33" s="47">
        <f ca="1">25.3*OFFSET(G$108,MATCH($M$1,$C$109:$C$110,0),0)</f>
        <v>22.372031298151963</v>
      </c>
      <c r="H33" s="47">
        <f ca="1">32.2*OFFSET(H$108,MATCH($M$1,$C$109:$C$110,0),0)</f>
        <v>29.03731646538407</v>
      </c>
      <c r="I33" s="47">
        <f ca="1">25.5*OFFSET(I$108,MATCH($M$1,$C$109:$C$110,0),0)</f>
        <v>23.724944691032114</v>
      </c>
      <c r="J33" s="47">
        <f ca="1">35.4*OFFSET(J$108,MATCH($M$1,$C$109:$C$110,0),0)</f>
        <v>33.635663734519049</v>
      </c>
      <c r="K33" s="47">
        <f ca="1">34.5*OFFSET(K$108,MATCH($M$1,$C$109:$C$110,0),0)</f>
        <v>33.324929674307228</v>
      </c>
      <c r="L33" s="47">
        <f ca="1">33.3*OFFSET(L$108,MATCH($M$1,$C$109:$C$110,0),0)</f>
        <v>32.741558424077887</v>
      </c>
      <c r="M33" s="48">
        <f ca="1">37.1*OFFSET(M$108,MATCH($M$1,$C$109:$C$110,0),0)</f>
        <v>37.099999855860816</v>
      </c>
      <c r="N33" s="49">
        <f t="shared" ca="1" si="0"/>
        <v>0.25388618110093614</v>
      </c>
      <c r="O33" s="49">
        <f t="shared" ca="1" si="1"/>
        <v>0.12756832963919768</v>
      </c>
    </row>
    <row r="34" spans="1:15" s="19" customFormat="1" ht="18" customHeight="1" x14ac:dyDescent="0.2">
      <c r="A34" s="148"/>
      <c r="B34" s="45" t="s">
        <v>42</v>
      </c>
      <c r="C34" s="46"/>
      <c r="D34" s="47">
        <f ca="1">10.5*OFFSET(D$108,MATCH($M$1,$C$109:$C$110,0),0)</f>
        <v>8.5413299234818538</v>
      </c>
      <c r="E34" s="47">
        <f ca="1">13.3*OFFSET(E$108,MATCH($M$1,$C$109:$C$110,0),0)</f>
        <v>11.109888154455296</v>
      </c>
      <c r="F34" s="47">
        <f ca="1">18.5*OFFSET(F$108,MATCH($M$1,$C$109:$C$110,0),0)</f>
        <v>15.89741958840694</v>
      </c>
      <c r="G34" s="47">
        <f ca="1">7.8*OFFSET(G$108,MATCH($M$1,$C$109:$C$110,0),0)</f>
        <v>6.8973060919203677</v>
      </c>
      <c r="H34" s="47">
        <f ca="1">15.2*OFFSET(H$108,MATCH($M$1,$C$109:$C$110,0),0)</f>
        <v>13.707056219684404</v>
      </c>
      <c r="I34" s="47">
        <f ca="1">12.3*OFFSET(I$108,MATCH($M$1,$C$109:$C$110,0),0)</f>
        <v>11.443796850968432</v>
      </c>
      <c r="J34" s="47">
        <f ca="1">14.9*OFFSET(J$108,MATCH($M$1,$C$109:$C$110,0),0)</f>
        <v>14.157383888258018</v>
      </c>
      <c r="K34" s="47">
        <f ca="1">14.1*OFFSET(K$108,MATCH($M$1,$C$109:$C$110,0),0)</f>
        <v>13.619753866890781</v>
      </c>
      <c r="L34" s="47">
        <f ca="1">15.6*OFFSET(L$108,MATCH($M$1,$C$109:$C$110,0),0)</f>
        <v>15.338387730198653</v>
      </c>
      <c r="M34" s="48">
        <f ca="1">17.5*OFFSET(M$108,MATCH($M$1,$C$109:$C$110,0),0)</f>
        <v>17.499999932009818</v>
      </c>
      <c r="N34" s="49">
        <f t="shared" ca="1" si="0"/>
        <v>0.79578448176206185</v>
      </c>
      <c r="O34" s="49">
        <f t="shared" ca="1" si="1"/>
        <v>0.11901399427920413</v>
      </c>
    </row>
    <row r="35" spans="1:15" s="19" customFormat="1" ht="18" customHeight="1" x14ac:dyDescent="0.2">
      <c r="A35" s="148"/>
      <c r="B35" s="33" t="s">
        <v>43</v>
      </c>
      <c r="C35" s="25"/>
      <c r="D35" s="26">
        <f ca="1">2.9*OFFSET(D$108,MATCH($M$1,$C$109:$C$110,0),0)</f>
        <v>2.359033978866417</v>
      </c>
      <c r="E35" s="26">
        <f ca="1">1.6*OFFSET(E$108,MATCH($M$1,$C$109:$C$110,0),0)</f>
        <v>1.3365278982803366</v>
      </c>
      <c r="F35" s="26">
        <f ca="1">2.8*OFFSET(F$108,MATCH($M$1,$C$109:$C$110,0),0)</f>
        <v>2.4060959377048343</v>
      </c>
      <c r="G35" s="26">
        <f ca="1">1.8*OFFSET(G$108,MATCH($M$1,$C$109:$C$110,0),0)</f>
        <v>1.5916860212123927</v>
      </c>
      <c r="H35" s="26">
        <f ca="1">4.8*OFFSET(H$108,MATCH($M$1,$C$109:$C$110,0),0)</f>
        <v>4.328544069374022</v>
      </c>
      <c r="I35" s="26">
        <f ca="1">2.7*OFFSET(I$108,MATCH($M$1,$C$109:$C$110,0),0)</f>
        <v>2.5120529672857534</v>
      </c>
      <c r="J35" s="26">
        <f ca="1">4*OFFSET(J$108,MATCH($M$1,$C$109:$C$110,0),0)</f>
        <v>3.8006399700021523</v>
      </c>
      <c r="K35" s="26">
        <f ca="1">4.1*OFFSET(K$108,MATCH($M$1,$C$109:$C$110,0),0)</f>
        <v>3.9603539612944823</v>
      </c>
      <c r="L35" s="26">
        <f ca="1">2.3*OFFSET(L$108,MATCH($M$1,$C$109:$C$110,0),0)</f>
        <v>2.261428960221596</v>
      </c>
      <c r="M35" s="27"/>
      <c r="N35" s="24">
        <f t="shared" ca="1" si="0"/>
        <v>-4.1374994815345116E-2</v>
      </c>
      <c r="O35" s="24">
        <f t="shared" ca="1" si="1"/>
        <v>-0.47755436378203825</v>
      </c>
    </row>
    <row r="36" spans="1:15" s="19" customFormat="1" ht="18" customHeight="1" x14ac:dyDescent="0.2">
      <c r="A36" s="148"/>
      <c r="B36" s="33" t="s">
        <v>44</v>
      </c>
      <c r="C36" s="25"/>
      <c r="D36" s="26">
        <f ca="1">3*OFFSET(D$108,MATCH($M$1,$C$109:$C$110,0),0)</f>
        <v>2.4403799781376727</v>
      </c>
      <c r="E36" s="26">
        <f ca="1">3.4*OFFSET(E$108,MATCH($M$1,$C$109:$C$110,0),0)</f>
        <v>2.8401217838457149</v>
      </c>
      <c r="F36" s="26">
        <f ca="1">2.2*OFFSET(F$108,MATCH($M$1,$C$109:$C$110,0),0)</f>
        <v>1.8905039510537984</v>
      </c>
      <c r="G36" s="26">
        <f ca="1">2.1*OFFSET(G$108,MATCH($M$1,$C$109:$C$110,0),0)</f>
        <v>1.8569670247477914</v>
      </c>
      <c r="H36" s="26">
        <f ca="1">0.7*OFFSET(H$108,MATCH($M$1,$C$109:$C$110,0),0)</f>
        <v>0.63124601011704484</v>
      </c>
      <c r="I36" s="26">
        <f ca="1">0.9*OFFSET(I$108,MATCH($M$1,$C$109:$C$110,0),0)</f>
        <v>0.83735098909525119</v>
      </c>
      <c r="J36" s="26">
        <f ca="1">0.8*OFFSET(J$108,MATCH($M$1,$C$109:$C$110,0),0)</f>
        <v>0.76012799400043052</v>
      </c>
      <c r="K36" s="26">
        <f ca="1">0.6*OFFSET(K$108,MATCH($M$1,$C$109:$C$110,0),0)</f>
        <v>0.57956399433577788</v>
      </c>
      <c r="L36" s="26">
        <f ca="1">1.3*OFFSET(L$108,MATCH($M$1,$C$109:$C$110,0),0)</f>
        <v>1.2781989775165543</v>
      </c>
      <c r="M36" s="27"/>
      <c r="N36" s="24">
        <f t="shared" ca="1" si="0"/>
        <v>-0.47622952615273201</v>
      </c>
      <c r="O36" s="24">
        <f t="shared" ca="1" si="1"/>
        <v>1.02488246583856</v>
      </c>
    </row>
    <row r="37" spans="1:15" s="19" customFormat="1" ht="18" customHeight="1" x14ac:dyDescent="0.2">
      <c r="A37" s="148"/>
      <c r="B37" s="33" t="s">
        <v>45</v>
      </c>
      <c r="C37" s="25"/>
      <c r="D37" s="26"/>
      <c r="E37" s="26"/>
      <c r="F37" s="26"/>
      <c r="G37" s="26"/>
      <c r="H37" s="26"/>
      <c r="I37" s="26"/>
      <c r="J37" s="26">
        <f ca="1">0.2*OFFSET(J$108,MATCH($M$1,$C$109:$C$110,0),0)</f>
        <v>0.19003199850010763</v>
      </c>
      <c r="K37" s="26">
        <f ca="1">0.2*OFFSET(K$108,MATCH($M$1,$C$109:$C$110,0),0)</f>
        <v>0.193187998111926</v>
      </c>
      <c r="L37" s="26">
        <f ca="1">0.4*OFFSET(L$108,MATCH($M$1,$C$109:$C$110,0),0)</f>
        <v>0.39329199308201673</v>
      </c>
      <c r="M37" s="27"/>
      <c r="N37" s="24" t="str">
        <f t="shared" ca="1" si="0"/>
        <v/>
      </c>
      <c r="O37" s="24" t="str">
        <f t="shared" ca="1" si="1"/>
        <v/>
      </c>
    </row>
    <row r="38" spans="1:15" s="19" customFormat="1" ht="18" customHeight="1" thickBot="1" x14ac:dyDescent="0.25">
      <c r="A38" s="149"/>
      <c r="B38" s="50" t="s">
        <v>46</v>
      </c>
      <c r="C38" s="51"/>
      <c r="D38" s="52">
        <f ca="1">4.7*OFFSET(D$108,MATCH($M$1,$C$109:$C$110,0),0)</f>
        <v>3.8232619657490208</v>
      </c>
      <c r="E38" s="52">
        <f ca="1">8.4*OFFSET(E$108,MATCH($M$1,$C$109:$C$110,0),0)</f>
        <v>7.0167714659717664</v>
      </c>
      <c r="F38" s="52">
        <f ca="1">13.5*OFFSET(F$108,MATCH($M$1,$C$109:$C$110,0),0)</f>
        <v>11.600819699648309</v>
      </c>
      <c r="G38" s="52">
        <f ca="1">3.9*OFFSET(G$108,MATCH($M$1,$C$109:$C$110,0),0)</f>
        <v>3.4486530459601838</v>
      </c>
      <c r="H38" s="52">
        <f ca="1">9.6*OFFSET(H$108,MATCH($M$1,$C$109:$C$110,0),0)</f>
        <v>8.6570881387480441</v>
      </c>
      <c r="I38" s="52">
        <f ca="1">8.7*OFFSET(I$108,MATCH($M$1,$C$109:$C$110,0),0)</f>
        <v>8.0943928945874273</v>
      </c>
      <c r="J38" s="52">
        <f ca="1">10*OFFSET(J$108,MATCH($M$1,$C$109:$C$110,0),0)</f>
        <v>9.5015999250053813</v>
      </c>
      <c r="K38" s="52">
        <f ca="1">9.2*OFFSET(K$108,MATCH($M$1,$C$109:$C$110,0),0)</f>
        <v>8.8866479131485949</v>
      </c>
      <c r="L38" s="52">
        <f ca="1">11.6*OFFSET(L$108,MATCH($M$1,$C$109:$C$110,0),0)</f>
        <v>11.405467799378485</v>
      </c>
      <c r="M38" s="53"/>
      <c r="N38" s="54">
        <f t="shared" ca="1" si="0"/>
        <v>1.9831771669206097</v>
      </c>
      <c r="O38" s="54">
        <f t="shared" ca="1" si="1"/>
        <v>0.31747160437572969</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Under 10m demersal trawl/seine</v>
      </c>
      <c r="C45" s="61"/>
      <c r="D45" s="61"/>
      <c r="E45" s="61"/>
      <c r="F45" s="61" t="str">
        <f>$B21&amp;CHAR(10)&amp;$A$1</f>
        <v>Income per kW day at sea (£)
Under 10m demersal trawl/seine</v>
      </c>
      <c r="G45" s="61"/>
      <c r="K45" s="61" t="str">
        <f>$B23&amp;CHAR(10)&amp;$A$1</f>
        <v>Operating profit per kW day at sea (£)
Under 10m demersal trawl/seine</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Under 10m demersal trawl/seine</v>
      </c>
      <c r="F59" s="61" t="str">
        <f>$B19&amp;CHAR(10)&amp;$A$1</f>
        <v>Average price per tonne landed (£)
Under 10m demersal trawl/seine</v>
      </c>
      <c r="K59" s="61" t="str">
        <f>"Average annual operating profit per vessel (£'000)"&amp;CHAR(10)&amp;$A$1</f>
        <v>Average annual operating profit per vessel (£'000)
Under 10m demersal trawl/seine</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Under 10m demersal trawl/seine</v>
      </c>
      <c r="F73" s="61" t="str">
        <f>"Top 5 landed species by value in "&amp;A74&amp;CHAR(10)&amp;A1</f>
        <v>Top 5 landed species by value in 2013
Under 10m demersal trawl/seine</v>
      </c>
    </row>
    <row r="74" spans="1:9" s="61" customFormat="1" x14ac:dyDescent="0.2">
      <c r="A74" s="61">
        <v>2013</v>
      </c>
      <c r="B74" s="61" t="s">
        <v>444</v>
      </c>
      <c r="C74" s="62">
        <v>0.33961306727841406</v>
      </c>
      <c r="D74" s="63">
        <v>8211234</v>
      </c>
      <c r="G74" s="61" t="s">
        <v>445</v>
      </c>
      <c r="H74" s="62">
        <v>0.47418312957348191</v>
      </c>
      <c r="I74" s="63">
        <v>8211234</v>
      </c>
    </row>
    <row r="75" spans="1:9" s="61" customFormat="1" x14ac:dyDescent="0.2">
      <c r="B75" s="61" t="s">
        <v>446</v>
      </c>
      <c r="C75" s="62">
        <v>9.5267601847450312E-2</v>
      </c>
      <c r="D75" s="63">
        <v>3511670</v>
      </c>
      <c r="G75" s="61" t="s">
        <v>447</v>
      </c>
      <c r="H75" s="62">
        <v>0.11664007365245915</v>
      </c>
      <c r="I75" s="63">
        <v>2171775</v>
      </c>
    </row>
    <row r="76" spans="1:9" s="61" customFormat="1" x14ac:dyDescent="0.2">
      <c r="B76" s="61" t="s">
        <v>448</v>
      </c>
      <c r="C76" s="62">
        <v>8.3652956911361431E-2</v>
      </c>
      <c r="D76" s="63">
        <v>1464488</v>
      </c>
      <c r="G76" s="61" t="s">
        <v>449</v>
      </c>
      <c r="H76" s="62">
        <v>5.3843718617891646E-2</v>
      </c>
      <c r="I76" s="63">
        <v>2783840</v>
      </c>
    </row>
    <row r="77" spans="1:9" s="61" customFormat="1" x14ac:dyDescent="0.2">
      <c r="B77" s="61" t="s">
        <v>450</v>
      </c>
      <c r="C77" s="62">
        <v>7.4398448765530423E-2</v>
      </c>
      <c r="D77" s="63">
        <v>6763595</v>
      </c>
      <c r="G77" s="61" t="s">
        <v>451</v>
      </c>
      <c r="H77" s="62">
        <v>4.9169922507019986E-2</v>
      </c>
      <c r="I77" s="63">
        <v>6763595</v>
      </c>
    </row>
    <row r="78" spans="1:9" s="61" customFormat="1" x14ac:dyDescent="0.2">
      <c r="B78" s="61" t="s">
        <v>412</v>
      </c>
      <c r="C78" s="62">
        <v>5.1498210371358918E-2</v>
      </c>
      <c r="D78" s="63">
        <v>8274269</v>
      </c>
      <c r="G78" s="61" t="s">
        <v>452</v>
      </c>
      <c r="H78" s="62">
        <v>4.3121147369476358E-2</v>
      </c>
      <c r="I78" s="63">
        <v>2764187</v>
      </c>
    </row>
    <row r="79" spans="1:9" s="61" customFormat="1" x14ac:dyDescent="0.2">
      <c r="B79" s="61" t="s">
        <v>453</v>
      </c>
      <c r="C79" s="62">
        <v>0.35556971482588484</v>
      </c>
      <c r="D79" s="63">
        <v>32768</v>
      </c>
      <c r="G79" s="61" t="s">
        <v>454</v>
      </c>
      <c r="H79" s="62">
        <v>0.26304200827967095</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60</v>
      </c>
      <c r="D88" s="66">
        <v>0.67920841047561553</v>
      </c>
      <c r="E88" s="66">
        <v>0.72414254832439517</v>
      </c>
      <c r="F88" s="66">
        <v>0.51289742460840648</v>
      </c>
      <c r="G88" s="66">
        <v>0.49185564014213518</v>
      </c>
      <c r="H88" s="66">
        <v>0.45741285255011133</v>
      </c>
      <c r="I88" s="66">
        <v>0.43455469614574138</v>
      </c>
      <c r="J88" s="66">
        <v>0.45769721554046949</v>
      </c>
      <c r="K88" s="66">
        <v>0.48157103698558984</v>
      </c>
      <c r="L88" s="66">
        <v>0.48227080109486442</v>
      </c>
      <c r="M88" s="66">
        <v>0.54334627344387598</v>
      </c>
      <c r="N88" s="61"/>
      <c r="O88" s="61">
        <v>8211234</v>
      </c>
    </row>
    <row r="89" spans="1:15" s="65" customFormat="1" hidden="1" x14ac:dyDescent="0.2">
      <c r="A89" s="61"/>
      <c r="B89" s="61">
        <v>2</v>
      </c>
      <c r="C89" s="61" t="s">
        <v>84</v>
      </c>
      <c r="D89" s="66">
        <v>4.1229296859711148E-2</v>
      </c>
      <c r="E89" s="66">
        <v>5.0565832704827111E-2</v>
      </c>
      <c r="F89" s="66">
        <v>0.10189102333741609</v>
      </c>
      <c r="G89" s="66">
        <v>0.12510705455502266</v>
      </c>
      <c r="H89" s="66">
        <v>0.15886155793311535</v>
      </c>
      <c r="I89" s="66">
        <v>0.14287130766691439</v>
      </c>
      <c r="J89" s="66">
        <v>0.16958679529200646</v>
      </c>
      <c r="K89" s="66">
        <v>0.11775128100563183</v>
      </c>
      <c r="L89" s="66">
        <v>0.11862948774818936</v>
      </c>
      <c r="M89" s="66">
        <v>8.5636138418390378E-2</v>
      </c>
      <c r="N89" s="61"/>
      <c r="O89" s="61">
        <v>2171775</v>
      </c>
    </row>
    <row r="90" spans="1:15" s="65" customFormat="1" hidden="1" x14ac:dyDescent="0.2">
      <c r="A90" s="61"/>
      <c r="B90" s="61">
        <v>3</v>
      </c>
      <c r="C90" s="61" t="s">
        <v>132</v>
      </c>
      <c r="D90" s="66">
        <v>1.337610757982966E-2</v>
      </c>
      <c r="E90" s="66">
        <v>2.5378895246437754E-2</v>
      </c>
      <c r="F90" s="66">
        <v>3.3325136703095892E-2</v>
      </c>
      <c r="G90" s="66"/>
      <c r="H90" s="66">
        <v>4.4723568473290495E-2</v>
      </c>
      <c r="I90" s="66">
        <v>5.7645482037593225E-2</v>
      </c>
      <c r="J90" s="66">
        <v>2.9377806851758684E-2</v>
      </c>
      <c r="K90" s="66">
        <v>5.3377336330826801E-2</v>
      </c>
      <c r="L90" s="66">
        <v>5.4762077544036815E-2</v>
      </c>
      <c r="M90" s="66">
        <v>4.9918431954683692E-2</v>
      </c>
      <c r="N90" s="61"/>
      <c r="O90" s="61">
        <v>2783840</v>
      </c>
    </row>
    <row r="91" spans="1:15" s="65" customFormat="1" hidden="1" x14ac:dyDescent="0.2">
      <c r="A91" s="61"/>
      <c r="B91" s="61">
        <v>4</v>
      </c>
      <c r="C91" s="61" t="s">
        <v>59</v>
      </c>
      <c r="D91" s="66"/>
      <c r="E91" s="66"/>
      <c r="F91" s="66">
        <v>3.8249869734620086E-2</v>
      </c>
      <c r="G91" s="66">
        <v>6.313767142567063E-2</v>
      </c>
      <c r="H91" s="66">
        <v>5.7625482757985041E-2</v>
      </c>
      <c r="I91" s="66">
        <v>3.9199399080442149E-2</v>
      </c>
      <c r="J91" s="66">
        <v>5.7389997156610181E-2</v>
      </c>
      <c r="K91" s="66">
        <v>6.8576402638031719E-2</v>
      </c>
      <c r="L91" s="66">
        <v>5.0008565126647357E-2</v>
      </c>
      <c r="M91" s="66">
        <v>4.5470056362853929E-2</v>
      </c>
      <c r="N91" s="61"/>
      <c r="O91" s="61">
        <v>6763595</v>
      </c>
    </row>
    <row r="92" spans="1:15" s="65" customFormat="1" hidden="1" x14ac:dyDescent="0.2">
      <c r="A92" s="61"/>
      <c r="B92" s="61">
        <v>5</v>
      </c>
      <c r="C92" s="61" t="s">
        <v>100</v>
      </c>
      <c r="D92" s="66">
        <v>0.10386270828416193</v>
      </c>
      <c r="E92" s="66">
        <v>2.6732987826182272E-2</v>
      </c>
      <c r="F92" s="66">
        <v>6.5379838108872837E-2</v>
      </c>
      <c r="G92" s="66">
        <v>4.7023215562787879E-2</v>
      </c>
      <c r="H92" s="66">
        <v>6.4819503324543976E-2</v>
      </c>
      <c r="I92" s="66">
        <v>6.4337704094226594E-2</v>
      </c>
      <c r="J92" s="66">
        <v>4.6265083372200581E-2</v>
      </c>
      <c r="K92" s="66"/>
      <c r="L92" s="66">
        <v>4.3856622028524528E-2</v>
      </c>
      <c r="M92" s="66">
        <v>5.2355373570205616E-2</v>
      </c>
      <c r="N92" s="61"/>
      <c r="O92" s="61">
        <v>2764187</v>
      </c>
    </row>
    <row r="93" spans="1:15" s="65" customFormat="1" hidden="1" x14ac:dyDescent="0.2">
      <c r="A93" s="61"/>
      <c r="B93" s="61">
        <v>6</v>
      </c>
      <c r="C93" s="61" t="s">
        <v>135</v>
      </c>
      <c r="D93" s="66"/>
      <c r="E93" s="66"/>
      <c r="F93" s="66"/>
      <c r="G93" s="66"/>
      <c r="H93" s="66"/>
      <c r="I93" s="66"/>
      <c r="J93" s="66"/>
      <c r="K93" s="66">
        <v>2.8945916519022823E-2</v>
      </c>
      <c r="L93" s="66"/>
      <c r="M93" s="66"/>
      <c r="N93" s="61"/>
      <c r="O93" s="61">
        <v>3511670</v>
      </c>
    </row>
    <row r="94" spans="1:15" s="65" customFormat="1" hidden="1" x14ac:dyDescent="0.2">
      <c r="A94" s="61"/>
      <c r="B94" s="61">
        <v>7</v>
      </c>
      <c r="C94" s="61" t="s">
        <v>192</v>
      </c>
      <c r="D94" s="66"/>
      <c r="E94" s="66"/>
      <c r="F94" s="66"/>
      <c r="G94" s="66">
        <v>3.3448223021162932E-2</v>
      </c>
      <c r="H94" s="66"/>
      <c r="I94" s="66"/>
      <c r="J94" s="66"/>
      <c r="K94" s="66"/>
      <c r="L94" s="66"/>
      <c r="M94" s="66"/>
      <c r="N94" s="61"/>
      <c r="O94" s="61">
        <v>1464488</v>
      </c>
    </row>
    <row r="95" spans="1:15" s="65" customFormat="1" hidden="1" x14ac:dyDescent="0.2">
      <c r="A95" s="61"/>
      <c r="B95" s="61">
        <v>8</v>
      </c>
      <c r="C95" s="61" t="s">
        <v>271</v>
      </c>
      <c r="D95" s="66"/>
      <c r="E95" s="66">
        <v>2.370843869635458E-2</v>
      </c>
      <c r="F95" s="66"/>
      <c r="G95" s="66"/>
      <c r="H95" s="66"/>
      <c r="I95" s="66"/>
      <c r="J95" s="66"/>
      <c r="K95" s="66"/>
      <c r="L95" s="66"/>
      <c r="M95" s="66"/>
      <c r="N95" s="61"/>
      <c r="O95" s="61">
        <v>8274269</v>
      </c>
    </row>
    <row r="96" spans="1:15" s="65" customFormat="1" hidden="1" x14ac:dyDescent="0.2">
      <c r="A96" s="61"/>
      <c r="B96" s="61">
        <v>9</v>
      </c>
      <c r="C96" s="61" t="s">
        <v>85</v>
      </c>
      <c r="D96" s="66">
        <v>1.3981799894501381E-2</v>
      </c>
      <c r="E96" s="66"/>
      <c r="F96" s="66"/>
      <c r="G96" s="66"/>
      <c r="H96" s="66"/>
      <c r="I96" s="66"/>
      <c r="J96" s="66"/>
      <c r="K96" s="66"/>
      <c r="L96" s="66"/>
      <c r="M96" s="66"/>
      <c r="N96" s="61"/>
      <c r="O96" s="61">
        <v>10520359</v>
      </c>
    </row>
    <row r="97" spans="1:15" s="65" customFormat="1" hidden="1" x14ac:dyDescent="0.2">
      <c r="A97" s="61"/>
      <c r="B97" s="61">
        <v>10</v>
      </c>
      <c r="C97" s="61" t="s">
        <v>68</v>
      </c>
      <c r="D97" s="66">
        <v>0.14834167690618036</v>
      </c>
      <c r="E97" s="66">
        <v>0.14947129720180313</v>
      </c>
      <c r="F97" s="66">
        <v>0.24825670750758866</v>
      </c>
      <c r="G97" s="66">
        <v>0.23942819529322074</v>
      </c>
      <c r="H97" s="66">
        <v>0.21655703496095383</v>
      </c>
      <c r="I97" s="66">
        <v>0.26139141097508223</v>
      </c>
      <c r="J97" s="66">
        <v>0.23968310178695457</v>
      </c>
      <c r="K97" s="66">
        <v>0.24977802652089701</v>
      </c>
      <c r="L97" s="66">
        <v>0.25047244645773753</v>
      </c>
      <c r="M97" s="66">
        <v>0.2232737262499904</v>
      </c>
      <c r="N97" s="61"/>
      <c r="O97" s="61">
        <v>32768</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11</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'U10m demersal trawl-seine'!D3:L3</xm:f>
              <xm:sqref>C3</xm:sqref>
            </x14:sparkline>
            <x14:sparkline>
              <xm:f>'U10m demersal trawl-seine'!D4:L4</xm:f>
              <xm:sqref>C4</xm:sqref>
            </x14:sparkline>
            <x14:sparkline>
              <xm:f>'U10m demersal trawl-seine'!D5:L5</xm:f>
              <xm:sqref>C5</xm:sqref>
            </x14:sparkline>
            <x14:sparkline>
              <xm:f>'U10m demersal trawl-seine'!D6:L6</xm:f>
              <xm:sqref>C6</xm:sqref>
            </x14:sparkline>
            <x14:sparkline>
              <xm:f>'U10m demersal trawl-seine'!D7:L7</xm:f>
              <xm:sqref>C7</xm:sqref>
            </x14:sparkline>
            <x14:sparkline>
              <xm:f>'U10m demersal trawl-seine'!D8:L8</xm:f>
              <xm:sqref>C8</xm:sqref>
            </x14:sparkline>
            <x14:sparkline>
              <xm:f>'U10m demersal trawl-seine'!D9:L9</xm:f>
              <xm:sqref>C9</xm:sqref>
            </x14:sparkline>
            <x14:sparkline>
              <xm:f>'U10m demersal trawl-seine'!D10:L10</xm:f>
              <xm:sqref>C10</xm:sqref>
            </x14:sparkline>
            <x14:sparkline>
              <xm:f>'U10m demersal trawl-seine'!D11:L11</xm:f>
              <xm:sqref>C11</xm:sqref>
            </x14:sparkline>
            <x14:sparkline>
              <xm:f>'U10m demersal trawl-seine'!D12:L12</xm:f>
              <xm:sqref>C12</xm:sqref>
            </x14:sparkline>
            <x14:sparkline>
              <xm:f>'U10m demersal trawl-seine'!D13:L13</xm:f>
              <xm:sqref>C13</xm:sqref>
            </x14:sparkline>
            <x14:sparkline>
              <xm:f>'U10m demersal trawl-seine'!D14:L14</xm:f>
              <xm:sqref>C14</xm:sqref>
            </x14:sparkline>
            <x14:sparkline>
              <xm:f>'U10m demersal trawl-seine'!D15:L15</xm:f>
              <xm:sqref>C15</xm:sqref>
            </x14:sparkline>
            <x14:sparkline>
              <xm:f>'U10m demersal trawl-seine'!D16:L16</xm:f>
              <xm:sqref>C16</xm:sqref>
            </x14:sparkline>
            <x14:sparkline>
              <xm:f>'U10m demersal trawl-seine'!D17:L17</xm:f>
              <xm:sqref>C17</xm:sqref>
            </x14:sparkline>
            <x14:sparkline>
              <xm:f>'U10m demersal trawl-seine'!D18:L18</xm:f>
              <xm:sqref>C18</xm:sqref>
            </x14:sparkline>
            <x14:sparkline>
              <xm:f>'U10m demersal trawl-seine'!D19:L19</xm:f>
              <xm:sqref>C19</xm:sqref>
            </x14:sparkline>
            <x14:sparkline>
              <xm:f>'U10m demersal trawl-seine'!D20:L20</xm:f>
              <xm:sqref>C20</xm:sqref>
            </x14:sparkline>
            <x14:sparkline>
              <xm:f>'U10m demersal trawl-seine'!D21:L21</xm:f>
              <xm:sqref>C21</xm:sqref>
            </x14:sparkline>
            <x14:sparkline>
              <xm:f>'U10m demersal trawl-seine'!D22:L22</xm:f>
              <xm:sqref>C22</xm:sqref>
            </x14:sparkline>
            <x14:sparkline>
              <xm:f>'U10m demersal trawl-seine'!D23:L23</xm:f>
              <xm:sqref>C23</xm:sqref>
            </x14:sparkline>
            <x14:sparkline>
              <xm:f>'U10m demersal trawl-seine'!D24:L24</xm:f>
              <xm:sqref>C24</xm:sqref>
            </x14:sparkline>
            <x14:sparkline>
              <xm:f>'U10m demersal trawl-seine'!D25:L25</xm:f>
              <xm:sqref>C25</xm:sqref>
            </x14:sparkline>
            <x14:sparkline>
              <xm:f>'U10m demersal trawl-seine'!D26:L26</xm:f>
              <xm:sqref>C26</xm:sqref>
            </x14:sparkline>
            <x14:sparkline>
              <xm:f>'U10m demersal trawl-seine'!D27:L27</xm:f>
              <xm:sqref>C27</xm:sqref>
            </x14:sparkline>
            <x14:sparkline>
              <xm:f>'U10m demersal trawl-seine'!D28:L28</xm:f>
              <xm:sqref>C28</xm:sqref>
            </x14:sparkline>
            <x14:sparkline>
              <xm:f>'U10m demersal trawl-seine'!D29:L29</xm:f>
              <xm:sqref>C29</xm:sqref>
            </x14:sparkline>
            <x14:sparkline>
              <xm:f>'U10m demersal trawl-seine'!D30:L30</xm:f>
              <xm:sqref>C30</xm:sqref>
            </x14:sparkline>
            <x14:sparkline>
              <xm:f>'U10m demersal trawl-seine'!D31:L31</xm:f>
              <xm:sqref>C31</xm:sqref>
            </x14:sparkline>
            <x14:sparkline>
              <xm:f>'U10m demersal trawl-seine'!D32:L32</xm:f>
              <xm:sqref>C32</xm:sqref>
            </x14:sparkline>
            <x14:sparkline>
              <xm:f>'U10m demersal trawl-seine'!D33:L33</xm:f>
              <xm:sqref>C33</xm:sqref>
            </x14:sparkline>
            <x14:sparkline>
              <xm:f>'U10m demersal trawl-seine'!D34:L34</xm:f>
              <xm:sqref>C34</xm:sqref>
            </x14:sparkline>
            <x14:sparkline>
              <xm:f>'U10m demersal trawl-seine'!D35:L35</xm:f>
              <xm:sqref>C35</xm:sqref>
            </x14:sparkline>
            <x14:sparkline>
              <xm:f>'U10m demersal trawl-seine'!D36:L36</xm:f>
              <xm:sqref>C36</xm:sqref>
            </x14:sparkline>
            <x14:sparkline>
              <xm:f>'U10m demersal trawl-seine'!D37:L37</xm:f>
              <xm:sqref>C37</xm:sqref>
            </x14:sparkline>
            <x14:sparkline>
              <xm:f>'U10m demersal trawl-seine'!D38:L38</xm:f>
              <xm:sqref>C38</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455</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30</v>
      </c>
      <c r="E3" s="16">
        <v>111</v>
      </c>
      <c r="F3" s="16">
        <v>215</v>
      </c>
      <c r="G3" s="16">
        <v>230</v>
      </c>
      <c r="H3" s="16">
        <v>240</v>
      </c>
      <c r="I3" s="16">
        <v>251</v>
      </c>
      <c r="J3" s="16">
        <v>288</v>
      </c>
      <c r="K3" s="16">
        <v>258</v>
      </c>
      <c r="L3" s="16">
        <v>246</v>
      </c>
      <c r="M3" s="17">
        <v>245</v>
      </c>
      <c r="N3" s="18">
        <f t="shared" ref="N3:N38" si="0">IF(L3=0,"",IFERROR(IF(AND(L3&gt;0,D3&lt;0),"na",IF(AND(L3&lt;0,D3&lt;0),-1,1)*(L3-D3)/D3),""))</f>
        <v>7.2</v>
      </c>
      <c r="O3" s="18">
        <f t="shared" ref="O3:O38" si="1">IF(L3=0,"",IFERROR(IF(AND(L3&gt;0,H3&lt;0),"na",IF(AND(L3&lt;0,H3&lt;0),-1,1)*(L3-H3)/H3),""))</f>
        <v>2.5000000000000001E-2</v>
      </c>
    </row>
    <row r="4" spans="1:15" s="19" customFormat="1" ht="18" customHeight="1" x14ac:dyDescent="0.2">
      <c r="A4" s="141"/>
      <c r="B4" s="20" t="s">
        <v>20</v>
      </c>
      <c r="C4" s="21"/>
      <c r="D4" s="22">
        <v>2827.72998046875</v>
      </c>
      <c r="E4" s="22">
        <v>11394.4501953125</v>
      </c>
      <c r="F4" s="22">
        <v>17391.439453125</v>
      </c>
      <c r="G4" s="22">
        <v>18236.3203125</v>
      </c>
      <c r="H4" s="22">
        <v>19233.779296875</v>
      </c>
      <c r="I4" s="22">
        <v>20922.5</v>
      </c>
      <c r="J4" s="22">
        <v>21956.490234375</v>
      </c>
      <c r="K4" s="22">
        <v>21268.599609375</v>
      </c>
      <c r="L4" s="22">
        <v>19829.189453125</v>
      </c>
      <c r="M4" s="23">
        <v>20262.029296875</v>
      </c>
      <c r="N4" s="24">
        <f t="shared" si="0"/>
        <v>6.0124055656254471</v>
      </c>
      <c r="O4" s="24">
        <f t="shared" si="1"/>
        <v>3.0956482709913333E-2</v>
      </c>
    </row>
    <row r="5" spans="1:15" s="19" customFormat="1" ht="18" customHeight="1" x14ac:dyDescent="0.2">
      <c r="A5" s="141"/>
      <c r="B5" s="20" t="s">
        <v>21</v>
      </c>
      <c r="C5" s="21"/>
      <c r="D5" s="22">
        <v>199.55000305175781</v>
      </c>
      <c r="E5" s="22">
        <v>637.44000244140625</v>
      </c>
      <c r="F5" s="22">
        <v>1109.0699462890625</v>
      </c>
      <c r="G5" s="22">
        <v>1167.510009765625</v>
      </c>
      <c r="H5" s="22">
        <v>1223.81005859375</v>
      </c>
      <c r="I5" s="22">
        <v>1306.6199951171875</v>
      </c>
      <c r="J5" s="22">
        <v>1371.43994140625</v>
      </c>
      <c r="K5" s="22">
        <v>1253.199951171875</v>
      </c>
      <c r="L5" s="22">
        <v>1227.7099609375</v>
      </c>
      <c r="M5" s="23">
        <v>1248.6400146484375</v>
      </c>
      <c r="N5" s="24">
        <f t="shared" si="0"/>
        <v>5.152392594146268</v>
      </c>
      <c r="O5" s="24">
        <f t="shared" si="1"/>
        <v>3.1866892385500425E-3</v>
      </c>
    </row>
    <row r="6" spans="1:15" s="19" customFormat="1" ht="18" customHeight="1" x14ac:dyDescent="0.2">
      <c r="A6" s="141"/>
      <c r="B6" s="20" t="s">
        <v>22</v>
      </c>
      <c r="C6" s="21"/>
      <c r="D6" s="22">
        <v>4610.8369140625</v>
      </c>
      <c r="E6" s="22">
        <v>8430.0302734375</v>
      </c>
      <c r="F6" s="22">
        <v>11916.298828125</v>
      </c>
      <c r="G6" s="22">
        <v>14350.9580078125</v>
      </c>
      <c r="H6" s="22">
        <v>15124.8291015625</v>
      </c>
      <c r="I6" s="22">
        <v>16338.7861328125</v>
      </c>
      <c r="J6" s="22">
        <v>17383.8515625</v>
      </c>
      <c r="K6" s="22">
        <v>16291.0390625</v>
      </c>
      <c r="L6" s="22">
        <v>15460.3271484375</v>
      </c>
      <c r="M6" s="23">
        <v>15681.7958984375</v>
      </c>
      <c r="N6" s="24">
        <f t="shared" si="0"/>
        <v>2.3530414188550792</v>
      </c>
      <c r="O6" s="24">
        <f t="shared" si="1"/>
        <v>2.218193968488151E-2</v>
      </c>
    </row>
    <row r="7" spans="1:15" s="19" customFormat="1" ht="18" customHeight="1" x14ac:dyDescent="0.2">
      <c r="A7" s="141"/>
      <c r="B7" s="20" t="s">
        <v>23</v>
      </c>
      <c r="C7" s="21"/>
      <c r="D7" s="22">
        <v>509.79940795898438</v>
      </c>
      <c r="E7" s="22">
        <v>1517.714599609375</v>
      </c>
      <c r="F7" s="22">
        <v>4871.65673828125</v>
      </c>
      <c r="G7" s="22">
        <v>5274.82568359375</v>
      </c>
      <c r="H7" s="22">
        <v>4901.8095703125</v>
      </c>
      <c r="I7" s="22">
        <v>5519.388671875</v>
      </c>
      <c r="J7" s="22">
        <v>5198.16162109375</v>
      </c>
      <c r="K7" s="22">
        <v>4624.8974609375</v>
      </c>
      <c r="L7" s="22">
        <v>4394.57177734375</v>
      </c>
      <c r="M7" s="23">
        <v>4542.14501953125</v>
      </c>
      <c r="N7" s="24">
        <f t="shared" si="0"/>
        <v>7.6201978831982338</v>
      </c>
      <c r="O7" s="24">
        <f t="shared" si="1"/>
        <v>-0.1034797018718972</v>
      </c>
    </row>
    <row r="8" spans="1:15" s="19" customFormat="1" ht="18" customHeight="1" x14ac:dyDescent="0.2">
      <c r="A8" s="141"/>
      <c r="B8" s="20" t="s">
        <v>24</v>
      </c>
      <c r="C8" s="25"/>
      <c r="D8" s="26">
        <f ca="1">0.9509438125*OFFSET(D$108,MATCH($M$1,$C$109:$C$110,0),0)</f>
        <v>0.77355474678630176</v>
      </c>
      <c r="E8" s="26">
        <f ca="1">3.8250935*OFFSET(E$108,MATCH($M$1,$C$109:$C$110,0),0)</f>
        <v>3.1952151101754849</v>
      </c>
      <c r="F8" s="26">
        <f ca="1">10.213729*OFFSET(F$108,MATCH($M$1,$C$109:$C$110,0),0)</f>
        <v>8.7768613770421648</v>
      </c>
      <c r="G8" s="26">
        <f ca="1">10.795909*OFFSET(G$108,MATCH($M$1,$C$109:$C$110,0),0)</f>
        <v>9.5464985786561449</v>
      </c>
      <c r="H8" s="26">
        <f ca="1">10.955142*OFFSET(H$108,MATCH($M$1,$C$109:$C$110,0),0)</f>
        <v>9.8791281110938058</v>
      </c>
      <c r="I8" s="26">
        <f ca="1">11.174942*OFFSET(I$108,MATCH($M$1,$C$109:$C$110,0),0)</f>
        <v>10.39705415198007</v>
      </c>
      <c r="J8" s="26">
        <f ca="1">12.421651*OFFSET(J$108,MATCH($M$1,$C$109:$C$110,0),0)</f>
        <v>11.802555821004301</v>
      </c>
      <c r="K8" s="26">
        <f ca="1">10.530076*OFFSET(K$108,MATCH($M$1,$C$109:$C$110,0),0)</f>
        <v>10.171421512032184</v>
      </c>
      <c r="L8" s="26">
        <f ca="1">9.915105*OFFSET(L$108,MATCH($M$1,$C$109:$C$110,0),0)</f>
        <v>9.7488285176686738</v>
      </c>
      <c r="M8" s="27">
        <f ca="1">11.268888*OFFSET(M$108,MATCH($M$1,$C$109:$C$110,0),0)</f>
        <v>11.268887956218645</v>
      </c>
      <c r="N8" s="24">
        <f t="shared" ca="1" si="0"/>
        <v>11.602635505980336</v>
      </c>
      <c r="O8" s="24">
        <f t="shared" ca="1" si="1"/>
        <v>-1.3189381892802022E-2</v>
      </c>
    </row>
    <row r="9" spans="1:15" s="19" customFormat="1" ht="18" customHeight="1" x14ac:dyDescent="0.2">
      <c r="A9" s="141"/>
      <c r="B9" s="20" t="s">
        <v>25</v>
      </c>
      <c r="C9" s="25"/>
      <c r="D9" s="22">
        <v>2154</v>
      </c>
      <c r="E9" s="22">
        <v>10384</v>
      </c>
      <c r="F9" s="22">
        <v>21955.5</v>
      </c>
      <c r="G9" s="22">
        <v>23524</v>
      </c>
      <c r="H9" s="22">
        <v>22356</v>
      </c>
      <c r="I9" s="22">
        <v>22656</v>
      </c>
      <c r="J9" s="22">
        <v>25112</v>
      </c>
      <c r="K9" s="22">
        <v>21864</v>
      </c>
      <c r="L9" s="22">
        <v>20702</v>
      </c>
      <c r="M9" s="23">
        <v>21782</v>
      </c>
      <c r="N9" s="24">
        <f t="shared" si="0"/>
        <v>8.6109563602599817</v>
      </c>
      <c r="O9" s="24">
        <f t="shared" si="1"/>
        <v>-7.3984612631955632E-2</v>
      </c>
    </row>
    <row r="10" spans="1:15" s="19" customFormat="1" ht="18" customHeight="1" x14ac:dyDescent="0.2">
      <c r="A10" s="142" t="s">
        <v>7</v>
      </c>
      <c r="B10" s="28" t="s">
        <v>26</v>
      </c>
      <c r="C10" s="29"/>
      <c r="D10" s="30">
        <v>8.8483333587646484</v>
      </c>
      <c r="E10" s="30">
        <v>8.5414419174194336</v>
      </c>
      <c r="F10" s="30">
        <v>8.0039539337158203</v>
      </c>
      <c r="G10" s="30">
        <v>7.9491739273071289</v>
      </c>
      <c r="H10" s="30">
        <v>7.9768333435058594</v>
      </c>
      <c r="I10" s="30">
        <v>8.0170116424560547</v>
      </c>
      <c r="J10" s="30">
        <v>7.8386459350585938</v>
      </c>
      <c r="K10" s="30">
        <v>7.9436044692993164</v>
      </c>
      <c r="L10" s="30">
        <v>7.9884958267211914</v>
      </c>
      <c r="M10" s="31">
        <v>8.0723676681518555</v>
      </c>
      <c r="N10" s="32">
        <f t="shared" si="0"/>
        <v>-9.7175083394857809E-2</v>
      </c>
      <c r="O10" s="32">
        <f t="shared" si="1"/>
        <v>1.4620442364922607E-3</v>
      </c>
    </row>
    <row r="11" spans="1:15" s="19" customFormat="1" ht="18" customHeight="1" x14ac:dyDescent="0.2">
      <c r="A11" s="143"/>
      <c r="B11" s="33" t="s">
        <v>20</v>
      </c>
      <c r="C11" s="21"/>
      <c r="D11" s="22">
        <v>94.257667541503906</v>
      </c>
      <c r="E11" s="22">
        <v>102.65270233154297</v>
      </c>
      <c r="F11" s="22">
        <v>80.890419006347656</v>
      </c>
      <c r="G11" s="22">
        <v>79.288345336914063</v>
      </c>
      <c r="H11" s="22">
        <v>80.1407470703125</v>
      </c>
      <c r="I11" s="22">
        <v>83.356575012207031</v>
      </c>
      <c r="J11" s="22">
        <v>76.237815856933594</v>
      </c>
      <c r="K11" s="22">
        <v>82.436431884765625</v>
      </c>
      <c r="L11" s="22">
        <v>80.606460571289063</v>
      </c>
      <c r="M11" s="23">
        <v>82.702163696289062</v>
      </c>
      <c r="N11" s="24">
        <f t="shared" si="0"/>
        <v>-0.14482860998235386</v>
      </c>
      <c r="O11" s="24">
        <f t="shared" si="1"/>
        <v>5.8111949039851458E-3</v>
      </c>
    </row>
    <row r="12" spans="1:15" s="19" customFormat="1" ht="18" customHeight="1" x14ac:dyDescent="0.2">
      <c r="A12" s="143"/>
      <c r="B12" s="33" t="s">
        <v>21</v>
      </c>
      <c r="C12" s="21"/>
      <c r="D12" s="22">
        <v>6.6516666412353516</v>
      </c>
      <c r="E12" s="22">
        <v>5.7427024841308594</v>
      </c>
      <c r="F12" s="22">
        <v>5.1584649085998535</v>
      </c>
      <c r="G12" s="22">
        <v>5.0761303901672363</v>
      </c>
      <c r="H12" s="22">
        <v>5.0992083549499512</v>
      </c>
      <c r="I12" s="22">
        <v>5.2056574821472168</v>
      </c>
      <c r="J12" s="22">
        <v>4.7619442939758301</v>
      </c>
      <c r="K12" s="22">
        <v>4.8573641777038574</v>
      </c>
      <c r="L12" s="22">
        <v>4.9906911849975586</v>
      </c>
      <c r="M12" s="23">
        <v>5.0964899063110352</v>
      </c>
      <c r="N12" s="24">
        <f t="shared" si="0"/>
        <v>-0.24970816275442745</v>
      </c>
      <c r="O12" s="24">
        <f t="shared" si="1"/>
        <v>-2.1281179822168234E-2</v>
      </c>
    </row>
    <row r="13" spans="1:15" s="19" customFormat="1" ht="18" customHeight="1" x14ac:dyDescent="0.2">
      <c r="A13" s="143"/>
      <c r="B13" s="33" t="s">
        <v>22</v>
      </c>
      <c r="C13" s="21"/>
      <c r="D13" s="22">
        <v>153.69456481933594</v>
      </c>
      <c r="E13" s="22">
        <v>75.946212768554688</v>
      </c>
      <c r="F13" s="22">
        <v>55.424644470214844</v>
      </c>
      <c r="G13" s="22">
        <v>62.395469665527344</v>
      </c>
      <c r="H13" s="22">
        <v>63.283805847167969</v>
      </c>
      <c r="I13" s="22">
        <v>65.355140686035156</v>
      </c>
      <c r="J13" s="22">
        <v>60.570911407470703</v>
      </c>
      <c r="K13" s="22">
        <v>63.389259338378906</v>
      </c>
      <c r="L13" s="22">
        <v>62.846858978271484</v>
      </c>
      <c r="M13" s="23">
        <v>64.007331848144531</v>
      </c>
      <c r="N13" s="24">
        <f t="shared" si="0"/>
        <v>-0.59109250836458416</v>
      </c>
      <c r="O13" s="24">
        <f t="shared" si="1"/>
        <v>-6.9045605435255012E-3</v>
      </c>
    </row>
    <row r="14" spans="1:15" s="19" customFormat="1" ht="18" customHeight="1" x14ac:dyDescent="0.2">
      <c r="A14" s="143"/>
      <c r="B14" s="33" t="s">
        <v>23</v>
      </c>
      <c r="C14" s="25"/>
      <c r="D14" s="26">
        <v>16.993312835693359</v>
      </c>
      <c r="E14" s="26">
        <v>13.673104286193848</v>
      </c>
      <c r="F14" s="26">
        <v>22.658868789672852</v>
      </c>
      <c r="G14" s="26">
        <v>22.934024810791016</v>
      </c>
      <c r="H14" s="26">
        <v>20.424205780029297</v>
      </c>
      <c r="I14" s="26">
        <v>21.989597320556641</v>
      </c>
      <c r="J14" s="26">
        <v>18.049171447753906</v>
      </c>
      <c r="K14" s="26">
        <v>17.925958633422852</v>
      </c>
      <c r="L14" s="26">
        <v>17.864112854003906</v>
      </c>
      <c r="M14" s="27">
        <v>18.53936767578125</v>
      </c>
      <c r="N14" s="24">
        <f t="shared" si="0"/>
        <v>5.1243687839459269E-2</v>
      </c>
      <c r="O14" s="24">
        <f t="shared" si="1"/>
        <v>-0.12534602097128492</v>
      </c>
    </row>
    <row r="15" spans="1:15" s="19" customFormat="1" ht="18" customHeight="1" x14ac:dyDescent="0.2">
      <c r="A15" s="143"/>
      <c r="B15" s="33" t="s">
        <v>27</v>
      </c>
      <c r="C15" s="25"/>
      <c r="D15" s="26">
        <f ca="1">31.698126953125*OFFSET(D$108,MATCH($M$1,$C$109:$C$110,0),0)</f>
        <v>25.785158120290788</v>
      </c>
      <c r="E15" s="26">
        <f ca="1">34.4603046875*OFFSET(E$108,MATCH($M$1,$C$109:$C$110,0),0)</f>
        <v>28.785724123802748</v>
      </c>
      <c r="F15" s="26">
        <f ca="1">47.50571484375*OFFSET(F$108,MATCH($M$1,$C$109:$C$110,0),0)</f>
        <v>40.822609822611113</v>
      </c>
      <c r="G15" s="26">
        <f ca="1">46.938734375*OFFSET(G$108,MATCH($M$1,$C$109:$C$110,0),0)</f>
        <v>41.506515198938402</v>
      </c>
      <c r="H15" s="26">
        <f ca="1">45.64642578125*OFFSET(H$108,MATCH($M$1,$C$109:$C$110,0),0)</f>
        <v>41.163034500739826</v>
      </c>
      <c r="I15" s="26">
        <f ca="1">44.5216796875*OFFSET(I$108,MATCH($M$1,$C$109:$C$110,0),0)</f>
        <v>41.422525025011197</v>
      </c>
      <c r="J15" s="26">
        <f ca="1">43.13073046875*OFFSET(J$108,MATCH($M$1,$C$109:$C$110,0),0)</f>
        <v>40.981094538730233</v>
      </c>
      <c r="K15" s="26">
        <f ca="1">40.81425*OFFSET(K$108,MATCH($M$1,$C$109:$C$110,0),0)</f>
        <v>39.424116259698373</v>
      </c>
      <c r="L15" s="26">
        <f ca="1">40.3053046875*OFFSET(L$108,MATCH($M$1,$C$109:$C$110,0),0)</f>
        <v>39.629384030812062</v>
      </c>
      <c r="M15" s="27">
        <f ca="1">45.99546484375*OFFSET(M$108,MATCH($M$1,$C$109:$C$110,0),0)</f>
        <v>45.995464665050569</v>
      </c>
      <c r="N15" s="24">
        <f t="shared" ca="1" si="0"/>
        <v>0.53690676806930315</v>
      </c>
      <c r="O15" s="24">
        <f t="shared" ca="1" si="1"/>
        <v>-3.7257954583017915E-2</v>
      </c>
    </row>
    <row r="16" spans="1:15" s="19" customFormat="1" ht="18" customHeight="1" x14ac:dyDescent="0.2">
      <c r="A16" s="143"/>
      <c r="B16" s="33" t="s">
        <v>25</v>
      </c>
      <c r="C16" s="21"/>
      <c r="D16" s="22">
        <v>71.800003051757813</v>
      </c>
      <c r="E16" s="22">
        <v>93.549552917480469</v>
      </c>
      <c r="F16" s="22">
        <v>102.11860656738281</v>
      </c>
      <c r="G16" s="22">
        <v>102.27825927734375</v>
      </c>
      <c r="H16" s="22">
        <v>93.150001525878906</v>
      </c>
      <c r="I16" s="22">
        <v>90.262947082519531</v>
      </c>
      <c r="J16" s="22">
        <v>87.194442749023438</v>
      </c>
      <c r="K16" s="22">
        <v>84.744186401367188</v>
      </c>
      <c r="L16" s="22">
        <v>84.154472351074219</v>
      </c>
      <c r="M16" s="23">
        <v>88.906120300292969</v>
      </c>
      <c r="N16" s="24">
        <f t="shared" si="0"/>
        <v>0.17206781022572593</v>
      </c>
      <c r="O16" s="24">
        <f t="shared" si="1"/>
        <v>-9.6570359929683436E-2</v>
      </c>
    </row>
    <row r="17" spans="1:15" s="19" customFormat="1" ht="18" customHeight="1" x14ac:dyDescent="0.2">
      <c r="A17" s="143"/>
      <c r="B17" s="33" t="s">
        <v>28</v>
      </c>
      <c r="C17" s="21"/>
      <c r="D17" s="22">
        <v>14.199999809265137</v>
      </c>
      <c r="E17" s="22">
        <v>16.01801872253418</v>
      </c>
      <c r="F17" s="22">
        <v>17.595348358154297</v>
      </c>
      <c r="G17" s="22">
        <v>16.952173233032227</v>
      </c>
      <c r="H17" s="22">
        <v>18.661087036132813</v>
      </c>
      <c r="I17" s="22">
        <v>17.968000411987305</v>
      </c>
      <c r="J17" s="22">
        <v>19.540069580078125</v>
      </c>
      <c r="K17" s="22">
        <v>19.552528381347656</v>
      </c>
      <c r="L17" s="22">
        <v>20.556911468505859</v>
      </c>
      <c r="M17" s="23">
        <v>21.277551651000977</v>
      </c>
      <c r="N17" s="24">
        <f t="shared" si="0"/>
        <v>0.4476698411709133</v>
      </c>
      <c r="O17" s="24">
        <f t="shared" si="1"/>
        <v>0.10159239002005768</v>
      </c>
    </row>
    <row r="18" spans="1:15" s="19" customFormat="1" ht="18" customHeight="1" x14ac:dyDescent="0.2">
      <c r="A18" s="143"/>
      <c r="B18" s="33" t="s">
        <v>29</v>
      </c>
      <c r="C18" s="21"/>
      <c r="D18" s="34">
        <v>0.23667564988136292</v>
      </c>
      <c r="E18" s="34">
        <v>0.14615894854068756</v>
      </c>
      <c r="F18" s="34">
        <v>0.22188775241374969</v>
      </c>
      <c r="G18" s="34">
        <v>0.22423167526721954</v>
      </c>
      <c r="H18" s="34">
        <v>0.21926146745681763</v>
      </c>
      <c r="I18" s="34">
        <v>0.24361710250377655</v>
      </c>
      <c r="J18" s="34">
        <v>0.20699910819530487</v>
      </c>
      <c r="K18" s="34">
        <v>0.21153025329113007</v>
      </c>
      <c r="L18" s="34">
        <v>0.21227763593196869</v>
      </c>
      <c r="M18" s="35">
        <v>0.20852746069431305</v>
      </c>
      <c r="N18" s="24">
        <f t="shared" si="0"/>
        <v>-0.10308628691470408</v>
      </c>
      <c r="O18" s="24">
        <f t="shared" si="1"/>
        <v>-3.1851613536356391E-2</v>
      </c>
    </row>
    <row r="19" spans="1:15" s="19" customFormat="1" ht="18" customHeight="1" x14ac:dyDescent="0.2">
      <c r="A19" s="144"/>
      <c r="B19" s="36" t="s">
        <v>8</v>
      </c>
      <c r="C19" s="37"/>
      <c r="D19" s="38">
        <f ca="1">1865.32937789623*OFFSET(D$108,MATCH($M$1,$C$109:$C$110,0),0)</f>
        <v>1517.3708221499867</v>
      </c>
      <c r="E19" s="38">
        <f ca="1">2520.29828334292*OFFSET(E$108,MATCH($M$1,$C$109:$C$110,0),0)</f>
        <v>2105.2806047974082</v>
      </c>
      <c r="F19" s="38">
        <f ca="1">2096.5617137474*OFFSET(F$108,MATCH($M$1,$C$109:$C$110,0),0)</f>
        <v>1801.6173652125374</v>
      </c>
      <c r="G19" s="38">
        <f ca="1">2046.68545419016*OFFSET(G$108,MATCH($M$1,$C$109:$C$110,0),0)</f>
        <v>1809.8225706962303</v>
      </c>
      <c r="H19" s="38">
        <f ca="1">2234.91790997943*OFFSET(H$108,MATCH($M$1,$C$109:$C$110,0),0)</f>
        <v>2015.4043051623432</v>
      </c>
      <c r="I19" s="38">
        <f ca="1">2024.67024236649*OFFSET(I$108,MATCH($M$1,$C$109:$C$110,0),0)</f>
        <v>1883.732922263669</v>
      </c>
      <c r="J19" s="38">
        <f ca="1">2389.62385270859*OFFSET(J$108,MATCH($M$1,$C$109:$C$110,0),0)</f>
        <v>2270.524981968701</v>
      </c>
      <c r="K19" s="38">
        <f ca="1">2276.82366775446*OFFSET(K$108,MATCH($M$1,$C$109:$C$110,0),0)</f>
        <v>2199.2750321366852</v>
      </c>
      <c r="L19" s="38">
        <f ca="1">2256.21641933747*OFFSET(L$108,MATCH($M$1,$C$109:$C$110,0),0)</f>
        <v>2218.379630964012</v>
      </c>
      <c r="M19" s="39">
        <f ca="1">2480.96173758075*OFFSET(M$108,MATCH($M$1,$C$109:$C$110,0),0)</f>
        <v>2480.9617279418339</v>
      </c>
      <c r="N19" s="40">
        <f ca="1">IF(L19=0,"",IFERROR(IF(AND(L19&gt;0,D19&lt;0),"na",IF(AND(L19&lt;0,D19&lt;0),-1,1)*(L19-D19)/D19),""))</f>
        <v>0.46198911866563697</v>
      </c>
      <c r="O19" s="40">
        <f ca="1">IF(L19=0,"",IFERROR(IF(AND(L19&gt;0,H19&lt;0),"na",IF(AND(L19&lt;0,H19&lt;0),-1,1)*(L19-H19)/H19),""))</f>
        <v>0.10071196398745355</v>
      </c>
    </row>
    <row r="20" spans="1:15" s="19" customFormat="1" ht="18" customHeight="1" x14ac:dyDescent="0.2">
      <c r="A20" s="145" t="s">
        <v>9</v>
      </c>
      <c r="B20" s="28" t="s">
        <v>30</v>
      </c>
      <c r="C20" s="41"/>
      <c r="D20" s="42">
        <v>2.6381935004599097</v>
      </c>
      <c r="E20" s="42">
        <v>1.404381153802271</v>
      </c>
      <c r="F20" s="42">
        <v>2.5197819815821965</v>
      </c>
      <c r="G20" s="42">
        <v>2.704319933580507</v>
      </c>
      <c r="H20" s="42">
        <v>2.5530593810013609</v>
      </c>
      <c r="I20" s="42">
        <v>2.7596168602854161</v>
      </c>
      <c r="J20" s="42">
        <v>2.4832536483430658</v>
      </c>
      <c r="K20" s="42">
        <v>2.4589314739209964</v>
      </c>
      <c r="L20" s="42">
        <v>2.6631326183255086</v>
      </c>
      <c r="M20" s="43">
        <v>2.5378529427727856</v>
      </c>
      <c r="N20" s="32">
        <f t="shared" si="0"/>
        <v>9.4531041264605143E-3</v>
      </c>
      <c r="O20" s="32">
        <f t="shared" si="1"/>
        <v>4.311424878843783E-2</v>
      </c>
    </row>
    <row r="21" spans="1:15" s="19" customFormat="1" ht="18" customHeight="1" x14ac:dyDescent="0.2">
      <c r="A21" s="145"/>
      <c r="B21" s="33" t="s">
        <v>31</v>
      </c>
      <c r="C21" s="21"/>
      <c r="D21" s="34">
        <f ca="1">4.92110004170799*OFFSET(D$108,MATCH($M$1,$C$109:$C$110,0),0)</f>
        <v>4.0031180040655485</v>
      </c>
      <c r="E21" s="34">
        <f ca="1">3.53945976308214*OFFSET(E$108,MATCH($M$1,$C$109:$C$110,0),0)</f>
        <v>2.9566166988749938</v>
      </c>
      <c r="F21" s="34">
        <f ca="1">5.28287821411545*OFFSET(F$108,MATCH($M$1,$C$109:$C$110,0),0)</f>
        <v>4.5396827894187695</v>
      </c>
      <c r="G21" s="34">
        <f ca="1">5.53489219945493*OFFSET(G$108,MATCH($M$1,$C$109:$C$110,0),0)</f>
        <v>4.8943391904388482</v>
      </c>
      <c r="H21" s="34">
        <f ca="1">5.70587844663968*OFFSET(H$108,MATCH($M$1,$C$109:$C$110,0),0)</f>
        <v>5.1454471480773432</v>
      </c>
      <c r="I21" s="34">
        <f ca="1">5.58731367940946*OFFSET(I$108,MATCH($M$1,$C$109:$C$110,0),0)</f>
        <v>5.1983807064877094</v>
      </c>
      <c r="J21" s="34">
        <f ca="1">5.93404213053521*OFFSET(J$108,MATCH($M$1,$C$109:$C$110,0),0)</f>
        <v>5.6382894262472121</v>
      </c>
      <c r="K21" s="34">
        <f ca="1">5.59855380466852*OFFSET(K$108,MATCH($M$1,$C$109:$C$110,0),0)</f>
        <v>5.4078670092290899</v>
      </c>
      <c r="L21" s="34">
        <f ca="1">6.00860353279572*OFFSET(L$108,MATCH($M$1,$C$109:$C$110,0),0)</f>
        <v>5.9078391476321892</v>
      </c>
      <c r="M21" s="35">
        <f ca="1">6.29631645745945*OFFSET(M$108,MATCH($M$1,$C$109:$C$110,0),0)</f>
        <v>6.2963164329972958</v>
      </c>
      <c r="N21" s="24">
        <f t="shared" ca="1" si="0"/>
        <v>0.47580939198699979</v>
      </c>
      <c r="O21" s="24">
        <f t="shared" ca="1" si="1"/>
        <v>0.14816826946511788</v>
      </c>
    </row>
    <row r="22" spans="1:15" s="19" customFormat="1" ht="18" customHeight="1" x14ac:dyDescent="0.2">
      <c r="A22" s="145"/>
      <c r="B22" s="33" t="s">
        <v>10</v>
      </c>
      <c r="C22" s="21"/>
      <c r="D22" s="34">
        <f ca="1">3.37703186196066*OFFSET(D$108,MATCH($M$1,$C$109:$C$110,0),0)</f>
        <v>2.747080313820593</v>
      </c>
      <c r="E22" s="34">
        <f ca="1">2.44962345908102*OFFSET(E$108,MATCH($M$1,$C$109:$C$110,0),0)</f>
        <v>2.0462438083398524</v>
      </c>
      <c r="F22" s="34">
        <f ca="1">3.21559499620447*OFFSET(F$108,MATCH($M$1,$C$109:$C$110,0),0)</f>
        <v>2.7632250205969884</v>
      </c>
      <c r="G22" s="34">
        <f ca="1">3.90468672037358*OFFSET(G$108,MATCH($M$1,$C$109:$C$110,0),0)</f>
        <v>3.4527973722401608</v>
      </c>
      <c r="H22" s="34">
        <f ca="1">4.14446174339212*OFFSET(H$108,MATCH($M$1,$C$109:$C$110,0),0)</f>
        <v>3.7373927708557257</v>
      </c>
      <c r="I22" s="34">
        <f ca="1">3.90151063925745*OFFSET(I$108,MATCH($M$1,$C$109:$C$110,0),0)</f>
        <v>3.629926436386524</v>
      </c>
      <c r="J22" s="34">
        <f ca="1">3.87721846217346*OFFSET(J$108,MATCH($M$1,$C$109:$C$110,0),0)</f>
        <v>3.6839778649416823</v>
      </c>
      <c r="K22" s="34">
        <f ca="1">3.59780512129434*OFFSET(K$108,MATCH($M$1,$C$109:$C$110,0),0)</f>
        <v>3.4752638448984428</v>
      </c>
      <c r="L22" s="34">
        <f ca="1">4.26281487380299*OFFSET(L$108,MATCH($M$1,$C$109:$C$110,0),0)</f>
        <v>4.1913273946441088</v>
      </c>
      <c r="M22" s="35">
        <f ca="1">4.38487088096965*OFFSET(M$108,MATCH($M$1,$C$109:$C$110,0),0)</f>
        <v>4.384870863933755</v>
      </c>
      <c r="N22" s="24">
        <f t="shared" ca="1" si="0"/>
        <v>0.52573893582852016</v>
      </c>
      <c r="O22" s="24">
        <f t="shared" ca="1" si="1"/>
        <v>0.12145756456965819</v>
      </c>
    </row>
    <row r="23" spans="1:15" s="19" customFormat="1" ht="18" customHeight="1" x14ac:dyDescent="0.2">
      <c r="A23" s="146"/>
      <c r="B23" s="33" t="s">
        <v>32</v>
      </c>
      <c r="C23" s="44"/>
      <c r="D23" s="34">
        <f ca="1">1.54406817974732*OFFSET(D$108,MATCH($M$1,$C$109:$C$110,0),0)</f>
        <v>1.2560376902449468</v>
      </c>
      <c r="E23" s="34">
        <f ca="1">1.08983630400112*OFFSET(E$108,MATCH($M$1,$C$109:$C$110,0),0)</f>
        <v>0.9103728905351417</v>
      </c>
      <c r="F23" s="34">
        <f ca="1">2.06728321791097*OFFSET(F$108,MATCH($M$1,$C$109:$C$110,0),0)</f>
        <v>1.7764577688217722</v>
      </c>
      <c r="G23" s="34">
        <f ca="1">1.63020547908135*OFFSET(G$108,MATCH($M$1,$C$109:$C$110,0),0)</f>
        <v>1.441541818198687</v>
      </c>
      <c r="H23" s="34">
        <f ca="1">1.56141670324755*OFFSET(H$108,MATCH($M$1,$C$109:$C$110,0),0)</f>
        <v>1.4080543772216085</v>
      </c>
      <c r="I23" s="34">
        <f ca="1">1.68580304015201*OFFSET(I$108,MATCH($M$1,$C$109:$C$110,0),0)</f>
        <v>1.5684542701011857</v>
      </c>
      <c r="J23" s="34">
        <f ca="1">2.05682366836175*OFFSET(J$108,MATCH($M$1,$C$109:$C$110,0),0)</f>
        <v>1.9543115613055295</v>
      </c>
      <c r="K23" s="34">
        <f ca="1">2.00074868337418*OFFSET(K$108,MATCH($M$1,$C$109:$C$110,0),0)</f>
        <v>1.9326031643306474</v>
      </c>
      <c r="L23" s="34">
        <f ca="1">1.74578865899273*OFFSET(L$108,MATCH($M$1,$C$109:$C$110,0),0)</f>
        <v>1.71651175298808</v>
      </c>
      <c r="M23" s="35">
        <f ca="1">1.91144557648979*OFFSET(M$108,MATCH($M$1,$C$109:$C$110,0),0)</f>
        <v>1.911445569063531</v>
      </c>
      <c r="N23" s="24">
        <f t="shared" ca="1" si="0"/>
        <v>0.36660847546169861</v>
      </c>
      <c r="O23" s="24">
        <f t="shared" ca="1" si="1"/>
        <v>0.21906638035892026</v>
      </c>
    </row>
    <row r="24" spans="1:15" s="19" customFormat="1" ht="18" customHeight="1" x14ac:dyDescent="0.2">
      <c r="A24" s="147" t="s">
        <v>11</v>
      </c>
      <c r="B24" s="28" t="s">
        <v>27</v>
      </c>
      <c r="C24" s="29"/>
      <c r="D24" s="30">
        <f ca="1">31.7*OFFSET(D$108,MATCH($M$1,$C$109:$C$110,0),0)</f>
        <v>25.786681768988075</v>
      </c>
      <c r="E24" s="30">
        <f ca="1">34.5*OFFSET(E$108,MATCH($M$1,$C$109:$C$110,0),0)</f>
        <v>28.818882806669755</v>
      </c>
      <c r="F24" s="30">
        <f ca="1">47.5*OFFSET(F$108,MATCH($M$1,$C$109:$C$110,0),0)</f>
        <v>40.817698943207013</v>
      </c>
      <c r="G24" s="30">
        <f ca="1">46.9*OFFSET(G$108,MATCH($M$1,$C$109:$C$110,0),0)</f>
        <v>41.472263552700674</v>
      </c>
      <c r="H24" s="30">
        <f ca="1">45.6*OFFSET(H$108,MATCH($M$1,$C$109:$C$110,0),0)</f>
        <v>41.121168659053211</v>
      </c>
      <c r="I24" s="30">
        <f ca="1">44.5*OFFSET(I$108,MATCH($M$1,$C$109:$C$110,0),0)</f>
        <v>41.402354460820753</v>
      </c>
      <c r="J24" s="30">
        <f ca="1">43.1*OFFSET(J$108,MATCH($M$1,$C$109:$C$110,0),0)</f>
        <v>40.951895676773191</v>
      </c>
      <c r="K24" s="30">
        <f ca="1">40.8*OFFSET(K$108,MATCH($M$1,$C$109:$C$110,0),0)</f>
        <v>39.410351614832898</v>
      </c>
      <c r="L24" s="30">
        <f ca="1">40.3*OFFSET(L$108,MATCH($M$1,$C$109:$C$110,0),0)</f>
        <v>39.624168303013185</v>
      </c>
      <c r="M24" s="31">
        <f ca="1">46*OFFSET(M$108,MATCH($M$1,$C$109:$C$110,0),0)</f>
        <v>45.999999821282955</v>
      </c>
      <c r="N24" s="32">
        <f t="shared" ca="1" si="0"/>
        <v>0.53661369299040773</v>
      </c>
      <c r="O24" s="32">
        <f t="shared" ca="1" si="1"/>
        <v>-3.6404616037352018E-2</v>
      </c>
    </row>
    <row r="25" spans="1:15" s="19" customFormat="1" ht="18" customHeight="1" x14ac:dyDescent="0.2">
      <c r="A25" s="148"/>
      <c r="B25" s="33" t="s">
        <v>33</v>
      </c>
      <c r="C25" s="25"/>
      <c r="D25" s="26"/>
      <c r="E25" s="26">
        <f ca="1">2.3*OFFSET(E$108,MATCH($M$1,$C$109:$C$110,0),0)</f>
        <v>1.9212588537779833</v>
      </c>
      <c r="F25" s="26">
        <f ca="1">6.2*OFFSET(F$108,MATCH($M$1,$C$109:$C$110,0),0)</f>
        <v>5.3277838620607048</v>
      </c>
      <c r="G25" s="26"/>
      <c r="H25" s="26"/>
      <c r="I25" s="26">
        <f ca="1">2.7*OFFSET(I$108,MATCH($M$1,$C$109:$C$110,0),0)</f>
        <v>2.5120529672857534</v>
      </c>
      <c r="J25" s="26">
        <f ca="1">4.2*OFFSET(J$108,MATCH($M$1,$C$109:$C$110,0),0)</f>
        <v>3.99067196850226</v>
      </c>
      <c r="K25" s="26">
        <f ca="1">2.7*OFFSET(K$108,MATCH($M$1,$C$109:$C$110,0),0)</f>
        <v>2.6080379745110007</v>
      </c>
      <c r="L25" s="26"/>
      <c r="M25" s="27"/>
      <c r="N25" s="24" t="str">
        <f t="shared" si="0"/>
        <v/>
      </c>
      <c r="O25" s="24" t="str">
        <f t="shared" si="1"/>
        <v/>
      </c>
    </row>
    <row r="26" spans="1:15" s="19" customFormat="1" ht="18" customHeight="1" x14ac:dyDescent="0.2">
      <c r="A26" s="148"/>
      <c r="B26" s="45" t="s">
        <v>34</v>
      </c>
      <c r="C26" s="46"/>
      <c r="D26" s="47">
        <f ca="1">31.7*OFFSET(D$108,MATCH($M$1,$C$109:$C$110,0),0)</f>
        <v>25.786681768988075</v>
      </c>
      <c r="E26" s="47">
        <f ca="1">36.8*OFFSET(E$108,MATCH($M$1,$C$109:$C$110,0),0)</f>
        <v>30.740141660447733</v>
      </c>
      <c r="F26" s="47">
        <f ca="1">53.7*OFFSET(F$108,MATCH($M$1,$C$109:$C$110,0),0)</f>
        <v>46.145482805267719</v>
      </c>
      <c r="G26" s="47">
        <f ca="1">47*OFFSET(G$108,MATCH($M$1,$C$109:$C$110,0),0)</f>
        <v>41.560690553879141</v>
      </c>
      <c r="H26" s="47">
        <f ca="1">45.6*OFFSET(H$108,MATCH($M$1,$C$109:$C$110,0),0)</f>
        <v>41.121168659053211</v>
      </c>
      <c r="I26" s="47">
        <f ca="1">47.2*OFFSET(I$108,MATCH($M$1,$C$109:$C$110,0),0)</f>
        <v>43.914407428106507</v>
      </c>
      <c r="J26" s="47">
        <f ca="1">47.4*OFFSET(J$108,MATCH($M$1,$C$109:$C$110,0),0)</f>
        <v>45.037583644525505</v>
      </c>
      <c r="K26" s="47">
        <f ca="1">43.6*OFFSET(K$108,MATCH($M$1,$C$109:$C$110,0),0)</f>
        <v>42.114983588399866</v>
      </c>
      <c r="L26" s="47">
        <f ca="1">40.3*OFFSET(L$108,MATCH($M$1,$C$109:$C$110,0),0)</f>
        <v>39.624168303013185</v>
      </c>
      <c r="M26" s="48">
        <f ca="1">46*OFFSET(M$108,MATCH($M$1,$C$109:$C$110,0),0)</f>
        <v>45.999999821282955</v>
      </c>
      <c r="N26" s="49">
        <f t="shared" ca="1" si="0"/>
        <v>0.53661369299040773</v>
      </c>
      <c r="O26" s="49">
        <f t="shared" ca="1" si="1"/>
        <v>-3.6404616037352018E-2</v>
      </c>
    </row>
    <row r="27" spans="1:15" s="19" customFormat="1" ht="18" customHeight="1" x14ac:dyDescent="0.2">
      <c r="A27" s="148"/>
      <c r="B27" s="33" t="s">
        <v>35</v>
      </c>
      <c r="C27" s="25"/>
      <c r="D27" s="26">
        <f ca="1">2.5*OFFSET(D$108,MATCH($M$1,$C$109:$C$110,0),0)</f>
        <v>2.033649981781394</v>
      </c>
      <c r="E27" s="26">
        <f ca="1">3.9*OFFSET(E$108,MATCH($M$1,$C$109:$C$110,0),0)</f>
        <v>3.2577867520583199</v>
      </c>
      <c r="F27" s="26">
        <f ca="1">4.1*OFFSET(F$108,MATCH($M$1,$C$109:$C$110,0),0)</f>
        <v>3.5232119087820783</v>
      </c>
      <c r="G27" s="26">
        <f ca="1">5.5*OFFSET(G$108,MATCH($M$1,$C$109:$C$110,0),0)</f>
        <v>4.8634850648156442</v>
      </c>
      <c r="H27" s="26">
        <f ca="1">4*OFFSET(H$108,MATCH($M$1,$C$109:$C$110,0),0)</f>
        <v>3.6071200578116853</v>
      </c>
      <c r="I27" s="26">
        <f ca="1">4.3*OFFSET(I$108,MATCH($M$1,$C$109:$C$110,0),0)</f>
        <v>4.0006769478995334</v>
      </c>
      <c r="J27" s="26">
        <f ca="1">5.3*OFFSET(J$108,MATCH($M$1,$C$109:$C$110,0),0)</f>
        <v>5.0358479602528519</v>
      </c>
      <c r="K27" s="26">
        <f ca="1">5.2*OFFSET(K$108,MATCH($M$1,$C$109:$C$110,0),0)</f>
        <v>5.0228879509100759</v>
      </c>
      <c r="L27" s="26">
        <f ca="1">4.7*OFFSET(L$108,MATCH($M$1,$C$109:$C$110,0),0)</f>
        <v>4.621180918713697</v>
      </c>
      <c r="M27" s="27">
        <f ca="1">4.5*OFFSET(M$108,MATCH($M$1,$C$109:$C$110,0),0)</f>
        <v>4.4999999825168109</v>
      </c>
      <c r="N27" s="24">
        <f t="shared" ca="1" si="0"/>
        <v>1.2723580557681475</v>
      </c>
      <c r="O27" s="24">
        <f t="shared" ca="1" si="1"/>
        <v>0.28112756011708889</v>
      </c>
    </row>
    <row r="28" spans="1:15" s="19" customFormat="1" ht="18" customHeight="1" x14ac:dyDescent="0.2">
      <c r="A28" s="148"/>
      <c r="B28" s="33" t="s">
        <v>36</v>
      </c>
      <c r="C28" s="25"/>
      <c r="D28" s="26">
        <f ca="1">7.1*OFFSET(D$108,MATCH($M$1,$C$109:$C$110,0),0)</f>
        <v>5.7755659482591586</v>
      </c>
      <c r="E28" s="26">
        <f ca="1">8.2*OFFSET(E$108,MATCH($M$1,$C$109:$C$110,0),0)</f>
        <v>6.8497054786867233</v>
      </c>
      <c r="F28" s="26">
        <f ca="1">14.1*OFFSET(F$108,MATCH($M$1,$C$109:$C$110,0),0)</f>
        <v>12.116411686299344</v>
      </c>
      <c r="G28" s="26">
        <f ca="1">16.3*OFFSET(G$108,MATCH($M$1,$C$109:$C$110,0),0)</f>
        <v>14.413601192090001</v>
      </c>
      <c r="H28" s="26">
        <f ca="1">16.4*OFFSET(H$108,MATCH($M$1,$C$109:$C$110,0),0)</f>
        <v>14.789192237027908</v>
      </c>
      <c r="I28" s="26">
        <f ca="1">14.7*OFFSET(I$108,MATCH($M$1,$C$109:$C$110,0),0)</f>
        <v>13.676732821889102</v>
      </c>
      <c r="J28" s="26">
        <f ca="1">12.4*OFFSET(J$108,MATCH($M$1,$C$109:$C$110,0),0)</f>
        <v>11.781983907006673</v>
      </c>
      <c r="K28" s="26">
        <f ca="1">9.3*OFFSET(K$108,MATCH($M$1,$C$109:$C$110,0),0)</f>
        <v>8.9832419122045586</v>
      </c>
      <c r="L28" s="26">
        <f ca="1">6.3*OFFSET(L$108,MATCH($M$1,$C$109:$C$110,0),0)</f>
        <v>6.1943488910417628</v>
      </c>
      <c r="M28" s="27">
        <f ca="1">7.4*OFFSET(M$108,MATCH($M$1,$C$109:$C$110,0),0)</f>
        <v>7.3999999712498665</v>
      </c>
      <c r="N28" s="24">
        <f t="shared" ca="1" si="0"/>
        <v>7.2509420987363432E-2</v>
      </c>
      <c r="O28" s="24">
        <f t="shared" ca="1" si="1"/>
        <v>-0.58115705092176129</v>
      </c>
    </row>
    <row r="29" spans="1:15" s="19" customFormat="1" ht="18" customHeight="1" x14ac:dyDescent="0.2">
      <c r="A29" s="148"/>
      <c r="B29" s="33" t="s">
        <v>37</v>
      </c>
      <c r="C29" s="25"/>
      <c r="D29" s="26">
        <f ca="1">6*OFFSET(D$108,MATCH($M$1,$C$109:$C$110,0),0)</f>
        <v>4.8807599562753454</v>
      </c>
      <c r="E29" s="26">
        <f ca="1">4*OFFSET(E$108,MATCH($M$1,$C$109:$C$110,0),0)</f>
        <v>3.341319745700841</v>
      </c>
      <c r="F29" s="26">
        <f ca="1">6.6*OFFSET(F$108,MATCH($M$1,$C$109:$C$110,0),0)</f>
        <v>5.6715118531613946</v>
      </c>
      <c r="G29" s="26">
        <f ca="1">3.7*OFFSET(G$108,MATCH($M$1,$C$109:$C$110,0),0)</f>
        <v>3.2717990436032518</v>
      </c>
      <c r="H29" s="26">
        <f ca="1">4*OFFSET(H$108,MATCH($M$1,$C$109:$C$110,0),0)</f>
        <v>3.6071200578116853</v>
      </c>
      <c r="I29" s="26">
        <f ca="1">6.9*OFFSET(I$108,MATCH($M$1,$C$109:$C$110,0),0)</f>
        <v>6.4196909163969256</v>
      </c>
      <c r="J29" s="26">
        <f ca="1">7.1*OFFSET(J$108,MATCH($M$1,$C$109:$C$110,0),0)</f>
        <v>6.74613594675382</v>
      </c>
      <c r="K29" s="26">
        <f ca="1">7.2*OFFSET(K$108,MATCH($M$1,$C$109:$C$110,0),0)</f>
        <v>6.954767932029335</v>
      </c>
      <c r="L29" s="26">
        <f ca="1">9.8*OFFSET(L$108,MATCH($M$1,$C$109:$C$110,0),0)</f>
        <v>9.6356538305094102</v>
      </c>
      <c r="M29" s="27">
        <f ca="1">11.1*OFFSET(M$108,MATCH($M$1,$C$109:$C$110,0),0)</f>
        <v>11.099999956874798</v>
      </c>
      <c r="N29" s="24">
        <f t="shared" ca="1" si="0"/>
        <v>0.97421178603970249</v>
      </c>
      <c r="O29" s="24">
        <f t="shared" ca="1" si="1"/>
        <v>1.6712872530100999</v>
      </c>
    </row>
    <row r="30" spans="1:15" s="19" customFormat="1" ht="18" customHeight="1" x14ac:dyDescent="0.2">
      <c r="A30" s="148"/>
      <c r="B30" s="33" t="s">
        <v>38</v>
      </c>
      <c r="C30" s="25"/>
      <c r="D30" s="26">
        <f ca="1">15.6*OFFSET(D$108,MATCH($M$1,$C$109:$C$110,0),0)</f>
        <v>12.689975886315898</v>
      </c>
      <c r="E30" s="26">
        <f ca="1">16.1*OFFSET(E$108,MATCH($M$1,$C$109:$C$110,0),0)</f>
        <v>13.448811976445887</v>
      </c>
      <c r="F30" s="26">
        <f ca="1">24.7*OFFSET(F$108,MATCH($M$1,$C$109:$C$110,0),0)</f>
        <v>21.225203450467646</v>
      </c>
      <c r="G30" s="26">
        <f ca="1">25.5*OFFSET(G$108,MATCH($M$1,$C$109:$C$110,0),0)</f>
        <v>22.548885300508896</v>
      </c>
      <c r="H30" s="26">
        <f ca="1">24.4*OFFSET(H$108,MATCH($M$1,$C$109:$C$110,0),0)</f>
        <v>22.003432352651281</v>
      </c>
      <c r="I30" s="26">
        <f ca="1">26*OFFSET(I$108,MATCH($M$1,$C$109:$C$110,0),0)</f>
        <v>24.190139684973921</v>
      </c>
      <c r="J30" s="26">
        <f ca="1">24.7*OFFSET(J$108,MATCH($M$1,$C$109:$C$110,0),0)</f>
        <v>23.46895181476329</v>
      </c>
      <c r="K30" s="26">
        <f ca="1">21.6*OFFSET(K$108,MATCH($M$1,$C$109:$C$110,0),0)</f>
        <v>20.864303796088006</v>
      </c>
      <c r="L30" s="26">
        <f ca="1">20.8*OFFSET(L$108,MATCH($M$1,$C$109:$C$110,0),0)</f>
        <v>20.451183640264869</v>
      </c>
      <c r="M30" s="27">
        <f ca="1">23.1*OFFSET(M$108,MATCH($M$1,$C$109:$C$110,0),0)</f>
        <v>23.099999910252961</v>
      </c>
      <c r="N30" s="24">
        <f t="shared" ca="1" si="0"/>
        <v>0.61160145799159382</v>
      </c>
      <c r="O30" s="24">
        <f t="shared" ca="1" si="1"/>
        <v>-7.0545753385579182E-2</v>
      </c>
    </row>
    <row r="31" spans="1:15" s="19" customFormat="1" ht="18" customHeight="1" x14ac:dyDescent="0.2">
      <c r="A31" s="148"/>
      <c r="B31" s="33" t="s">
        <v>39</v>
      </c>
      <c r="C31" s="25"/>
      <c r="D31" s="26">
        <f ca="1">6.2*OFFSET(D$108,MATCH($M$1,$C$109:$C$110,0),0)</f>
        <v>5.0434519548178569</v>
      </c>
      <c r="E31" s="26">
        <f ca="1">10*OFFSET(E$108,MATCH($M$1,$C$109:$C$110,0),0)</f>
        <v>8.3532993642521021</v>
      </c>
      <c r="F31" s="26">
        <f ca="1">10.4*OFFSET(F$108,MATCH($M$1,$C$109:$C$110,0),0)</f>
        <v>8.9369277686179558</v>
      </c>
      <c r="G31" s="26">
        <f ca="1">7.7*OFFSET(G$108,MATCH($M$1,$C$109:$C$110,0),0)</f>
        <v>6.8088790907419021</v>
      </c>
      <c r="H31" s="26">
        <f ca="1">8.7*OFFSET(H$108,MATCH($M$1,$C$109:$C$110,0),0)</f>
        <v>7.8454861257404147</v>
      </c>
      <c r="I31" s="26">
        <f ca="1">7.8*OFFSET(I$108,MATCH($M$1,$C$109:$C$110,0),0)</f>
        <v>7.2570419054921764</v>
      </c>
      <c r="J31" s="26">
        <f ca="1">7.7*OFFSET(J$108,MATCH($M$1,$C$109:$C$110,0),0)</f>
        <v>7.3162319422541433</v>
      </c>
      <c r="K31" s="26">
        <f ca="1">7.3*OFFSET(K$108,MATCH($M$1,$C$109:$C$110,0),0)</f>
        <v>7.0513619310852977</v>
      </c>
      <c r="L31" s="26">
        <f ca="1">7.8*OFFSET(L$108,MATCH($M$1,$C$109:$C$110,0),0)</f>
        <v>7.6691938650993263</v>
      </c>
      <c r="M31" s="27">
        <f ca="1">8.9*OFFSET(M$108,MATCH($M$1,$C$109:$C$110,0),0)</f>
        <v>8.8999999654221362</v>
      </c>
      <c r="N31" s="24">
        <f t="shared" ca="1" si="0"/>
        <v>0.52062395633077807</v>
      </c>
      <c r="O31" s="24">
        <f t="shared" ca="1" si="1"/>
        <v>-2.247053373310897E-2</v>
      </c>
    </row>
    <row r="32" spans="1:15" s="19" customFormat="1" ht="18" customHeight="1" x14ac:dyDescent="0.2">
      <c r="A32" s="148"/>
      <c r="B32" s="33" t="s">
        <v>40</v>
      </c>
      <c r="C32" s="25"/>
      <c r="D32" s="26">
        <f ca="1">21.8*OFFSET(D$108,MATCH($M$1,$C$109:$C$110,0),0)</f>
        <v>17.733427841133754</v>
      </c>
      <c r="E32" s="26">
        <f ca="1">26.2*OFFSET(E$108,MATCH($M$1,$C$109:$C$110,0),0)</f>
        <v>21.885644334340508</v>
      </c>
      <c r="F32" s="26">
        <f ca="1">35.2*OFFSET(F$108,MATCH($M$1,$C$109:$C$110,0),0)</f>
        <v>30.248063216860775</v>
      </c>
      <c r="G32" s="26">
        <f ca="1">33.2*OFFSET(G$108,MATCH($M$1,$C$109:$C$110,0),0)</f>
        <v>29.3577643912508</v>
      </c>
      <c r="H32" s="26">
        <f ca="1">33.2*OFFSET(H$108,MATCH($M$1,$C$109:$C$110,0),0)</f>
        <v>29.939096479836991</v>
      </c>
      <c r="I32" s="26">
        <f ca="1">33.8*OFFSET(I$108,MATCH($M$1,$C$109:$C$110,0),0)</f>
        <v>31.447181590466094</v>
      </c>
      <c r="J32" s="26">
        <f ca="1">32.4*OFFSET(J$108,MATCH($M$1,$C$109:$C$110,0),0)</f>
        <v>30.785183757017432</v>
      </c>
      <c r="K32" s="26">
        <f ca="1">29*OFFSET(K$108,MATCH($M$1,$C$109:$C$110,0),0)</f>
        <v>28.012259726229267</v>
      </c>
      <c r="L32" s="26">
        <f ca="1">28.6*OFFSET(L$108,MATCH($M$1,$C$109:$C$110,0),0)</f>
        <v>28.120377505364196</v>
      </c>
      <c r="M32" s="27">
        <f ca="1">32*OFFSET(M$108,MATCH($M$1,$C$109:$C$110,0),0)</f>
        <v>31.999999875675098</v>
      </c>
      <c r="N32" s="24">
        <f t="shared" ca="1" si="0"/>
        <v>0.58572712265686655</v>
      </c>
      <c r="O32" s="24">
        <f t="shared" ca="1" si="1"/>
        <v>-6.0747289942354898E-2</v>
      </c>
    </row>
    <row r="33" spans="1:15" s="19" customFormat="1" ht="18" customHeight="1" x14ac:dyDescent="0.2">
      <c r="A33" s="148"/>
      <c r="B33" s="45" t="s">
        <v>41</v>
      </c>
      <c r="C33" s="46"/>
      <c r="D33" s="47">
        <f ca="1">17*OFFSET(D$108,MATCH($M$1,$C$109:$C$110,0),0)</f>
        <v>13.828819876113478</v>
      </c>
      <c r="E33" s="47">
        <f ca="1">18.8*OFFSET(E$108,MATCH($M$1,$C$109:$C$110,0),0)</f>
        <v>15.704202804793953</v>
      </c>
      <c r="F33" s="47">
        <f ca="1">32.7*OFFSET(F$108,MATCH($M$1,$C$109:$C$110,0),0)</f>
        <v>28.099763272481461</v>
      </c>
      <c r="G33" s="47">
        <f ca="1">30.1*OFFSET(G$108,MATCH($M$1,$C$109:$C$110,0),0)</f>
        <v>26.616527354718343</v>
      </c>
      <c r="H33" s="47">
        <f ca="1">28.9*OFFSET(H$108,MATCH($M$1,$C$109:$C$110,0),0)</f>
        <v>26.061442417689424</v>
      </c>
      <c r="I33" s="47">
        <f ca="1">28.1*OFFSET(I$108,MATCH($M$1,$C$109:$C$110,0),0)</f>
        <v>26.14395865952951</v>
      </c>
      <c r="J33" s="47">
        <f ca="1">27.3*OFFSET(J$108,MATCH($M$1,$C$109:$C$110,0),0)</f>
        <v>25.93936779526469</v>
      </c>
      <c r="K33" s="47">
        <f ca="1">23.9*OFFSET(K$108,MATCH($M$1,$C$109:$C$110,0),0)</f>
        <v>23.085965774375154</v>
      </c>
      <c r="L33" s="47">
        <f ca="1">18*OFFSET(L$108,MATCH($M$1,$C$109:$C$110,0),0)</f>
        <v>17.698139688690752</v>
      </c>
      <c r="M33" s="48">
        <f ca="1">21.4*OFFSET(M$108,MATCH($M$1,$C$109:$C$110,0),0)</f>
        <v>21.39999991685772</v>
      </c>
      <c r="N33" s="49">
        <f t="shared" ca="1" si="0"/>
        <v>0.27980115781685394</v>
      </c>
      <c r="O33" s="49">
        <f t="shared" ca="1" si="1"/>
        <v>-0.32090713149944494</v>
      </c>
    </row>
    <row r="34" spans="1:15" s="19" customFormat="1" ht="18" customHeight="1" x14ac:dyDescent="0.2">
      <c r="A34" s="148"/>
      <c r="B34" s="45" t="s">
        <v>42</v>
      </c>
      <c r="C34" s="46"/>
      <c r="D34" s="47">
        <f ca="1">9.9*OFFSET(D$108,MATCH($M$1,$C$109:$C$110,0),0)</f>
        <v>8.0532539278543194</v>
      </c>
      <c r="E34" s="47">
        <f ca="1">10.6*OFFSET(E$108,MATCH($M$1,$C$109:$C$110,0),0)</f>
        <v>8.8544973261072286</v>
      </c>
      <c r="F34" s="47">
        <f ca="1">18.6*OFFSET(F$108,MATCH($M$1,$C$109:$C$110,0),0)</f>
        <v>15.983351586182115</v>
      </c>
      <c r="G34" s="47">
        <f ca="1">13.8*OFFSET(G$108,MATCH($M$1,$C$109:$C$110,0),0)</f>
        <v>12.202926162628344</v>
      </c>
      <c r="H34" s="47">
        <f ca="1">12.5*OFFSET(H$108,MATCH($M$1,$C$109:$C$110,0),0)</f>
        <v>11.272250180661517</v>
      </c>
      <c r="I34" s="47">
        <f ca="1">13.4*OFFSET(I$108,MATCH($M$1,$C$109:$C$110,0),0)</f>
        <v>12.467225837640406</v>
      </c>
      <c r="J34" s="47">
        <f ca="1">14.9*OFFSET(J$108,MATCH($M$1,$C$109:$C$110,0),0)</f>
        <v>14.157383888258018</v>
      </c>
      <c r="K34" s="47">
        <f ca="1">14.6*OFFSET(K$108,MATCH($M$1,$C$109:$C$110,0),0)</f>
        <v>14.102723862170595</v>
      </c>
      <c r="L34" s="47">
        <f ca="1">11.7*OFFSET(L$108,MATCH($M$1,$C$109:$C$110,0),0)</f>
        <v>11.503790797648989</v>
      </c>
      <c r="M34" s="48">
        <f ca="1">14*OFFSET(M$108,MATCH($M$1,$C$109:$C$110,0),0)</f>
        <v>13.999999945607856</v>
      </c>
      <c r="N34" s="49">
        <f t="shared" ca="1" si="0"/>
        <v>0.42846492867436736</v>
      </c>
      <c r="O34" s="49">
        <f t="shared" ca="1" si="1"/>
        <v>2.0540762782634014E-2</v>
      </c>
    </row>
    <row r="35" spans="1:15" s="19" customFormat="1" ht="18" customHeight="1" x14ac:dyDescent="0.2">
      <c r="A35" s="148"/>
      <c r="B35" s="33" t="s">
        <v>43</v>
      </c>
      <c r="C35" s="25"/>
      <c r="D35" s="26">
        <f ca="1">3.1*OFFSET(D$108,MATCH($M$1,$C$109:$C$110,0),0)</f>
        <v>2.5217259774089285</v>
      </c>
      <c r="E35" s="26">
        <f ca="1">1.8*OFFSET(E$108,MATCH($M$1,$C$109:$C$110,0),0)</f>
        <v>1.5035938855653785</v>
      </c>
      <c r="F35" s="26">
        <f ca="1">2.2*OFFSET(F$108,MATCH($M$1,$C$109:$C$110,0),0)</f>
        <v>1.8905039510537984</v>
      </c>
      <c r="G35" s="26">
        <f ca="1">3.1*OFFSET(G$108,MATCH($M$1,$C$109:$C$110,0),0)</f>
        <v>2.7412370365324539</v>
      </c>
      <c r="H35" s="26">
        <f ca="1">1.6*OFFSET(H$108,MATCH($M$1,$C$109:$C$110,0),0)</f>
        <v>1.4428480231246743</v>
      </c>
      <c r="I35" s="26">
        <f ca="1">2.3*OFFSET(I$108,MATCH($M$1,$C$109:$C$110,0),0)</f>
        <v>2.1398969721323082</v>
      </c>
      <c r="J35" s="26">
        <f ca="1">2.1*OFFSET(J$108,MATCH($M$1,$C$109:$C$110,0),0)</f>
        <v>1.99533598425113</v>
      </c>
      <c r="K35" s="26">
        <f ca="1">2.5*OFFSET(K$108,MATCH($M$1,$C$109:$C$110,0),0)</f>
        <v>2.4148499763990747</v>
      </c>
      <c r="L35" s="26">
        <f ca="1">4.1*OFFSET(L$108,MATCH($M$1,$C$109:$C$110,0),0)</f>
        <v>4.0312429290906708</v>
      </c>
      <c r="M35" s="27"/>
      <c r="N35" s="24">
        <f t="shared" ca="1" si="0"/>
        <v>0.59860467204004852</v>
      </c>
      <c r="O35" s="24">
        <f t="shared" ca="1" si="1"/>
        <v>1.7939484023830119</v>
      </c>
    </row>
    <row r="36" spans="1:15" s="19" customFormat="1" ht="18" customHeight="1" x14ac:dyDescent="0.2">
      <c r="A36" s="148"/>
      <c r="B36" s="33" t="s">
        <v>44</v>
      </c>
      <c r="C36" s="25"/>
      <c r="D36" s="26">
        <f ca="1">0.9*OFFSET(D$108,MATCH($M$1,$C$109:$C$110,0),0)</f>
        <v>0.73211399344130179</v>
      </c>
      <c r="E36" s="26">
        <f ca="1">0.5*OFFSET(E$108,MATCH($M$1,$C$109:$C$110,0),0)</f>
        <v>0.41766496821260513</v>
      </c>
      <c r="F36" s="26">
        <f ca="1">0.9*OFFSET(F$108,MATCH($M$1,$C$109:$C$110,0),0)</f>
        <v>0.77338797997655384</v>
      </c>
      <c r="G36" s="26">
        <f ca="1">1.5*OFFSET(G$108,MATCH($M$1,$C$109:$C$110,0),0)</f>
        <v>1.3264050176769939</v>
      </c>
      <c r="H36" s="26">
        <f ca="1">0.5*OFFSET(H$108,MATCH($M$1,$C$109:$C$110,0),0)</f>
        <v>0.45089000722646067</v>
      </c>
      <c r="I36" s="26">
        <f ca="1">0.4*OFFSET(I$108,MATCH($M$1,$C$109:$C$110,0),0)</f>
        <v>0.372155995153445</v>
      </c>
      <c r="J36" s="26">
        <f ca="1">0.4*OFFSET(J$108,MATCH($M$1,$C$109:$C$110,0),0)</f>
        <v>0.38006399700021526</v>
      </c>
      <c r="K36" s="26">
        <f ca="1">0.3*OFFSET(K$108,MATCH($M$1,$C$109:$C$110,0),0)</f>
        <v>0.28978199716788894</v>
      </c>
      <c r="L36" s="26">
        <f ca="1">0.4*OFFSET(L$108,MATCH($M$1,$C$109:$C$110,0),0)</f>
        <v>0.39329199308201673</v>
      </c>
      <c r="M36" s="27"/>
      <c r="N36" s="24">
        <f t="shared" ca="1" si="0"/>
        <v>-0.462799514002802</v>
      </c>
      <c r="O36" s="24">
        <f t="shared" ca="1" si="1"/>
        <v>-0.12774293779262041</v>
      </c>
    </row>
    <row r="37" spans="1:15" s="19" customFormat="1" ht="18" customHeight="1" x14ac:dyDescent="0.2">
      <c r="A37" s="148"/>
      <c r="B37" s="33" t="s">
        <v>45</v>
      </c>
      <c r="C37" s="25"/>
      <c r="D37" s="26"/>
      <c r="E37" s="26"/>
      <c r="F37" s="26"/>
      <c r="G37" s="26"/>
      <c r="H37" s="26">
        <f ca="1">0.6*OFFSET(H$108,MATCH($M$1,$C$109:$C$110,0),0)</f>
        <v>0.54106800867175275</v>
      </c>
      <c r="I37" s="26">
        <f ca="1">1.4*OFFSET(I$108,MATCH($M$1,$C$109:$C$110,0),0)</f>
        <v>1.3025459830370572</v>
      </c>
      <c r="J37" s="26">
        <f ca="1">1.1*OFFSET(J$108,MATCH($M$1,$C$109:$C$110,0),0)</f>
        <v>1.0451759917505921</v>
      </c>
      <c r="K37" s="26">
        <f ca="1">1.4*OFFSET(K$108,MATCH($M$1,$C$109:$C$110,0),0)</f>
        <v>1.3523159867834817</v>
      </c>
      <c r="L37" s="26">
        <f ca="1">0.3*OFFSET(L$108,MATCH($M$1,$C$109:$C$110,0),0)</f>
        <v>0.29496899481151251</v>
      </c>
      <c r="M37" s="27"/>
      <c r="N37" s="24" t="str">
        <f t="shared" ca="1" si="0"/>
        <v/>
      </c>
      <c r="O37" s="24">
        <f t="shared" ca="1" si="1"/>
        <v>-0.45483933612038779</v>
      </c>
    </row>
    <row r="38" spans="1:15" s="19" customFormat="1" ht="18" customHeight="1" thickBot="1" x14ac:dyDescent="0.25">
      <c r="A38" s="149"/>
      <c r="B38" s="50" t="s">
        <v>46</v>
      </c>
      <c r="C38" s="51"/>
      <c r="D38" s="52">
        <f ca="1">6*OFFSET(D$108,MATCH($M$1,$C$109:$C$110,0),0)</f>
        <v>4.8807599562753454</v>
      </c>
      <c r="E38" s="52">
        <f ca="1">8.4*OFFSET(E$108,MATCH($M$1,$C$109:$C$110,0),0)</f>
        <v>7.0167714659717664</v>
      </c>
      <c r="F38" s="52">
        <f ca="1">15.5*OFFSET(F$108,MATCH($M$1,$C$109:$C$110,0),0)</f>
        <v>13.319459655151761</v>
      </c>
      <c r="G38" s="52">
        <f ca="1">9.2*OFFSET(G$108,MATCH($M$1,$C$109:$C$110,0),0)</f>
        <v>8.1352841084188956</v>
      </c>
      <c r="H38" s="52">
        <f ca="1">9.8*OFFSET(H$108,MATCH($M$1,$C$109:$C$110,0),0)</f>
        <v>8.8374441416386293</v>
      </c>
      <c r="I38" s="52">
        <f ca="1">9.3*OFFSET(I$108,MATCH($M$1,$C$109:$C$110,0),0)</f>
        <v>8.6526268873175951</v>
      </c>
      <c r="J38" s="52">
        <f ca="1">11.3*OFFSET(J$108,MATCH($M$1,$C$109:$C$110,0),0)</f>
        <v>10.736807915256081</v>
      </c>
      <c r="K38" s="52">
        <f ca="1">10.4*OFFSET(K$108,MATCH($M$1,$C$109:$C$110,0),0)</f>
        <v>10.045775901820152</v>
      </c>
      <c r="L38" s="52">
        <f ca="1">6.9*OFFSET(L$108,MATCH($M$1,$C$109:$C$110,0),0)</f>
        <v>6.7842868806647889</v>
      </c>
      <c r="M38" s="53"/>
      <c r="N38" s="54">
        <f t="shared" ca="1" si="0"/>
        <v>0.39000625751774975</v>
      </c>
      <c r="O38" s="54">
        <f t="shared" ca="1" si="1"/>
        <v>-0.23232477943483174</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Under 10m drift and/or fixed nets</v>
      </c>
      <c r="C45" s="61"/>
      <c r="D45" s="61"/>
      <c r="E45" s="61"/>
      <c r="F45" s="61" t="str">
        <f>$B21&amp;CHAR(10)&amp;$A$1</f>
        <v>Income per kW day at sea (£)
Under 10m drift and/or fixed nets</v>
      </c>
      <c r="G45" s="61"/>
      <c r="K45" s="61" t="str">
        <f>$B23&amp;CHAR(10)&amp;$A$1</f>
        <v>Operating profit per kW day at sea (£)
Under 10m drift and/or fixed nets</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Under 10m drift and/or fixed nets</v>
      </c>
      <c r="F59" s="61" t="str">
        <f>$B19&amp;CHAR(10)&amp;$A$1</f>
        <v>Average price per tonne landed (£)
Under 10m drift and/or fixed nets</v>
      </c>
      <c r="K59" s="61" t="str">
        <f>"Average annual operating profit per vessel (£'000)"&amp;CHAR(10)&amp;$A$1</f>
        <v>Average annual operating profit per vessel (£'000)
Under 10m drift and/or fixed nets</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Under 10m drift and/or fixed nets</v>
      </c>
      <c r="F73" s="61" t="str">
        <f>"Top 5 landed species by value in "&amp;A74&amp;CHAR(10)&amp;A1</f>
        <v>Top 5 landed species by value in 2013
Under 10m drift and/or fixed nets</v>
      </c>
    </row>
    <row r="74" spans="1:9" s="61" customFormat="1" x14ac:dyDescent="0.2">
      <c r="A74" s="61">
        <v>2013</v>
      </c>
      <c r="B74" s="61" t="s">
        <v>456</v>
      </c>
      <c r="C74" s="62">
        <v>0.19984339311093019</v>
      </c>
      <c r="D74" s="63">
        <v>3511670</v>
      </c>
      <c r="G74" s="61" t="s">
        <v>457</v>
      </c>
      <c r="H74" s="62">
        <v>0.25180777208108235</v>
      </c>
      <c r="I74" s="63">
        <v>8211234</v>
      </c>
    </row>
    <row r="75" spans="1:9" s="61" customFormat="1" x14ac:dyDescent="0.2">
      <c r="B75" s="61" t="s">
        <v>458</v>
      </c>
      <c r="C75" s="62">
        <v>9.1049986705678154E-2</v>
      </c>
      <c r="D75" s="63">
        <v>1464488</v>
      </c>
      <c r="G75" s="61" t="s">
        <v>459</v>
      </c>
      <c r="H75" s="62">
        <v>0.1871535021565581</v>
      </c>
      <c r="I75" s="63">
        <v>2171775</v>
      </c>
    </row>
    <row r="76" spans="1:9" s="61" customFormat="1" x14ac:dyDescent="0.2">
      <c r="B76" s="61" t="s">
        <v>460</v>
      </c>
      <c r="C76" s="62">
        <v>8.9797574644589387E-2</v>
      </c>
      <c r="D76" s="63">
        <v>8211234</v>
      </c>
      <c r="G76" s="61" t="s">
        <v>461</v>
      </c>
      <c r="H76" s="62">
        <v>5.8783870670053417E-2</v>
      </c>
      <c r="I76" s="63">
        <v>2783840</v>
      </c>
    </row>
    <row r="77" spans="1:9" s="61" customFormat="1" x14ac:dyDescent="0.2">
      <c r="B77" s="61" t="s">
        <v>462</v>
      </c>
      <c r="C77" s="62">
        <v>8.5959186431947346E-2</v>
      </c>
      <c r="D77" s="63">
        <v>2764187</v>
      </c>
      <c r="G77" s="61" t="s">
        <v>463</v>
      </c>
      <c r="H77" s="62">
        <v>5.8058512743939673E-2</v>
      </c>
      <c r="I77" s="63">
        <v>6763595</v>
      </c>
    </row>
    <row r="78" spans="1:9" s="61" customFormat="1" x14ac:dyDescent="0.2">
      <c r="B78" s="61" t="s">
        <v>464</v>
      </c>
      <c r="C78" s="62">
        <v>6.3940250606577737E-2</v>
      </c>
      <c r="D78" s="63">
        <v>2783840</v>
      </c>
      <c r="G78" s="61" t="s">
        <v>465</v>
      </c>
      <c r="H78" s="62">
        <v>4.73461608576006E-2</v>
      </c>
      <c r="I78" s="63">
        <v>2764187</v>
      </c>
    </row>
    <row r="79" spans="1:9" s="61" customFormat="1" x14ac:dyDescent="0.2">
      <c r="B79" s="61" t="s">
        <v>466</v>
      </c>
      <c r="C79" s="62">
        <v>0.46940960850027724</v>
      </c>
      <c r="D79" s="63">
        <v>32768</v>
      </c>
      <c r="G79" s="61" t="s">
        <v>467</v>
      </c>
      <c r="H79" s="62">
        <v>0.3968501814907659</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84</v>
      </c>
      <c r="D88" s="66">
        <v>0.23308298879297168</v>
      </c>
      <c r="E88" s="66">
        <v>0.27026420598737438</v>
      </c>
      <c r="F88" s="66">
        <v>0.35211184841596554</v>
      </c>
      <c r="G88" s="66">
        <v>0.27777924428413436</v>
      </c>
      <c r="H88" s="66">
        <v>0.32625607239829263</v>
      </c>
      <c r="I88" s="66">
        <v>0.30522150793869107</v>
      </c>
      <c r="J88" s="66">
        <v>0.32980172513493899</v>
      </c>
      <c r="K88" s="66">
        <v>0.28278400994472552</v>
      </c>
      <c r="L88" s="66">
        <v>0.25610260473334795</v>
      </c>
      <c r="M88" s="66">
        <v>0.25384896007485386</v>
      </c>
      <c r="N88" s="61"/>
      <c r="O88" s="61">
        <v>8211234</v>
      </c>
    </row>
    <row r="89" spans="1:15" s="65" customFormat="1" hidden="1" x14ac:dyDescent="0.2">
      <c r="A89" s="61"/>
      <c r="B89" s="61">
        <v>2</v>
      </c>
      <c r="C89" s="61" t="s">
        <v>135</v>
      </c>
      <c r="D89" s="66">
        <v>8.7493392920798427E-2</v>
      </c>
      <c r="E89" s="66">
        <v>9.9232672978760983E-2</v>
      </c>
      <c r="F89" s="66">
        <v>9.308015274481389E-2</v>
      </c>
      <c r="G89" s="66">
        <v>0.12009359348318095</v>
      </c>
      <c r="H89" s="66">
        <v>0.12548584753634126</v>
      </c>
      <c r="I89" s="66">
        <v>0.14049045768157017</v>
      </c>
      <c r="J89" s="66">
        <v>0.14445476000747295</v>
      </c>
      <c r="K89" s="66">
        <v>0.17404357276691498</v>
      </c>
      <c r="L89" s="66">
        <v>0.19034559176286711</v>
      </c>
      <c r="M89" s="66">
        <v>0.28618644537065235</v>
      </c>
      <c r="N89" s="61"/>
      <c r="O89" s="61">
        <v>2171775</v>
      </c>
    </row>
    <row r="90" spans="1:15" s="65" customFormat="1" hidden="1" x14ac:dyDescent="0.2">
      <c r="A90" s="61"/>
      <c r="B90" s="61">
        <v>3</v>
      </c>
      <c r="C90" s="61" t="s">
        <v>150</v>
      </c>
      <c r="D90" s="66">
        <v>6.8798903697508157E-2</v>
      </c>
      <c r="E90" s="66"/>
      <c r="F90" s="66">
        <v>5.0609953974433457E-2</v>
      </c>
      <c r="G90" s="66">
        <v>6.7912508335517374E-2</v>
      </c>
      <c r="H90" s="66">
        <v>6.0408450270104809E-2</v>
      </c>
      <c r="I90" s="66"/>
      <c r="J90" s="66">
        <v>4.5989258258063617E-2</v>
      </c>
      <c r="K90" s="66">
        <v>7.4854596289486361E-2</v>
      </c>
      <c r="L90" s="66">
        <v>5.9786488202839543E-2</v>
      </c>
      <c r="M90" s="66">
        <v>5.2848859177586999E-2</v>
      </c>
      <c r="N90" s="61"/>
      <c r="O90" s="61">
        <v>2783840</v>
      </c>
    </row>
    <row r="91" spans="1:15" s="65" customFormat="1" hidden="1" x14ac:dyDescent="0.2">
      <c r="A91" s="61"/>
      <c r="B91" s="61">
        <v>4</v>
      </c>
      <c r="C91" s="61" t="s">
        <v>82</v>
      </c>
      <c r="D91" s="66"/>
      <c r="E91" s="66"/>
      <c r="F91" s="66">
        <v>4.4142664587031741E-2</v>
      </c>
      <c r="G91" s="66"/>
      <c r="H91" s="66">
        <v>4.6543069135251615E-2</v>
      </c>
      <c r="I91" s="66"/>
      <c r="J91" s="66">
        <v>3.8261042841994802E-2</v>
      </c>
      <c r="K91" s="66">
        <v>5.4590425016285825E-2</v>
      </c>
      <c r="L91" s="66">
        <v>5.9048758573978476E-2</v>
      </c>
      <c r="M91" s="66">
        <v>3.6213328014263697E-2</v>
      </c>
      <c r="N91" s="61"/>
      <c r="O91" s="61">
        <v>6763595</v>
      </c>
    </row>
    <row r="92" spans="1:15" s="65" customFormat="1" hidden="1" x14ac:dyDescent="0.2">
      <c r="A92" s="61"/>
      <c r="B92" s="61">
        <v>5</v>
      </c>
      <c r="C92" s="61" t="s">
        <v>61</v>
      </c>
      <c r="D92" s="66"/>
      <c r="E92" s="66">
        <v>7.0266084773161999E-2</v>
      </c>
      <c r="F92" s="66"/>
      <c r="G92" s="66"/>
      <c r="H92" s="66"/>
      <c r="I92" s="66"/>
      <c r="J92" s="66"/>
      <c r="K92" s="66"/>
      <c r="L92" s="66">
        <v>4.8153696844000442E-2</v>
      </c>
      <c r="M92" s="66"/>
      <c r="N92" s="61"/>
      <c r="O92" s="61">
        <v>2764187</v>
      </c>
    </row>
    <row r="93" spans="1:15" s="65" customFormat="1" hidden="1" x14ac:dyDescent="0.2">
      <c r="A93" s="61"/>
      <c r="B93" s="61">
        <v>6</v>
      </c>
      <c r="C93" s="61" t="s">
        <v>195</v>
      </c>
      <c r="D93" s="66"/>
      <c r="E93" s="66"/>
      <c r="F93" s="66"/>
      <c r="G93" s="66">
        <v>5.9938569881856155E-2</v>
      </c>
      <c r="H93" s="66">
        <v>4.5569887342283649E-2</v>
      </c>
      <c r="I93" s="66">
        <v>5.0074755550947411E-2</v>
      </c>
      <c r="J93" s="66"/>
      <c r="K93" s="66"/>
      <c r="L93" s="66"/>
      <c r="M93" s="66">
        <v>4.2834553085450845E-2</v>
      </c>
      <c r="N93" s="61"/>
      <c r="O93" s="61">
        <v>3511670</v>
      </c>
    </row>
    <row r="94" spans="1:15" s="65" customFormat="1" hidden="1" x14ac:dyDescent="0.2">
      <c r="A94" s="61"/>
      <c r="B94" s="61">
        <v>7</v>
      </c>
      <c r="C94" s="61" t="s">
        <v>65</v>
      </c>
      <c r="D94" s="66"/>
      <c r="E94" s="66">
        <v>7.468024845900445E-2</v>
      </c>
      <c r="F94" s="66"/>
      <c r="G94" s="66"/>
      <c r="H94" s="66"/>
      <c r="I94" s="66"/>
      <c r="J94" s="66"/>
      <c r="K94" s="66">
        <v>3.9936137985426223E-2</v>
      </c>
      <c r="L94" s="66"/>
      <c r="M94" s="66"/>
      <c r="N94" s="61"/>
      <c r="O94" s="61">
        <v>1464488</v>
      </c>
    </row>
    <row r="95" spans="1:15" s="65" customFormat="1" hidden="1" x14ac:dyDescent="0.2">
      <c r="A95" s="61"/>
      <c r="B95" s="61">
        <v>8</v>
      </c>
      <c r="C95" s="61" t="s">
        <v>133</v>
      </c>
      <c r="D95" s="66"/>
      <c r="E95" s="66"/>
      <c r="F95" s="66"/>
      <c r="G95" s="66"/>
      <c r="H95" s="66"/>
      <c r="I95" s="66">
        <v>5.1969324676009183E-2</v>
      </c>
      <c r="J95" s="66">
        <v>4.239176654970047E-2</v>
      </c>
      <c r="K95" s="66"/>
      <c r="L95" s="66"/>
      <c r="M95" s="66"/>
      <c r="N95" s="61"/>
      <c r="O95" s="61">
        <v>8274269</v>
      </c>
    </row>
    <row r="96" spans="1:15" s="65" customFormat="1" hidden="1" x14ac:dyDescent="0.2">
      <c r="A96" s="61"/>
      <c r="B96" s="61">
        <v>9</v>
      </c>
      <c r="C96" s="61" t="s">
        <v>101</v>
      </c>
      <c r="D96" s="66"/>
      <c r="E96" s="66"/>
      <c r="F96" s="66"/>
      <c r="G96" s="66"/>
      <c r="H96" s="66"/>
      <c r="I96" s="66">
        <v>4.2651829547100555E-2</v>
      </c>
      <c r="J96" s="66"/>
      <c r="K96" s="66"/>
      <c r="L96" s="66"/>
      <c r="M96" s="66"/>
      <c r="N96" s="61"/>
      <c r="O96" s="61">
        <v>10520359</v>
      </c>
    </row>
    <row r="97" spans="1:15" s="65" customFormat="1" hidden="1" x14ac:dyDescent="0.2">
      <c r="A97" s="61"/>
      <c r="B97" s="61">
        <v>10</v>
      </c>
      <c r="C97" s="61" t="s">
        <v>151</v>
      </c>
      <c r="D97" s="66">
        <v>8.5922631041952746E-2</v>
      </c>
      <c r="E97" s="66"/>
      <c r="F97" s="66">
        <v>4.7358033242180776E-2</v>
      </c>
      <c r="G97" s="66">
        <v>4.7526996287015406E-2</v>
      </c>
      <c r="H97" s="66"/>
      <c r="I97" s="66"/>
      <c r="J97" s="66"/>
      <c r="K97" s="66"/>
      <c r="L97" s="66"/>
      <c r="M97" s="66"/>
      <c r="N97" s="61"/>
      <c r="O97" s="61">
        <v>1928395</v>
      </c>
    </row>
    <row r="98" spans="1:15" s="65" customFormat="1" hidden="1" x14ac:dyDescent="0.2">
      <c r="A98" s="61"/>
      <c r="B98" s="61">
        <v>11</v>
      </c>
      <c r="C98" s="61" t="s">
        <v>191</v>
      </c>
      <c r="D98" s="66"/>
      <c r="E98" s="66">
        <v>6.2165701316992651E-2</v>
      </c>
      <c r="F98" s="66"/>
      <c r="G98" s="66"/>
      <c r="H98" s="66"/>
      <c r="I98" s="66"/>
      <c r="J98" s="66"/>
      <c r="K98" s="66"/>
      <c r="L98" s="66"/>
      <c r="M98" s="66"/>
      <c r="N98" s="61"/>
      <c r="O98" s="61">
        <v>10782840</v>
      </c>
    </row>
    <row r="99" spans="1:15" s="65" customFormat="1" hidden="1" x14ac:dyDescent="0.2">
      <c r="A99" s="61"/>
      <c r="B99" s="61">
        <v>12</v>
      </c>
      <c r="C99" s="61" t="s">
        <v>67</v>
      </c>
      <c r="D99" s="66">
        <v>7.2586354787750967E-2</v>
      </c>
      <c r="E99" s="66"/>
      <c r="F99" s="66"/>
      <c r="G99" s="66"/>
      <c r="H99" s="66"/>
      <c r="I99" s="66"/>
      <c r="J99" s="66"/>
      <c r="K99" s="66"/>
      <c r="L99" s="66"/>
      <c r="M99" s="66"/>
      <c r="N99" s="61"/>
      <c r="O99" s="61">
        <v>7829670</v>
      </c>
    </row>
    <row r="100" spans="1:15" s="65" customFormat="1" hidden="1" x14ac:dyDescent="0.2">
      <c r="A100" s="61"/>
      <c r="B100" s="61">
        <v>13</v>
      </c>
      <c r="C100" s="61" t="s">
        <v>68</v>
      </c>
      <c r="D100" s="66">
        <v>0.45211572875901801</v>
      </c>
      <c r="E100" s="66">
        <v>0.42339108648470553</v>
      </c>
      <c r="F100" s="66">
        <v>0.41269734703557459</v>
      </c>
      <c r="G100" s="66">
        <v>0.42674908772829578</v>
      </c>
      <c r="H100" s="66">
        <v>0.395736673317726</v>
      </c>
      <c r="I100" s="66">
        <v>0.40959212460568156</v>
      </c>
      <c r="J100" s="66">
        <v>0.39910144720782914</v>
      </c>
      <c r="K100" s="66">
        <v>0.37379125799716106</v>
      </c>
      <c r="L100" s="66">
        <v>0.38656285988296646</v>
      </c>
      <c r="M100" s="66">
        <v>0.32806785427719221</v>
      </c>
      <c r="N100" s="61"/>
      <c r="O100" s="61">
        <v>32768</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14</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'U10m drift-fixed nets'!D3:L3</xm:f>
              <xm:sqref>C3</xm:sqref>
            </x14:sparkline>
            <x14:sparkline>
              <xm:f>'U10m drift-fixed nets'!D4:L4</xm:f>
              <xm:sqref>C4</xm:sqref>
            </x14:sparkline>
            <x14:sparkline>
              <xm:f>'U10m drift-fixed nets'!D5:L5</xm:f>
              <xm:sqref>C5</xm:sqref>
            </x14:sparkline>
            <x14:sparkline>
              <xm:f>'U10m drift-fixed nets'!D6:L6</xm:f>
              <xm:sqref>C6</xm:sqref>
            </x14:sparkline>
            <x14:sparkline>
              <xm:f>'U10m drift-fixed nets'!D7:L7</xm:f>
              <xm:sqref>C7</xm:sqref>
            </x14:sparkline>
            <x14:sparkline>
              <xm:f>'U10m drift-fixed nets'!D8:L8</xm:f>
              <xm:sqref>C8</xm:sqref>
            </x14:sparkline>
            <x14:sparkline>
              <xm:f>'U10m drift-fixed nets'!D9:L9</xm:f>
              <xm:sqref>C9</xm:sqref>
            </x14:sparkline>
            <x14:sparkline>
              <xm:f>'U10m drift-fixed nets'!D10:L10</xm:f>
              <xm:sqref>C10</xm:sqref>
            </x14:sparkline>
            <x14:sparkline>
              <xm:f>'U10m drift-fixed nets'!D11:L11</xm:f>
              <xm:sqref>C11</xm:sqref>
            </x14:sparkline>
            <x14:sparkline>
              <xm:f>'U10m drift-fixed nets'!D12:L12</xm:f>
              <xm:sqref>C12</xm:sqref>
            </x14:sparkline>
            <x14:sparkline>
              <xm:f>'U10m drift-fixed nets'!D13:L13</xm:f>
              <xm:sqref>C13</xm:sqref>
            </x14:sparkline>
            <x14:sparkline>
              <xm:f>'U10m drift-fixed nets'!D14:L14</xm:f>
              <xm:sqref>C14</xm:sqref>
            </x14:sparkline>
            <x14:sparkline>
              <xm:f>'U10m drift-fixed nets'!D15:L15</xm:f>
              <xm:sqref>C15</xm:sqref>
            </x14:sparkline>
            <x14:sparkline>
              <xm:f>'U10m drift-fixed nets'!D16:L16</xm:f>
              <xm:sqref>C16</xm:sqref>
            </x14:sparkline>
            <x14:sparkline>
              <xm:f>'U10m drift-fixed nets'!D17:L17</xm:f>
              <xm:sqref>C17</xm:sqref>
            </x14:sparkline>
            <x14:sparkline>
              <xm:f>'U10m drift-fixed nets'!D18:L18</xm:f>
              <xm:sqref>C18</xm:sqref>
            </x14:sparkline>
            <x14:sparkline>
              <xm:f>'U10m drift-fixed nets'!D19:L19</xm:f>
              <xm:sqref>C19</xm:sqref>
            </x14:sparkline>
            <x14:sparkline>
              <xm:f>'U10m drift-fixed nets'!D20:L20</xm:f>
              <xm:sqref>C20</xm:sqref>
            </x14:sparkline>
            <x14:sparkline>
              <xm:f>'U10m drift-fixed nets'!D21:L21</xm:f>
              <xm:sqref>C21</xm:sqref>
            </x14:sparkline>
            <x14:sparkline>
              <xm:f>'U10m drift-fixed nets'!D22:L22</xm:f>
              <xm:sqref>C22</xm:sqref>
            </x14:sparkline>
            <x14:sparkline>
              <xm:f>'U10m drift-fixed nets'!D23:L23</xm:f>
              <xm:sqref>C23</xm:sqref>
            </x14:sparkline>
            <x14:sparkline>
              <xm:f>'U10m drift-fixed nets'!D24:L24</xm:f>
              <xm:sqref>C24</xm:sqref>
            </x14:sparkline>
            <x14:sparkline>
              <xm:f>'U10m drift-fixed nets'!D25:L25</xm:f>
              <xm:sqref>C25</xm:sqref>
            </x14:sparkline>
            <x14:sparkline>
              <xm:f>'U10m drift-fixed nets'!D26:L26</xm:f>
              <xm:sqref>C26</xm:sqref>
            </x14:sparkline>
            <x14:sparkline>
              <xm:f>'U10m drift-fixed nets'!D27:L27</xm:f>
              <xm:sqref>C27</xm:sqref>
            </x14:sparkline>
            <x14:sparkline>
              <xm:f>'U10m drift-fixed nets'!D28:L28</xm:f>
              <xm:sqref>C28</xm:sqref>
            </x14:sparkline>
            <x14:sparkline>
              <xm:f>'U10m drift-fixed nets'!D29:L29</xm:f>
              <xm:sqref>C29</xm:sqref>
            </x14:sparkline>
            <x14:sparkline>
              <xm:f>'U10m drift-fixed nets'!D30:L30</xm:f>
              <xm:sqref>C30</xm:sqref>
            </x14:sparkline>
            <x14:sparkline>
              <xm:f>'U10m drift-fixed nets'!D31:L31</xm:f>
              <xm:sqref>C31</xm:sqref>
            </x14:sparkline>
            <x14:sparkline>
              <xm:f>'U10m drift-fixed nets'!D32:L32</xm:f>
              <xm:sqref>C32</xm:sqref>
            </x14:sparkline>
            <x14:sparkline>
              <xm:f>'U10m drift-fixed nets'!D33:L33</xm:f>
              <xm:sqref>C33</xm:sqref>
            </x14:sparkline>
            <x14:sparkline>
              <xm:f>'U10m drift-fixed nets'!D34:L34</xm:f>
              <xm:sqref>C34</xm:sqref>
            </x14:sparkline>
            <x14:sparkline>
              <xm:f>'U10m drift-fixed nets'!D35:L35</xm:f>
              <xm:sqref>C35</xm:sqref>
            </x14:sparkline>
            <x14:sparkline>
              <xm:f>'U10m drift-fixed nets'!D36:L36</xm:f>
              <xm:sqref>C36</xm:sqref>
            </x14:sparkline>
            <x14:sparkline>
              <xm:f>'U10m drift-fixed nets'!D37:L37</xm:f>
              <xm:sqref>C37</xm:sqref>
            </x14:sparkline>
            <x14:sparkline>
              <xm:f>'U10m drift-fixed nets'!D38:L38</xm:f>
              <xm:sqref>C38</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468</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443</v>
      </c>
      <c r="E3" s="16">
        <v>1010</v>
      </c>
      <c r="F3" s="16">
        <v>1106</v>
      </c>
      <c r="G3" s="16">
        <v>1067</v>
      </c>
      <c r="H3" s="16">
        <v>988</v>
      </c>
      <c r="I3" s="16">
        <v>1007</v>
      </c>
      <c r="J3" s="16">
        <v>1084</v>
      </c>
      <c r="K3" s="16">
        <v>1070</v>
      </c>
      <c r="L3" s="16">
        <v>999</v>
      </c>
      <c r="M3" s="17">
        <v>1020</v>
      </c>
      <c r="N3" s="18">
        <f t="shared" ref="N3:N38" si="0">IF(L3=0,"",IFERROR(IF(AND(L3&gt;0,D3&lt;0),"na",IF(AND(L3&lt;0,D3&lt;0),-1,1)*(L3-D3)/D3),""))</f>
        <v>1.255079006772009</v>
      </c>
      <c r="O3" s="18">
        <f t="shared" ref="O3:O38" si="1">IF(L3=0,"",IFERROR(IF(AND(L3&gt;0,H3&lt;0),"na",IF(AND(L3&lt;0,H3&lt;0),-1,1)*(L3-H3)/H3),""))</f>
        <v>1.1133603238866396E-2</v>
      </c>
    </row>
    <row r="4" spans="1:15" s="19" customFormat="1" ht="18" customHeight="1" x14ac:dyDescent="0.2">
      <c r="A4" s="141"/>
      <c r="B4" s="20" t="s">
        <v>20</v>
      </c>
      <c r="C4" s="21"/>
      <c r="D4" s="22">
        <v>35437.48046875</v>
      </c>
      <c r="E4" s="22">
        <v>77973.1484375</v>
      </c>
      <c r="F4" s="22">
        <v>82438.3984375</v>
      </c>
      <c r="G4" s="22">
        <v>80263</v>
      </c>
      <c r="H4" s="22">
        <v>76015.84375</v>
      </c>
      <c r="I4" s="22">
        <v>76155.65625</v>
      </c>
      <c r="J4" s="22">
        <v>80417.3125</v>
      </c>
      <c r="K4" s="22">
        <v>80319.2734375</v>
      </c>
      <c r="L4" s="22">
        <v>79135.140625</v>
      </c>
      <c r="M4" s="23">
        <v>79428.9609375</v>
      </c>
      <c r="N4" s="24">
        <f t="shared" si="0"/>
        <v>1.2330916187674266</v>
      </c>
      <c r="O4" s="24">
        <f t="shared" si="1"/>
        <v>4.1034825387963943E-2</v>
      </c>
    </row>
    <row r="5" spans="1:15" s="19" customFormat="1" ht="18" customHeight="1" x14ac:dyDescent="0.2">
      <c r="A5" s="141"/>
      <c r="B5" s="20" t="s">
        <v>21</v>
      </c>
      <c r="C5" s="21"/>
      <c r="D5" s="22">
        <v>2234.330078125</v>
      </c>
      <c r="E5" s="22">
        <v>4542.240234375</v>
      </c>
      <c r="F5" s="22">
        <v>4802.580078125</v>
      </c>
      <c r="G5" s="22">
        <v>4701.5400390625</v>
      </c>
      <c r="H5" s="22">
        <v>4471.2099609375</v>
      </c>
      <c r="I5" s="22">
        <v>4497.919921875</v>
      </c>
      <c r="J5" s="22">
        <v>4723.06982421875</v>
      </c>
      <c r="K5" s="22">
        <v>4693.16015625</v>
      </c>
      <c r="L5" s="22">
        <v>4648.85986328125</v>
      </c>
      <c r="M5" s="23">
        <v>4616.25</v>
      </c>
      <c r="N5" s="24">
        <f t="shared" si="0"/>
        <v>1.0806504413987343</v>
      </c>
      <c r="O5" s="24">
        <f t="shared" si="1"/>
        <v>3.9731952624855328E-2</v>
      </c>
    </row>
    <row r="6" spans="1:15" s="19" customFormat="1" ht="18" customHeight="1" x14ac:dyDescent="0.2">
      <c r="A6" s="141"/>
      <c r="B6" s="20" t="s">
        <v>22</v>
      </c>
      <c r="C6" s="21"/>
      <c r="D6" s="22">
        <v>35278.81640625</v>
      </c>
      <c r="E6" s="22">
        <v>60772.6328125</v>
      </c>
      <c r="F6" s="22">
        <v>57311.0703125</v>
      </c>
      <c r="G6" s="22">
        <v>63116.51171875</v>
      </c>
      <c r="H6" s="22">
        <v>59611.61328125</v>
      </c>
      <c r="I6" s="22">
        <v>59952.2890625</v>
      </c>
      <c r="J6" s="22">
        <v>63457.89453125</v>
      </c>
      <c r="K6" s="22">
        <v>63023.609375</v>
      </c>
      <c r="L6" s="22">
        <v>61742.0546875</v>
      </c>
      <c r="M6" s="23">
        <v>61933.74609375</v>
      </c>
      <c r="N6" s="24">
        <f t="shared" si="0"/>
        <v>0.75011695337266948</v>
      </c>
      <c r="O6" s="24">
        <f t="shared" si="1"/>
        <v>3.5738697360839594E-2</v>
      </c>
    </row>
    <row r="7" spans="1:15" s="19" customFormat="1" ht="18" customHeight="1" x14ac:dyDescent="0.2">
      <c r="A7" s="141"/>
      <c r="B7" s="20" t="s">
        <v>23</v>
      </c>
      <c r="C7" s="21"/>
      <c r="D7" s="22">
        <v>7939.53759765625</v>
      </c>
      <c r="E7" s="22">
        <v>18886.453125</v>
      </c>
      <c r="F7" s="22">
        <v>23152.828125</v>
      </c>
      <c r="G7" s="22">
        <v>20096.30859375</v>
      </c>
      <c r="H7" s="22">
        <v>18898.896484375</v>
      </c>
      <c r="I7" s="22">
        <v>21008.3125</v>
      </c>
      <c r="J7" s="22">
        <v>21552.7109375</v>
      </c>
      <c r="K7" s="22">
        <v>25177.005859375</v>
      </c>
      <c r="L7" s="22">
        <v>26369.595703125</v>
      </c>
      <c r="M7" s="23">
        <v>25597.31640625</v>
      </c>
      <c r="N7" s="24">
        <f t="shared" si="0"/>
        <v>2.3213011940278863</v>
      </c>
      <c r="O7" s="24">
        <f t="shared" si="1"/>
        <v>0.39529817124119038</v>
      </c>
    </row>
    <row r="8" spans="1:15" s="19" customFormat="1" ht="18" customHeight="1" x14ac:dyDescent="0.2">
      <c r="A8" s="141"/>
      <c r="B8" s="20" t="s">
        <v>24</v>
      </c>
      <c r="C8" s="25"/>
      <c r="D8" s="26">
        <f ca="1">21.240466*OFFSET(D$108,MATCH($M$1,$C$109:$C$110,0),0)</f>
        <v>17.278269317571326</v>
      </c>
      <c r="E8" s="26">
        <f ca="1">53.9934*OFFSET(E$108,MATCH($M$1,$C$109:$C$110,0),0)</f>
        <v>45.10230338938095</v>
      </c>
      <c r="F8" s="26">
        <f ca="1">61.15848*OFFSET(F$108,MATCH($M$1,$C$109:$C$110,0),0)</f>
        <v>52.554703672929406</v>
      </c>
      <c r="G8" s="26">
        <f ca="1">56.37658*OFFSET(G$108,MATCH($M$1,$C$109:$C$110,0),0)</f>
        <v>49.852119060978971</v>
      </c>
      <c r="H8" s="26">
        <f ca="1">48.744532*OFFSET(H$108,MATCH($M$1,$C$109:$C$110,0),0)</f>
        <v>43.956844771460887</v>
      </c>
      <c r="I8" s="26">
        <f ca="1">50.483264*OFFSET(I$108,MATCH($M$1,$C$109:$C$110,0),0)</f>
        <v>46.9691233812852</v>
      </c>
      <c r="J8" s="26">
        <f ca="1">54.989408*OFFSET(J$108,MATCH($M$1,$C$109:$C$110,0),0)</f>
        <v>52.248735492889026</v>
      </c>
      <c r="K8" s="26">
        <f ca="1">55.3455*OFFSET(K$108,MATCH($M$1,$C$109:$C$110,0),0)</f>
        <v>53.460431747517994</v>
      </c>
      <c r="L8" s="26">
        <f ca="1">53.088748*OFFSET(L$108,MATCH($M$1,$C$109:$C$110,0),0)</f>
        <v>52.198448777872322</v>
      </c>
      <c r="M8" s="27">
        <f ca="1">55.326656*OFFSET(M$108,MATCH($M$1,$C$109:$C$110,0),0)</f>
        <v>55.326655785047464</v>
      </c>
      <c r="N8" s="24">
        <f t="shared" ca="1" si="0"/>
        <v>2.0210461371144701</v>
      </c>
      <c r="O8" s="24">
        <f t="shared" ca="1" si="1"/>
        <v>0.18749307529375542</v>
      </c>
    </row>
    <row r="9" spans="1:15" s="19" customFormat="1" ht="18" customHeight="1" x14ac:dyDescent="0.2">
      <c r="A9" s="141"/>
      <c r="B9" s="20" t="s">
        <v>25</v>
      </c>
      <c r="C9" s="25"/>
      <c r="D9" s="22">
        <v>58107.83203125</v>
      </c>
      <c r="E9" s="22">
        <v>122753.3203125</v>
      </c>
      <c r="F9" s="22">
        <v>133527.5</v>
      </c>
      <c r="G9" s="22">
        <v>125160.0859375</v>
      </c>
      <c r="H9" s="22">
        <v>112465.5</v>
      </c>
      <c r="I9" s="22">
        <v>114117</v>
      </c>
      <c r="J9" s="22">
        <v>118148</v>
      </c>
      <c r="K9" s="22">
        <v>116883</v>
      </c>
      <c r="L9" s="22">
        <v>111053</v>
      </c>
      <c r="M9" s="23">
        <v>122275</v>
      </c>
      <c r="N9" s="24">
        <f t="shared" si="0"/>
        <v>0.91115373122639387</v>
      </c>
      <c r="O9" s="24">
        <f t="shared" si="1"/>
        <v>-1.255940710706839E-2</v>
      </c>
    </row>
    <row r="10" spans="1:15" s="19" customFormat="1" ht="18" customHeight="1" x14ac:dyDescent="0.2">
      <c r="A10" s="142" t="s">
        <v>7</v>
      </c>
      <c r="B10" s="28" t="s">
        <v>26</v>
      </c>
      <c r="C10" s="29"/>
      <c r="D10" s="30">
        <v>8.178532600402832</v>
      </c>
      <c r="E10" s="30">
        <v>7.9983067512512207</v>
      </c>
      <c r="F10" s="30">
        <v>7.9177303314208984</v>
      </c>
      <c r="G10" s="30">
        <v>7.9521274566650391</v>
      </c>
      <c r="H10" s="30">
        <v>8.0220746994018555</v>
      </c>
      <c r="I10" s="30">
        <v>7.9864249229431152</v>
      </c>
      <c r="J10" s="30">
        <v>7.9183950424194336</v>
      </c>
      <c r="K10" s="30">
        <v>7.9565887451171875</v>
      </c>
      <c r="L10" s="30">
        <v>8.0778779983520508</v>
      </c>
      <c r="M10" s="31">
        <v>8.0038042068481445</v>
      </c>
      <c r="N10" s="32">
        <f t="shared" si="0"/>
        <v>-1.2307171343404992E-2</v>
      </c>
      <c r="O10" s="32">
        <f t="shared" si="1"/>
        <v>6.9562178166149629E-3</v>
      </c>
    </row>
    <row r="11" spans="1:15" s="19" customFormat="1" ht="18" customHeight="1" x14ac:dyDescent="0.2">
      <c r="A11" s="143"/>
      <c r="B11" s="33" t="s">
        <v>20</v>
      </c>
      <c r="C11" s="21"/>
      <c r="D11" s="22">
        <v>79.994308471679688</v>
      </c>
      <c r="E11" s="22">
        <v>77.201141357421875</v>
      </c>
      <c r="F11" s="22">
        <v>74.537429809570313</v>
      </c>
      <c r="G11" s="22">
        <v>75.223052978515625</v>
      </c>
      <c r="H11" s="22">
        <v>76.939109802246094</v>
      </c>
      <c r="I11" s="22">
        <v>75.626274108886719</v>
      </c>
      <c r="J11" s="22">
        <v>74.185707092285156</v>
      </c>
      <c r="K11" s="22">
        <v>75.064735412597656</v>
      </c>
      <c r="L11" s="22">
        <v>79.21435546875</v>
      </c>
      <c r="M11" s="23">
        <v>77.871528625488281</v>
      </c>
      <c r="N11" s="24">
        <f t="shared" si="0"/>
        <v>-9.7501061991905787E-3</v>
      </c>
      <c r="O11" s="24">
        <f t="shared" si="1"/>
        <v>2.9572030042352853E-2</v>
      </c>
    </row>
    <row r="12" spans="1:15" s="19" customFormat="1" ht="18" customHeight="1" x14ac:dyDescent="0.2">
      <c r="A12" s="143"/>
      <c r="B12" s="33" t="s">
        <v>21</v>
      </c>
      <c r="C12" s="21"/>
      <c r="D12" s="22">
        <v>5.0436344146728516</v>
      </c>
      <c r="E12" s="22">
        <v>4.4972672462463379</v>
      </c>
      <c r="F12" s="22">
        <v>4.3422966003417969</v>
      </c>
      <c r="G12" s="22">
        <v>4.4063167572021484</v>
      </c>
      <c r="H12" s="22">
        <v>4.5255160331726074</v>
      </c>
      <c r="I12" s="22">
        <v>4.4666533470153809</v>
      </c>
      <c r="J12" s="22">
        <v>4.3570756912231445</v>
      </c>
      <c r="K12" s="22">
        <v>4.3861308097839355</v>
      </c>
      <c r="L12" s="22">
        <v>4.6535134315490723</v>
      </c>
      <c r="M12" s="23">
        <v>4.5257353782653809</v>
      </c>
      <c r="N12" s="24">
        <f t="shared" si="0"/>
        <v>-7.7349179391124442E-2</v>
      </c>
      <c r="O12" s="24">
        <f t="shared" si="1"/>
        <v>2.8283492410197567E-2</v>
      </c>
    </row>
    <row r="13" spans="1:15" s="19" customFormat="1" ht="18" customHeight="1" x14ac:dyDescent="0.2">
      <c r="A13" s="143"/>
      <c r="B13" s="33" t="s">
        <v>22</v>
      </c>
      <c r="C13" s="21"/>
      <c r="D13" s="22">
        <v>79.636154174804688</v>
      </c>
      <c r="E13" s="22">
        <v>60.170921325683594</v>
      </c>
      <c r="F13" s="22">
        <v>51.818325042724609</v>
      </c>
      <c r="G13" s="22">
        <v>59.153244018554688</v>
      </c>
      <c r="H13" s="22">
        <v>60.335639953613281</v>
      </c>
      <c r="I13" s="22">
        <v>59.535541534423828</v>
      </c>
      <c r="J13" s="22">
        <v>58.594547271728516</v>
      </c>
      <c r="K13" s="22">
        <v>58.955669403076172</v>
      </c>
      <c r="L13" s="22">
        <v>61.865787506103516</v>
      </c>
      <c r="M13" s="23">
        <v>60.778945922851563</v>
      </c>
      <c r="N13" s="24">
        <f t="shared" si="0"/>
        <v>-0.22314446061388743</v>
      </c>
      <c r="O13" s="24">
        <f t="shared" si="1"/>
        <v>2.5360592075705651E-2</v>
      </c>
    </row>
    <row r="14" spans="1:15" s="19" customFormat="1" ht="18" customHeight="1" x14ac:dyDescent="0.2">
      <c r="A14" s="143"/>
      <c r="B14" s="33" t="s">
        <v>23</v>
      </c>
      <c r="C14" s="25"/>
      <c r="D14" s="26">
        <v>17.922206878662109</v>
      </c>
      <c r="E14" s="26">
        <v>18.699459075927734</v>
      </c>
      <c r="F14" s="26">
        <v>20.933841705322266</v>
      </c>
      <c r="G14" s="26">
        <v>18.834402084350586</v>
      </c>
      <c r="H14" s="26">
        <v>19.128437042236328</v>
      </c>
      <c r="I14" s="26">
        <v>20.862277984619141</v>
      </c>
      <c r="J14" s="26">
        <v>19.882575988769531</v>
      </c>
      <c r="K14" s="26">
        <v>23.529911041259766</v>
      </c>
      <c r="L14" s="26">
        <v>26.395992279052734</v>
      </c>
      <c r="M14" s="27">
        <v>25.095407485961914</v>
      </c>
      <c r="N14" s="24">
        <f t="shared" si="0"/>
        <v>0.47280926159151626</v>
      </c>
      <c r="O14" s="24">
        <f t="shared" si="1"/>
        <v>0.37993460839321913</v>
      </c>
    </row>
    <row r="15" spans="1:15" s="19" customFormat="1" ht="18" customHeight="1" x14ac:dyDescent="0.2">
      <c r="A15" s="143"/>
      <c r="B15" s="33" t="s">
        <v>27</v>
      </c>
      <c r="C15" s="25"/>
      <c r="D15" s="26">
        <f ca="1">47.946875*OFFSET(D$108,MATCH($M$1,$C$109:$C$110,0),0)</f>
        <v>39.002864588089906</v>
      </c>
      <c r="E15" s="26">
        <f ca="1">53.45880859375*OFFSET(E$108,MATCH($M$1,$C$109:$C$110,0),0)</f>
        <v>44.655743183984669</v>
      </c>
      <c r="F15" s="26">
        <f ca="1">55.297*OFFSET(F$108,MATCH($M$1,$C$109:$C$110,0),0)</f>
        <v>47.517816809737219</v>
      </c>
      <c r="G15" s="26">
        <f ca="1">52.83653125*OFFSET(G$108,MATCH($M$1,$C$109:$C$110,0),0)</f>
        <v>46.721760111098192</v>
      </c>
      <c r="H15" s="26">
        <f ca="1">49.3365703125*OFFSET(H$108,MATCH($M$1,$C$109:$C$110,0),0)</f>
        <v>44.490733089463824</v>
      </c>
      <c r="I15" s="26">
        <f ca="1">50.13233984375*OFFSET(I$108,MATCH($M$1,$C$109:$C$110,0),0)</f>
        <v>46.642627059803701</v>
      </c>
      <c r="J15" s="26">
        <f ca="1">50.72823828125*OFFSET(J$108,MATCH($M$1,$C$109:$C$110,0),0)</f>
        <v>48.19994250487801</v>
      </c>
      <c r="K15" s="26">
        <f ca="1">51.72476953125*OFFSET(K$108,MATCH($M$1,$C$109:$C$110,0),0)</f>
        <v>49.963023392714653</v>
      </c>
      <c r="L15" s="26">
        <f ca="1">53.141890625*OFFSET(L$108,MATCH($M$1,$C$109:$C$110,0),0)</f>
        <v>52.250700200131973</v>
      </c>
      <c r="M15" s="27">
        <f ca="1">54.2418203125*OFFSET(M$108,MATCH($M$1,$C$109:$C$110,0),0)</f>
        <v>54.241820101762222</v>
      </c>
      <c r="N15" s="24">
        <f t="shared" ca="1" si="0"/>
        <v>0.33966314402679765</v>
      </c>
      <c r="O15" s="24">
        <f t="shared" ca="1" si="1"/>
        <v>0.17441760501145451</v>
      </c>
    </row>
    <row r="16" spans="1:15" s="19" customFormat="1" ht="18" customHeight="1" x14ac:dyDescent="0.2">
      <c r="A16" s="143"/>
      <c r="B16" s="33" t="s">
        <v>25</v>
      </c>
      <c r="C16" s="21"/>
      <c r="D16" s="22">
        <v>131.16893005371094</v>
      </c>
      <c r="E16" s="22">
        <v>121.53794097900391</v>
      </c>
      <c r="F16" s="22">
        <v>120.73011016845703</v>
      </c>
      <c r="G16" s="22">
        <v>117.30091857910156</v>
      </c>
      <c r="H16" s="22">
        <v>113.83147430419922</v>
      </c>
      <c r="I16" s="22">
        <v>113.32373046875</v>
      </c>
      <c r="J16" s="22">
        <v>108.99262237548828</v>
      </c>
      <c r="K16" s="22">
        <v>109.2364501953125</v>
      </c>
      <c r="L16" s="22">
        <v>111.16416168212891</v>
      </c>
      <c r="M16" s="23">
        <v>119.87744903564453</v>
      </c>
      <c r="N16" s="24">
        <f t="shared" si="0"/>
        <v>-0.15251148548204591</v>
      </c>
      <c r="O16" s="24">
        <f t="shared" si="1"/>
        <v>-2.3432118738463147E-2</v>
      </c>
    </row>
    <row r="17" spans="1:15" s="19" customFormat="1" ht="18" customHeight="1" x14ac:dyDescent="0.2">
      <c r="A17" s="143"/>
      <c r="B17" s="33" t="s">
        <v>28</v>
      </c>
      <c r="C17" s="21"/>
      <c r="D17" s="22">
        <v>17.993228912353516</v>
      </c>
      <c r="E17" s="22">
        <v>17.921781539916992</v>
      </c>
      <c r="F17" s="22">
        <v>18.036167144775391</v>
      </c>
      <c r="G17" s="22">
        <v>18.423618316650391</v>
      </c>
      <c r="H17" s="22">
        <v>18.900810241699219</v>
      </c>
      <c r="I17" s="22">
        <v>19.696126937866211</v>
      </c>
      <c r="J17" s="22">
        <v>19.738006591796875</v>
      </c>
      <c r="K17" s="22">
        <v>20.263551712036133</v>
      </c>
      <c r="L17" s="22">
        <v>20.612611770629883</v>
      </c>
      <c r="M17" s="23">
        <v>21.271568298339844</v>
      </c>
      <c r="N17" s="24">
        <f t="shared" si="0"/>
        <v>0.1455760314635908</v>
      </c>
      <c r="O17" s="24">
        <f t="shared" si="1"/>
        <v>9.0567626839301571E-2</v>
      </c>
    </row>
    <row r="18" spans="1:15" s="19" customFormat="1" ht="18" customHeight="1" x14ac:dyDescent="0.2">
      <c r="A18" s="143"/>
      <c r="B18" s="33" t="s">
        <v>29</v>
      </c>
      <c r="C18" s="21"/>
      <c r="D18" s="34">
        <v>0.13663454353809357</v>
      </c>
      <c r="E18" s="34">
        <v>0.15385696291923523</v>
      </c>
      <c r="F18" s="34">
        <v>0.17339371144771576</v>
      </c>
      <c r="G18" s="34">
        <v>0.16056482493877411</v>
      </c>
      <c r="H18" s="34">
        <v>0.16804172098636627</v>
      </c>
      <c r="I18" s="34">
        <v>0.18409451842308044</v>
      </c>
      <c r="J18" s="34">
        <v>0.18242129683494568</v>
      </c>
      <c r="K18" s="34">
        <v>0.2154034823179245</v>
      </c>
      <c r="L18" s="34">
        <v>0.23745055496692657</v>
      </c>
      <c r="M18" s="35">
        <v>0.20934218168258667</v>
      </c>
      <c r="N18" s="24">
        <f t="shared" si="0"/>
        <v>0.73785156241053795</v>
      </c>
      <c r="O18" s="24">
        <f t="shared" si="1"/>
        <v>0.41304524598502323</v>
      </c>
    </row>
    <row r="19" spans="1:15" s="19" customFormat="1" ht="18" customHeight="1" x14ac:dyDescent="0.2">
      <c r="A19" s="144"/>
      <c r="B19" s="36" t="s">
        <v>8</v>
      </c>
      <c r="C19" s="37"/>
      <c r="D19" s="38">
        <f ca="1">2675.27746279206*OFFSET(D$108,MATCH($M$1,$C$109:$C$110,0),0)</f>
        <v>2176.2311853868982</v>
      </c>
      <c r="E19" s="38">
        <f ca="1">2858.84277172874*OFFSET(E$108,MATCH($M$1,$C$109:$C$110,0),0)</f>
        <v>2388.0769507578402</v>
      </c>
      <c r="F19" s="38">
        <f ca="1">2641.51228825312*OFFSET(F$108,MATCH($M$1,$C$109:$C$110,0),0)</f>
        <v>2269.9042807725832</v>
      </c>
      <c r="G19" s="38">
        <f ca="1">2805.32017793224*OFFSET(G$108,MATCH($M$1,$C$109:$C$110,0),0)</f>
        <v>2480.6605067998935</v>
      </c>
      <c r="H19" s="38">
        <f ca="1">2579.22636066611*OFFSET(H$108,MATCH($M$1,$C$109:$C$110,0),0)</f>
        <v>2325.8947847988402</v>
      </c>
      <c r="I19" s="38">
        <f ca="1">2403.01375943451*OFFSET(I$108,MATCH($M$1,$C$109:$C$110,0),0)</f>
        <v>2235.7399425244275</v>
      </c>
      <c r="J19" s="38">
        <f ca="1">2551.39170935211*OFFSET(J$108,MATCH($M$1,$C$109:$C$110,0),0)</f>
        <v>2424.2303274239357</v>
      </c>
      <c r="K19" s="38">
        <f ca="1">2198.25583348273*OFFSET(K$108,MATCH($M$1,$C$109:$C$110,0),0)</f>
        <v>2123.3832190419594</v>
      </c>
      <c r="L19" s="38">
        <f ca="1">2013.25604676254*OFFSET(L$108,MATCH($M$1,$C$109:$C$110,0),0)</f>
        <v>1979.493708039153</v>
      </c>
      <c r="M19" s="39">
        <f ca="1">2161.42407750568*OFFSET(M$108,MATCH($M$1,$C$109:$C$110,0),0)</f>
        <v>2161.4240691082164</v>
      </c>
      <c r="N19" s="40">
        <f ca="1">IF(L19=0,"",IFERROR(IF(AND(L19&gt;0,D19&lt;0),"na",IF(AND(L19&lt;0,D19&lt;0),-1,1)*(L19-D19)/D19),""))</f>
        <v>-9.0402838939544233E-2</v>
      </c>
      <c r="O19" s="40">
        <f ca="1">IF(L19=0,"",IFERROR(IF(AND(L19&gt;0,H19&lt;0),"na",IF(AND(L19&lt;0,H19&lt;0),-1,1)*(L19-H19)/H19),""))</f>
        <v>-0.14893239325511723</v>
      </c>
    </row>
    <row r="20" spans="1:15" s="19" customFormat="1" ht="18" customHeight="1" x14ac:dyDescent="0.2">
      <c r="A20" s="145" t="s">
        <v>9</v>
      </c>
      <c r="B20" s="28" t="s">
        <v>30</v>
      </c>
      <c r="C20" s="41"/>
      <c r="D20" s="42">
        <v>1.6358407063426161</v>
      </c>
      <c r="E20" s="42">
        <v>1.9064712150989225</v>
      </c>
      <c r="F20" s="42">
        <v>2.2095975661162908</v>
      </c>
      <c r="G20" s="42">
        <v>1.9992187955129386</v>
      </c>
      <c r="H20" s="42">
        <v>2.0766960354308641</v>
      </c>
      <c r="I20" s="42">
        <v>2.2694803587925239</v>
      </c>
      <c r="J20" s="42">
        <v>2.3198045658193696</v>
      </c>
      <c r="K20" s="42">
        <v>2.6513734046535706</v>
      </c>
      <c r="L20" s="42">
        <v>2.797614737333959</v>
      </c>
      <c r="M20" s="43">
        <v>2.5293183383768389</v>
      </c>
      <c r="N20" s="32">
        <f t="shared" si="0"/>
        <v>0.71019997637105925</v>
      </c>
      <c r="O20" s="32">
        <f t="shared" si="1"/>
        <v>0.3471469534314981</v>
      </c>
    </row>
    <row r="21" spans="1:15" s="19" customFormat="1" ht="18" customHeight="1" x14ac:dyDescent="0.2">
      <c r="A21" s="145"/>
      <c r="B21" s="33" t="s">
        <v>31</v>
      </c>
      <c r="C21" s="21"/>
      <c r="D21" s="34">
        <f ca="1">4.37632766979733*OFFSET(D$108,MATCH($M$1,$C$109:$C$110,0),0)</f>
        <v>3.5599674743811001</v>
      </c>
      <c r="E21" s="34">
        <f ca="1">5.45030096130793*OFFSET(E$108,MATCH($M$1,$C$109:$C$110,0),0)</f>
        <v>4.5527995555076153</v>
      </c>
      <c r="F21" s="34">
        <f ca="1">5.83667911191228*OFFSET(F$108,MATCH($M$1,$C$109:$C$110,0),0)</f>
        <v>5.0155749645924272</v>
      </c>
      <c r="G21" s="34">
        <f ca="1">5.60844915021092*OFFSET(G$108,MATCH($M$1,$C$109:$C$110,0),0)</f>
        <v>4.9593833961506917</v>
      </c>
      <c r="H21" s="34">
        <f ca="1">5.35626929390497*OFFSET(H$108,MATCH($M$1,$C$109:$C$110,0),0)</f>
        <v>4.8301766012713623</v>
      </c>
      <c r="I21" s="34">
        <f ca="1">5.45359239770381*OFFSET(I$108,MATCH($M$1,$C$109:$C$110,0),0)</f>
        <v>5.0739677648218082</v>
      </c>
      <c r="J21" s="34">
        <f ca="1">5.91872998988093*OFFSET(J$108,MATCH($M$1,$C$109:$C$110,0),0)</f>
        <v>5.623740442797974</v>
      </c>
      <c r="K21" s="34">
        <f ca="1">5.8283976533746*OFFSET(K$108,MATCH($M$1,$C$109:$C$110,0),0)</f>
        <v>5.6298823742784299</v>
      </c>
      <c r="L21" s="34">
        <f ca="1">5.63231473969899*OFFSET(L$108,MATCH($M$1,$C$109:$C$110,0),0)</f>
        <v>5.5378607241035898</v>
      </c>
      <c r="M21" s="35">
        <f ca="1">5.46692979183912*OFFSET(M$108,MATCH($M$1,$C$109:$C$110,0),0)</f>
        <v>5.4669297705992603</v>
      </c>
      <c r="N21" s="24">
        <f t="shared" ca="1" si="0"/>
        <v>0.55559306762103111</v>
      </c>
      <c r="O21" s="24">
        <f t="shared" ca="1" si="1"/>
        <v>0.14651309491374628</v>
      </c>
    </row>
    <row r="22" spans="1:15" s="19" customFormat="1" ht="18" customHeight="1" x14ac:dyDescent="0.2">
      <c r="A22" s="145"/>
      <c r="B22" s="33" t="s">
        <v>10</v>
      </c>
      <c r="C22" s="21"/>
      <c r="D22" s="34">
        <f ca="1">3.63265253005106*OFFSET(D$108,MATCH($M$1,$C$109:$C$110,0),0)</f>
        <v>2.9550175006225889</v>
      </c>
      <c r="E22" s="34">
        <f ca="1">4.2118974501325*OFFSET(E$108,MATCH($M$1,$C$109:$C$110,0),0)</f>
        <v>3.5183240292486864</v>
      </c>
      <c r="F22" s="34">
        <f ca="1">3.98520960159581*OFFSET(F$108,MATCH($M$1,$C$109:$C$110,0),0)</f>
        <v>3.4245702261792781</v>
      </c>
      <c r="G22" s="34">
        <f ca="1">4.09275812891534*OFFSET(G$108,MATCH($M$1,$C$109:$C$110,0),0)</f>
        <v>3.6191032788877409</v>
      </c>
      <c r="H22" s="34">
        <f ca="1">3.69252503615594*OFFSET(H$108,MATCH($M$1,$C$109:$C$110,0),0)</f>
        <v>3.3298452804724774</v>
      </c>
      <c r="I22" s="34">
        <f ca="1">3.97803977751989*OFFSET(I$108,MATCH($M$1,$C$109:$C$110,0),0)</f>
        <v>3.7011283804072588</v>
      </c>
      <c r="J22" s="34">
        <f ca="1">4.38107812262683*OFFSET(J$108,MATCH($M$1,$C$109:$C$110,0),0)</f>
        <v>4.1627251561393805</v>
      </c>
      <c r="K22" s="34">
        <f ca="1">4.67767451989265*OFFSET(K$108,MATCH($M$1,$C$109:$C$110,0),0)</f>
        <v>4.5183528815861278</v>
      </c>
      <c r="L22" s="34">
        <f ca="1">4.43596230529408*OFFSET(L$108,MATCH($M$1,$C$109:$C$110,0),0)</f>
        <v>4.3615711407145152</v>
      </c>
      <c r="M22" s="35">
        <f ca="1">4.2711098403237*OFFSET(M$108,MATCH($M$1,$C$109:$C$110,0),0)</f>
        <v>4.2711098237297831</v>
      </c>
      <c r="N22" s="24">
        <f t="shared" ca="1" si="0"/>
        <v>0.4759882605756417</v>
      </c>
      <c r="O22" s="24">
        <f t="shared" ca="1" si="1"/>
        <v>0.30984198163574872</v>
      </c>
    </row>
    <row r="23" spans="1:15" s="19" customFormat="1" ht="18" customHeight="1" x14ac:dyDescent="0.2">
      <c r="A23" s="146"/>
      <c r="B23" s="33" t="s">
        <v>32</v>
      </c>
      <c r="C23" s="44"/>
      <c r="D23" s="34">
        <f ca="1">0.743675139746271*OFFSET(D$108,MATCH($M$1,$C$109:$C$110,0),0)</f>
        <v>0.60494997375851178</v>
      </c>
      <c r="E23" s="34">
        <f ca="1">1.23840351117543*OFFSET(E$108,MATCH($M$1,$C$109:$C$110,0),0)</f>
        <v>1.0344755262589289</v>
      </c>
      <c r="F23" s="34">
        <f ca="1">1.85146951031647*OFFSET(F$108,MATCH($M$1,$C$109:$C$110,0),0)</f>
        <v>1.5910047384131489</v>
      </c>
      <c r="G23" s="34">
        <f ca="1">1.51569102129557*OFFSET(G$108,MATCH($M$1,$C$109:$C$110,0),0)</f>
        <v>1.3402801172629411</v>
      </c>
      <c r="H23" s="34">
        <f ca="1">1.66374425774902*OFFSET(H$108,MATCH($M$1,$C$109:$C$110,0),0)</f>
        <v>1.5003313207988762</v>
      </c>
      <c r="I23" s="34">
        <f ca="1">1.47555262018392*OFFSET(I$108,MATCH($M$1,$C$109:$C$110,0),0)</f>
        <v>1.3728393844145499</v>
      </c>
      <c r="J23" s="34">
        <f ca="1">1.5376518672541*OFFSET(J$108,MATCH($M$1,$C$109:$C$110,0),0)</f>
        <v>1.4610152866585939</v>
      </c>
      <c r="K23" s="34">
        <f ca="1">1.15072313348195*OFFSET(K$108,MATCH($M$1,$C$109:$C$110,0),0)</f>
        <v>1.1115294926923025</v>
      </c>
      <c r="L23" s="34">
        <f ca="1">1.19635243440491*OFFSET(L$108,MATCH($M$1,$C$109:$C$110,0),0)</f>
        <v>1.1762895833890743</v>
      </c>
      <c r="M23" s="35">
        <f ca="1">1.19581995151541*OFFSET(M$108,MATCH($M$1,$C$109:$C$110,0),0)</f>
        <v>1.1958199468694664</v>
      </c>
      <c r="N23" s="24">
        <f t="shared" ca="1" si="0"/>
        <v>0.94444108507166236</v>
      </c>
      <c r="O23" s="24">
        <f t="shared" ca="1" si="1"/>
        <v>-0.21598011913612555</v>
      </c>
    </row>
    <row r="24" spans="1:15" s="19" customFormat="1" ht="18" customHeight="1" x14ac:dyDescent="0.2">
      <c r="A24" s="147" t="s">
        <v>11</v>
      </c>
      <c r="B24" s="28" t="s">
        <v>27</v>
      </c>
      <c r="C24" s="29"/>
      <c r="D24" s="30">
        <f ca="1">47.9*OFFSET(D$108,MATCH($M$1,$C$109:$C$110,0),0)</f>
        <v>38.964733650931507</v>
      </c>
      <c r="E24" s="30">
        <f ca="1">53.5*OFFSET(E$108,MATCH($M$1,$C$109:$C$110,0),0)</f>
        <v>44.690151598748749</v>
      </c>
      <c r="F24" s="30">
        <f ca="1">55.3*OFFSET(F$108,MATCH($M$1,$C$109:$C$110,0),0)</f>
        <v>47.520394769670474</v>
      </c>
      <c r="G24" s="30">
        <f ca="1">52.8*OFFSET(G$108,MATCH($M$1,$C$109:$C$110,0),0)</f>
        <v>46.689456622230182</v>
      </c>
      <c r="H24" s="30">
        <f ca="1">49.3*OFFSET(H$108,MATCH($M$1,$C$109:$C$110,0),0)</f>
        <v>44.457754712529017</v>
      </c>
      <c r="I24" s="30">
        <f ca="1">50.1*OFFSET(I$108,MATCH($M$1,$C$109:$C$110,0),0)</f>
        <v>46.612538392968979</v>
      </c>
      <c r="J24" s="30">
        <f ca="1">50.7*OFFSET(J$108,MATCH($M$1,$C$109:$C$110,0),0)</f>
        <v>48.173111619777281</v>
      </c>
      <c r="K24" s="30">
        <f ca="1">51.7*OFFSET(K$108,MATCH($M$1,$C$109:$C$110,0),0)</f>
        <v>49.939097511932864</v>
      </c>
      <c r="L24" s="30">
        <f ca="1">53.1*OFFSET(L$108,MATCH($M$1,$C$109:$C$110,0),0)</f>
        <v>52.209512081637719</v>
      </c>
      <c r="M24" s="31">
        <f ca="1">54.2*OFFSET(M$108,MATCH($M$1,$C$109:$C$110,0),0)</f>
        <v>54.199999789424702</v>
      </c>
      <c r="N24" s="32">
        <f t="shared" ca="1" si="0"/>
        <v>0.33991707859113202</v>
      </c>
      <c r="O24" s="32">
        <f t="shared" ca="1" si="1"/>
        <v>0.17436232259664958</v>
      </c>
    </row>
    <row r="25" spans="1:15" s="19" customFormat="1" ht="18" customHeight="1" x14ac:dyDescent="0.2">
      <c r="A25" s="148"/>
      <c r="B25" s="33" t="s">
        <v>33</v>
      </c>
      <c r="C25" s="25"/>
      <c r="D25" s="26">
        <f ca="1">1.3*OFFSET(D$108,MATCH($M$1,$C$109:$C$110,0),0)</f>
        <v>1.0574979905263249</v>
      </c>
      <c r="E25" s="26">
        <f ca="1">1*OFFSET(E$108,MATCH($M$1,$C$109:$C$110,0),0)</f>
        <v>0.83532993642521025</v>
      </c>
      <c r="F25" s="26">
        <f ca="1">0.9*OFFSET(F$108,MATCH($M$1,$C$109:$C$110,0),0)</f>
        <v>0.77338797997655384</v>
      </c>
      <c r="G25" s="26">
        <f ca="1">1.7*OFFSET(G$108,MATCH($M$1,$C$109:$C$110,0),0)</f>
        <v>1.5032590200339264</v>
      </c>
      <c r="H25" s="26">
        <f ca="1">2*OFFSET(H$108,MATCH($M$1,$C$109:$C$110,0),0)</f>
        <v>1.8035600289058427</v>
      </c>
      <c r="I25" s="26">
        <f ca="1">1.9*OFFSET(I$108,MATCH($M$1,$C$109:$C$110,0),0)</f>
        <v>1.7677409769788635</v>
      </c>
      <c r="J25" s="26">
        <f ca="1">2.3*OFFSET(J$108,MATCH($M$1,$C$109:$C$110,0),0)</f>
        <v>2.1853679827512376</v>
      </c>
      <c r="K25" s="26">
        <f ca="1">2.5*OFFSET(K$108,MATCH($M$1,$C$109:$C$110,0),0)</f>
        <v>2.4148499763990747</v>
      </c>
      <c r="L25" s="26">
        <f ca="1">2.3*OFFSET(L$108,MATCH($M$1,$C$109:$C$110,0),0)</f>
        <v>2.261428960221596</v>
      </c>
      <c r="M25" s="27">
        <f ca="1">2.3*OFFSET(M$108,MATCH($M$1,$C$109:$C$110,0),0)</f>
        <v>2.2999999910641473</v>
      </c>
      <c r="N25" s="24">
        <f t="shared" ca="1" si="0"/>
        <v>1.1384711654119224</v>
      </c>
      <c r="O25" s="24">
        <f t="shared" ca="1" si="1"/>
        <v>0.25386952692310805</v>
      </c>
    </row>
    <row r="26" spans="1:15" s="19" customFormat="1" ht="18" customHeight="1" x14ac:dyDescent="0.2">
      <c r="A26" s="148"/>
      <c r="B26" s="45" t="s">
        <v>34</v>
      </c>
      <c r="C26" s="46"/>
      <c r="D26" s="47">
        <f ca="1">49.3*OFFSET(D$108,MATCH($M$1,$C$109:$C$110,0),0)</f>
        <v>40.103577640729085</v>
      </c>
      <c r="E26" s="47">
        <f ca="1">54.5*OFFSET(E$108,MATCH($M$1,$C$109:$C$110,0),0)</f>
        <v>45.525481535173959</v>
      </c>
      <c r="F26" s="47">
        <f ca="1">56.2*OFFSET(F$108,MATCH($M$1,$C$109:$C$110,0),0)</f>
        <v>48.293782749647036</v>
      </c>
      <c r="G26" s="47">
        <f ca="1">54.6*OFFSET(G$108,MATCH($M$1,$C$109:$C$110,0),0)</f>
        <v>48.281142643442578</v>
      </c>
      <c r="H26" s="47">
        <f ca="1">51.3*OFFSET(H$108,MATCH($M$1,$C$109:$C$110,0),0)</f>
        <v>46.261314741434859</v>
      </c>
      <c r="I26" s="47">
        <f ca="1">52*OFFSET(I$108,MATCH($M$1,$C$109:$C$110,0),0)</f>
        <v>48.380279369947843</v>
      </c>
      <c r="J26" s="47">
        <f ca="1">53*OFFSET(J$108,MATCH($M$1,$C$109:$C$110,0),0)</f>
        <v>50.358479602528519</v>
      </c>
      <c r="K26" s="47">
        <f ca="1">54.2*OFFSET(K$108,MATCH($M$1,$C$109:$C$110,0),0)</f>
        <v>52.35394748833194</v>
      </c>
      <c r="L26" s="47">
        <f ca="1">55.4*OFFSET(L$108,MATCH($M$1,$C$109:$C$110,0),0)</f>
        <v>54.470941041859312</v>
      </c>
      <c r="M26" s="48">
        <f ca="1">56.6*OFFSET(M$108,MATCH($M$1,$C$109:$C$110,0),0)</f>
        <v>56.599999780100333</v>
      </c>
      <c r="N26" s="49">
        <f t="shared" ca="1" si="0"/>
        <v>0.35825640120792546</v>
      </c>
      <c r="O26" s="49">
        <f t="shared" ca="1" si="1"/>
        <v>0.17746201867175512</v>
      </c>
    </row>
    <row r="27" spans="1:15" s="19" customFormat="1" ht="18" customHeight="1" x14ac:dyDescent="0.2">
      <c r="A27" s="148"/>
      <c r="B27" s="33" t="s">
        <v>35</v>
      </c>
      <c r="C27" s="25"/>
      <c r="D27" s="26">
        <f ca="1">6*OFFSET(D$108,MATCH($M$1,$C$109:$C$110,0),0)</f>
        <v>4.8807599562753454</v>
      </c>
      <c r="E27" s="26">
        <f ca="1">6*OFFSET(E$108,MATCH($M$1,$C$109:$C$110,0),0)</f>
        <v>5.011979618551262</v>
      </c>
      <c r="F27" s="26">
        <f ca="1">6.4*OFFSET(F$108,MATCH($M$1,$C$109:$C$110,0),0)</f>
        <v>5.4996478576110501</v>
      </c>
      <c r="G27" s="26">
        <f ca="1">8.3*OFFSET(G$108,MATCH($M$1,$C$109:$C$110,0),0)</f>
        <v>7.3394410978127</v>
      </c>
      <c r="H27" s="26">
        <f ca="1">6.2*OFFSET(H$108,MATCH($M$1,$C$109:$C$110,0),0)</f>
        <v>5.5910360896081128</v>
      </c>
      <c r="I27" s="26">
        <f ca="1">6.9*OFFSET(I$108,MATCH($M$1,$C$109:$C$110,0),0)</f>
        <v>6.4196909163969256</v>
      </c>
      <c r="J27" s="26">
        <f ca="1">8.6*OFFSET(J$108,MATCH($M$1,$C$109:$C$110,0),0)</f>
        <v>8.1713759355046278</v>
      </c>
      <c r="K27" s="26">
        <f ca="1">8.9*OFFSET(K$108,MATCH($M$1,$C$109:$C$110,0),0)</f>
        <v>8.5968659159807057</v>
      </c>
      <c r="L27" s="26">
        <f ca="1">8.8*OFFSET(L$108,MATCH($M$1,$C$109:$C$110,0),0)</f>
        <v>8.6524238478043678</v>
      </c>
      <c r="M27" s="27">
        <f ca="1">8.4*OFFSET(M$108,MATCH($M$1,$C$109:$C$110,0),0)</f>
        <v>8.3999999673647139</v>
      </c>
      <c r="N27" s="24">
        <f t="shared" ca="1" si="0"/>
        <v>0.7727616037907532</v>
      </c>
      <c r="O27" s="24">
        <f t="shared" ca="1" si="1"/>
        <v>0.54755285230341522</v>
      </c>
    </row>
    <row r="28" spans="1:15" s="19" customFormat="1" ht="18" customHeight="1" x14ac:dyDescent="0.2">
      <c r="A28" s="148"/>
      <c r="B28" s="33" t="s">
        <v>36</v>
      </c>
      <c r="C28" s="25"/>
      <c r="D28" s="26">
        <f ca="1">18.3*OFFSET(D$108,MATCH($M$1,$C$109:$C$110,0),0)</f>
        <v>14.886317866639803</v>
      </c>
      <c r="E28" s="26">
        <f ca="1">16.6*OFFSET(E$108,MATCH($M$1,$C$109:$C$110,0),0)</f>
        <v>13.866476944658491</v>
      </c>
      <c r="F28" s="26">
        <f ca="1">15.6*OFFSET(F$108,MATCH($M$1,$C$109:$C$110,0),0)</f>
        <v>13.405391652926934</v>
      </c>
      <c r="G28" s="26">
        <f ca="1">16.4*OFFSET(G$108,MATCH($M$1,$C$109:$C$110,0),0)</f>
        <v>14.502028193268465</v>
      </c>
      <c r="H28" s="26">
        <f ca="1">13.8*OFFSET(H$108,MATCH($M$1,$C$109:$C$110,0),0)</f>
        <v>12.444564199450316</v>
      </c>
      <c r="I28" s="26">
        <f ca="1">13.9*OFFSET(I$108,MATCH($M$1,$C$109:$C$110,0),0)</f>
        <v>12.932420831582212</v>
      </c>
      <c r="J28" s="26">
        <f ca="1">12.9*OFFSET(J$108,MATCH($M$1,$C$109:$C$110,0),0)</f>
        <v>12.257063903256942</v>
      </c>
      <c r="K28" s="26">
        <f ca="1">14.4*OFFSET(K$108,MATCH($M$1,$C$109:$C$110,0),0)</f>
        <v>13.90953586405867</v>
      </c>
      <c r="L28" s="26">
        <f ca="1">16.4*OFFSET(L$108,MATCH($M$1,$C$109:$C$110,0),0)</f>
        <v>16.124971716362683</v>
      </c>
      <c r="M28" s="27">
        <f ca="1">17*OFFSET(M$108,MATCH($M$1,$C$109:$C$110,0),0)</f>
        <v>16.999999933952395</v>
      </c>
      <c r="N28" s="24">
        <f t="shared" ca="1" si="0"/>
        <v>8.3207537338612095E-2</v>
      </c>
      <c r="O28" s="24">
        <f t="shared" ca="1" si="1"/>
        <v>0.29574418661241136</v>
      </c>
    </row>
    <row r="29" spans="1:15" s="19" customFormat="1" ht="18" customHeight="1" x14ac:dyDescent="0.2">
      <c r="A29" s="148"/>
      <c r="B29" s="33" t="s">
        <v>37</v>
      </c>
      <c r="C29" s="25"/>
      <c r="D29" s="26">
        <f ca="1">7.4*OFFSET(D$108,MATCH($M$1,$C$109:$C$110,0),0)</f>
        <v>6.0196039460729258</v>
      </c>
      <c r="E29" s="26">
        <f ca="1">7.7*OFFSET(E$108,MATCH($M$1,$C$109:$C$110,0),0)</f>
        <v>6.4320405104741187</v>
      </c>
      <c r="F29" s="26">
        <f ca="1">5.7*OFFSET(F$108,MATCH($M$1,$C$109:$C$110,0),0)</f>
        <v>4.8981238731848418</v>
      </c>
      <c r="G29" s="26">
        <f ca="1">5.2*OFFSET(G$108,MATCH($M$1,$C$109:$C$110,0),0)</f>
        <v>4.5982040612802457</v>
      </c>
      <c r="H29" s="26">
        <f ca="1">5.8*OFFSET(H$108,MATCH($M$1,$C$109:$C$110,0),0)</f>
        <v>5.2303240838269431</v>
      </c>
      <c r="I29" s="26">
        <f ca="1">6.5*OFFSET(I$108,MATCH($M$1,$C$109:$C$110,0),0)</f>
        <v>6.0475349212434804</v>
      </c>
      <c r="J29" s="26">
        <f ca="1">7.9*OFFSET(J$108,MATCH($M$1,$C$109:$C$110,0),0)</f>
        <v>7.5062639407542511</v>
      </c>
      <c r="K29" s="26">
        <f ca="1">9.3*OFFSET(K$108,MATCH($M$1,$C$109:$C$110,0),0)</f>
        <v>8.9832419122045586</v>
      </c>
      <c r="L29" s="26">
        <f ca="1">9.4*OFFSET(L$108,MATCH($M$1,$C$109:$C$110,0),0)</f>
        <v>9.2423618374273939</v>
      </c>
      <c r="M29" s="27">
        <f ca="1">9.6*OFFSET(M$108,MATCH($M$1,$C$109:$C$110,0),0)</f>
        <v>9.5999999627025296</v>
      </c>
      <c r="N29" s="24">
        <f t="shared" ca="1" si="0"/>
        <v>0.53537706470820789</v>
      </c>
      <c r="O29" s="24">
        <f t="shared" ca="1" si="1"/>
        <v>0.76707249671322619</v>
      </c>
    </row>
    <row r="30" spans="1:15" s="19" customFormat="1" ht="18" customHeight="1" x14ac:dyDescent="0.2">
      <c r="A30" s="148"/>
      <c r="B30" s="33" t="s">
        <v>38</v>
      </c>
      <c r="C30" s="25"/>
      <c r="D30" s="26">
        <f ca="1">31.6*OFFSET(D$108,MATCH($M$1,$C$109:$C$110,0),0)</f>
        <v>25.705335769716818</v>
      </c>
      <c r="E30" s="26">
        <f ca="1">30.3*OFFSET(E$108,MATCH($M$1,$C$109:$C$110,0),0)</f>
        <v>25.310497073683869</v>
      </c>
      <c r="F30" s="26">
        <f ca="1">27.7*OFFSET(F$108,MATCH($M$1,$C$109:$C$110,0),0)</f>
        <v>23.803163383722826</v>
      </c>
      <c r="G30" s="26">
        <f ca="1">29.8*OFFSET(G$108,MATCH($M$1,$C$109:$C$110,0),0)</f>
        <v>26.351246351182944</v>
      </c>
      <c r="H30" s="26">
        <f ca="1">25.7*OFFSET(H$108,MATCH($M$1,$C$109:$C$110,0),0)</f>
        <v>23.175746371440077</v>
      </c>
      <c r="I30" s="26">
        <f ca="1">27.3*OFFSET(I$108,MATCH($M$1,$C$109:$C$110,0),0)</f>
        <v>25.399646669222619</v>
      </c>
      <c r="J30" s="26">
        <f ca="1">29.4*OFFSET(J$108,MATCH($M$1,$C$109:$C$110,0),0)</f>
        <v>27.934703779515818</v>
      </c>
      <c r="K30" s="26">
        <f ca="1">32.6*OFFSET(K$108,MATCH($M$1,$C$109:$C$110,0),0)</f>
        <v>31.489643692243934</v>
      </c>
      <c r="L30" s="26">
        <f ca="1">34.6*OFFSET(L$108,MATCH($M$1,$C$109:$C$110,0),0)</f>
        <v>34.019757401594447</v>
      </c>
      <c r="M30" s="27">
        <f ca="1">35*OFFSET(M$108,MATCH($M$1,$C$109:$C$110,0),0)</f>
        <v>34.999999864019635</v>
      </c>
      <c r="N30" s="24">
        <f t="shared" ca="1" si="0"/>
        <v>0.32345119730638805</v>
      </c>
      <c r="O30" s="24">
        <f t="shared" ca="1" si="1"/>
        <v>0.46790342180813888</v>
      </c>
    </row>
    <row r="31" spans="1:15" s="19" customFormat="1" ht="18" customHeight="1" x14ac:dyDescent="0.2">
      <c r="A31" s="148"/>
      <c r="B31" s="33" t="s">
        <v>39</v>
      </c>
      <c r="C31" s="25"/>
      <c r="D31" s="26">
        <f ca="1">9.5*OFFSET(D$108,MATCH($M$1,$C$109:$C$110,0),0)</f>
        <v>7.7278699307692964</v>
      </c>
      <c r="E31" s="26">
        <f ca="1">12*OFFSET(E$108,MATCH($M$1,$C$109:$C$110,0),0)</f>
        <v>10.023959237102524</v>
      </c>
      <c r="F31" s="26">
        <f ca="1">10.9*OFFSET(F$108,MATCH($M$1,$C$109:$C$110,0),0)</f>
        <v>9.3665877574938197</v>
      </c>
      <c r="G31" s="26">
        <f ca="1">10.5*OFFSET(G$108,MATCH($M$1,$C$109:$C$110,0),0)</f>
        <v>9.2848351237389579</v>
      </c>
      <c r="H31" s="26">
        <f ca="1">10.3*OFFSET(H$108,MATCH($M$1,$C$109:$C$110,0),0)</f>
        <v>9.2883341488650899</v>
      </c>
      <c r="I31" s="26">
        <f ca="1">11.2*OFFSET(I$108,MATCH($M$1,$C$109:$C$110,0),0)</f>
        <v>10.420367864296457</v>
      </c>
      <c r="J31" s="26">
        <f ca="1">10.5*OFFSET(J$108,MATCH($M$1,$C$109:$C$110,0),0)</f>
        <v>9.9766799212556503</v>
      </c>
      <c r="K31" s="26">
        <f ca="1">11.4*OFFSET(K$108,MATCH($M$1,$C$109:$C$110,0),0)</f>
        <v>11.011715892379781</v>
      </c>
      <c r="L31" s="26">
        <f ca="1">9.5*OFFSET(L$108,MATCH($M$1,$C$109:$C$110,0),0)</f>
        <v>9.340684835697898</v>
      </c>
      <c r="M31" s="27">
        <f ca="1">9.7*OFFSET(M$108,MATCH($M$1,$C$109:$C$110,0),0)</f>
        <v>9.6999999623140134</v>
      </c>
      <c r="N31" s="24">
        <f t="shared" ca="1" si="0"/>
        <v>0.20870109349369556</v>
      </c>
      <c r="O31" s="24">
        <f t="shared" ca="1" si="1"/>
        <v>5.6361760886051489E-3</v>
      </c>
    </row>
    <row r="32" spans="1:15" s="19" customFormat="1" ht="18" customHeight="1" x14ac:dyDescent="0.2">
      <c r="A32" s="148"/>
      <c r="B32" s="33" t="s">
        <v>40</v>
      </c>
      <c r="C32" s="25"/>
      <c r="D32" s="26">
        <f ca="1">41.1*OFFSET(D$108,MATCH($M$1,$C$109:$C$110,0),0)</f>
        <v>33.433205700486113</v>
      </c>
      <c r="E32" s="26">
        <f ca="1">42.3*OFFSET(E$108,MATCH($M$1,$C$109:$C$110,0),0)</f>
        <v>35.334456310786393</v>
      </c>
      <c r="F32" s="26">
        <f ca="1">38.6*OFFSET(F$108,MATCH($M$1,$C$109:$C$110,0),0)</f>
        <v>33.169751141216643</v>
      </c>
      <c r="G32" s="26">
        <f ca="1">40.3*OFFSET(G$108,MATCH($M$1,$C$109:$C$110,0),0)</f>
        <v>35.636081474921902</v>
      </c>
      <c r="H32" s="26">
        <f ca="1">36*OFFSET(H$108,MATCH($M$1,$C$109:$C$110,0),0)</f>
        <v>32.464080520305167</v>
      </c>
      <c r="I32" s="26">
        <f ca="1">38.4*OFFSET(I$108,MATCH($M$1,$C$109:$C$110,0),0)</f>
        <v>35.726975534730713</v>
      </c>
      <c r="J32" s="26">
        <f ca="1">39.9*OFFSET(J$108,MATCH($M$1,$C$109:$C$110,0),0)</f>
        <v>37.911383700771466</v>
      </c>
      <c r="K32" s="26">
        <f ca="1">44*OFFSET(K$108,MATCH($M$1,$C$109:$C$110,0),0)</f>
        <v>42.501359584623714</v>
      </c>
      <c r="L32" s="26">
        <f ca="1">44.1*OFFSET(L$108,MATCH($M$1,$C$109:$C$110,0),0)</f>
        <v>43.360442237292347</v>
      </c>
      <c r="M32" s="27">
        <f ca="1">44.7*OFFSET(M$108,MATCH($M$1,$C$109:$C$110,0),0)</f>
        <v>44.699999826333652</v>
      </c>
      <c r="N32" s="24">
        <f t="shared" ca="1" si="0"/>
        <v>0.2969274506830164</v>
      </c>
      <c r="O32" s="24">
        <f t="shared" ca="1" si="1"/>
        <v>0.33564362650505009</v>
      </c>
    </row>
    <row r="33" spans="1:15" s="19" customFormat="1" ht="18" customHeight="1" x14ac:dyDescent="0.2">
      <c r="A33" s="148"/>
      <c r="B33" s="45" t="s">
        <v>41</v>
      </c>
      <c r="C33" s="46"/>
      <c r="D33" s="47">
        <f ca="1">26.4*OFFSET(D$108,MATCH($M$1,$C$109:$C$110,0),0)</f>
        <v>21.475343807611516</v>
      </c>
      <c r="E33" s="47">
        <f ca="1">28.7*OFFSET(E$108,MATCH($M$1,$C$109:$C$110,0),0)</f>
        <v>23.973969175403532</v>
      </c>
      <c r="F33" s="47">
        <f ca="1">33.1*OFFSET(F$108,MATCH($M$1,$C$109:$C$110,0),0)</f>
        <v>28.44349126358215</v>
      </c>
      <c r="G33" s="47">
        <f ca="1">30.7*OFFSET(G$108,MATCH($M$1,$C$109:$C$110,0),0)</f>
        <v>27.147089361789142</v>
      </c>
      <c r="H33" s="47">
        <f ca="1">29.1*OFFSET(H$108,MATCH($M$1,$C$109:$C$110,0),0)</f>
        <v>26.241798420580011</v>
      </c>
      <c r="I33" s="47">
        <f ca="1">27.5*OFFSET(I$108,MATCH($M$1,$C$109:$C$110,0),0)</f>
        <v>25.58572466679934</v>
      </c>
      <c r="J33" s="47">
        <f ca="1">26.1*OFFSET(J$108,MATCH($M$1,$C$109:$C$110,0),0)</f>
        <v>24.799175804264046</v>
      </c>
      <c r="K33" s="47">
        <f ca="1">24.6*OFFSET(K$108,MATCH($M$1,$C$109:$C$110,0),0)</f>
        <v>23.762123767766894</v>
      </c>
      <c r="L33" s="47">
        <f ca="1">27.7*OFFSET(L$108,MATCH($M$1,$C$109:$C$110,0),0)</f>
        <v>27.235470520929656</v>
      </c>
      <c r="M33" s="48">
        <f ca="1">28.9*OFFSET(M$108,MATCH($M$1,$C$109:$C$110,0),0)</f>
        <v>28.899999887719073</v>
      </c>
      <c r="N33" s="49">
        <f t="shared" ca="1" si="0"/>
        <v>0.26822046552179413</v>
      </c>
      <c r="O33" s="49">
        <f t="shared" ca="1" si="1"/>
        <v>3.7866006148814947E-2</v>
      </c>
    </row>
    <row r="34" spans="1:15" s="19" customFormat="1" ht="18" customHeight="1" x14ac:dyDescent="0.2">
      <c r="A34" s="148"/>
      <c r="B34" s="45" t="s">
        <v>42</v>
      </c>
      <c r="C34" s="46"/>
      <c r="D34" s="47">
        <f ca="1">8.1*OFFSET(D$108,MATCH($M$1,$C$109:$C$110,0),0)</f>
        <v>6.589025940971716</v>
      </c>
      <c r="E34" s="47">
        <f ca="1">12.1*OFFSET(E$108,MATCH($M$1,$C$109:$C$110,0),0)</f>
        <v>10.107492230745043</v>
      </c>
      <c r="F34" s="47">
        <f ca="1">17.5*OFFSET(F$108,MATCH($M$1,$C$109:$C$110,0),0)</f>
        <v>15.038099610655214</v>
      </c>
      <c r="G34" s="47">
        <f ca="1">14.3*OFFSET(G$108,MATCH($M$1,$C$109:$C$110,0),0)</f>
        <v>12.645061168520675</v>
      </c>
      <c r="H34" s="47">
        <f ca="1">15.3*OFFSET(H$108,MATCH($M$1,$C$109:$C$110,0),0)</f>
        <v>13.797234221129697</v>
      </c>
      <c r="I34" s="47">
        <f ca="1">13.6*OFFSET(I$108,MATCH($M$1,$C$109:$C$110,0),0)</f>
        <v>12.653303835217129</v>
      </c>
      <c r="J34" s="47">
        <f ca="1">13.2*OFFSET(J$108,MATCH($M$1,$C$109:$C$110,0),0)</f>
        <v>12.542111901007102</v>
      </c>
      <c r="K34" s="47">
        <f ca="1">10.2*OFFSET(K$108,MATCH($M$1,$C$109:$C$110,0),0)</f>
        <v>9.8525879037082245</v>
      </c>
      <c r="L34" s="47">
        <f ca="1">11.3*OFFSET(L$108,MATCH($M$1,$C$109:$C$110,0),0)</f>
        <v>11.110498804566973</v>
      </c>
      <c r="M34" s="48">
        <f ca="1">11.9*OFFSET(M$108,MATCH($M$1,$C$109:$C$110,0),0)</f>
        <v>11.899999953766677</v>
      </c>
      <c r="N34" s="49">
        <f t="shared" ca="1" si="0"/>
        <v>0.68621263660231591</v>
      </c>
      <c r="O34" s="49">
        <f t="shared" ca="1" si="1"/>
        <v>-0.19472999975952707</v>
      </c>
    </row>
    <row r="35" spans="1:15" s="19" customFormat="1" ht="18" customHeight="1" x14ac:dyDescent="0.2">
      <c r="A35" s="148"/>
      <c r="B35" s="33" t="s">
        <v>43</v>
      </c>
      <c r="C35" s="25"/>
      <c r="D35" s="26">
        <f ca="1">3*OFFSET(D$108,MATCH($M$1,$C$109:$C$110,0),0)</f>
        <v>2.4403799781376727</v>
      </c>
      <c r="E35" s="26">
        <f ca="1">4.3*OFFSET(E$108,MATCH($M$1,$C$109:$C$110,0),0)</f>
        <v>3.5919187266284038</v>
      </c>
      <c r="F35" s="26">
        <f ca="1">4.1*OFFSET(F$108,MATCH($M$1,$C$109:$C$110,0),0)</f>
        <v>3.5232119087820783</v>
      </c>
      <c r="G35" s="26">
        <f ca="1">3.9*OFFSET(G$108,MATCH($M$1,$C$109:$C$110,0),0)</f>
        <v>3.4486530459601838</v>
      </c>
      <c r="H35" s="26">
        <f ca="1">4.4*OFFSET(H$108,MATCH($M$1,$C$109:$C$110,0),0)</f>
        <v>3.9678320635928541</v>
      </c>
      <c r="I35" s="26">
        <f ca="1">3.4*OFFSET(I$108,MATCH($M$1,$C$109:$C$110,0),0)</f>
        <v>3.1633259588042821</v>
      </c>
      <c r="J35" s="26">
        <f ca="1">2.7*OFFSET(J$108,MATCH($M$1,$C$109:$C$110,0),0)</f>
        <v>2.5654319797514531</v>
      </c>
      <c r="K35" s="26">
        <f ca="1">2.9*OFFSET(K$108,MATCH($M$1,$C$109:$C$110,0),0)</f>
        <v>2.8012259726229267</v>
      </c>
      <c r="L35" s="26">
        <f ca="1">4.1*OFFSET(L$108,MATCH($M$1,$C$109:$C$110,0),0)</f>
        <v>4.0312429290906708</v>
      </c>
      <c r="M35" s="27"/>
      <c r="N35" s="24">
        <f t="shared" ca="1" si="0"/>
        <v>0.65189149444138339</v>
      </c>
      <c r="O35" s="24">
        <f t="shared" ca="1" si="1"/>
        <v>1.5981237230186213E-2</v>
      </c>
    </row>
    <row r="36" spans="1:15" s="19" customFormat="1" ht="18" customHeight="1" x14ac:dyDescent="0.2">
      <c r="A36" s="148"/>
      <c r="B36" s="33" t="s">
        <v>44</v>
      </c>
      <c r="C36" s="25"/>
      <c r="D36" s="26">
        <f ca="1">0.8*OFFSET(D$108,MATCH($M$1,$C$109:$C$110,0),0)</f>
        <v>0.65076799417004605</v>
      </c>
      <c r="E36" s="26">
        <f ca="1">0.8*OFFSET(E$108,MATCH($M$1,$C$109:$C$110,0),0)</f>
        <v>0.66826394914016829</v>
      </c>
      <c r="F36" s="26">
        <f ca="1">0.8*OFFSET(F$108,MATCH($M$1,$C$109:$C$110,0),0)</f>
        <v>0.68745598220138127</v>
      </c>
      <c r="G36" s="26">
        <f ca="1">1.2*OFFSET(G$108,MATCH($M$1,$C$109:$C$110,0),0)</f>
        <v>1.061124014141595</v>
      </c>
      <c r="H36" s="26">
        <f ca="1">0.6*OFFSET(H$108,MATCH($M$1,$C$109:$C$110,0),0)</f>
        <v>0.54106800867175275</v>
      </c>
      <c r="I36" s="26">
        <f ca="1">0.5*OFFSET(I$108,MATCH($M$1,$C$109:$C$110,0),0)</f>
        <v>0.46519499394180619</v>
      </c>
      <c r="J36" s="26">
        <f ca="1">0.6*OFFSET(J$108,MATCH($M$1,$C$109:$C$110,0),0)</f>
        <v>0.57009599550032286</v>
      </c>
      <c r="K36" s="26">
        <f ca="1">0.5*OFFSET(K$108,MATCH($M$1,$C$109:$C$110,0),0)</f>
        <v>0.48296999527981493</v>
      </c>
      <c r="L36" s="26">
        <f ca="1">0.4*OFFSET(L$108,MATCH($M$1,$C$109:$C$110,0),0)</f>
        <v>0.39329199308201673</v>
      </c>
      <c r="M36" s="27"/>
      <c r="N36" s="24">
        <f t="shared" ca="1" si="0"/>
        <v>-0.39564945325315232</v>
      </c>
      <c r="O36" s="24">
        <f t="shared" ca="1" si="1"/>
        <v>-0.2731191148271836</v>
      </c>
    </row>
    <row r="37" spans="1:15" s="19" customFormat="1" ht="18" customHeight="1" x14ac:dyDescent="0.2">
      <c r="A37" s="148"/>
      <c r="B37" s="33" t="s">
        <v>45</v>
      </c>
      <c r="C37" s="25"/>
      <c r="D37" s="26"/>
      <c r="E37" s="26"/>
      <c r="F37" s="26"/>
      <c r="G37" s="26"/>
      <c r="H37" s="26">
        <f ca="1">0.2*OFFSET(H$108,MATCH($M$1,$C$109:$C$110,0),0)</f>
        <v>0.18035600289058429</v>
      </c>
      <c r="I37" s="26">
        <f ca="1">0.1*OFFSET(I$108,MATCH($M$1,$C$109:$C$110,0),0)</f>
        <v>9.3038998788361249E-2</v>
      </c>
      <c r="J37" s="26">
        <f ca="1">0.4*OFFSET(J$108,MATCH($M$1,$C$109:$C$110,0),0)</f>
        <v>0.38006399700021526</v>
      </c>
      <c r="K37" s="26">
        <f ca="1">0.3*OFFSET(K$108,MATCH($M$1,$C$109:$C$110,0),0)</f>
        <v>0.28978199716788894</v>
      </c>
      <c r="L37" s="26">
        <f ca="1">0.3*OFFSET(L$108,MATCH($M$1,$C$109:$C$110,0),0)</f>
        <v>0.29496899481151251</v>
      </c>
      <c r="M37" s="27"/>
      <c r="N37" s="24" t="str">
        <f t="shared" ca="1" si="0"/>
        <v/>
      </c>
      <c r="O37" s="24">
        <f t="shared" ca="1" si="1"/>
        <v>0.63548199163883634</v>
      </c>
    </row>
    <row r="38" spans="1:15" s="19" customFormat="1" ht="18" customHeight="1" thickBot="1" x14ac:dyDescent="0.25">
      <c r="A38" s="149"/>
      <c r="B38" s="50" t="s">
        <v>46</v>
      </c>
      <c r="C38" s="51"/>
      <c r="D38" s="52">
        <f ca="1">4.3*OFFSET(D$108,MATCH($M$1,$C$109:$C$110,0),0)</f>
        <v>3.4978779686639974</v>
      </c>
      <c r="E38" s="52">
        <f ca="1">7.1*OFFSET(E$108,MATCH($M$1,$C$109:$C$110,0),0)</f>
        <v>5.9308425486189922</v>
      </c>
      <c r="F38" s="52">
        <f ca="1">12.6*OFFSET(F$108,MATCH($M$1,$C$109:$C$110,0),0)</f>
        <v>10.827431719671754</v>
      </c>
      <c r="G38" s="52">
        <f ca="1">9.1*OFFSET(G$108,MATCH($M$1,$C$109:$C$110,0),0)</f>
        <v>8.0468571072404291</v>
      </c>
      <c r="H38" s="52">
        <f ca="1">10.2*OFFSET(H$108,MATCH($M$1,$C$109:$C$110,0),0)</f>
        <v>9.1981561474197964</v>
      </c>
      <c r="I38" s="52">
        <f ca="1">9.6*OFFSET(I$108,MATCH($M$1,$C$109:$C$110,0),0)</f>
        <v>8.9317438836826781</v>
      </c>
      <c r="J38" s="52">
        <f ca="1">9.5*OFFSET(J$108,MATCH($M$1,$C$109:$C$110,0),0)</f>
        <v>9.0265199287551123</v>
      </c>
      <c r="K38" s="52">
        <f ca="1">6.4*OFFSET(K$108,MATCH($M$1,$C$109:$C$110,0),0)</f>
        <v>6.1820159395816319</v>
      </c>
      <c r="L38" s="52">
        <f ca="1">6.6*OFFSET(L$108,MATCH($M$1,$C$109:$C$110,0),0)</f>
        <v>6.4893178858532758</v>
      </c>
      <c r="M38" s="53"/>
      <c r="N38" s="54">
        <f t="shared" ca="1" si="0"/>
        <v>0.85521563187404415</v>
      </c>
      <c r="O38" s="54">
        <f t="shared" ca="1" si="1"/>
        <v>-0.29449796439108999</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Under 10m pots and traps</v>
      </c>
      <c r="C45" s="61"/>
      <c r="D45" s="61"/>
      <c r="E45" s="61"/>
      <c r="F45" s="61" t="str">
        <f>$B21&amp;CHAR(10)&amp;$A$1</f>
        <v>Income per kW day at sea (£)
Under 10m pots and traps</v>
      </c>
      <c r="G45" s="61"/>
      <c r="K45" s="61" t="str">
        <f>$B23&amp;CHAR(10)&amp;$A$1</f>
        <v>Operating profit per kW day at sea (£)
Under 10m pots and traps</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Under 10m pots and traps</v>
      </c>
      <c r="F59" s="61" t="str">
        <f>$B19&amp;CHAR(10)&amp;$A$1</f>
        <v>Average price per tonne landed (£)
Under 10m pots and traps</v>
      </c>
      <c r="K59" s="61" t="str">
        <f>"Average annual operating profit per vessel (£'000)"&amp;CHAR(10)&amp;$A$1</f>
        <v>Average annual operating profit per vessel (£'000)
Under 10m pots and traps</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Under 10m pots and traps</v>
      </c>
      <c r="F73" s="61" t="str">
        <f>"Top 5 landed species by value in "&amp;A74&amp;CHAR(10)&amp;A1</f>
        <v>Top 5 landed species by value in 2013
Under 10m pots and traps</v>
      </c>
    </row>
    <row r="74" spans="1:9" s="61" customFormat="1" x14ac:dyDescent="0.2">
      <c r="A74" s="61">
        <v>2013</v>
      </c>
      <c r="B74" s="61" t="s">
        <v>469</v>
      </c>
      <c r="C74" s="62">
        <v>0.402685517685681</v>
      </c>
      <c r="D74" s="63">
        <v>6763595</v>
      </c>
      <c r="G74" s="61" t="s">
        <v>470</v>
      </c>
      <c r="H74" s="62">
        <v>0.33632151204620608</v>
      </c>
      <c r="I74" s="63">
        <v>8211234</v>
      </c>
    </row>
    <row r="75" spans="1:9" s="61" customFormat="1" x14ac:dyDescent="0.2">
      <c r="B75" s="61" t="s">
        <v>471</v>
      </c>
      <c r="C75" s="62">
        <v>0.36176121840131192</v>
      </c>
      <c r="D75" s="63">
        <v>2171775</v>
      </c>
      <c r="G75" s="61" t="s">
        <v>472</v>
      </c>
      <c r="H75" s="62">
        <v>0.2155014655836299</v>
      </c>
      <c r="I75" s="63">
        <v>2171775</v>
      </c>
    </row>
    <row r="76" spans="1:9" s="61" customFormat="1" x14ac:dyDescent="0.2">
      <c r="B76" s="61" t="s">
        <v>203</v>
      </c>
      <c r="C76" s="62">
        <v>6.6856643759869938E-2</v>
      </c>
      <c r="D76" s="63">
        <v>8211234</v>
      </c>
      <c r="G76" s="61" t="s">
        <v>473</v>
      </c>
      <c r="H76" s="62">
        <v>0.157236171777869</v>
      </c>
      <c r="I76" s="63">
        <v>2783840</v>
      </c>
    </row>
    <row r="77" spans="1:9" s="61" customFormat="1" x14ac:dyDescent="0.2">
      <c r="B77" s="61" t="s">
        <v>474</v>
      </c>
      <c r="C77" s="62">
        <v>4.8828961584471579E-2</v>
      </c>
      <c r="D77" s="63">
        <v>2764187</v>
      </c>
      <c r="G77" s="61" t="s">
        <v>475</v>
      </c>
      <c r="H77" s="62">
        <v>0.14815024456783196</v>
      </c>
      <c r="I77" s="63">
        <v>6763595</v>
      </c>
    </row>
    <row r="78" spans="1:9" s="61" customFormat="1" x14ac:dyDescent="0.2">
      <c r="B78" s="61" t="s">
        <v>476</v>
      </c>
      <c r="C78" s="62">
        <v>3.9844277555983222E-2</v>
      </c>
      <c r="D78" s="63">
        <v>2783840</v>
      </c>
      <c r="G78" s="61" t="s">
        <v>477</v>
      </c>
      <c r="H78" s="62">
        <v>5.899368261613553E-2</v>
      </c>
      <c r="I78" s="63">
        <v>2764187</v>
      </c>
    </row>
    <row r="79" spans="1:9" s="61" customFormat="1" x14ac:dyDescent="0.2">
      <c r="B79" s="61" t="s">
        <v>478</v>
      </c>
      <c r="C79" s="62">
        <v>8.0023381012682471E-2</v>
      </c>
      <c r="D79" s="63">
        <v>32768</v>
      </c>
      <c r="G79" s="61" t="s">
        <v>283</v>
      </c>
      <c r="H79" s="62">
        <v>8.3796923408327451E-2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191</v>
      </c>
      <c r="D88" s="66">
        <v>0.22834463461909091</v>
      </c>
      <c r="E88" s="66">
        <v>0.37678389999765866</v>
      </c>
      <c r="F88" s="66">
        <v>0.38132693126765588</v>
      </c>
      <c r="G88" s="66">
        <v>0.39771155168526434</v>
      </c>
      <c r="H88" s="66">
        <v>0.37218850379704238</v>
      </c>
      <c r="I88" s="66">
        <v>0.33689344514920055</v>
      </c>
      <c r="J88" s="66">
        <v>0.39736448361162269</v>
      </c>
      <c r="K88" s="66">
        <v>0.36767035477752968</v>
      </c>
      <c r="L88" s="66">
        <v>0.34205783283058533</v>
      </c>
      <c r="M88" s="66">
        <v>0.36596963315476722</v>
      </c>
      <c r="N88" s="61"/>
      <c r="O88" s="61">
        <v>8211234</v>
      </c>
    </row>
    <row r="89" spans="1:15" s="65" customFormat="1" hidden="1" x14ac:dyDescent="0.2">
      <c r="A89" s="61"/>
      <c r="B89" s="61">
        <v>2</v>
      </c>
      <c r="C89" s="61" t="s">
        <v>61</v>
      </c>
      <c r="D89" s="66">
        <v>0.18530937993213442</v>
      </c>
      <c r="E89" s="66">
        <v>0.20046862794415116</v>
      </c>
      <c r="F89" s="66">
        <v>0.21010419923590473</v>
      </c>
      <c r="G89" s="66">
        <v>0.19181948530975212</v>
      </c>
      <c r="H89" s="66">
        <v>0.16759046668591585</v>
      </c>
      <c r="I89" s="66">
        <v>0.18098202129552171</v>
      </c>
      <c r="J89" s="66">
        <v>0.18054321926562969</v>
      </c>
      <c r="K89" s="66">
        <v>0.19611046165882087</v>
      </c>
      <c r="L89" s="66">
        <v>0.2191770720845953</v>
      </c>
      <c r="M89" s="66">
        <v>0.22140488664270619</v>
      </c>
      <c r="N89" s="61"/>
      <c r="O89" s="61">
        <v>2171775</v>
      </c>
    </row>
    <row r="90" spans="1:15" s="65" customFormat="1" hidden="1" x14ac:dyDescent="0.2">
      <c r="A90" s="61"/>
      <c r="B90" s="61">
        <v>3</v>
      </c>
      <c r="C90" s="61" t="s">
        <v>60</v>
      </c>
      <c r="D90" s="66">
        <v>0.36546309323792253</v>
      </c>
      <c r="E90" s="66">
        <v>0.18523816432969811</v>
      </c>
      <c r="F90" s="66">
        <v>0.1733850123102206</v>
      </c>
      <c r="G90" s="66">
        <v>0.18493897551398014</v>
      </c>
      <c r="H90" s="66">
        <v>0.22089779693919792</v>
      </c>
      <c r="I90" s="66">
        <v>0.21773399478346669</v>
      </c>
      <c r="J90" s="66">
        <v>0.17923222104358658</v>
      </c>
      <c r="K90" s="66">
        <v>0.16194268688288938</v>
      </c>
      <c r="L90" s="66">
        <v>0.15991800177660453</v>
      </c>
      <c r="M90" s="66">
        <v>0.13925018349202237</v>
      </c>
      <c r="N90" s="61"/>
      <c r="O90" s="61">
        <v>2783840</v>
      </c>
    </row>
    <row r="91" spans="1:15" s="65" customFormat="1" hidden="1" x14ac:dyDescent="0.2">
      <c r="A91" s="61"/>
      <c r="B91" s="61">
        <v>4</v>
      </c>
      <c r="C91" s="61" t="s">
        <v>195</v>
      </c>
      <c r="D91" s="66">
        <v>4.3903997622447156E-2</v>
      </c>
      <c r="E91" s="66">
        <v>4.7215930476633743E-2</v>
      </c>
      <c r="F91" s="66">
        <v>6.0032133374778404E-2</v>
      </c>
      <c r="G91" s="66">
        <v>6.6098949252308623E-2</v>
      </c>
      <c r="H91" s="66">
        <v>6.8211835226387046E-2</v>
      </c>
      <c r="I91" s="66">
        <v>8.9650916206144279E-2</v>
      </c>
      <c r="J91" s="66">
        <v>8.072334036942061E-2</v>
      </c>
      <c r="K91" s="66">
        <v>0.11409584194905122</v>
      </c>
      <c r="L91" s="66">
        <v>0.15067710442272153</v>
      </c>
      <c r="M91" s="66">
        <v>0.14762395001787204</v>
      </c>
      <c r="N91" s="61"/>
      <c r="O91" s="61">
        <v>6763595</v>
      </c>
    </row>
    <row r="92" spans="1:15" s="65" customFormat="1" hidden="1" x14ac:dyDescent="0.2">
      <c r="A92" s="61"/>
      <c r="B92" s="61">
        <v>5</v>
      </c>
      <c r="C92" s="61" t="s">
        <v>194</v>
      </c>
      <c r="D92" s="66">
        <v>0.12949229002672141</v>
      </c>
      <c r="E92" s="66">
        <v>9.9030495204856947E-2</v>
      </c>
      <c r="F92" s="66">
        <v>9.3317935916830588E-2</v>
      </c>
      <c r="G92" s="66">
        <v>9.1676793283816213E-2</v>
      </c>
      <c r="H92" s="66">
        <v>0.10506267237930002</v>
      </c>
      <c r="I92" s="66">
        <v>0.10426518706203676</v>
      </c>
      <c r="J92" s="66">
        <v>8.8298203041696555E-2</v>
      </c>
      <c r="K92" s="66">
        <v>7.7900736006024041E-2</v>
      </c>
      <c r="L92" s="66">
        <v>5.9999882563558211E-2</v>
      </c>
      <c r="M92" s="66">
        <v>5.8704379314014565E-2</v>
      </c>
      <c r="N92" s="61"/>
      <c r="O92" s="61">
        <v>2764187</v>
      </c>
    </row>
    <row r="93" spans="1:15" s="65" customFormat="1" hidden="1" x14ac:dyDescent="0.2">
      <c r="A93" s="61"/>
      <c r="B93" s="61">
        <v>6</v>
      </c>
      <c r="C93" s="61" t="s">
        <v>68</v>
      </c>
      <c r="D93" s="66">
        <v>4.7486604561683549E-2</v>
      </c>
      <c r="E93" s="66">
        <v>9.1262882047001406E-2</v>
      </c>
      <c r="F93" s="66">
        <v>8.183378789460978E-2</v>
      </c>
      <c r="G93" s="66">
        <v>6.7754244954878542E-2</v>
      </c>
      <c r="H93" s="66">
        <v>6.6048724972156775E-2</v>
      </c>
      <c r="I93" s="66">
        <v>7.0474435503630001E-2</v>
      </c>
      <c r="J93" s="66">
        <v>7.3838532668043869E-2</v>
      </c>
      <c r="K93" s="66">
        <v>8.2279918725684825E-2</v>
      </c>
      <c r="L93" s="66">
        <v>6.8170106321935084E-2</v>
      </c>
      <c r="M93" s="66">
        <v>6.7046967378617636E-2</v>
      </c>
      <c r="N93" s="61"/>
      <c r="O93" s="61">
        <v>32768</v>
      </c>
    </row>
    <row r="94" spans="1:15" s="65" customFormat="1" hidden="1" x14ac:dyDescent="0.2">
      <c r="A94" s="61"/>
      <c r="B94" s="61">
        <v>7</v>
      </c>
      <c r="C94" s="61"/>
      <c r="D94" s="66"/>
      <c r="E94" s="66"/>
      <c r="F94" s="66"/>
      <c r="G94" s="66"/>
      <c r="H94" s="66"/>
      <c r="I94" s="66"/>
      <c r="J94" s="66"/>
      <c r="K94" s="66"/>
      <c r="L94" s="66"/>
      <c r="M94" s="66"/>
      <c r="N94" s="61"/>
      <c r="O94" s="61">
        <v>1464488</v>
      </c>
    </row>
    <row r="95" spans="1:15" s="65" customFormat="1" hidden="1" x14ac:dyDescent="0.2">
      <c r="A95" s="61"/>
      <c r="B95" s="61">
        <v>8</v>
      </c>
      <c r="C95" s="61"/>
      <c r="D95" s="66"/>
      <c r="E95" s="66"/>
      <c r="F95" s="66"/>
      <c r="G95" s="66"/>
      <c r="H95" s="66"/>
      <c r="I95" s="66"/>
      <c r="J95" s="66"/>
      <c r="K95" s="66"/>
      <c r="L95" s="66"/>
      <c r="M95" s="66"/>
      <c r="N95" s="61"/>
      <c r="O95" s="61">
        <v>8274269</v>
      </c>
    </row>
    <row r="96" spans="1:15" s="65" customFormat="1" hidden="1" x14ac:dyDescent="0.2">
      <c r="A96" s="61"/>
      <c r="B96" s="61">
        <v>9</v>
      </c>
      <c r="C96" s="61"/>
      <c r="D96" s="66"/>
      <c r="E96" s="66"/>
      <c r="F96" s="66"/>
      <c r="G96" s="66"/>
      <c r="H96" s="66"/>
      <c r="I96" s="66"/>
      <c r="J96" s="66"/>
      <c r="K96" s="66"/>
      <c r="L96" s="66"/>
      <c r="M96" s="66"/>
      <c r="N96" s="61"/>
      <c r="O96" s="61">
        <v>10520359</v>
      </c>
    </row>
    <row r="97" spans="1:15" s="65" customFormat="1" hidden="1" x14ac:dyDescent="0.2">
      <c r="A97" s="61"/>
      <c r="B97" s="61">
        <v>10</v>
      </c>
      <c r="C97" s="61"/>
      <c r="D97" s="66"/>
      <c r="E97" s="66"/>
      <c r="F97" s="66"/>
      <c r="G97" s="66"/>
      <c r="H97" s="66"/>
      <c r="I97" s="66"/>
      <c r="J97" s="66"/>
      <c r="K97" s="66"/>
      <c r="L97" s="66"/>
      <c r="M97" s="66"/>
      <c r="N97" s="61"/>
      <c r="O97" s="61">
        <v>1928395</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7</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'U10m pots and traps'!D3:L3</xm:f>
              <xm:sqref>C3</xm:sqref>
            </x14:sparkline>
            <x14:sparkline>
              <xm:f>'U10m pots and traps'!D4:L4</xm:f>
              <xm:sqref>C4</xm:sqref>
            </x14:sparkline>
            <x14:sparkline>
              <xm:f>'U10m pots and traps'!D5:L5</xm:f>
              <xm:sqref>C5</xm:sqref>
            </x14:sparkline>
            <x14:sparkline>
              <xm:f>'U10m pots and traps'!D6:L6</xm:f>
              <xm:sqref>C6</xm:sqref>
            </x14:sparkline>
            <x14:sparkline>
              <xm:f>'U10m pots and traps'!D7:L7</xm:f>
              <xm:sqref>C7</xm:sqref>
            </x14:sparkline>
            <x14:sparkline>
              <xm:f>'U10m pots and traps'!D8:L8</xm:f>
              <xm:sqref>C8</xm:sqref>
            </x14:sparkline>
            <x14:sparkline>
              <xm:f>'U10m pots and traps'!D9:L9</xm:f>
              <xm:sqref>C9</xm:sqref>
            </x14:sparkline>
            <x14:sparkline>
              <xm:f>'U10m pots and traps'!D10:L10</xm:f>
              <xm:sqref>C10</xm:sqref>
            </x14:sparkline>
            <x14:sparkline>
              <xm:f>'U10m pots and traps'!D11:L11</xm:f>
              <xm:sqref>C11</xm:sqref>
            </x14:sparkline>
            <x14:sparkline>
              <xm:f>'U10m pots and traps'!D12:L12</xm:f>
              <xm:sqref>C12</xm:sqref>
            </x14:sparkline>
            <x14:sparkline>
              <xm:f>'U10m pots and traps'!D13:L13</xm:f>
              <xm:sqref>C13</xm:sqref>
            </x14:sparkline>
            <x14:sparkline>
              <xm:f>'U10m pots and traps'!D14:L14</xm:f>
              <xm:sqref>C14</xm:sqref>
            </x14:sparkline>
            <x14:sparkline>
              <xm:f>'U10m pots and traps'!D15:L15</xm:f>
              <xm:sqref>C15</xm:sqref>
            </x14:sparkline>
            <x14:sparkline>
              <xm:f>'U10m pots and traps'!D16:L16</xm:f>
              <xm:sqref>C16</xm:sqref>
            </x14:sparkline>
            <x14:sparkline>
              <xm:f>'U10m pots and traps'!D17:L17</xm:f>
              <xm:sqref>C17</xm:sqref>
            </x14:sparkline>
            <x14:sparkline>
              <xm:f>'U10m pots and traps'!D18:L18</xm:f>
              <xm:sqref>C18</xm:sqref>
            </x14:sparkline>
            <x14:sparkline>
              <xm:f>'U10m pots and traps'!D19:L19</xm:f>
              <xm:sqref>C19</xm:sqref>
            </x14:sparkline>
            <x14:sparkline>
              <xm:f>'U10m pots and traps'!D20:L20</xm:f>
              <xm:sqref>C20</xm:sqref>
            </x14:sparkline>
            <x14:sparkline>
              <xm:f>'U10m pots and traps'!D21:L21</xm:f>
              <xm:sqref>C21</xm:sqref>
            </x14:sparkline>
            <x14:sparkline>
              <xm:f>'U10m pots and traps'!D22:L22</xm:f>
              <xm:sqref>C22</xm:sqref>
            </x14:sparkline>
            <x14:sparkline>
              <xm:f>'U10m pots and traps'!D23:L23</xm:f>
              <xm:sqref>C23</xm:sqref>
            </x14:sparkline>
            <x14:sparkline>
              <xm:f>'U10m pots and traps'!D24:L24</xm:f>
              <xm:sqref>C24</xm:sqref>
            </x14:sparkline>
            <x14:sparkline>
              <xm:f>'U10m pots and traps'!D25:L25</xm:f>
              <xm:sqref>C25</xm:sqref>
            </x14:sparkline>
            <x14:sparkline>
              <xm:f>'U10m pots and traps'!D26:L26</xm:f>
              <xm:sqref>C26</xm:sqref>
            </x14:sparkline>
            <x14:sparkline>
              <xm:f>'U10m pots and traps'!D27:L27</xm:f>
              <xm:sqref>C27</xm:sqref>
            </x14:sparkline>
            <x14:sparkline>
              <xm:f>'U10m pots and traps'!D28:L28</xm:f>
              <xm:sqref>C28</xm:sqref>
            </x14:sparkline>
            <x14:sparkline>
              <xm:f>'U10m pots and traps'!D29:L29</xm:f>
              <xm:sqref>C29</xm:sqref>
            </x14:sparkline>
            <x14:sparkline>
              <xm:f>'U10m pots and traps'!D30:L30</xm:f>
              <xm:sqref>C30</xm:sqref>
            </x14:sparkline>
            <x14:sparkline>
              <xm:f>'U10m pots and traps'!D31:L31</xm:f>
              <xm:sqref>C31</xm:sqref>
            </x14:sparkline>
            <x14:sparkline>
              <xm:f>'U10m pots and traps'!D32:L32</xm:f>
              <xm:sqref>C32</xm:sqref>
            </x14:sparkline>
            <x14:sparkline>
              <xm:f>'U10m pots and traps'!D33:L33</xm:f>
              <xm:sqref>C33</xm:sqref>
            </x14:sparkline>
            <x14:sparkline>
              <xm:f>'U10m pots and traps'!D34:L34</xm:f>
              <xm:sqref>C34</xm:sqref>
            </x14:sparkline>
            <x14:sparkline>
              <xm:f>'U10m pots and traps'!D35:L35</xm:f>
              <xm:sqref>C35</xm:sqref>
            </x14:sparkline>
            <x14:sparkline>
              <xm:f>'U10m pots and traps'!D36:L36</xm:f>
              <xm:sqref>C36</xm:sqref>
            </x14:sparkline>
            <x14:sparkline>
              <xm:f>'U10m pots and traps'!D37:L37</xm:f>
              <xm:sqref>C37</xm:sqref>
            </x14:sparkline>
            <x14:sparkline>
              <xm:f>'U10m pots and traps'!D38:L38</xm:f>
              <xm:sqref>C38</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479</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35</v>
      </c>
      <c r="E3" s="16">
        <v>33</v>
      </c>
      <c r="F3" s="16">
        <v>70</v>
      </c>
      <c r="G3" s="16">
        <v>72</v>
      </c>
      <c r="H3" s="16">
        <v>105</v>
      </c>
      <c r="I3" s="16">
        <v>135</v>
      </c>
      <c r="J3" s="16">
        <v>139</v>
      </c>
      <c r="K3" s="16">
        <v>141</v>
      </c>
      <c r="L3" s="16">
        <v>149</v>
      </c>
      <c r="M3" s="17">
        <v>150</v>
      </c>
      <c r="N3" s="18">
        <f t="shared" ref="N3:N38" si="0">IF(L3=0,"",IFERROR(IF(AND(L3&gt;0,D3&lt;0),"na",IF(AND(L3&lt;0,D3&lt;0),-1,1)*(L3-D3)/D3),""))</f>
        <v>3.2571428571428571</v>
      </c>
      <c r="O3" s="18">
        <f t="shared" ref="O3:O38" si="1">IF(L3=0,"",IFERROR(IF(AND(L3&gt;0,H3&lt;0),"na",IF(AND(L3&lt;0,H3&lt;0),-1,1)*(L3-H3)/H3),""))</f>
        <v>0.41904761904761906</v>
      </c>
    </row>
    <row r="4" spans="1:15" s="19" customFormat="1" ht="18" customHeight="1" x14ac:dyDescent="0.2">
      <c r="A4" s="141"/>
      <c r="B4" s="20" t="s">
        <v>20</v>
      </c>
      <c r="C4" s="21"/>
      <c r="D4" s="22">
        <v>2577.1298828125</v>
      </c>
      <c r="E4" s="22">
        <v>2524.760009765625</v>
      </c>
      <c r="F4" s="22">
        <v>5457.31982421875</v>
      </c>
      <c r="G4" s="22">
        <v>5806.93994140625</v>
      </c>
      <c r="H4" s="22">
        <v>8073.89990234375</v>
      </c>
      <c r="I4" s="22">
        <v>9042.490234375</v>
      </c>
      <c r="J4" s="22">
        <v>9422.2998046875</v>
      </c>
      <c r="K4" s="22">
        <v>8998.669921875</v>
      </c>
      <c r="L4" s="22">
        <v>10033.2001953125</v>
      </c>
      <c r="M4" s="23">
        <v>10002</v>
      </c>
      <c r="N4" s="24">
        <f t="shared" si="0"/>
        <v>2.893168234254055</v>
      </c>
      <c r="O4" s="24">
        <f t="shared" si="1"/>
        <v>0.24267086744535812</v>
      </c>
    </row>
    <row r="5" spans="1:15" s="19" customFormat="1" ht="18" customHeight="1" x14ac:dyDescent="0.2">
      <c r="A5" s="141"/>
      <c r="B5" s="20" t="s">
        <v>21</v>
      </c>
      <c r="C5" s="21"/>
      <c r="D5" s="22">
        <v>113.26999664306641</v>
      </c>
      <c r="E5" s="22">
        <v>119.22000122070312</v>
      </c>
      <c r="F5" s="22">
        <v>233.02000427246094</v>
      </c>
      <c r="G5" s="22">
        <v>249.72000122070312</v>
      </c>
      <c r="H5" s="22">
        <v>322.47000122070312</v>
      </c>
      <c r="I5" s="22">
        <v>427.260009765625</v>
      </c>
      <c r="J5" s="22">
        <v>421.04000854492187</v>
      </c>
      <c r="K5" s="22">
        <v>402.760009765625</v>
      </c>
      <c r="L5" s="22">
        <v>410.67001342773437</v>
      </c>
      <c r="M5" s="23">
        <v>430.66000366210937</v>
      </c>
      <c r="N5" s="24">
        <f t="shared" si="0"/>
        <v>2.625585111667545</v>
      </c>
      <c r="O5" s="24">
        <f t="shared" si="1"/>
        <v>0.2735138520580272</v>
      </c>
    </row>
    <row r="6" spans="1:15" s="19" customFormat="1" ht="18" customHeight="1" x14ac:dyDescent="0.2">
      <c r="A6" s="141"/>
      <c r="B6" s="20" t="s">
        <v>22</v>
      </c>
      <c r="C6" s="21"/>
      <c r="D6" s="22">
        <v>2200.947021484375</v>
      </c>
      <c r="E6" s="22">
        <v>1866.955078125</v>
      </c>
      <c r="F6" s="22">
        <v>3422.78955078125</v>
      </c>
      <c r="G6" s="22">
        <v>4260.53564453125</v>
      </c>
      <c r="H6" s="22">
        <v>5892.576171875</v>
      </c>
      <c r="I6" s="22">
        <v>6925.9111328125</v>
      </c>
      <c r="J6" s="22">
        <v>7047.91552734375</v>
      </c>
      <c r="K6" s="22">
        <v>6743.14111328125</v>
      </c>
      <c r="L6" s="22">
        <v>7407.2099609375</v>
      </c>
      <c r="M6" s="23">
        <v>7427.94677734375</v>
      </c>
      <c r="N6" s="24">
        <f t="shared" si="0"/>
        <v>2.3654649060756983</v>
      </c>
      <c r="O6" s="24">
        <f t="shared" si="1"/>
        <v>0.2570410199009015</v>
      </c>
    </row>
    <row r="7" spans="1:15" s="19" customFormat="1" ht="18" customHeight="1" x14ac:dyDescent="0.2">
      <c r="A7" s="141"/>
      <c r="B7" s="20" t="s">
        <v>23</v>
      </c>
      <c r="C7" s="21"/>
      <c r="D7" s="22">
        <v>699.243896484375</v>
      </c>
      <c r="E7" s="22">
        <v>498.64041137695312</v>
      </c>
      <c r="F7" s="22">
        <v>844.823974609375</v>
      </c>
      <c r="G7" s="22">
        <v>1026.9130859375</v>
      </c>
      <c r="H7" s="22">
        <v>1323.20361328125</v>
      </c>
      <c r="I7" s="22">
        <v>1785.8028564453125</v>
      </c>
      <c r="J7" s="22">
        <v>1767.57666015625</v>
      </c>
      <c r="K7" s="22">
        <v>1957.6131591796875</v>
      </c>
      <c r="L7" s="22">
        <v>1734.3203125</v>
      </c>
      <c r="M7" s="23">
        <v>1461.2430419921875</v>
      </c>
      <c r="N7" s="24">
        <f t="shared" si="0"/>
        <v>1.4802795150872716</v>
      </c>
      <c r="O7" s="24">
        <f t="shared" si="1"/>
        <v>0.31069798713689439</v>
      </c>
    </row>
    <row r="8" spans="1:15" s="19" customFormat="1" ht="18" customHeight="1" x14ac:dyDescent="0.2">
      <c r="A8" s="141"/>
      <c r="B8" s="20" t="s">
        <v>24</v>
      </c>
      <c r="C8" s="25"/>
      <c r="D8" s="26">
        <f ca="1">1.47978275*OFFSET(D$108,MATCH($M$1,$C$109:$C$110,0),0)</f>
        <v>1.2037440650311684</v>
      </c>
      <c r="E8" s="26">
        <f ca="1">1.35855425*OFFSET(E$108,MATCH($M$1,$C$109:$C$110,0),0)</f>
        <v>1.1348410352826992</v>
      </c>
      <c r="F8" s="26">
        <f ca="1">2.6284415*OFFSET(F$108,MATCH($M$1,$C$109:$C$110,0),0)</f>
        <v>2.258672291301715</v>
      </c>
      <c r="G8" s="26">
        <f ca="1">2.86118675*OFFSET(G$108,MATCH($M$1,$C$109:$C$110,0),0)</f>
        <v>2.5300616411406205</v>
      </c>
      <c r="H8" s="26">
        <f ca="1">3.46452125*OFFSET(H$108,MATCH($M$1,$C$109:$C$110,0),0)</f>
        <v>3.1242360228974531</v>
      </c>
      <c r="I8" s="26">
        <f ca="1">4.827617*OFFSET(I$108,MATCH($M$1,$C$109:$C$110,0),0)</f>
        <v>4.4915665221367211</v>
      </c>
      <c r="J8" s="26">
        <f ca="1">4.8967565*OFFSET(J$108,MATCH($M$1,$C$109:$C$110,0),0)</f>
        <v>4.6527021193169613</v>
      </c>
      <c r="K8" s="26">
        <f ca="1">5.5700455*OFFSET(K$108,MATCH($M$1,$C$109:$C$110,0),0)</f>
        <v>5.380329697686709</v>
      </c>
      <c r="L8" s="26">
        <f ca="1">5.1003105*OFFSET(L$108,MATCH($M$1,$C$109:$C$110,0),0)</f>
        <v>5.0147782047053431</v>
      </c>
      <c r="M8" s="27">
        <f ca="1">4.498316*OFFSET(M$108,MATCH($M$1,$C$109:$C$110,0),0)</f>
        <v>4.4983159825233532</v>
      </c>
      <c r="N8" s="24">
        <f t="shared" ca="1" si="0"/>
        <v>3.1659837422130894</v>
      </c>
      <c r="O8" s="24">
        <f t="shared" ca="1" si="1"/>
        <v>0.60512143383283157</v>
      </c>
    </row>
    <row r="9" spans="1:15" s="19" customFormat="1" ht="18" customHeight="1" x14ac:dyDescent="0.2">
      <c r="A9" s="141"/>
      <c r="B9" s="20" t="s">
        <v>25</v>
      </c>
      <c r="C9" s="25"/>
      <c r="D9" s="22">
        <v>3263</v>
      </c>
      <c r="E9" s="22">
        <v>3355.333251953125</v>
      </c>
      <c r="F9" s="22">
        <v>5697.66650390625</v>
      </c>
      <c r="G9" s="22">
        <v>6039</v>
      </c>
      <c r="H9" s="22">
        <v>7836</v>
      </c>
      <c r="I9" s="22">
        <v>10932</v>
      </c>
      <c r="J9" s="22">
        <v>11402</v>
      </c>
      <c r="K9" s="22">
        <v>11746</v>
      </c>
      <c r="L9" s="22">
        <v>10857</v>
      </c>
      <c r="M9" s="23">
        <v>10999</v>
      </c>
      <c r="N9" s="24">
        <f t="shared" si="0"/>
        <v>2.3273061599754827</v>
      </c>
      <c r="O9" s="24">
        <f t="shared" si="1"/>
        <v>0.38552833078101073</v>
      </c>
    </row>
    <row r="10" spans="1:15" s="19" customFormat="1" ht="18" customHeight="1" x14ac:dyDescent="0.2">
      <c r="A10" s="142" t="s">
        <v>7</v>
      </c>
      <c r="B10" s="28" t="s">
        <v>26</v>
      </c>
      <c r="C10" s="29"/>
      <c r="D10" s="30">
        <v>7.3697142601013184</v>
      </c>
      <c r="E10" s="30">
        <v>7.2460603713989258</v>
      </c>
      <c r="F10" s="30">
        <v>7.3844285011291504</v>
      </c>
      <c r="G10" s="30">
        <v>7.4466667175292969</v>
      </c>
      <c r="H10" s="30">
        <v>7.1260952949523926</v>
      </c>
      <c r="I10" s="30">
        <v>7.2205924987792969</v>
      </c>
      <c r="J10" s="30">
        <v>7.1233091354370117</v>
      </c>
      <c r="K10" s="30">
        <v>6.9531912803649902</v>
      </c>
      <c r="L10" s="30">
        <v>6.9453020095825195</v>
      </c>
      <c r="M10" s="31">
        <v>6.9865331649780273</v>
      </c>
      <c r="N10" s="32">
        <f t="shared" si="0"/>
        <v>-5.7588698223554197E-2</v>
      </c>
      <c r="O10" s="32">
        <f t="shared" si="1"/>
        <v>-2.5370596081971265E-2</v>
      </c>
    </row>
    <row r="11" spans="1:15" s="19" customFormat="1" ht="18" customHeight="1" x14ac:dyDescent="0.2">
      <c r="A11" s="143"/>
      <c r="B11" s="33" t="s">
        <v>20</v>
      </c>
      <c r="C11" s="21"/>
      <c r="D11" s="22">
        <v>73.632286071777344</v>
      </c>
      <c r="E11" s="22">
        <v>76.507881164550781</v>
      </c>
      <c r="F11" s="22">
        <v>77.961715698242188</v>
      </c>
      <c r="G11" s="22">
        <v>80.651947021484375</v>
      </c>
      <c r="H11" s="22">
        <v>76.894287109375</v>
      </c>
      <c r="I11" s="22">
        <v>66.981407165527344</v>
      </c>
      <c r="J11" s="22">
        <v>67.786331176757812</v>
      </c>
      <c r="K11" s="22">
        <v>63.820354461669922</v>
      </c>
      <c r="L11" s="22">
        <v>67.3369140625</v>
      </c>
      <c r="M11" s="23">
        <v>66.680000305175781</v>
      </c>
      <c r="N11" s="24">
        <f t="shared" si="0"/>
        <v>-8.549744066265394E-2</v>
      </c>
      <c r="O11" s="24">
        <f t="shared" si="1"/>
        <v>-0.1242923682130055</v>
      </c>
    </row>
    <row r="12" spans="1:15" s="19" customFormat="1" ht="18" customHeight="1" x14ac:dyDescent="0.2">
      <c r="A12" s="143"/>
      <c r="B12" s="33" t="s">
        <v>21</v>
      </c>
      <c r="C12" s="21"/>
      <c r="D12" s="22">
        <v>3.2362856864929199</v>
      </c>
      <c r="E12" s="22">
        <v>3.612727165222168</v>
      </c>
      <c r="F12" s="22">
        <v>3.3288571834564209</v>
      </c>
      <c r="G12" s="22">
        <v>3.4683332443237305</v>
      </c>
      <c r="H12" s="22">
        <v>3.0711429119110107</v>
      </c>
      <c r="I12" s="22">
        <v>3.164888858795166</v>
      </c>
      <c r="J12" s="22">
        <v>3.0290646553039551</v>
      </c>
      <c r="K12" s="22">
        <v>2.8564538955688477</v>
      </c>
      <c r="L12" s="22">
        <v>2.7561745643615723</v>
      </c>
      <c r="M12" s="23">
        <v>2.8710665702819824</v>
      </c>
      <c r="N12" s="24">
        <f t="shared" si="0"/>
        <v>-0.14835251539601615</v>
      </c>
      <c r="O12" s="24">
        <f t="shared" si="1"/>
        <v>-0.10255737247780834</v>
      </c>
    </row>
    <row r="13" spans="1:15" s="19" customFormat="1" ht="18" customHeight="1" x14ac:dyDescent="0.2">
      <c r="A13" s="143"/>
      <c r="B13" s="33" t="s">
        <v>22</v>
      </c>
      <c r="C13" s="21"/>
      <c r="D13" s="22">
        <v>62.884201049804688</v>
      </c>
      <c r="E13" s="22">
        <v>56.574398040771484</v>
      </c>
      <c r="F13" s="22">
        <v>48.896991729736328</v>
      </c>
      <c r="G13" s="22">
        <v>59.174102783203125</v>
      </c>
      <c r="H13" s="22">
        <v>56.119773864746094</v>
      </c>
      <c r="I13" s="22">
        <v>51.303047180175781</v>
      </c>
      <c r="J13" s="22">
        <v>50.704429626464844</v>
      </c>
      <c r="K13" s="22">
        <v>47.823696136474609</v>
      </c>
      <c r="L13" s="22">
        <v>49.712818145751953</v>
      </c>
      <c r="M13" s="23">
        <v>49.851993560791016</v>
      </c>
      <c r="N13" s="24">
        <f t="shared" si="0"/>
        <v>-0.20945456385175212</v>
      </c>
      <c r="O13" s="24">
        <f t="shared" si="1"/>
        <v>-0.11416574369019204</v>
      </c>
    </row>
    <row r="14" spans="1:15" s="19" customFormat="1" ht="18" customHeight="1" x14ac:dyDescent="0.2">
      <c r="A14" s="143"/>
      <c r="B14" s="33" t="s">
        <v>23</v>
      </c>
      <c r="C14" s="25"/>
      <c r="D14" s="26">
        <v>19.978397369384766</v>
      </c>
      <c r="E14" s="26">
        <v>15.110315322875977</v>
      </c>
      <c r="F14" s="26">
        <v>12.068914413452148</v>
      </c>
      <c r="G14" s="26">
        <v>14.26268196105957</v>
      </c>
      <c r="H14" s="26">
        <v>12.60193920135498</v>
      </c>
      <c r="I14" s="26">
        <v>13.228168487548828</v>
      </c>
      <c r="J14" s="26">
        <v>12.716378211975098</v>
      </c>
      <c r="K14" s="26">
        <v>13.883781433105469</v>
      </c>
      <c r="L14" s="26">
        <v>11.63973331451416</v>
      </c>
      <c r="M14" s="27">
        <v>9.7416200637817383</v>
      </c>
      <c r="N14" s="24">
        <f t="shared" si="0"/>
        <v>-0.41738403239735911</v>
      </c>
      <c r="O14" s="24">
        <f t="shared" si="1"/>
        <v>-7.6353795353762882E-2</v>
      </c>
    </row>
    <row r="15" spans="1:15" s="19" customFormat="1" ht="18" customHeight="1" x14ac:dyDescent="0.2">
      <c r="A15" s="143"/>
      <c r="B15" s="33" t="s">
        <v>27</v>
      </c>
      <c r="C15" s="25"/>
      <c r="D15" s="26">
        <f ca="1">42.2795078125*OFFSET(D$108,MATCH($M$1,$C$109:$C$110,0),0)</f>
        <v>34.392688117046767</v>
      </c>
      <c r="E15" s="26">
        <f ca="1">41.1683125*OFFSET(E$108,MATCH($M$1,$C$109:$C$110,0),0)</f>
        <v>34.389123863358186</v>
      </c>
      <c r="F15" s="26">
        <f ca="1">37.5491640625*OFFSET(F$108,MATCH($M$1,$C$109:$C$110,0),0)</f>
        <v>32.266746826783425</v>
      </c>
      <c r="G15" s="26">
        <f ca="1">39.738703125*OFFSET(G$108,MATCH($M$1,$C$109:$C$110,0),0)</f>
        <v>35.139743480650957</v>
      </c>
      <c r="H15" s="26">
        <f ca="1">32.99544140625*OFFSET(H$108,MATCH($M$1,$C$109:$C$110,0),0)</f>
        <v>29.754629628208647</v>
      </c>
      <c r="I15" s="26">
        <f ca="1">35.76012890625*OFFSET(I$108,MATCH($M$1,$C$109:$C$110,0),0)</f>
        <v>33.270865899802359</v>
      </c>
      <c r="J15" s="26">
        <f ca="1">35.22846484375*OFFSET(J$108,MATCH($M$1,$C$109:$C$110,0),0)</f>
        <v>33.472677891742968</v>
      </c>
      <c r="K15" s="26">
        <f ca="1">39.5038671875*OFFSET(K$108,MATCH($M$1,$C$109:$C$110,0),0)</f>
        <v>38.158365098162619</v>
      </c>
      <c r="L15" s="26">
        <f ca="1">34.2302734375*OFFSET(L$108,MATCH($M$1,$C$109:$C$110,0),0)</f>
        <v>33.656231159941981</v>
      </c>
      <c r="M15" s="27">
        <f ca="1">29.9887734375*OFFSET(M$108,MATCH($M$1,$C$109:$C$110,0),0)</f>
        <v>29.988773320989022</v>
      </c>
      <c r="N15" s="24">
        <f t="shared" ca="1" si="0"/>
        <v>-2.1413183947658912E-2</v>
      </c>
      <c r="O15" s="24">
        <f t="shared" ca="1" si="1"/>
        <v>0.13112586446159125</v>
      </c>
    </row>
    <row r="16" spans="1:15" s="19" customFormat="1" ht="18" customHeight="1" x14ac:dyDescent="0.2">
      <c r="A16" s="143"/>
      <c r="B16" s="33" t="s">
        <v>25</v>
      </c>
      <c r="C16" s="21"/>
      <c r="D16" s="22">
        <v>93.228569030761719</v>
      </c>
      <c r="E16" s="22">
        <v>101.67676544189453</v>
      </c>
      <c r="F16" s="22">
        <v>81.395240783691406</v>
      </c>
      <c r="G16" s="22">
        <v>83.875</v>
      </c>
      <c r="H16" s="22">
        <v>74.628570556640625</v>
      </c>
      <c r="I16" s="22">
        <v>80.977775573730469</v>
      </c>
      <c r="J16" s="22">
        <v>82.028778076171875</v>
      </c>
      <c r="K16" s="22">
        <v>83.304962158203125</v>
      </c>
      <c r="L16" s="22">
        <v>72.865768432617188</v>
      </c>
      <c r="M16" s="23">
        <v>73.326667785644531</v>
      </c>
      <c r="N16" s="24">
        <f t="shared" si="0"/>
        <v>-0.21841803226032158</v>
      </c>
      <c r="O16" s="24">
        <f t="shared" si="1"/>
        <v>-2.3621008829125687E-2</v>
      </c>
    </row>
    <row r="17" spans="1:15" s="19" customFormat="1" ht="18" customHeight="1" x14ac:dyDescent="0.2">
      <c r="A17" s="143"/>
      <c r="B17" s="33" t="s">
        <v>28</v>
      </c>
      <c r="C17" s="21"/>
      <c r="D17" s="22">
        <v>16.114286422729492</v>
      </c>
      <c r="E17" s="22">
        <v>19.242424011230469</v>
      </c>
      <c r="F17" s="22">
        <v>19.799999237060547</v>
      </c>
      <c r="G17" s="22">
        <v>21.93055534362793</v>
      </c>
      <c r="H17" s="22">
        <v>18.847618103027344</v>
      </c>
      <c r="I17" s="22">
        <v>21.207406997680664</v>
      </c>
      <c r="J17" s="22">
        <v>20.474821090698242</v>
      </c>
      <c r="K17" s="22">
        <v>20.269502639770508</v>
      </c>
      <c r="L17" s="22">
        <v>19.791946411132812</v>
      </c>
      <c r="M17" s="23">
        <v>21.805368423461914</v>
      </c>
      <c r="N17" s="24">
        <f t="shared" si="0"/>
        <v>0.22822357080707678</v>
      </c>
      <c r="O17" s="24">
        <f t="shared" si="1"/>
        <v>5.0103323557568726E-2</v>
      </c>
    </row>
    <row r="18" spans="1:15" s="19" customFormat="1" ht="18" customHeight="1" x14ac:dyDescent="0.2">
      <c r="A18" s="143"/>
      <c r="B18" s="33" t="s">
        <v>29</v>
      </c>
      <c r="C18" s="21"/>
      <c r="D18" s="34">
        <v>0.21429479122161865</v>
      </c>
      <c r="E18" s="34">
        <v>0.14861129224300385</v>
      </c>
      <c r="F18" s="34">
        <v>0.14827543497085571</v>
      </c>
      <c r="G18" s="34">
        <v>0.17004688084125519</v>
      </c>
      <c r="H18" s="34">
        <v>0.16886213421821594</v>
      </c>
      <c r="I18" s="34">
        <v>0.16335554420948029</v>
      </c>
      <c r="J18" s="34">
        <v>0.15502338111400604</v>
      </c>
      <c r="K18" s="34">
        <v>0.16666211187839508</v>
      </c>
      <c r="L18" s="34">
        <v>0.15974213182926178</v>
      </c>
      <c r="M18" s="35">
        <v>0.13285234570503235</v>
      </c>
      <c r="N18" s="24">
        <f t="shared" si="0"/>
        <v>-0.25456829389725943</v>
      </c>
      <c r="O18" s="24">
        <f t="shared" si="1"/>
        <v>-5.400856995665252E-2</v>
      </c>
    </row>
    <row r="19" spans="1:15" s="19" customFormat="1" ht="18" customHeight="1" x14ac:dyDescent="0.2">
      <c r="A19" s="144"/>
      <c r="B19" s="36" t="s">
        <v>8</v>
      </c>
      <c r="C19" s="37"/>
      <c r="D19" s="38">
        <f ca="1">2116.26123222524*OFFSET(D$108,MATCH($M$1,$C$109:$C$110,0),0)</f>
        <v>1721.4938465438115</v>
      </c>
      <c r="E19" s="38">
        <f ca="1">2724.51694448203*OFFSET(E$108,MATCH($M$1,$C$109:$C$110,0),0)</f>
        <v>2275.8705660235819</v>
      </c>
      <c r="F19" s="38">
        <f ca="1">3111.22976974621*OFFSET(F$108,MATCH($M$1,$C$109:$C$110,0),0)</f>
        <v>2673.5418965188223</v>
      </c>
      <c r="G19" s="38">
        <f ca="1">2786.20147038825*OFFSET(G$108,MATCH($M$1,$C$109:$C$110,0),0)</f>
        <v>2463.7544070546619</v>
      </c>
      <c r="H19" s="38">
        <f ca="1">2618.28279126956*OFFSET(H$108,MATCH($M$1,$C$109:$C$110,0),0)</f>
        <v>2361.1150933528993</v>
      </c>
      <c r="I19" s="38">
        <f ca="1">2703.33143581677*OFFSET(I$108,MATCH($M$1,$C$109:$C$110,0),0)</f>
        <v>2515.1525018149532</v>
      </c>
      <c r="J19" s="38">
        <f ca="1">2770.32199529447*OFFSET(J$108,MATCH($M$1,$C$109:$C$110,0),0)</f>
        <v>2632.2491262730691</v>
      </c>
      <c r="K19" s="38">
        <f ca="1">2845.32491717314*OFFSET(K$108,MATCH($M$1,$C$109:$C$110,0),0)</f>
        <v>2748.4131236333023</v>
      </c>
      <c r="L19" s="38">
        <f ca="1">2940.8122958832*OFFSET(L$108,MATCH($M$1,$C$109:$C$110,0),0)</f>
        <v>2891.4948228200128</v>
      </c>
      <c r="M19" s="39">
        <f ca="1">3078.41739582706*OFFSET(M$108,MATCH($M$1,$C$109:$C$110,0),0)</f>
        <v>3078.4173838669367</v>
      </c>
      <c r="N19" s="40">
        <f ca="1">IF(L19=0,"",IFERROR(IF(AND(L19&gt;0,D19&lt;0),"na",IF(AND(L19&lt;0,D19&lt;0),-1,1)*(L19-D19)/D19),""))</f>
        <v>0.67964284544215769</v>
      </c>
      <c r="O19" s="40">
        <f ca="1">IF(L19=0,"",IFERROR(IF(AND(L19&gt;0,H19&lt;0),"na",IF(AND(L19&lt;0,H19&lt;0),-1,1)*(L19-H19)/H19),""))</f>
        <v>0.22463103597120643</v>
      </c>
    </row>
    <row r="20" spans="1:15" s="19" customFormat="1" ht="18" customHeight="1" x14ac:dyDescent="0.2">
      <c r="A20" s="145" t="s">
        <v>9</v>
      </c>
      <c r="B20" s="28" t="s">
        <v>30</v>
      </c>
      <c r="C20" s="41"/>
      <c r="D20" s="42">
        <v>2.8052224927369975</v>
      </c>
      <c r="E20" s="42">
        <v>2.0780498611787381</v>
      </c>
      <c r="F20" s="42">
        <v>1.9537656966542787</v>
      </c>
      <c r="G20" s="42">
        <v>2.2947425251893598</v>
      </c>
      <c r="H20" s="42">
        <v>2.5313500196284595</v>
      </c>
      <c r="I20" s="42">
        <v>2.5127592811846973</v>
      </c>
      <c r="J20" s="42">
        <v>2.3674163712109091</v>
      </c>
      <c r="K20" s="42">
        <v>2.7476287387590577</v>
      </c>
      <c r="L20" s="42">
        <v>2.589987933265435</v>
      </c>
      <c r="M20" s="43">
        <v>2.1815271328616697</v>
      </c>
      <c r="N20" s="32">
        <f t="shared" si="0"/>
        <v>-7.6726377329722123E-2</v>
      </c>
      <c r="O20" s="32">
        <f t="shared" si="1"/>
        <v>2.3164680183415359E-2</v>
      </c>
    </row>
    <row r="21" spans="1:15" s="19" customFormat="1" ht="18" customHeight="1" x14ac:dyDescent="0.2">
      <c r="A21" s="145"/>
      <c r="B21" s="33" t="s">
        <v>31</v>
      </c>
      <c r="C21" s="21"/>
      <c r="D21" s="34">
        <f ca="1">5.93658360601159*OFFSET(D$108,MATCH($M$1,$C$109:$C$110,0),0)</f>
        <v>4.8291732568836769</v>
      </c>
      <c r="E21" s="34">
        <f ca="1">5.66168238369396*OFFSET(E$108,MATCH($M$1,$C$109:$C$110,0),0)</f>
        <v>4.7293727856308081</v>
      </c>
      <c r="F21" s="34">
        <f ca="1">6.07861371537988*OFFSET(F$108,MATCH($M$1,$C$109:$C$110,0),0)</f>
        <v>5.2234742026615777</v>
      </c>
      <c r="G21" s="34">
        <f ca="1">6.39361462351772*OFFSET(G$108,MATCH($M$1,$C$109:$C$110,0),0)</f>
        <v>5.6536816784846051</v>
      </c>
      <c r="H21" s="34">
        <f ca="1">6.62779036756344*OFFSET(H$108,MATCH($M$1,$C$109:$C$110,0),0)</f>
        <v>5.9768088934522918</v>
      </c>
      <c r="I21" s="34">
        <f ca="1">6.79282214239405*OFFSET(I$108,MATCH($M$1,$C$109:$C$110,0),0)</f>
        <v>6.3199737107575338</v>
      </c>
      <c r="J21" s="34">
        <f ca="1">6.55850612599608*OFFSET(J$108,MATCH($M$1,$C$109:$C$110,0),0)</f>
        <v>6.2316301314911682</v>
      </c>
      <c r="K21" s="34">
        <f ca="1">7.81789610413204*OFFSET(K$108,MATCH($M$1,$C$109:$C$110,0),0)</f>
        <v>7.5516184890214699</v>
      </c>
      <c r="L21" s="34">
        <f ca="1">7.61666893561486*OFFSET(L$108,MATCH($M$1,$C$109:$C$110,0),0)</f>
        <v>7.488937265834628</v>
      </c>
      <c r="M21" s="35">
        <f ca="1">6.7156512476171*OFFSET(M$108,MATCH($M$1,$C$109:$C$110,0),0)</f>
        <v>6.7156512215257669</v>
      </c>
      <c r="N21" s="24">
        <f t="shared" ca="1" si="0"/>
        <v>0.55077005265023948</v>
      </c>
      <c r="O21" s="24">
        <f t="shared" ca="1" si="1"/>
        <v>0.2529992842901338</v>
      </c>
    </row>
    <row r="22" spans="1:15" s="19" customFormat="1" ht="18" customHeight="1" x14ac:dyDescent="0.2">
      <c r="A22" s="145"/>
      <c r="B22" s="33" t="s">
        <v>10</v>
      </c>
      <c r="C22" s="21"/>
      <c r="D22" s="34">
        <f ca="1">3.86606608204303*OFFSET(D$108,MATCH($M$1,$C$109:$C$110,0),0)</f>
        <v>3.1448900869249892</v>
      </c>
      <c r="E22" s="34">
        <f ca="1">3.34647921599327*OFFSET(E$108,MATCH($M$1,$C$109:$C$110,0),0)</f>
        <v>2.7954142707439456</v>
      </c>
      <c r="F22" s="34">
        <f ca="1">2.60117062460715*OFFSET(F$108,MATCH($M$1,$C$109:$C$110,0),0)</f>
        <v>2.235237883265861</v>
      </c>
      <c r="G22" s="34">
        <f ca="1">5.38463345951418*OFFSET(G$108,MATCH($M$1,$C$109:$C$110,0),0)</f>
        <v>4.761469892700692</v>
      </c>
      <c r="H22" s="34">
        <f ca="1">4.3377244522299*OFFSET(H$108,MATCH($M$1,$C$109:$C$110,0),0)</f>
        <v>3.9116732192246699</v>
      </c>
      <c r="I22" s="34">
        <f ca="1">5.26427117216637*OFFSET(I$108,MATCH($M$1,$C$109:$C$110,0),0)</f>
        <v>4.897825192087919</v>
      </c>
      <c r="J22" s="34">
        <f ca="1">6.06647019360657*OFFSET(J$108,MATCH($M$1,$C$109:$C$110,0),0)</f>
        <v>5.7641172736619559</v>
      </c>
      <c r="K22" s="34">
        <f ca="1">6.33841897138479*OFFSET(K$108,MATCH($M$1,$C$109:$C$110,0),0)</f>
        <v>6.1225323613824028</v>
      </c>
      <c r="L22" s="34">
        <f ca="1">5.09248931792593*OFFSET(L$108,MATCH($M$1,$C$109:$C$110,0),0)</f>
        <v>5.0070881839899215</v>
      </c>
      <c r="M22" s="35">
        <f ca="1">4.51406779879707*OFFSET(M$108,MATCH($M$1,$C$109:$C$110,0),0)</f>
        <v>4.5140677812592251</v>
      </c>
      <c r="N22" s="24">
        <f t="shared" ca="1" si="0"/>
        <v>0.59213455656434488</v>
      </c>
      <c r="O22" s="24">
        <f t="shared" ca="1" si="1"/>
        <v>0.28003744264260733</v>
      </c>
    </row>
    <row r="23" spans="1:15" s="19" customFormat="1" ht="18" customHeight="1" x14ac:dyDescent="0.2">
      <c r="A23" s="146"/>
      <c r="B23" s="33" t="s">
        <v>32</v>
      </c>
      <c r="C23" s="44"/>
      <c r="D23" s="34">
        <f ca="1">2.07051752396856*OFFSET(D$108,MATCH($M$1,$C$109:$C$110,0),0)</f>
        <v>1.6842831699586873</v>
      </c>
      <c r="E23" s="34">
        <f ca="1">2.31520316770069*OFFSET(E$108,MATCH($M$1,$C$109:$C$110,0),0)</f>
        <v>1.9339585148868628</v>
      </c>
      <c r="F23" s="34">
        <f ca="1">3.47744309077273*OFFSET(F$108,MATCH($M$1,$C$109:$C$110,0),0)</f>
        <v>2.9882363193957175</v>
      </c>
      <c r="G23" s="34">
        <f ca="1">1.00898116400354*OFFSET(G$108,MATCH($M$1,$C$109:$C$110,0),0)</f>
        <v>0.89221178578391291</v>
      </c>
      <c r="H23" s="34">
        <f ca="1">2.29006591533354*OFFSET(H$108,MATCH($M$1,$C$109:$C$110,0),0)</f>
        <v>2.0651356742276219</v>
      </c>
      <c r="I23" s="34">
        <f ca="1">1.52855097022768*OFFSET(I$108,MATCH($M$1,$C$109:$C$110,0),0)</f>
        <v>1.4221485186696152</v>
      </c>
      <c r="J23" s="34">
        <f ca="1">0.492035932389511*OFFSET(J$108,MATCH($M$1,$C$109:$C$110,0),0)</f>
        <v>0.46751285782921304</v>
      </c>
      <c r="K23" s="34">
        <f ca="1">1.47947713274724*OFFSET(K$108,MATCH($M$1,$C$109:$C$110,0),0)</f>
        <v>1.4290861276390574</v>
      </c>
      <c r="L23" s="34">
        <f ca="1">2.52417961768893*OFFSET(L$108,MATCH($M$1,$C$109:$C$110,0),0)</f>
        <v>2.4818490818447057</v>
      </c>
      <c r="M23" s="35">
        <f ca="1">2.20158344882002*OFFSET(M$108,MATCH($M$1,$C$109:$C$110,0),0)</f>
        <v>2.2015834402665311</v>
      </c>
      <c r="N23" s="24">
        <f t="shared" ca="1" si="0"/>
        <v>0.47353433562218716</v>
      </c>
      <c r="O23" s="24">
        <f t="shared" ca="1" si="1"/>
        <v>0.20178500270832717</v>
      </c>
    </row>
    <row r="24" spans="1:15" s="19" customFormat="1" ht="18" customHeight="1" x14ac:dyDescent="0.2">
      <c r="A24" s="147" t="s">
        <v>11</v>
      </c>
      <c r="B24" s="28" t="s">
        <v>27</v>
      </c>
      <c r="C24" s="29"/>
      <c r="D24" s="30">
        <f ca="1">42.3*OFFSET(D$108,MATCH($M$1,$C$109:$C$110,0),0)</f>
        <v>34.409357691741178</v>
      </c>
      <c r="E24" s="30">
        <f ca="1">41.2*OFFSET(E$108,MATCH($M$1,$C$109:$C$110,0),0)</f>
        <v>34.415593380718661</v>
      </c>
      <c r="F24" s="30">
        <f ca="1">37.5*OFFSET(F$108,MATCH($M$1,$C$109:$C$110,0),0)</f>
        <v>32.224499165689743</v>
      </c>
      <c r="G24" s="30">
        <f ca="1">39.7*OFFSET(G$108,MATCH($M$1,$C$109:$C$110,0),0)</f>
        <v>35.10551946785111</v>
      </c>
      <c r="H24" s="30">
        <f ca="1">33*OFFSET(H$108,MATCH($M$1,$C$109:$C$110,0),0)</f>
        <v>29.758740476946404</v>
      </c>
      <c r="I24" s="30">
        <f ca="1">35.8*OFFSET(I$108,MATCH($M$1,$C$109:$C$110,0),0)</f>
        <v>33.307961566233324</v>
      </c>
      <c r="J24" s="30">
        <f ca="1">35.2*OFFSET(J$108,MATCH($M$1,$C$109:$C$110,0),0)</f>
        <v>33.445631736018946</v>
      </c>
      <c r="K24" s="30">
        <f ca="1">39.5*OFFSET(K$108,MATCH($M$1,$C$109:$C$110,0),0)</f>
        <v>38.154629627105379</v>
      </c>
      <c r="L24" s="30">
        <f ca="1">34.2*OFFSET(L$108,MATCH($M$1,$C$109:$C$110,0),0)</f>
        <v>33.626465408512431</v>
      </c>
      <c r="M24" s="31">
        <f ca="1">30*OFFSET(M$108,MATCH($M$1,$C$109:$C$110,0),0)</f>
        <v>29.999999883445405</v>
      </c>
      <c r="N24" s="32">
        <f t="shared" ca="1" si="0"/>
        <v>-2.2752307388075852E-2</v>
      </c>
      <c r="O24" s="32">
        <f t="shared" ca="1" si="1"/>
        <v>0.12996937604137812</v>
      </c>
    </row>
    <row r="25" spans="1:15" s="19" customFormat="1" ht="18" customHeight="1" x14ac:dyDescent="0.2">
      <c r="A25" s="148"/>
      <c r="B25" s="33" t="s">
        <v>33</v>
      </c>
      <c r="C25" s="25"/>
      <c r="D25" s="26">
        <f ca="1">9.2*OFFSET(D$108,MATCH($M$1,$C$109:$C$110,0),0)</f>
        <v>7.4838319329555283</v>
      </c>
      <c r="E25" s="26">
        <f ca="1">6.9*OFFSET(E$108,MATCH($M$1,$C$109:$C$110,0),0)</f>
        <v>5.7637765613339509</v>
      </c>
      <c r="F25" s="26">
        <f ca="1">10.9*OFFSET(F$108,MATCH($M$1,$C$109:$C$110,0),0)</f>
        <v>9.3665877574938197</v>
      </c>
      <c r="G25" s="26">
        <f ca="1">0.3*OFFSET(G$108,MATCH($M$1,$C$109:$C$110,0),0)</f>
        <v>0.26528100353539874</v>
      </c>
      <c r="H25" s="26">
        <f ca="1">1.3*OFFSET(H$108,MATCH($M$1,$C$109:$C$110,0),0)</f>
        <v>1.1723140187887977</v>
      </c>
      <c r="I25" s="26">
        <f ca="1">1.3*OFFSET(I$108,MATCH($M$1,$C$109:$C$110,0),0)</f>
        <v>1.2095069842486961</v>
      </c>
      <c r="J25" s="26">
        <f ca="1">0.6*OFFSET(J$108,MATCH($M$1,$C$109:$C$110,0),0)</f>
        <v>0.57009599550032286</v>
      </c>
      <c r="K25" s="26">
        <f ca="1">0.9*OFFSET(K$108,MATCH($M$1,$C$109:$C$110,0),0)</f>
        <v>0.86934599150366687</v>
      </c>
      <c r="L25" s="26">
        <f ca="1">7.4*OFFSET(L$108,MATCH($M$1,$C$109:$C$110,0),0)</f>
        <v>7.2759018720173101</v>
      </c>
      <c r="M25" s="27">
        <f ca="1">6.5*OFFSET(M$108,MATCH($M$1,$C$109:$C$110,0),0)</f>
        <v>6.4999999747465038</v>
      </c>
      <c r="N25" s="24">
        <f t="shared" ca="1" si="0"/>
        <v>-2.7783903059418663E-2</v>
      </c>
      <c r="O25" s="24">
        <f t="shared" ca="1" si="1"/>
        <v>5.2064444810909709</v>
      </c>
    </row>
    <row r="26" spans="1:15" s="19" customFormat="1" ht="18" customHeight="1" x14ac:dyDescent="0.2">
      <c r="A26" s="148"/>
      <c r="B26" s="45" t="s">
        <v>34</v>
      </c>
      <c r="C26" s="46"/>
      <c r="D26" s="47">
        <f ca="1">51.5*OFFSET(D$108,MATCH($M$1,$C$109:$C$110,0),0)</f>
        <v>41.89318962469671</v>
      </c>
      <c r="E26" s="47">
        <f ca="1">48*OFFSET(E$108,MATCH($M$1,$C$109:$C$110,0),0)</f>
        <v>40.095836948410096</v>
      </c>
      <c r="F26" s="47">
        <f ca="1">48.5*OFFSET(F$108,MATCH($M$1,$C$109:$C$110,0),0)</f>
        <v>41.677018920958737</v>
      </c>
      <c r="G26" s="47">
        <f ca="1">40*OFFSET(G$108,MATCH($M$1,$C$109:$C$110,0),0)</f>
        <v>35.370800471386502</v>
      </c>
      <c r="H26" s="47">
        <f ca="1">34.3*OFFSET(H$108,MATCH($M$1,$C$109:$C$110,0),0)</f>
        <v>30.9310544957352</v>
      </c>
      <c r="I26" s="47">
        <f ca="1">37.1*OFFSET(I$108,MATCH($M$1,$C$109:$C$110,0),0)</f>
        <v>34.517468550482022</v>
      </c>
      <c r="J26" s="47">
        <f ca="1">35.8*OFFSET(J$108,MATCH($M$1,$C$109:$C$110,0),0)</f>
        <v>34.015727731519263</v>
      </c>
      <c r="K26" s="47">
        <f ca="1">40.4*OFFSET(K$108,MATCH($M$1,$C$109:$C$110,0),0)</f>
        <v>39.023975618609043</v>
      </c>
      <c r="L26" s="47">
        <f ca="1">41.6*OFFSET(L$108,MATCH($M$1,$C$109:$C$110,0),0)</f>
        <v>40.902367280529738</v>
      </c>
      <c r="M26" s="48">
        <f ca="1">36.5*OFFSET(M$108,MATCH($M$1,$C$109:$C$110,0),0)</f>
        <v>36.499999858191906</v>
      </c>
      <c r="N26" s="49">
        <f t="shared" ca="1" si="0"/>
        <v>-2.3651155546840153E-2</v>
      </c>
      <c r="O26" s="49">
        <f t="shared" ca="1" si="1"/>
        <v>0.32237222258844717</v>
      </c>
    </row>
    <row r="27" spans="1:15" s="19" customFormat="1" ht="18" customHeight="1" x14ac:dyDescent="0.2">
      <c r="A27" s="148"/>
      <c r="B27" s="33" t="s">
        <v>35</v>
      </c>
      <c r="C27" s="25"/>
      <c r="D27" s="26">
        <f ca="1">2.7*OFFSET(D$108,MATCH($M$1,$C$109:$C$110,0),0)</f>
        <v>2.1963419803239055</v>
      </c>
      <c r="E27" s="26">
        <f ca="1">3.3*OFFSET(E$108,MATCH($M$1,$C$109:$C$110,0),0)</f>
        <v>2.7565887902031938</v>
      </c>
      <c r="F27" s="26">
        <f ca="1">2.6*OFFSET(F$108,MATCH($M$1,$C$109:$C$110,0),0)</f>
        <v>2.2342319421544889</v>
      </c>
      <c r="G27" s="26">
        <f ca="1">3.9*OFFSET(G$108,MATCH($M$1,$C$109:$C$110,0),0)</f>
        <v>3.4486530459601838</v>
      </c>
      <c r="H27" s="26">
        <f ca="1">2.4*OFFSET(H$108,MATCH($M$1,$C$109:$C$110,0),0)</f>
        <v>2.164272034687011</v>
      </c>
      <c r="I27" s="26">
        <f ca="1">2.9*OFFSET(I$108,MATCH($M$1,$C$109:$C$110,0),0)</f>
        <v>2.6981309648624756</v>
      </c>
      <c r="J27" s="26">
        <f ca="1">3.8*OFFSET(J$108,MATCH($M$1,$C$109:$C$110,0),0)</f>
        <v>3.6106079715020445</v>
      </c>
      <c r="K27" s="26">
        <f ca="1">3.5*OFFSET(K$108,MATCH($M$1,$C$109:$C$110,0),0)</f>
        <v>3.3807899669587047</v>
      </c>
      <c r="L27" s="26">
        <f ca="1">3*OFFSET(L$108,MATCH($M$1,$C$109:$C$110,0),0)</f>
        <v>2.9496899481151253</v>
      </c>
      <c r="M27" s="27">
        <f ca="1">2.8*OFFSET(M$108,MATCH($M$1,$C$109:$C$110,0),0)</f>
        <v>2.799999989121571</v>
      </c>
      <c r="N27" s="24">
        <f t="shared" ca="1" si="0"/>
        <v>0.3430012149929948</v>
      </c>
      <c r="O27" s="24">
        <f t="shared" ca="1" si="1"/>
        <v>0.36290165969903065</v>
      </c>
    </row>
    <row r="28" spans="1:15" s="19" customFormat="1" ht="18" customHeight="1" x14ac:dyDescent="0.2">
      <c r="A28" s="148"/>
      <c r="B28" s="33" t="s">
        <v>36</v>
      </c>
      <c r="C28" s="25"/>
      <c r="D28" s="26">
        <f ca="1">12.2*OFFSET(D$108,MATCH($M$1,$C$109:$C$110,0),0)</f>
        <v>9.9242119110932006</v>
      </c>
      <c r="E28" s="26">
        <f ca="1">9.4*OFFSET(E$108,MATCH($M$1,$C$109:$C$110,0),0)</f>
        <v>7.8521014023969764</v>
      </c>
      <c r="F28" s="26">
        <f ca="1">10.3*OFFSET(F$108,MATCH($M$1,$C$109:$C$110,0),0)</f>
        <v>8.8509957708427844</v>
      </c>
      <c r="G28" s="26">
        <f ca="1">17.6*OFFSET(G$108,MATCH($M$1,$C$109:$C$110,0),0)</f>
        <v>15.563152207410063</v>
      </c>
      <c r="H28" s="26">
        <f ca="1">10.4*OFFSET(H$108,MATCH($M$1,$C$109:$C$110,0),0)</f>
        <v>9.3785121503103817</v>
      </c>
      <c r="I28" s="26">
        <f ca="1">13*OFFSET(I$108,MATCH($M$1,$C$109:$C$110,0),0)</f>
        <v>12.095069842486961</v>
      </c>
      <c r="J28" s="26">
        <f ca="1">9.7*OFFSET(J$108,MATCH($M$1,$C$109:$C$110,0),0)</f>
        <v>9.2165519272552192</v>
      </c>
      <c r="K28" s="26">
        <f ca="1">12.1*OFFSET(K$108,MATCH($M$1,$C$109:$C$110,0),0)</f>
        <v>11.687873885771522</v>
      </c>
      <c r="L28" s="26">
        <f ca="1">9.5*OFFSET(L$108,MATCH($M$1,$C$109:$C$110,0),0)</f>
        <v>9.340684835697898</v>
      </c>
      <c r="M28" s="27">
        <f ca="1">8.3*OFFSET(M$108,MATCH($M$1,$C$109:$C$110,0),0)</f>
        <v>8.2999999677532283</v>
      </c>
      <c r="N28" s="24">
        <f t="shared" ca="1" si="0"/>
        <v>-5.8798328836876301E-2</v>
      </c>
      <c r="O28" s="24">
        <f t="shared" ca="1" si="1"/>
        <v>-4.0334025276313988E-3</v>
      </c>
    </row>
    <row r="29" spans="1:15" s="19" customFormat="1" ht="18" customHeight="1" x14ac:dyDescent="0.2">
      <c r="A29" s="148"/>
      <c r="B29" s="33" t="s">
        <v>37</v>
      </c>
      <c r="C29" s="25"/>
      <c r="D29" s="26">
        <f ca="1">9.6*OFFSET(D$108,MATCH($M$1,$C$109:$C$110,0),0)</f>
        <v>7.8092159300405521</v>
      </c>
      <c r="E29" s="26">
        <f ca="1">7*OFFSET(E$108,MATCH($M$1,$C$109:$C$110,0),0)</f>
        <v>5.847309554976472</v>
      </c>
      <c r="F29" s="26">
        <f ca="1">6.1*OFFSET(F$108,MATCH($M$1,$C$109:$C$110,0),0)</f>
        <v>5.2418518642855316</v>
      </c>
      <c r="G29" s="26">
        <f ca="1">3.3*OFFSET(G$108,MATCH($M$1,$C$109:$C$110,0),0)</f>
        <v>2.9180910388893864</v>
      </c>
      <c r="H29" s="26">
        <f ca="1">5.9*OFFSET(H$108,MATCH($M$1,$C$109:$C$110,0),0)</f>
        <v>5.3205020852722358</v>
      </c>
      <c r="I29" s="26">
        <f ca="1">4.1*OFFSET(I$108,MATCH($M$1,$C$109:$C$110,0),0)</f>
        <v>3.8145989503228104</v>
      </c>
      <c r="J29" s="26">
        <f ca="1">10.3*OFFSET(J$108,MATCH($M$1,$C$109:$C$110,0),0)</f>
        <v>9.7866479227555434</v>
      </c>
      <c r="K29" s="26">
        <f ca="1">10.3*OFFSET(K$108,MATCH($M$1,$C$109:$C$110,0),0)</f>
        <v>9.9491819027641881</v>
      </c>
      <c r="L29" s="26">
        <f ca="1">7.8*OFFSET(L$108,MATCH($M$1,$C$109:$C$110,0),0)</f>
        <v>7.6691938650993263</v>
      </c>
      <c r="M29" s="27">
        <f ca="1">6.8*OFFSET(M$108,MATCH($M$1,$C$109:$C$110,0),0)</f>
        <v>6.7999999735809578</v>
      </c>
      <c r="N29" s="24">
        <f t="shared" ca="1" si="0"/>
        <v>-1.7930361536372411E-2</v>
      </c>
      <c r="O29" s="24">
        <f t="shared" ca="1" si="1"/>
        <v>0.44144175534270358</v>
      </c>
    </row>
    <row r="30" spans="1:15" s="19" customFormat="1" ht="18" customHeight="1" x14ac:dyDescent="0.2">
      <c r="A30" s="148"/>
      <c r="B30" s="33" t="s">
        <v>38</v>
      </c>
      <c r="C30" s="25"/>
      <c r="D30" s="26">
        <f ca="1">24.5*OFFSET(D$108,MATCH($M$1,$C$109:$C$110,0),0)</f>
        <v>19.929769821457661</v>
      </c>
      <c r="E30" s="26">
        <f ca="1">19.7*OFFSET(E$108,MATCH($M$1,$C$109:$C$110,0),0)</f>
        <v>16.455999747576641</v>
      </c>
      <c r="F30" s="26">
        <f ca="1">19*OFFSET(F$108,MATCH($M$1,$C$109:$C$110,0),0)</f>
        <v>16.327079577282802</v>
      </c>
      <c r="G30" s="26">
        <f ca="1">24.8*OFFSET(G$108,MATCH($M$1,$C$109:$C$110,0),0)</f>
        <v>21.929896292259631</v>
      </c>
      <c r="H30" s="26">
        <f ca="1">18.7*OFFSET(H$108,MATCH($M$1,$C$109:$C$110,0),0)</f>
        <v>16.863286270269629</v>
      </c>
      <c r="I30" s="26">
        <f ca="1">20*OFFSET(I$108,MATCH($M$1,$C$109:$C$110,0),0)</f>
        <v>18.607799757672247</v>
      </c>
      <c r="J30" s="26">
        <f ca="1">23.8*OFFSET(J$108,MATCH($M$1,$C$109:$C$110,0),0)</f>
        <v>22.613807821512808</v>
      </c>
      <c r="K30" s="26">
        <f ca="1">25.9*OFFSET(K$108,MATCH($M$1,$C$109:$C$110,0),0)</f>
        <v>25.017845755494413</v>
      </c>
      <c r="L30" s="26">
        <f ca="1">20.4*OFFSET(L$108,MATCH($M$1,$C$109:$C$110,0),0)</f>
        <v>20.057891647182853</v>
      </c>
      <c r="M30" s="27">
        <f ca="1">17.9*OFFSET(M$108,MATCH($M$1,$C$109:$C$110,0),0)</f>
        <v>17.899999930455756</v>
      </c>
      <c r="N30" s="24">
        <f t="shared" ca="1" si="0"/>
        <v>6.4286656029136548E-3</v>
      </c>
      <c r="O30" s="24">
        <f t="shared" ca="1" si="1"/>
        <v>0.18944144846460848</v>
      </c>
    </row>
    <row r="31" spans="1:15" s="19" customFormat="1" ht="18" customHeight="1" x14ac:dyDescent="0.2">
      <c r="A31" s="148"/>
      <c r="B31" s="33" t="s">
        <v>39</v>
      </c>
      <c r="C31" s="25"/>
      <c r="D31" s="26">
        <f ca="1">12.2*OFFSET(D$108,MATCH($M$1,$C$109:$C$110,0),0)</f>
        <v>9.9242119110932006</v>
      </c>
      <c r="E31" s="26">
        <f ca="1">11.5*OFFSET(E$108,MATCH($M$1,$C$109:$C$110,0),0)</f>
        <v>9.6062942688899184</v>
      </c>
      <c r="F31" s="26">
        <f ca="1">8*OFFSET(F$108,MATCH($M$1,$C$109:$C$110,0),0)</f>
        <v>6.8745598220138122</v>
      </c>
      <c r="G31" s="26">
        <f ca="1">9*OFFSET(G$108,MATCH($M$1,$C$109:$C$110,0),0)</f>
        <v>7.9584301060619635</v>
      </c>
      <c r="H31" s="26">
        <f ca="1">4.2*OFFSET(H$108,MATCH($M$1,$C$109:$C$110,0),0)</f>
        <v>3.7874760607022697</v>
      </c>
      <c r="I31" s="26">
        <f ca="1">9*OFFSET(I$108,MATCH($M$1,$C$109:$C$110,0),0)</f>
        <v>8.3735098909525121</v>
      </c>
      <c r="J31" s="26">
        <f ca="1">9.3*OFFSET(J$108,MATCH($M$1,$C$109:$C$110,0),0)</f>
        <v>8.8364879302550055</v>
      </c>
      <c r="K31" s="26">
        <f ca="1">7*OFFSET(K$108,MATCH($M$1,$C$109:$C$110,0),0)</f>
        <v>6.7615799339174094</v>
      </c>
      <c r="L31" s="26">
        <f ca="1">9.9*OFFSET(L$108,MATCH($M$1,$C$109:$C$110,0),0)</f>
        <v>9.7339768287799142</v>
      </c>
      <c r="M31" s="27">
        <f ca="1">8.7*OFFSET(M$108,MATCH($M$1,$C$109:$C$110,0),0)</f>
        <v>8.6999999661991669</v>
      </c>
      <c r="N31" s="24">
        <f t="shared" ca="1" si="0"/>
        <v>-1.9168784787902723E-2</v>
      </c>
      <c r="O31" s="24">
        <f t="shared" ca="1" si="1"/>
        <v>1.5700431297181718</v>
      </c>
    </row>
    <row r="32" spans="1:15" s="19" customFormat="1" ht="18" customHeight="1" x14ac:dyDescent="0.2">
      <c r="A32" s="148"/>
      <c r="B32" s="33" t="s">
        <v>40</v>
      </c>
      <c r="C32" s="25"/>
      <c r="D32" s="26">
        <f ca="1">36.7*OFFSET(D$108,MATCH($M$1,$C$109:$C$110,0),0)</f>
        <v>29.853981732550864</v>
      </c>
      <c r="E32" s="26">
        <f ca="1">31.2*OFFSET(E$108,MATCH($M$1,$C$109:$C$110,0),0)</f>
        <v>26.062294016466559</v>
      </c>
      <c r="F32" s="26">
        <f ca="1">27*OFFSET(F$108,MATCH($M$1,$C$109:$C$110,0),0)</f>
        <v>23.201639399296617</v>
      </c>
      <c r="G32" s="26">
        <f ca="1">33.8*OFFSET(G$108,MATCH($M$1,$C$109:$C$110,0),0)</f>
        <v>29.888326398321592</v>
      </c>
      <c r="H32" s="26">
        <f ca="1">22.9*OFFSET(H$108,MATCH($M$1,$C$109:$C$110,0),0)</f>
        <v>20.650762330971897</v>
      </c>
      <c r="I32" s="26">
        <f ca="1">29*OFFSET(I$108,MATCH($M$1,$C$109:$C$110,0),0)</f>
        <v>26.981309648624759</v>
      </c>
      <c r="J32" s="26">
        <f ca="1">33.1*OFFSET(J$108,MATCH($M$1,$C$109:$C$110,0),0)</f>
        <v>31.450295751767811</v>
      </c>
      <c r="K32" s="26">
        <f ca="1">32.9*OFFSET(K$108,MATCH($M$1,$C$109:$C$110,0),0)</f>
        <v>31.77942568941182</v>
      </c>
      <c r="L32" s="26">
        <f ca="1">30.3*OFFSET(L$108,MATCH($M$1,$C$109:$C$110,0),0)</f>
        <v>29.791868475962769</v>
      </c>
      <c r="M32" s="27">
        <f ca="1">26.6*OFFSET(M$108,MATCH($M$1,$C$109:$C$110,0),0)</f>
        <v>26.599999896654925</v>
      </c>
      <c r="N32" s="24">
        <f t="shared" ca="1" si="0"/>
        <v>-2.0805685869490081E-3</v>
      </c>
      <c r="O32" s="24">
        <f t="shared" ca="1" si="1"/>
        <v>0.44265223716613561</v>
      </c>
    </row>
    <row r="33" spans="1:15" s="19" customFormat="1" ht="18" customHeight="1" x14ac:dyDescent="0.2">
      <c r="A33" s="148"/>
      <c r="B33" s="45" t="s">
        <v>41</v>
      </c>
      <c r="C33" s="46"/>
      <c r="D33" s="47">
        <f ca="1">26.9*OFFSET(D$108,MATCH($M$1,$C$109:$C$110,0),0)</f>
        <v>21.882073803967796</v>
      </c>
      <c r="E33" s="47">
        <f ca="1">26.2*OFFSET(E$108,MATCH($M$1,$C$109:$C$110,0),0)</f>
        <v>21.885644334340508</v>
      </c>
      <c r="F33" s="47">
        <f ca="1">31.8*OFFSET(F$108,MATCH($M$1,$C$109:$C$110,0),0)</f>
        <v>27.326375292504903</v>
      </c>
      <c r="G33" s="47">
        <f ca="1">23.9*OFFSET(G$108,MATCH($M$1,$C$109:$C$110,0),0)</f>
        <v>21.134053281653433</v>
      </c>
      <c r="H33" s="47">
        <f ca="1">21.8*OFFSET(H$108,MATCH($M$1,$C$109:$C$110,0),0)</f>
        <v>19.658804315073684</v>
      </c>
      <c r="I33" s="47">
        <f ca="1">21*OFFSET(I$108,MATCH($M$1,$C$109:$C$110,0),0)</f>
        <v>19.538189745555862</v>
      </c>
      <c r="J33" s="47">
        <f ca="1">12.3*OFFSET(J$108,MATCH($M$1,$C$109:$C$110,0),0)</f>
        <v>11.686967907756619</v>
      </c>
      <c r="K33" s="47">
        <f ca="1">19.6*OFFSET(K$108,MATCH($M$1,$C$109:$C$110,0),0)</f>
        <v>18.932423814968747</v>
      </c>
      <c r="L33" s="47">
        <f ca="1">20.8*OFFSET(L$108,MATCH($M$1,$C$109:$C$110,0),0)</f>
        <v>20.451183640264869</v>
      </c>
      <c r="M33" s="48">
        <f ca="1">18.1*OFFSET(M$108,MATCH($M$1,$C$109:$C$110,0),0)</f>
        <v>18.099999929678727</v>
      </c>
      <c r="N33" s="49">
        <f t="shared" ca="1" si="0"/>
        <v>-6.539097603461462E-2</v>
      </c>
      <c r="O33" s="49">
        <f t="shared" ca="1" si="1"/>
        <v>4.0306587953755448E-2</v>
      </c>
    </row>
    <row r="34" spans="1:15" s="19" customFormat="1" ht="18" customHeight="1" x14ac:dyDescent="0.2">
      <c r="A34" s="148"/>
      <c r="B34" s="45" t="s">
        <v>42</v>
      </c>
      <c r="C34" s="46"/>
      <c r="D34" s="47">
        <f ca="1">14.7*OFFSET(D$108,MATCH($M$1,$C$109:$C$110,0),0)</f>
        <v>11.957861892874595</v>
      </c>
      <c r="E34" s="47">
        <f ca="1">16.8*OFFSET(E$108,MATCH($M$1,$C$109:$C$110,0),0)</f>
        <v>14.033542931943533</v>
      </c>
      <c r="F34" s="47">
        <f ca="1">21.5*OFFSET(F$108,MATCH($M$1,$C$109:$C$110,0),0)</f>
        <v>18.47537952166212</v>
      </c>
      <c r="G34" s="47">
        <f ca="1">6.3*OFFSET(G$108,MATCH($M$1,$C$109:$C$110,0),0)</f>
        <v>5.5709010742433742</v>
      </c>
      <c r="H34" s="47">
        <f ca="1">11.4*OFFSET(H$108,MATCH($M$1,$C$109:$C$110,0),0)</f>
        <v>10.280292164763303</v>
      </c>
      <c r="I34" s="47">
        <f ca="1">8*OFFSET(I$108,MATCH($M$1,$C$109:$C$110,0),0)</f>
        <v>7.443119903068899</v>
      </c>
      <c r="J34" s="47">
        <f ca="1">2.6*OFFSET(J$108,MATCH($M$1,$C$109:$C$110,0),0)</f>
        <v>2.4704159805013992</v>
      </c>
      <c r="K34" s="47">
        <f ca="1">7.5*OFFSET(K$108,MATCH($M$1,$C$109:$C$110,0),0)</f>
        <v>7.2445499291972242</v>
      </c>
      <c r="L34" s="47">
        <f ca="1">11.3*OFFSET(L$108,MATCH($M$1,$C$109:$C$110,0),0)</f>
        <v>11.110498804566973</v>
      </c>
      <c r="M34" s="48">
        <f ca="1">9.8*OFFSET(M$108,MATCH($M$1,$C$109:$C$110,0),0)</f>
        <v>9.7999999619254989</v>
      </c>
      <c r="N34" s="49">
        <f t="shared" ca="1" si="0"/>
        <v>-7.0862424729336071E-2</v>
      </c>
      <c r="O34" s="49">
        <f t="shared" ca="1" si="1"/>
        <v>8.0757105585898006E-2</v>
      </c>
    </row>
    <row r="35" spans="1:15" s="19" customFormat="1" ht="18" customHeight="1" x14ac:dyDescent="0.2">
      <c r="A35" s="148"/>
      <c r="B35" s="33" t="s">
        <v>43</v>
      </c>
      <c r="C35" s="25"/>
      <c r="D35" s="26"/>
      <c r="E35" s="26">
        <f ca="1">1.1*OFFSET(E$108,MATCH($M$1,$C$109:$C$110,0),0)</f>
        <v>0.91886293006773134</v>
      </c>
      <c r="F35" s="26">
        <f ca="1">3.1*OFFSET(F$108,MATCH($M$1,$C$109:$C$110,0),0)</f>
        <v>2.6638919310303524</v>
      </c>
      <c r="G35" s="26">
        <f ca="1">1*OFFSET(G$108,MATCH($M$1,$C$109:$C$110,0),0)</f>
        <v>0.88427001178466258</v>
      </c>
      <c r="H35" s="26">
        <f ca="1">2.3*OFFSET(H$108,MATCH($M$1,$C$109:$C$110,0),0)</f>
        <v>2.0740940332417188</v>
      </c>
      <c r="I35" s="26">
        <f ca="1">1.4*OFFSET(I$108,MATCH($M$1,$C$109:$C$110,0),0)</f>
        <v>1.3025459830370572</v>
      </c>
      <c r="J35" s="26">
        <f ca="1">2.6*OFFSET(J$108,MATCH($M$1,$C$109:$C$110,0),0)</f>
        <v>2.4704159805013992</v>
      </c>
      <c r="K35" s="26">
        <f ca="1">2.5*OFFSET(K$108,MATCH($M$1,$C$109:$C$110,0),0)</f>
        <v>2.4148499763990747</v>
      </c>
      <c r="L35" s="26">
        <f ca="1">4.4*OFFSET(L$108,MATCH($M$1,$C$109:$C$110,0),0)</f>
        <v>4.3262119239021839</v>
      </c>
      <c r="M35" s="27"/>
      <c r="N35" s="24" t="str">
        <f t="shared" ca="1" si="0"/>
        <v/>
      </c>
      <c r="O35" s="24">
        <f t="shared" ca="1" si="1"/>
        <v>1.0858321052785165</v>
      </c>
    </row>
    <row r="36" spans="1:15" s="19" customFormat="1" ht="18" customHeight="1" x14ac:dyDescent="0.2">
      <c r="A36" s="148"/>
      <c r="B36" s="33" t="s">
        <v>44</v>
      </c>
      <c r="C36" s="25"/>
      <c r="D36" s="26"/>
      <c r="E36" s="26">
        <f ca="1">4.2*OFFSET(E$108,MATCH($M$1,$C$109:$C$110,0),0)</f>
        <v>3.5083857329858832</v>
      </c>
      <c r="F36" s="26">
        <f ca="1">1.7*OFFSET(F$108,MATCH($M$1,$C$109:$C$110,0),0)</f>
        <v>1.460843962177935</v>
      </c>
      <c r="G36" s="26">
        <f ca="1">1.6*OFFSET(G$108,MATCH($M$1,$C$109:$C$110,0),0)</f>
        <v>1.4148320188554602</v>
      </c>
      <c r="H36" s="26">
        <f ca="1">0.2*OFFSET(H$108,MATCH($M$1,$C$109:$C$110,0),0)</f>
        <v>0.18035600289058429</v>
      </c>
      <c r="I36" s="26">
        <f ca="1">0.4*OFFSET(I$108,MATCH($M$1,$C$109:$C$110,0),0)</f>
        <v>0.372155995153445</v>
      </c>
      <c r="J36" s="26">
        <f ca="1">0.2*OFFSET(J$108,MATCH($M$1,$C$109:$C$110,0),0)</f>
        <v>0.19003199850010763</v>
      </c>
      <c r="K36" s="26">
        <f ca="1">0.1*OFFSET(K$108,MATCH($M$1,$C$109:$C$110,0),0)</f>
        <v>9.6593999055962998E-2</v>
      </c>
      <c r="L36" s="26">
        <f ca="1">0.2*OFFSET(L$108,MATCH($M$1,$C$109:$C$110,0),0)</f>
        <v>0.19664599654100837</v>
      </c>
      <c r="M36" s="27"/>
      <c r="N36" s="24" t="str">
        <f t="shared" ca="1" si="0"/>
        <v/>
      </c>
      <c r="O36" s="24">
        <f t="shared" ca="1" si="1"/>
        <v>9.0321327759224357E-2</v>
      </c>
    </row>
    <row r="37" spans="1:15" s="19" customFormat="1" ht="18" customHeight="1" x14ac:dyDescent="0.2">
      <c r="A37" s="148"/>
      <c r="B37" s="33" t="s">
        <v>45</v>
      </c>
      <c r="C37" s="25"/>
      <c r="D37" s="26"/>
      <c r="E37" s="26"/>
      <c r="F37" s="26"/>
      <c r="G37" s="26"/>
      <c r="H37" s="26">
        <f ca="1">0.3*OFFSET(H$108,MATCH($M$1,$C$109:$C$110,0),0)</f>
        <v>0.27053400433587638</v>
      </c>
      <c r="I37" s="26">
        <f ca="1">0.9*OFFSET(I$108,MATCH($M$1,$C$109:$C$110,0),0)</f>
        <v>0.83735098909525119</v>
      </c>
      <c r="J37" s="26">
        <f ca="1">0.3*OFFSET(J$108,MATCH($M$1,$C$109:$C$110,0),0)</f>
        <v>0.28504799775016143</v>
      </c>
      <c r="K37" s="26">
        <f ca="1">0.2*OFFSET(K$108,MATCH($M$1,$C$109:$C$110,0),0)</f>
        <v>0.193187998111926</v>
      </c>
      <c r="L37" s="26">
        <f ca="1">0.4*OFFSET(L$108,MATCH($M$1,$C$109:$C$110,0),0)</f>
        <v>0.39329199308201673</v>
      </c>
      <c r="M37" s="27"/>
      <c r="N37" s="24" t="str">
        <f t="shared" ca="1" si="0"/>
        <v/>
      </c>
      <c r="O37" s="24">
        <f t="shared" ca="1" si="1"/>
        <v>0.45376177034563275</v>
      </c>
    </row>
    <row r="38" spans="1:15" s="19" customFormat="1" ht="18" customHeight="1" thickBot="1" x14ac:dyDescent="0.25">
      <c r="A38" s="149"/>
      <c r="B38" s="50" t="s">
        <v>46</v>
      </c>
      <c r="C38" s="51"/>
      <c r="D38" s="52"/>
      <c r="E38" s="52">
        <f ca="1">11.5*OFFSET(E$108,MATCH($M$1,$C$109:$C$110,0),0)</f>
        <v>9.6062942688899184</v>
      </c>
      <c r="F38" s="52">
        <f ca="1">16.7*OFFSET(F$108,MATCH($M$1,$C$109:$C$110,0),0)</f>
        <v>14.350643628453833</v>
      </c>
      <c r="G38" s="52">
        <f ca="1">3.7*OFFSET(G$108,MATCH($M$1,$C$109:$C$110,0),0)</f>
        <v>3.2717990436032518</v>
      </c>
      <c r="H38" s="52">
        <f ca="1">8.6*OFFSET(H$108,MATCH($M$1,$C$109:$C$110,0),0)</f>
        <v>7.755308124295123</v>
      </c>
      <c r="I38" s="52">
        <f ca="1">5.4*OFFSET(I$108,MATCH($M$1,$C$109:$C$110,0),0)</f>
        <v>5.0241059345715069</v>
      </c>
      <c r="J38" s="52">
        <f ca="1">-0.4*OFFSET(J$108,MATCH($M$1,$C$109:$C$110,0),0)</f>
        <v>-0.38006399700021526</v>
      </c>
      <c r="K38" s="52">
        <f ca="1">4.6*OFFSET(K$108,MATCH($M$1,$C$109:$C$110,0),0)</f>
        <v>4.4433239565742975</v>
      </c>
      <c r="L38" s="52">
        <f ca="1">6.3*OFFSET(L$108,MATCH($M$1,$C$109:$C$110,0),0)</f>
        <v>6.1943488910417628</v>
      </c>
      <c r="M38" s="53"/>
      <c r="N38" s="54" t="str">
        <f t="shared" ca="1" si="0"/>
        <v/>
      </c>
      <c r="O38" s="54">
        <f t="shared" ca="1" si="1"/>
        <v>-0.20127623664149838</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Under 10m using hooks</v>
      </c>
      <c r="C45" s="61"/>
      <c r="D45" s="61"/>
      <c r="E45" s="61"/>
      <c r="F45" s="61" t="str">
        <f>$B21&amp;CHAR(10)&amp;$A$1</f>
        <v>Income per kW day at sea (£)
Under 10m using hooks</v>
      </c>
      <c r="G45" s="61"/>
      <c r="K45" s="61" t="str">
        <f>$B23&amp;CHAR(10)&amp;$A$1</f>
        <v>Operating profit per kW day at sea (£)
Under 10m using hooks</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Under 10m using hooks</v>
      </c>
      <c r="F59" s="61" t="str">
        <f>$B19&amp;CHAR(10)&amp;$A$1</f>
        <v>Average price per tonne landed (£)
Under 10m using hooks</v>
      </c>
      <c r="K59" s="61" t="str">
        <f>"Average annual operating profit per vessel (£'000)"&amp;CHAR(10)&amp;$A$1</f>
        <v>Average annual operating profit per vessel (£'000)
Under 10m using hooks</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Under 10m using hooks</v>
      </c>
      <c r="F73" s="61" t="str">
        <f>"Top 5 landed species by value in "&amp;A74&amp;CHAR(10)&amp;A1</f>
        <v>Top 5 landed species by value in 2013
Under 10m using hooks</v>
      </c>
    </row>
    <row r="74" spans="1:9" s="61" customFormat="1" x14ac:dyDescent="0.2">
      <c r="A74" s="61">
        <v>2013</v>
      </c>
      <c r="B74" s="61" t="s">
        <v>480</v>
      </c>
      <c r="C74" s="62">
        <v>0.28503960428932446</v>
      </c>
      <c r="D74" s="63">
        <v>8211234</v>
      </c>
      <c r="G74" s="61" t="s">
        <v>481</v>
      </c>
      <c r="H74" s="62">
        <v>0.30613244036809134</v>
      </c>
      <c r="I74" s="63">
        <v>8211234</v>
      </c>
    </row>
    <row r="75" spans="1:9" s="61" customFormat="1" x14ac:dyDescent="0.2">
      <c r="B75" s="61" t="s">
        <v>482</v>
      </c>
      <c r="C75" s="62">
        <v>0.2097913489952386</v>
      </c>
      <c r="D75" s="63">
        <v>2783840</v>
      </c>
      <c r="G75" s="61" t="s">
        <v>483</v>
      </c>
      <c r="H75" s="62">
        <v>0.22302607851031814</v>
      </c>
      <c r="I75" s="63">
        <v>2171775</v>
      </c>
    </row>
    <row r="76" spans="1:9" s="61" customFormat="1" x14ac:dyDescent="0.2">
      <c r="B76" s="61" t="s">
        <v>484</v>
      </c>
      <c r="C76" s="62">
        <v>0.19305683343618943</v>
      </c>
      <c r="D76" s="63">
        <v>6763595</v>
      </c>
      <c r="G76" s="61" t="s">
        <v>485</v>
      </c>
      <c r="H76" s="62">
        <v>0.1670835162878809</v>
      </c>
      <c r="I76" s="63">
        <v>2783840</v>
      </c>
    </row>
    <row r="77" spans="1:9" s="61" customFormat="1" x14ac:dyDescent="0.2">
      <c r="B77" s="61" t="s">
        <v>486</v>
      </c>
      <c r="C77" s="62">
        <v>8.7064770201087424E-2</v>
      </c>
      <c r="D77" s="63">
        <v>2764187</v>
      </c>
      <c r="G77" s="61" t="s">
        <v>487</v>
      </c>
      <c r="H77" s="62">
        <v>0.10452582984898665</v>
      </c>
      <c r="I77" s="63">
        <v>6763595</v>
      </c>
    </row>
    <row r="78" spans="1:9" s="61" customFormat="1" x14ac:dyDescent="0.2">
      <c r="B78" s="61" t="s">
        <v>488</v>
      </c>
      <c r="C78" s="62">
        <v>7.1565671552706614E-2</v>
      </c>
      <c r="D78" s="63">
        <v>2171775</v>
      </c>
      <c r="G78" s="61" t="s">
        <v>489</v>
      </c>
      <c r="H78" s="62">
        <v>7.2435491917599917E-2</v>
      </c>
      <c r="I78" s="63">
        <v>2764187</v>
      </c>
    </row>
    <row r="79" spans="1:9" s="61" customFormat="1" x14ac:dyDescent="0.2">
      <c r="B79" s="61" t="s">
        <v>490</v>
      </c>
      <c r="C79" s="62">
        <v>0.1534817715254535</v>
      </c>
      <c r="D79" s="63">
        <v>32768</v>
      </c>
      <c r="G79" s="61" t="s">
        <v>321</v>
      </c>
      <c r="H79" s="62">
        <v>0.12679664306712313</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170</v>
      </c>
      <c r="D88" s="66">
        <v>0.21215858997442666</v>
      </c>
      <c r="E88" s="66">
        <v>0.11092750272945726</v>
      </c>
      <c r="F88" s="66">
        <v>0.13777556285827183</v>
      </c>
      <c r="G88" s="66">
        <v>0.16392373268396834</v>
      </c>
      <c r="H88" s="66">
        <v>0.16492060979068163</v>
      </c>
      <c r="I88" s="66">
        <v>0.18970286427876953</v>
      </c>
      <c r="J88" s="66">
        <v>0.21794983323668699</v>
      </c>
      <c r="K88" s="66">
        <v>0.27976274501403681</v>
      </c>
      <c r="L88" s="66">
        <v>0.31135383148029372</v>
      </c>
      <c r="M88" s="66">
        <v>0.13951979474096529</v>
      </c>
      <c r="N88" s="61"/>
      <c r="O88" s="61">
        <v>8211234</v>
      </c>
    </row>
    <row r="89" spans="1:15" s="65" customFormat="1" hidden="1" x14ac:dyDescent="0.2">
      <c r="A89" s="61"/>
      <c r="B89" s="61">
        <v>2</v>
      </c>
      <c r="C89" s="61" t="s">
        <v>135</v>
      </c>
      <c r="D89" s="66"/>
      <c r="E89" s="66">
        <v>0.23528031680208947</v>
      </c>
      <c r="F89" s="66">
        <v>0.27878361072709745</v>
      </c>
      <c r="G89" s="66">
        <v>0.24196017567161904</v>
      </c>
      <c r="H89" s="66">
        <v>0.22259201929687769</v>
      </c>
      <c r="I89" s="66">
        <v>0.20351793427549894</v>
      </c>
      <c r="J89" s="66">
        <v>0.16756795298731791</v>
      </c>
      <c r="K89" s="66">
        <v>0.21156290242075323</v>
      </c>
      <c r="L89" s="66">
        <v>0.22683000854374724</v>
      </c>
      <c r="M89" s="66">
        <v>0.33133038008001214</v>
      </c>
      <c r="N89" s="61"/>
      <c r="O89" s="61">
        <v>2171775</v>
      </c>
    </row>
    <row r="90" spans="1:15" s="65" customFormat="1" hidden="1" x14ac:dyDescent="0.2">
      <c r="A90" s="61"/>
      <c r="B90" s="61">
        <v>3</v>
      </c>
      <c r="C90" s="61" t="s">
        <v>59</v>
      </c>
      <c r="D90" s="66">
        <v>0.38186884193515797</v>
      </c>
      <c r="E90" s="66">
        <v>0.5035390420332011</v>
      </c>
      <c r="F90" s="66">
        <v>0.27052577343550249</v>
      </c>
      <c r="G90" s="66">
        <v>0.25765453231077584</v>
      </c>
      <c r="H90" s="66">
        <v>0.29394034253494294</v>
      </c>
      <c r="I90" s="66">
        <v>0.2206270244883356</v>
      </c>
      <c r="J90" s="66">
        <v>0.20901873255583531</v>
      </c>
      <c r="K90" s="66">
        <v>0.16744543712425047</v>
      </c>
      <c r="L90" s="66">
        <v>0.16993329067275853</v>
      </c>
      <c r="M90" s="66">
        <v>0.24963514123952163</v>
      </c>
      <c r="N90" s="61"/>
      <c r="O90" s="61">
        <v>2783840</v>
      </c>
    </row>
    <row r="91" spans="1:15" s="65" customFormat="1" hidden="1" x14ac:dyDescent="0.2">
      <c r="A91" s="61"/>
      <c r="B91" s="61">
        <v>4</v>
      </c>
      <c r="C91" s="61" t="s">
        <v>209</v>
      </c>
      <c r="D91" s="66">
        <v>0.12530862040552015</v>
      </c>
      <c r="E91" s="66">
        <v>3.1649374504886585E-2</v>
      </c>
      <c r="F91" s="66"/>
      <c r="G91" s="66">
        <v>0.10247818457179796</v>
      </c>
      <c r="H91" s="66">
        <v>0.12830426782739845</v>
      </c>
      <c r="I91" s="66">
        <v>0.12674463054875948</v>
      </c>
      <c r="J91" s="66">
        <v>0.17992116462649016</v>
      </c>
      <c r="K91" s="66">
        <v>0.131297221201787</v>
      </c>
      <c r="L91" s="66">
        <v>0.10630862110858934</v>
      </c>
      <c r="M91" s="66">
        <v>0.10685325074983616</v>
      </c>
      <c r="N91" s="61"/>
      <c r="O91" s="61">
        <v>6763595</v>
      </c>
    </row>
    <row r="92" spans="1:15" s="65" customFormat="1" hidden="1" x14ac:dyDescent="0.2">
      <c r="A92" s="61"/>
      <c r="B92" s="61">
        <v>5</v>
      </c>
      <c r="C92" s="61" t="s">
        <v>150</v>
      </c>
      <c r="D92" s="66"/>
      <c r="E92" s="66"/>
      <c r="F92" s="66">
        <v>5.7709101668125859E-2</v>
      </c>
      <c r="G92" s="66"/>
      <c r="H92" s="66">
        <v>7.7821820878768447E-2</v>
      </c>
      <c r="I92" s="66"/>
      <c r="J92" s="66">
        <v>0.1000261649037484</v>
      </c>
      <c r="K92" s="66">
        <v>7.7667716493943356E-2</v>
      </c>
      <c r="L92" s="66">
        <v>7.3670950770806723E-2</v>
      </c>
      <c r="M92" s="66">
        <v>5.5435974540250177E-2</v>
      </c>
      <c r="N92" s="61"/>
      <c r="O92" s="61">
        <v>2764187</v>
      </c>
    </row>
    <row r="93" spans="1:15" s="65" customFormat="1" hidden="1" x14ac:dyDescent="0.2">
      <c r="A93" s="61"/>
      <c r="B93" s="61">
        <v>6</v>
      </c>
      <c r="C93" s="61" t="s">
        <v>65</v>
      </c>
      <c r="D93" s="66"/>
      <c r="E93" s="66"/>
      <c r="F93" s="66">
        <v>5.7349743737748614E-2</v>
      </c>
      <c r="G93" s="66">
        <v>6.7946767301901551E-2</v>
      </c>
      <c r="H93" s="66"/>
      <c r="I93" s="66">
        <v>8.4070673442030369E-2</v>
      </c>
      <c r="J93" s="66"/>
      <c r="K93" s="66"/>
      <c r="L93" s="66"/>
      <c r="M93" s="66"/>
      <c r="N93" s="61"/>
      <c r="O93" s="61">
        <v>3511670</v>
      </c>
    </row>
    <row r="94" spans="1:15" s="65" customFormat="1" hidden="1" x14ac:dyDescent="0.2">
      <c r="A94" s="61"/>
      <c r="B94" s="61">
        <v>7</v>
      </c>
      <c r="C94" s="61" t="s">
        <v>60</v>
      </c>
      <c r="D94" s="66"/>
      <c r="E94" s="66">
        <v>2.4450816513062183E-2</v>
      </c>
      <c r="F94" s="66"/>
      <c r="G94" s="66"/>
      <c r="H94" s="66"/>
      <c r="I94" s="66"/>
      <c r="J94" s="66"/>
      <c r="K94" s="66"/>
      <c r="L94" s="66"/>
      <c r="M94" s="66"/>
      <c r="N94" s="61"/>
      <c r="O94" s="61">
        <v>1464488</v>
      </c>
    </row>
    <row r="95" spans="1:15" s="65" customFormat="1" hidden="1" x14ac:dyDescent="0.2">
      <c r="A95" s="61"/>
      <c r="B95" s="61">
        <v>8</v>
      </c>
      <c r="C95" s="61" t="s">
        <v>67</v>
      </c>
      <c r="D95" s="66">
        <v>6.8183705050273866E-2</v>
      </c>
      <c r="E95" s="66"/>
      <c r="F95" s="66"/>
      <c r="G95" s="66"/>
      <c r="H95" s="66"/>
      <c r="I95" s="66"/>
      <c r="J95" s="66"/>
      <c r="K95" s="66"/>
      <c r="L95" s="66"/>
      <c r="M95" s="66"/>
      <c r="N95" s="61"/>
      <c r="O95" s="61">
        <v>8274269</v>
      </c>
    </row>
    <row r="96" spans="1:15" s="65" customFormat="1" hidden="1" x14ac:dyDescent="0.2">
      <c r="A96" s="61"/>
      <c r="B96" s="61">
        <v>9</v>
      </c>
      <c r="C96" s="61" t="s">
        <v>441</v>
      </c>
      <c r="D96" s="66">
        <v>6.0475704035107956E-2</v>
      </c>
      <c r="E96" s="66"/>
      <c r="F96" s="66"/>
      <c r="G96" s="66"/>
      <c r="H96" s="66"/>
      <c r="I96" s="66"/>
      <c r="J96" s="66"/>
      <c r="K96" s="66"/>
      <c r="L96" s="66"/>
      <c r="M96" s="66"/>
      <c r="N96" s="61"/>
      <c r="O96" s="61">
        <v>10520359</v>
      </c>
    </row>
    <row r="97" spans="1:15" s="65" customFormat="1" hidden="1" x14ac:dyDescent="0.2">
      <c r="A97" s="61"/>
      <c r="B97" s="61">
        <v>10</v>
      </c>
      <c r="C97" s="61" t="s">
        <v>68</v>
      </c>
      <c r="D97" s="66">
        <v>0.15200453859951341</v>
      </c>
      <c r="E97" s="66">
        <v>9.4152947417303387E-2</v>
      </c>
      <c r="F97" s="66">
        <v>0.19785620757325376</v>
      </c>
      <c r="G97" s="66">
        <v>0.16603660745993723</v>
      </c>
      <c r="H97" s="66">
        <v>0.11242093967133085</v>
      </c>
      <c r="I97" s="66">
        <v>0.17533687296660608</v>
      </c>
      <c r="J97" s="66">
        <v>0.12551615168992125</v>
      </c>
      <c r="K97" s="66">
        <v>0.13226397774522916</v>
      </c>
      <c r="L97" s="66">
        <v>0.11190329742380446</v>
      </c>
      <c r="M97" s="66">
        <v>0.11722545864941458</v>
      </c>
      <c r="N97" s="61"/>
      <c r="O97" s="61">
        <v>32768</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11</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'U10m using hooks'!D3:L3</xm:f>
              <xm:sqref>C3</xm:sqref>
            </x14:sparkline>
            <x14:sparkline>
              <xm:f>'U10m using hooks'!D4:L4</xm:f>
              <xm:sqref>C4</xm:sqref>
            </x14:sparkline>
            <x14:sparkline>
              <xm:f>'U10m using hooks'!D5:L5</xm:f>
              <xm:sqref>C5</xm:sqref>
            </x14:sparkline>
            <x14:sparkline>
              <xm:f>'U10m using hooks'!D6:L6</xm:f>
              <xm:sqref>C6</xm:sqref>
            </x14:sparkline>
            <x14:sparkline>
              <xm:f>'U10m using hooks'!D7:L7</xm:f>
              <xm:sqref>C7</xm:sqref>
            </x14:sparkline>
            <x14:sparkline>
              <xm:f>'U10m using hooks'!D8:L8</xm:f>
              <xm:sqref>C8</xm:sqref>
            </x14:sparkline>
            <x14:sparkline>
              <xm:f>'U10m using hooks'!D9:L9</xm:f>
              <xm:sqref>C9</xm:sqref>
            </x14:sparkline>
            <x14:sparkline>
              <xm:f>'U10m using hooks'!D10:L10</xm:f>
              <xm:sqref>C10</xm:sqref>
            </x14:sparkline>
            <x14:sparkline>
              <xm:f>'U10m using hooks'!D11:L11</xm:f>
              <xm:sqref>C11</xm:sqref>
            </x14:sparkline>
            <x14:sparkline>
              <xm:f>'U10m using hooks'!D12:L12</xm:f>
              <xm:sqref>C12</xm:sqref>
            </x14:sparkline>
            <x14:sparkline>
              <xm:f>'U10m using hooks'!D13:L13</xm:f>
              <xm:sqref>C13</xm:sqref>
            </x14:sparkline>
            <x14:sparkline>
              <xm:f>'U10m using hooks'!D14:L14</xm:f>
              <xm:sqref>C14</xm:sqref>
            </x14:sparkline>
            <x14:sparkline>
              <xm:f>'U10m using hooks'!D15:L15</xm:f>
              <xm:sqref>C15</xm:sqref>
            </x14:sparkline>
            <x14:sparkline>
              <xm:f>'U10m using hooks'!D16:L16</xm:f>
              <xm:sqref>C16</xm:sqref>
            </x14:sparkline>
            <x14:sparkline>
              <xm:f>'U10m using hooks'!D17:L17</xm:f>
              <xm:sqref>C17</xm:sqref>
            </x14:sparkline>
            <x14:sparkline>
              <xm:f>'U10m using hooks'!D18:L18</xm:f>
              <xm:sqref>C18</xm:sqref>
            </x14:sparkline>
            <x14:sparkline>
              <xm:f>'U10m using hooks'!D19:L19</xm:f>
              <xm:sqref>C19</xm:sqref>
            </x14:sparkline>
            <x14:sparkline>
              <xm:f>'U10m using hooks'!D20:L20</xm:f>
              <xm:sqref>C20</xm:sqref>
            </x14:sparkline>
            <x14:sparkline>
              <xm:f>'U10m using hooks'!D21:L21</xm:f>
              <xm:sqref>C21</xm:sqref>
            </x14:sparkline>
            <x14:sparkline>
              <xm:f>'U10m using hooks'!D22:L22</xm:f>
              <xm:sqref>C22</xm:sqref>
            </x14:sparkline>
            <x14:sparkline>
              <xm:f>'U10m using hooks'!D23:L23</xm:f>
              <xm:sqref>C23</xm:sqref>
            </x14:sparkline>
            <x14:sparkline>
              <xm:f>'U10m using hooks'!D24:L24</xm:f>
              <xm:sqref>C24</xm:sqref>
            </x14:sparkline>
            <x14:sparkline>
              <xm:f>'U10m using hooks'!D25:L25</xm:f>
              <xm:sqref>C25</xm:sqref>
            </x14:sparkline>
            <x14:sparkline>
              <xm:f>'U10m using hooks'!D26:L26</xm:f>
              <xm:sqref>C26</xm:sqref>
            </x14:sparkline>
            <x14:sparkline>
              <xm:f>'U10m using hooks'!D27:L27</xm:f>
              <xm:sqref>C27</xm:sqref>
            </x14:sparkline>
            <x14:sparkline>
              <xm:f>'U10m using hooks'!D28:L28</xm:f>
              <xm:sqref>C28</xm:sqref>
            </x14:sparkline>
            <x14:sparkline>
              <xm:f>'U10m using hooks'!D29:L29</xm:f>
              <xm:sqref>C29</xm:sqref>
            </x14:sparkline>
            <x14:sparkline>
              <xm:f>'U10m using hooks'!D30:L30</xm:f>
              <xm:sqref>C30</xm:sqref>
            </x14:sparkline>
            <x14:sparkline>
              <xm:f>'U10m using hooks'!D31:L31</xm:f>
              <xm:sqref>C31</xm:sqref>
            </x14:sparkline>
            <x14:sparkline>
              <xm:f>'U10m using hooks'!D32:L32</xm:f>
              <xm:sqref>C32</xm:sqref>
            </x14:sparkline>
            <x14:sparkline>
              <xm:f>'U10m using hooks'!D33:L33</xm:f>
              <xm:sqref>C33</xm:sqref>
            </x14:sparkline>
            <x14:sparkline>
              <xm:f>'U10m using hooks'!D34:L34</xm:f>
              <xm:sqref>C34</xm:sqref>
            </x14:sparkline>
            <x14:sparkline>
              <xm:f>'U10m using hooks'!D35:L35</xm:f>
              <xm:sqref>C35</xm:sqref>
            </x14:sparkline>
            <x14:sparkline>
              <xm:f>'U10m using hooks'!D36:L36</xm:f>
              <xm:sqref>C36</xm:sqref>
            </x14:sparkline>
            <x14:sparkline>
              <xm:f>'U10m using hooks'!D37:L37</xm:f>
              <xm:sqref>C37</xm:sqref>
            </x14:sparkline>
            <x14:sparkline>
              <xm:f>'U10m using hooks'!D38:L38</xm:f>
              <xm:sqref>C38</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491</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28</v>
      </c>
      <c r="E3" s="16">
        <v>27</v>
      </c>
      <c r="F3" s="16">
        <v>33</v>
      </c>
      <c r="G3" s="16">
        <v>37</v>
      </c>
      <c r="H3" s="16">
        <v>32</v>
      </c>
      <c r="I3" s="16">
        <v>29</v>
      </c>
      <c r="J3" s="16">
        <v>30</v>
      </c>
      <c r="K3" s="16">
        <v>33</v>
      </c>
      <c r="L3" s="16">
        <v>37</v>
      </c>
      <c r="M3" s="17">
        <v>42</v>
      </c>
      <c r="N3" s="18">
        <f t="shared" ref="N3:N38" si="0">IF(L3=0,"",IFERROR(IF(AND(L3&gt;0,D3&lt;0),"na",IF(AND(L3&lt;0,D3&lt;0),-1,1)*(L3-D3)/D3),""))</f>
        <v>0.32142857142857145</v>
      </c>
      <c r="O3" s="18">
        <f t="shared" ref="O3:O38" si="1">IF(L3=0,"",IFERROR(IF(AND(L3&gt;0,H3&lt;0),"na",IF(AND(L3&lt;0,H3&lt;0),-1,1)*(L3-H3)/H3),""))</f>
        <v>0.15625</v>
      </c>
    </row>
    <row r="4" spans="1:15" s="19" customFormat="1" ht="18" customHeight="1" x14ac:dyDescent="0.2">
      <c r="A4" s="141"/>
      <c r="B4" s="20" t="s">
        <v>20</v>
      </c>
      <c r="C4" s="21"/>
      <c r="D4" s="22">
        <v>8621.400390625</v>
      </c>
      <c r="E4" s="22">
        <v>7840.39990234375</v>
      </c>
      <c r="F4" s="22">
        <v>9994.990234375</v>
      </c>
      <c r="G4" s="22">
        <v>11184.2802734375</v>
      </c>
      <c r="H4" s="22">
        <v>9748.900390625</v>
      </c>
      <c r="I4" s="22">
        <v>8839.900390625</v>
      </c>
      <c r="J4" s="22">
        <v>9041.900390625</v>
      </c>
      <c r="K4" s="22">
        <v>10509.2900390625</v>
      </c>
      <c r="L4" s="22">
        <v>11667.650390625</v>
      </c>
      <c r="M4" s="23">
        <v>13621.150390625</v>
      </c>
      <c r="N4" s="24">
        <f t="shared" si="0"/>
        <v>0.35333586911385345</v>
      </c>
      <c r="O4" s="24">
        <f t="shared" si="1"/>
        <v>0.19681706891221906</v>
      </c>
    </row>
    <row r="5" spans="1:15" s="19" customFormat="1" ht="18" customHeight="1" x14ac:dyDescent="0.2">
      <c r="A5" s="141"/>
      <c r="B5" s="20" t="s">
        <v>21</v>
      </c>
      <c r="C5" s="21"/>
      <c r="D5" s="22">
        <v>2420.97998046875</v>
      </c>
      <c r="E5" s="22">
        <v>2083.22998046875</v>
      </c>
      <c r="F5" s="22">
        <v>2599.22998046875</v>
      </c>
      <c r="G5" s="22">
        <v>2963.81005859375</v>
      </c>
      <c r="H5" s="22">
        <v>2634.81005859375</v>
      </c>
      <c r="I5" s="22">
        <v>2258.22998046875</v>
      </c>
      <c r="J5" s="22">
        <v>2498.169921875</v>
      </c>
      <c r="K5" s="22">
        <v>3031.590087890625</v>
      </c>
      <c r="L5" s="22">
        <v>3638.4599609375</v>
      </c>
      <c r="M5" s="23">
        <v>4255.10009765625</v>
      </c>
      <c r="N5" s="24">
        <f t="shared" si="0"/>
        <v>0.50288725652040356</v>
      </c>
      <c r="O5" s="24">
        <f t="shared" si="1"/>
        <v>0.38091926173965562</v>
      </c>
    </row>
    <row r="6" spans="1:15" s="19" customFormat="1" ht="18" customHeight="1" x14ac:dyDescent="0.2">
      <c r="A6" s="141"/>
      <c r="B6" s="20" t="s">
        <v>22</v>
      </c>
      <c r="C6" s="21"/>
      <c r="D6" s="22">
        <v>6295.52978515625</v>
      </c>
      <c r="E6" s="22">
        <v>6339.943359375</v>
      </c>
      <c r="F6" s="22">
        <v>7338.93994140625</v>
      </c>
      <c r="G6" s="22">
        <v>8982.1376953125</v>
      </c>
      <c r="H6" s="22">
        <v>7816.86181640625</v>
      </c>
      <c r="I6" s="22">
        <v>6973.10546875</v>
      </c>
      <c r="J6" s="22">
        <v>7253.9736328125</v>
      </c>
      <c r="K6" s="22">
        <v>8402.912109375</v>
      </c>
      <c r="L6" s="22">
        <v>9373.1630859375</v>
      </c>
      <c r="M6" s="23">
        <v>10897.4052734375</v>
      </c>
      <c r="N6" s="24">
        <f t="shared" si="0"/>
        <v>0.48886009689570004</v>
      </c>
      <c r="O6" s="24">
        <f t="shared" si="1"/>
        <v>0.19909540504666989</v>
      </c>
    </row>
    <row r="7" spans="1:15" s="19" customFormat="1" ht="18" customHeight="1" x14ac:dyDescent="0.2">
      <c r="A7" s="141"/>
      <c r="B7" s="20" t="s">
        <v>23</v>
      </c>
      <c r="C7" s="21"/>
      <c r="D7" s="22">
        <v>3360.4453125</v>
      </c>
      <c r="E7" s="22">
        <v>3026.03466796875</v>
      </c>
      <c r="F7" s="22">
        <v>4218.01953125</v>
      </c>
      <c r="G7" s="22">
        <v>4171.4970703125</v>
      </c>
      <c r="H7" s="22">
        <v>3802.0751953125</v>
      </c>
      <c r="I7" s="22">
        <v>3626.8623046875</v>
      </c>
      <c r="J7" s="22">
        <v>4209.89208984375</v>
      </c>
      <c r="K7" s="22">
        <v>5705.8876953125</v>
      </c>
      <c r="L7" s="22">
        <v>5613.38037109375</v>
      </c>
      <c r="M7" s="23">
        <v>6615.2763671875</v>
      </c>
      <c r="N7" s="24">
        <f t="shared" si="0"/>
        <v>0.67042753239084296</v>
      </c>
      <c r="O7" s="24">
        <f t="shared" si="1"/>
        <v>0.47639909331997715</v>
      </c>
    </row>
    <row r="8" spans="1:15" s="19" customFormat="1" ht="18" customHeight="1" x14ac:dyDescent="0.2">
      <c r="A8" s="141"/>
      <c r="B8" s="20" t="s">
        <v>24</v>
      </c>
      <c r="C8" s="25"/>
      <c r="D8" s="26">
        <f ca="1">6.874513*OFFSET(D$108,MATCH($M$1,$C$109:$C$110,0),0)</f>
        <v>5.5921412948823823</v>
      </c>
      <c r="E8" s="26">
        <f ca="1">8.532089*OFFSET(E$108,MATCH($M$1,$C$109:$C$110,0),0)</f>
        <v>7.1271093619442354</v>
      </c>
      <c r="F8" s="26">
        <f ca="1">10.615869*OFFSET(F$108,MATCH($M$1,$C$109:$C$110,0),0)</f>
        <v>9.1224283128952433</v>
      </c>
      <c r="G8" s="26">
        <f ca="1">10.382242*OFFSET(G$108,MATCH($M$1,$C$109:$C$110,0),0)</f>
        <v>9.180705255691219</v>
      </c>
      <c r="H8" s="26">
        <f ca="1">7.8395355*OFFSET(H$108,MATCH($M$1,$C$109:$C$110,0),0)</f>
        <v>7.0695364364941904</v>
      </c>
      <c r="I8" s="26">
        <f ca="1">7.3235445*OFFSET(I$108,MATCH($M$1,$C$109:$C$110,0),0)</f>
        <v>6.8137524786200956</v>
      </c>
      <c r="J8" s="26">
        <f ca="1">9.649371*OFFSET(J$108,MATCH($M$1,$C$109:$C$110,0),0)</f>
        <v>9.16844627699491</v>
      </c>
      <c r="K8" s="26">
        <f ca="1">12.150752*OFFSET(K$108,MATCH($M$1,$C$109:$C$110,0),0)</f>
        <v>11.736897272172405</v>
      </c>
      <c r="L8" s="26">
        <f ca="1">12.366063*OFFSET(L$108,MATCH($M$1,$C$109:$C$110,0),0)</f>
        <v>12.158683909619457</v>
      </c>
      <c r="M8" s="27">
        <f ca="1">14.086725*OFFSET(M$108,MATCH($M$1,$C$109:$C$110,0),0)</f>
        <v>14.086724945270914</v>
      </c>
      <c r="N8" s="24">
        <f t="shared" ca="1" si="0"/>
        <v>1.1742447603651236</v>
      </c>
      <c r="O8" s="24">
        <f t="shared" ca="1" si="1"/>
        <v>0.71987003940657157</v>
      </c>
    </row>
    <row r="9" spans="1:15" s="19" customFormat="1" ht="18" customHeight="1" x14ac:dyDescent="0.2">
      <c r="A9" s="141"/>
      <c r="B9" s="20" t="s">
        <v>25</v>
      </c>
      <c r="C9" s="25"/>
      <c r="D9" s="22">
        <v>5048</v>
      </c>
      <c r="E9" s="22">
        <v>4753</v>
      </c>
      <c r="F9" s="22">
        <v>5975</v>
      </c>
      <c r="G9" s="22">
        <v>6600</v>
      </c>
      <c r="H9" s="22">
        <v>5994</v>
      </c>
      <c r="I9" s="22">
        <v>5439</v>
      </c>
      <c r="J9" s="22">
        <v>5373</v>
      </c>
      <c r="K9" s="22">
        <v>6059</v>
      </c>
      <c r="L9" s="22">
        <v>6964</v>
      </c>
      <c r="M9" s="23">
        <v>7652</v>
      </c>
      <c r="N9" s="24">
        <f t="shared" si="0"/>
        <v>0.37955625990491282</v>
      </c>
      <c r="O9" s="24">
        <f t="shared" si="1"/>
        <v>0.16182849516182848</v>
      </c>
    </row>
    <row r="10" spans="1:15" s="19" customFormat="1" ht="18" customHeight="1" x14ac:dyDescent="0.2">
      <c r="A10" s="142" t="s">
        <v>7</v>
      </c>
      <c r="B10" s="28" t="s">
        <v>26</v>
      </c>
      <c r="C10" s="29"/>
      <c r="D10" s="30">
        <v>18.193571090698242</v>
      </c>
      <c r="E10" s="30">
        <v>17.624074935913086</v>
      </c>
      <c r="F10" s="30">
        <v>17.763635635375977</v>
      </c>
      <c r="G10" s="30">
        <v>18.004594802856445</v>
      </c>
      <c r="H10" s="30">
        <v>17.972812652587891</v>
      </c>
      <c r="I10" s="30">
        <v>17.744827270507813</v>
      </c>
      <c r="J10" s="30">
        <v>17.985000610351563</v>
      </c>
      <c r="K10" s="30">
        <v>18.297574996948242</v>
      </c>
      <c r="L10" s="30">
        <v>18.148918151855469</v>
      </c>
      <c r="M10" s="31">
        <v>18.24571418762207</v>
      </c>
      <c r="N10" s="32">
        <f t="shared" si="0"/>
        <v>-2.4543251360697941E-3</v>
      </c>
      <c r="O10" s="32">
        <f t="shared" si="1"/>
        <v>9.798438489938905E-3</v>
      </c>
    </row>
    <row r="11" spans="1:15" s="19" customFormat="1" ht="18" customHeight="1" x14ac:dyDescent="0.2">
      <c r="A11" s="143"/>
      <c r="B11" s="33" t="s">
        <v>20</v>
      </c>
      <c r="C11" s="21"/>
      <c r="D11" s="22">
        <v>307.90713500976562</v>
      </c>
      <c r="E11" s="22">
        <v>290.38519287109375</v>
      </c>
      <c r="F11" s="22">
        <v>302.87847900390625</v>
      </c>
      <c r="G11" s="22">
        <v>302.27783203125</v>
      </c>
      <c r="H11" s="22">
        <v>304.65313720703125</v>
      </c>
      <c r="I11" s="22">
        <v>304.82412719726562</v>
      </c>
      <c r="J11" s="22">
        <v>301.39666748046875</v>
      </c>
      <c r="K11" s="22">
        <v>318.46334838867187</v>
      </c>
      <c r="L11" s="22">
        <v>315.34188842773437</v>
      </c>
      <c r="M11" s="23">
        <v>324.3131103515625</v>
      </c>
      <c r="N11" s="24">
        <f t="shared" si="0"/>
        <v>2.4146090079182312E-2</v>
      </c>
      <c r="O11" s="24">
        <f t="shared" si="1"/>
        <v>3.5084986547962042E-2</v>
      </c>
    </row>
    <row r="12" spans="1:15" s="19" customFormat="1" ht="18" customHeight="1" x14ac:dyDescent="0.2">
      <c r="A12" s="143"/>
      <c r="B12" s="33" t="s">
        <v>21</v>
      </c>
      <c r="C12" s="21"/>
      <c r="D12" s="22">
        <v>86.463569641113281</v>
      </c>
      <c r="E12" s="22">
        <v>77.156669616699219</v>
      </c>
      <c r="F12" s="22">
        <v>78.764549255371094</v>
      </c>
      <c r="G12" s="22">
        <v>80.102973937988281</v>
      </c>
      <c r="H12" s="22">
        <v>82.337814331054688</v>
      </c>
      <c r="I12" s="22">
        <v>77.870002746582031</v>
      </c>
      <c r="J12" s="22">
        <v>83.272331237792969</v>
      </c>
      <c r="K12" s="22">
        <v>91.866363525390625</v>
      </c>
      <c r="L12" s="22">
        <v>98.336753845214844</v>
      </c>
      <c r="M12" s="23">
        <v>101.31190490722656</v>
      </c>
      <c r="N12" s="24">
        <f t="shared" si="0"/>
        <v>0.13732007888852976</v>
      </c>
      <c r="O12" s="24">
        <f t="shared" si="1"/>
        <v>0.19430852815491806</v>
      </c>
    </row>
    <row r="13" spans="1:15" s="19" customFormat="1" ht="18" customHeight="1" x14ac:dyDescent="0.2">
      <c r="A13" s="143"/>
      <c r="B13" s="33" t="s">
        <v>22</v>
      </c>
      <c r="C13" s="21"/>
      <c r="D13" s="22">
        <v>224.84034729003906</v>
      </c>
      <c r="E13" s="22">
        <v>234.81272888183594</v>
      </c>
      <c r="F13" s="22">
        <v>222.39212036132812</v>
      </c>
      <c r="G13" s="22">
        <v>242.76048278808594</v>
      </c>
      <c r="H13" s="22">
        <v>244.27693176269531</v>
      </c>
      <c r="I13" s="22">
        <v>240.45191955566406</v>
      </c>
      <c r="J13" s="22">
        <v>241.79911804199219</v>
      </c>
      <c r="K13" s="22">
        <v>254.63369750976562</v>
      </c>
      <c r="L13" s="22">
        <v>253.32872009277344</v>
      </c>
      <c r="M13" s="23">
        <v>259.4620361328125</v>
      </c>
      <c r="N13" s="24">
        <f t="shared" si="0"/>
        <v>0.12670489592326153</v>
      </c>
      <c r="O13" s="24">
        <f t="shared" si="1"/>
        <v>3.7055436486616564E-2</v>
      </c>
    </row>
    <row r="14" spans="1:15" s="19" customFormat="1" ht="18" customHeight="1" x14ac:dyDescent="0.2">
      <c r="A14" s="143"/>
      <c r="B14" s="33" t="s">
        <v>23</v>
      </c>
      <c r="C14" s="25"/>
      <c r="D14" s="26">
        <v>120.01590728759766</v>
      </c>
      <c r="E14" s="26">
        <v>112.07535552978516</v>
      </c>
      <c r="F14" s="26">
        <v>127.81876373291016</v>
      </c>
      <c r="G14" s="26">
        <v>112.74317169189453</v>
      </c>
      <c r="H14" s="26">
        <v>118.81484985351562</v>
      </c>
      <c r="I14" s="26">
        <v>125.06421661376953</v>
      </c>
      <c r="J14" s="26">
        <v>140.32972717285156</v>
      </c>
      <c r="K14" s="26">
        <v>172.90568542480469</v>
      </c>
      <c r="L14" s="26">
        <v>151.71298217773437</v>
      </c>
      <c r="M14" s="27">
        <v>157.50657653808594</v>
      </c>
      <c r="N14" s="24">
        <f t="shared" si="0"/>
        <v>0.26410728049724347</v>
      </c>
      <c r="O14" s="24">
        <f t="shared" si="1"/>
        <v>0.27688569538890279</v>
      </c>
    </row>
    <row r="15" spans="1:15" s="19" customFormat="1" ht="18" customHeight="1" x14ac:dyDescent="0.2">
      <c r="A15" s="143"/>
      <c r="B15" s="33" t="s">
        <v>27</v>
      </c>
      <c r="C15" s="25"/>
      <c r="D15" s="26">
        <f ca="1">245.518328125*OFFSET(D$108,MATCH($M$1,$C$109:$C$110,0),0)</f>
        <v>199.71933740736182</v>
      </c>
      <c r="E15" s="26">
        <f ca="1">316.0033125*OFFSET(E$108,MATCH($M$1,$C$109:$C$110,0),0)</f>
        <v>263.96702694078084</v>
      </c>
      <c r="F15" s="26">
        <f ca="1">321.693*OFFSET(F$108,MATCH($M$1,$C$109:$C$110,0),0)</f>
        <v>276.43722160288615</v>
      </c>
      <c r="G15" s="26">
        <f ca="1">280.601125*OFFSET(G$108,MATCH($M$1,$C$109:$C$110,0),0)</f>
        <v>248.12716011053959</v>
      </c>
      <c r="H15" s="26">
        <f ca="1">244.985484375*OFFSET(H$108,MATCH($M$1,$C$109:$C$110,0),0)</f>
        <v>220.92301364044343</v>
      </c>
      <c r="I15" s="26">
        <f ca="1">252.536015625*OFFSET(I$108,MATCH($M$1,$C$109:$C$110,0),0)</f>
        <v>234.9569805175195</v>
      </c>
      <c r="J15" s="26">
        <f ca="1">321.64571875*OFFSET(J$108,MATCH($M$1,$C$109:$C$110,0),0)</f>
        <v>305.6148937153302</v>
      </c>
      <c r="K15" s="26">
        <f ca="1">368.20459375*OFFSET(K$108,MATCH($M$1,$C$109:$C$110,0),0)</f>
        <v>355.66354181088735</v>
      </c>
      <c r="L15" s="26">
        <f ca="1">334.21790625*OFFSET(L$108,MATCH($M$1,$C$109:$C$110,0),0)</f>
        <v>328.61306618190281</v>
      </c>
      <c r="M15" s="27">
        <f ca="1">335.39821875*OFFSET(M$108,MATCH($M$1,$C$109:$C$110,0),0)</f>
        <v>335.39821744692654</v>
      </c>
      <c r="N15" s="24">
        <f t="shared" ca="1" si="0"/>
        <v>0.64537430600242851</v>
      </c>
      <c r="O15" s="24">
        <f t="shared" ca="1" si="1"/>
        <v>0.48745511283277654</v>
      </c>
    </row>
    <row r="16" spans="1:15" s="19" customFormat="1" ht="18" customHeight="1" x14ac:dyDescent="0.2">
      <c r="A16" s="143"/>
      <c r="B16" s="33" t="s">
        <v>25</v>
      </c>
      <c r="C16" s="21"/>
      <c r="D16" s="22">
        <v>180.28572082519531</v>
      </c>
      <c r="E16" s="22">
        <v>176.03703308105469</v>
      </c>
      <c r="F16" s="22">
        <v>181.06060791015625</v>
      </c>
      <c r="G16" s="22">
        <v>178.37837219238281</v>
      </c>
      <c r="H16" s="22">
        <v>187.3125</v>
      </c>
      <c r="I16" s="22">
        <v>187.55172729492188</v>
      </c>
      <c r="J16" s="22">
        <v>179.10000610351562</v>
      </c>
      <c r="K16" s="22">
        <v>183.60606384277344</v>
      </c>
      <c r="L16" s="22">
        <v>188.21621704101562</v>
      </c>
      <c r="M16" s="23">
        <v>182.19047546386719</v>
      </c>
      <c r="N16" s="24">
        <f t="shared" si="0"/>
        <v>4.3988487715617294E-2</v>
      </c>
      <c r="O16" s="24">
        <f t="shared" si="1"/>
        <v>4.8246488676176175E-3</v>
      </c>
    </row>
    <row r="17" spans="1:15" s="19" customFormat="1" ht="18" customHeight="1" x14ac:dyDescent="0.2">
      <c r="A17" s="143"/>
      <c r="B17" s="33" t="s">
        <v>28</v>
      </c>
      <c r="C17" s="21"/>
      <c r="D17" s="22">
        <v>27.25</v>
      </c>
      <c r="E17" s="22">
        <v>28.222221374511719</v>
      </c>
      <c r="F17" s="22">
        <v>29</v>
      </c>
      <c r="G17" s="22">
        <v>30.216217041015625</v>
      </c>
      <c r="H17" s="22">
        <v>30.65625</v>
      </c>
      <c r="I17" s="22">
        <v>31.379310607910156</v>
      </c>
      <c r="J17" s="22">
        <v>32</v>
      </c>
      <c r="K17" s="22">
        <v>32.333332061767578</v>
      </c>
      <c r="L17" s="22">
        <v>31.135135650634766</v>
      </c>
      <c r="M17" s="23">
        <v>30.785715103149414</v>
      </c>
      <c r="N17" s="24">
        <f t="shared" si="0"/>
        <v>0.14257378534439508</v>
      </c>
      <c r="O17" s="24">
        <f t="shared" si="1"/>
        <v>1.5621142528351173E-2</v>
      </c>
    </row>
    <row r="18" spans="1:15" s="19" customFormat="1" ht="18" customHeight="1" x14ac:dyDescent="0.2">
      <c r="A18" s="143"/>
      <c r="B18" s="33" t="s">
        <v>29</v>
      </c>
      <c r="C18" s="21"/>
      <c r="D18" s="34">
        <v>0.6656983494758606</v>
      </c>
      <c r="E18" s="34">
        <v>0.63665783405303955</v>
      </c>
      <c r="F18" s="34">
        <v>0.70594465732574463</v>
      </c>
      <c r="G18" s="34">
        <v>0.63204509019851685</v>
      </c>
      <c r="H18" s="34">
        <v>0.63431352376937866</v>
      </c>
      <c r="I18" s="34">
        <v>0.66682517528533936</v>
      </c>
      <c r="J18" s="34">
        <v>0.7835271954536438</v>
      </c>
      <c r="K18" s="34">
        <v>0.94172102212905884</v>
      </c>
      <c r="L18" s="34">
        <v>0.8060569167137146</v>
      </c>
      <c r="M18" s="35">
        <v>0.86451596021652222</v>
      </c>
      <c r="N18" s="24">
        <f t="shared" si="0"/>
        <v>0.2108440968020511</v>
      </c>
      <c r="O18" s="24">
        <f t="shared" si="1"/>
        <v>0.27075473958644108</v>
      </c>
    </row>
    <row r="19" spans="1:15" s="19" customFormat="1" ht="18" customHeight="1" x14ac:dyDescent="0.2">
      <c r="A19" s="144"/>
      <c r="B19" s="36" t="s">
        <v>8</v>
      </c>
      <c r="C19" s="37"/>
      <c r="D19" s="38">
        <f ca="1">2045.71488618742*OFFSET(D$108,MATCH($M$1,$C$109:$C$110,0),0)</f>
        <v>1664.1072164099892</v>
      </c>
      <c r="E19" s="38">
        <f ca="1">2819.56088947495*OFFSET(E$108,MATCH($M$1,$C$109:$C$110,0),0)</f>
        <v>2355.2636185521192</v>
      </c>
      <c r="F19" s="38">
        <f ca="1">2516.78991084567*OFFSET(F$108,MATCH($M$1,$C$109:$C$110,0),0)</f>
        <v>2162.7278501936707</v>
      </c>
      <c r="G19" s="38">
        <f ca="1">2488.8527607721*OFFSET(G$108,MATCH($M$1,$C$109:$C$110,0),0)</f>
        <v>2200.8178600982346</v>
      </c>
      <c r="H19" s="38">
        <f ca="1">2061.90964073125*OFFSET(H$108,MATCH($M$1,$C$109:$C$110,0),0)</f>
        <v>1859.3889056192445</v>
      </c>
      <c r="I19" s="38">
        <f ca="1">2019.25076960732*OFFSET(I$108,MATCH($M$1,$C$109:$C$110,0),0)</f>
        <v>1878.6906990689295</v>
      </c>
      <c r="J19" s="38">
        <f ca="1">2292.07086406771*OFFSET(J$108,MATCH($M$1,$C$109:$C$110,0),0)</f>
        <v>2177.8340350132771</v>
      </c>
      <c r="K19" s="38">
        <f ca="1">2129.51124326931*OFFSET(K$108,MATCH($M$1,$C$109:$C$110,0),0)</f>
        <v>2056.9800702201828</v>
      </c>
      <c r="L19" s="38">
        <f ca="1">2202.96188437174*OFFSET(L$108,MATCH($M$1,$C$109:$C$110,0),0)</f>
        <v>2166.0181754706923</v>
      </c>
      <c r="M19" s="39">
        <f ca="1">2129.42350675955*OFFSET(M$108,MATCH($M$1,$C$109:$C$110,0),0)</f>
        <v>2129.4234984864133</v>
      </c>
      <c r="N19" s="40">
        <f ca="1">IF(L19=0,"",IFERROR(IF(AND(L19&gt;0,D19&lt;0),"na",IF(AND(L19&lt;0,D19&lt;0),-1,1)*(L19-D19)/D19),""))</f>
        <v>0.30160974852538974</v>
      </c>
      <c r="O19" s="40">
        <f ca="1">IF(L19=0,"",IFERROR(IF(AND(L19&gt;0,H19&lt;0),"na",IF(AND(L19&lt;0,H19&lt;0),-1,1)*(L19-H19)/H19),""))</f>
        <v>0.16490862612161766</v>
      </c>
    </row>
    <row r="20" spans="1:15" s="19" customFormat="1" ht="18" customHeight="1" x14ac:dyDescent="0.2">
      <c r="A20" s="145" t="s">
        <v>9</v>
      </c>
      <c r="B20" s="28" t="s">
        <v>30</v>
      </c>
      <c r="C20" s="41"/>
      <c r="D20" s="42">
        <v>2.0843506209262772</v>
      </c>
      <c r="E20" s="42">
        <v>2.1939254944330404</v>
      </c>
      <c r="F20" s="42">
        <v>2.3233717626338333</v>
      </c>
      <c r="G20" s="42">
        <v>2.0940398635428825</v>
      </c>
      <c r="H20" s="42">
        <v>2.07575563609808</v>
      </c>
      <c r="I20" s="42">
        <v>2.1820604767265754</v>
      </c>
      <c r="J20" s="42">
        <v>2.6079526952989367</v>
      </c>
      <c r="K20" s="42">
        <v>2.9126802068013644</v>
      </c>
      <c r="L20" s="42">
        <v>2.5300580194520914</v>
      </c>
      <c r="M20" s="43">
        <v>2.6357776444237331</v>
      </c>
      <c r="N20" s="32">
        <f t="shared" si="0"/>
        <v>0.21383513601360579</v>
      </c>
      <c r="O20" s="32">
        <f t="shared" si="1"/>
        <v>0.21886120671120535</v>
      </c>
    </row>
    <row r="21" spans="1:15" s="19" customFormat="1" ht="18" customHeight="1" x14ac:dyDescent="0.2">
      <c r="A21" s="145"/>
      <c r="B21" s="33" t="s">
        <v>31</v>
      </c>
      <c r="C21" s="21"/>
      <c r="D21" s="34">
        <f ca="1">4.26398709339265*OFFSET(D$108,MATCH($M$1,$C$109:$C$110,0),0)</f>
        <v>3.4685829099176249</v>
      </c>
      <c r="E21" s="34">
        <f ca="1">6.18590697608622*OFFSET(E$108,MATCH($M$1,$C$109:$C$110,0),0)</f>
        <v>5.1672732810663664</v>
      </c>
      <c r="F21" s="34">
        <f ca="1">5.84743906613553*OFFSET(F$108,MATCH($M$1,$C$109:$C$110,0),0)</f>
        <v>5.024821208216161</v>
      </c>
      <c r="G21" s="34">
        <f ca="1">5.21175635461764*OFFSET(G$108,MATCH($M$1,$C$109:$C$110,0),0)</f>
        <v>4.6085998531165311</v>
      </c>
      <c r="H21" s="34">
        <f ca="1">4.28002055787286*OFFSET(H$108,MATCH($M$1,$C$109:$C$110,0),0)</f>
        <v>3.8596370005373886</v>
      </c>
      <c r="I21" s="34">
        <f ca="1">4.40612729656396*OFFSET(I$108,MATCH($M$1,$C$109:$C$110,0),0)</f>
        <v>4.099416722063796</v>
      </c>
      <c r="J21" s="34">
        <f ca="1">5.97761312620658*OFFSET(J$108,MATCH($M$1,$C$109:$C$110,0),0)</f>
        <v>5.6796888431675621</v>
      </c>
      <c r="K21" s="34">
        <f ca="1">6.20258512398869*OFFSET(K$108,MATCH($M$1,$C$109:$C$110,0),0)</f>
        <v>5.9913250161109364</v>
      </c>
      <c r="L21" s="34">
        <f ca="1">5.57362120112882*OFFSET(L$108,MATCH($M$1,$C$109:$C$110,0),0)</f>
        <v>5.4801514771903443</v>
      </c>
      <c r="M21" s="35">
        <f ca="1">5.61268707879653*OFFSET(M$108,MATCH($M$1,$C$109:$C$110,0),0)</f>
        <v>5.6126870569903815</v>
      </c>
      <c r="N21" s="24">
        <f t="shared" ca="1" si="0"/>
        <v>0.57993959478987689</v>
      </c>
      <c r="O21" s="24">
        <f t="shared" ca="1" si="1"/>
        <v>0.41986188764055449</v>
      </c>
    </row>
    <row r="22" spans="1:15" s="19" customFormat="1" ht="18" customHeight="1" x14ac:dyDescent="0.2">
      <c r="A22" s="145"/>
      <c r="B22" s="33" t="s">
        <v>10</v>
      </c>
      <c r="C22" s="21"/>
      <c r="D22" s="34">
        <f ca="1">3.26611906346637*OFFSET(D$108,MATCH($M$1,$C$109:$C$110,0),0)</f>
        <v>2.6568571895656987</v>
      </c>
      <c r="E22" s="34">
        <f ca="1">5.00282849956089*OFFSET(E$108,MATCH($M$1,$C$109:$C$110,0),0)</f>
        <v>4.1790124124844281</v>
      </c>
      <c r="F22" s="34">
        <f ca="1">4.96267017313881*OFFSET(F$108,MATCH($M$1,$C$109:$C$110,0),0)</f>
        <v>4.2645216227707987</v>
      </c>
      <c r="G22" s="34">
        <f ca="1">4.74906131067671*OFFSET(G$108,MATCH($M$1,$C$109:$C$110,0),0)</f>
        <v>4.1994525011581798</v>
      </c>
      <c r="H22" s="34">
        <f ca="1">4.38903800428942*OFFSET(H$108,MATCH($M$1,$C$109:$C$110,0),0)</f>
        <v>3.957946754942534</v>
      </c>
      <c r="I22" s="34">
        <f ca="1">3.93970971824163*OFFSET(I$108,MATCH($M$1,$C$109:$C$110,0),0)</f>
        <v>3.66546647701978</v>
      </c>
      <c r="J22" s="34">
        <f ca="1">4.73769329203227*OFFSET(J$108,MATCH($M$1,$C$109:$C$110,0),0)</f>
        <v>4.5015666228272311</v>
      </c>
      <c r="K22" s="34">
        <f ca="1">4.82873155468696*OFFSET(K$108,MATCH($M$1,$C$109:$C$110,0),0)</f>
        <v>4.6642649123493092</v>
      </c>
      <c r="L22" s="34">
        <f ca="1">4.78226303272074*OFFSET(L$108,MATCH($M$1,$C$109:$C$110,0),0)</f>
        <v>4.7020643989529738</v>
      </c>
      <c r="M22" s="35">
        <f ca="1">4.71597145268689*OFFSET(M$108,MATCH($M$1,$C$109:$C$110,0),0)</f>
        <v>4.7159714343646186</v>
      </c>
      <c r="N22" s="24">
        <f t="shared" ca="1" si="0"/>
        <v>0.76978439692559963</v>
      </c>
      <c r="O22" s="24">
        <f t="shared" ca="1" si="1"/>
        <v>0.18800597635155497</v>
      </c>
    </row>
    <row r="23" spans="1:15" s="19" customFormat="1" ht="18" customHeight="1" x14ac:dyDescent="0.2">
      <c r="A23" s="146"/>
      <c r="B23" s="33" t="s">
        <v>32</v>
      </c>
      <c r="C23" s="44"/>
      <c r="D23" s="34">
        <f ca="1">0.997868029926277*OFFSET(D$108,MATCH($M$1,$C$109:$C$110,0),0)</f>
        <v>0.81172572035192347</v>
      </c>
      <c r="E23" s="34">
        <f ca="1">1.18307847652533*OFFSET(E$108,MATCH($M$1,$C$109:$C$110,0),0)</f>
        <v>0.9882608685819384</v>
      </c>
      <c r="F23" s="34">
        <f ca="1">0.884768892996719*OFFSET(F$108,MATCH($M$1,$C$109:$C$110,0),0)</f>
        <v>0.76029958544536025</v>
      </c>
      <c r="G23" s="34">
        <f ca="1">0.462695043940934*OFFSET(G$108,MATCH($M$1,$C$109:$C$110,0),0)</f>
        <v>0.40914735195835472</v>
      </c>
      <c r="H23" s="34">
        <f ca="1">-0.109017446416557*OFFSET(H$108,MATCH($M$1,$C$109:$C$110,0),0)</f>
        <v>-9.8309754405143349E-2</v>
      </c>
      <c r="I23" s="34">
        <f ca="1">0.466417578322328*OFFSET(I$108,MATCH($M$1,$C$109:$C$110,0),0)</f>
        <v>0.43395024504401458</v>
      </c>
      <c r="J23" s="34">
        <f ca="1">1.23991983417432*OFFSET(J$108,MATCH($M$1,$C$109:$C$110,0),0)</f>
        <v>1.1781222203403403</v>
      </c>
      <c r="K23" s="34">
        <f ca="1">1.37385356930173*OFFSET(K$108,MATCH($M$1,$C$109:$C$110,0),0)</f>
        <v>1.3270601037616268</v>
      </c>
      <c r="L23" s="34">
        <f ca="1">0.79135816840808*OFFSET(L$108,MATCH($M$1,$C$109:$C$110,0),0)</f>
        <v>0.77808707823737011</v>
      </c>
      <c r="M23" s="35">
        <f ca="1">0.896715626109634*OFFSET(M$108,MATCH($M$1,$C$109:$C$110,0),0)</f>
        <v>0.89671562262575633</v>
      </c>
      <c r="N23" s="24">
        <f t="shared" ca="1" si="0"/>
        <v>-4.1440897178876307E-2</v>
      </c>
      <c r="O23" s="24" t="str">
        <f t="shared" ca="1" si="1"/>
        <v>na</v>
      </c>
    </row>
    <row r="24" spans="1:15" s="19" customFormat="1" ht="18" customHeight="1" x14ac:dyDescent="0.2">
      <c r="A24" s="147" t="s">
        <v>11</v>
      </c>
      <c r="B24" s="28" t="s">
        <v>27</v>
      </c>
      <c r="C24" s="29"/>
      <c r="D24" s="30">
        <f ca="1">245.5*OFFSET(D$108,MATCH($M$1,$C$109:$C$110,0),0)</f>
        <v>199.70442821093286</v>
      </c>
      <c r="E24" s="30">
        <f ca="1">316*OFFSET(E$108,MATCH($M$1,$C$109:$C$110,0),0)</f>
        <v>263.96425991036642</v>
      </c>
      <c r="F24" s="30">
        <f ca="1">321.7*OFFSET(F$108,MATCH($M$1,$C$109:$C$110,0),0)</f>
        <v>276.44323684273041</v>
      </c>
      <c r="G24" s="30">
        <f ca="1">280.6*OFFSET(G$108,MATCH($M$1,$C$109:$C$110,0),0)</f>
        <v>248.12616530677633</v>
      </c>
      <c r="H24" s="30">
        <f ca="1">245*OFFSET(H$108,MATCH($M$1,$C$109:$C$110,0),0)</f>
        <v>220.93610354096572</v>
      </c>
      <c r="I24" s="30">
        <f ca="1">252.5*OFFSET(I$108,MATCH($M$1,$C$109:$C$110,0),0)</f>
        <v>234.92347194061213</v>
      </c>
      <c r="J24" s="30">
        <f ca="1">321.6*OFFSET(J$108,MATCH($M$1,$C$109:$C$110,0),0)</f>
        <v>305.57145358817309</v>
      </c>
      <c r="K24" s="30">
        <f ca="1">368.2*OFFSET(K$108,MATCH($M$1,$C$109:$C$110,0),0)</f>
        <v>355.65910452405569</v>
      </c>
      <c r="L24" s="30">
        <f ca="1">334.2*OFFSET(L$108,MATCH($M$1,$C$109:$C$110,0),0)</f>
        <v>328.59546022002496</v>
      </c>
      <c r="M24" s="31">
        <f ca="1">335.4*OFFSET(M$108,MATCH($M$1,$C$109:$C$110,0),0)</f>
        <v>335.39999869691957</v>
      </c>
      <c r="N24" s="32">
        <f t="shared" ca="1" si="0"/>
        <v>0.645408983485104</v>
      </c>
      <c r="O24" s="32">
        <f t="shared" ca="1" si="1"/>
        <v>0.48728729688625638</v>
      </c>
    </row>
    <row r="25" spans="1:15" s="19" customFormat="1" ht="18" customHeight="1" x14ac:dyDescent="0.2">
      <c r="A25" s="148"/>
      <c r="B25" s="33" t="s">
        <v>33</v>
      </c>
      <c r="C25" s="25"/>
      <c r="D25" s="26">
        <f ca="1">12.7*OFFSET(D$108,MATCH($M$1,$C$109:$C$110,0),0)</f>
        <v>10.33094190744948</v>
      </c>
      <c r="E25" s="26">
        <f ca="1">4.3*OFFSET(E$108,MATCH($M$1,$C$109:$C$110,0),0)</f>
        <v>3.5919187266284038</v>
      </c>
      <c r="F25" s="26">
        <f ca="1">4*OFFSET(F$108,MATCH($M$1,$C$109:$C$110,0),0)</f>
        <v>3.4372799110069061</v>
      </c>
      <c r="G25" s="26">
        <f ca="1">5.3*OFFSET(G$108,MATCH($M$1,$C$109:$C$110,0),0)</f>
        <v>4.6866310624587113</v>
      </c>
      <c r="H25" s="26">
        <f ca="1">1.1*OFFSET(H$108,MATCH($M$1,$C$109:$C$110,0),0)</f>
        <v>0.99195801589821353</v>
      </c>
      <c r="I25" s="26">
        <f ca="1">6.1*OFFSET(I$108,MATCH($M$1,$C$109:$C$110,0),0)</f>
        <v>5.6753789260900351</v>
      </c>
      <c r="J25" s="26">
        <f ca="1">3.8*OFFSET(J$108,MATCH($M$1,$C$109:$C$110,0),0)</f>
        <v>3.6106079715020445</v>
      </c>
      <c r="K25" s="26">
        <f ca="1">18.4*OFFSET(K$108,MATCH($M$1,$C$109:$C$110,0),0)</f>
        <v>17.77329582629719</v>
      </c>
      <c r="L25" s="26">
        <f ca="1">5.9*OFFSET(L$108,MATCH($M$1,$C$109:$C$110,0),0)</f>
        <v>5.8010568979597474</v>
      </c>
      <c r="M25" s="27">
        <f ca="1">5.9*OFFSET(M$108,MATCH($M$1,$C$109:$C$110,0),0)</f>
        <v>5.8999999770775968</v>
      </c>
      <c r="N25" s="24">
        <f t="shared" ca="1" si="0"/>
        <v>-0.43847744475489731</v>
      </c>
      <c r="O25" s="24">
        <f t="shared" ca="1" si="1"/>
        <v>4.8480871216176586</v>
      </c>
    </row>
    <row r="26" spans="1:15" s="19" customFormat="1" ht="18" customHeight="1" x14ac:dyDescent="0.2">
      <c r="A26" s="148"/>
      <c r="B26" s="45" t="s">
        <v>34</v>
      </c>
      <c r="C26" s="46"/>
      <c r="D26" s="47">
        <f ca="1">258.2*OFFSET(D$108,MATCH($M$1,$C$109:$C$110,0),0)</f>
        <v>210.03537011838233</v>
      </c>
      <c r="E26" s="47">
        <f ca="1">320.3*OFFSET(E$108,MATCH($M$1,$C$109:$C$110,0),0)</f>
        <v>267.55617863699484</v>
      </c>
      <c r="F26" s="47">
        <f ca="1">325.7*OFFSET(F$108,MATCH($M$1,$C$109:$C$110,0),0)</f>
        <v>279.88051675373731</v>
      </c>
      <c r="G26" s="47">
        <f ca="1">285.9*OFFSET(G$108,MATCH($M$1,$C$109:$C$110,0),0)</f>
        <v>252.812796369235</v>
      </c>
      <c r="H26" s="47">
        <f ca="1">246.1*OFFSET(H$108,MATCH($M$1,$C$109:$C$110,0),0)</f>
        <v>221.92806155686392</v>
      </c>
      <c r="I26" s="47">
        <f ca="1">258.7*OFFSET(I$108,MATCH($M$1,$C$109:$C$110,0),0)</f>
        <v>240.69188986549051</v>
      </c>
      <c r="J26" s="47">
        <f ca="1">325.4*OFFSET(J$108,MATCH($M$1,$C$109:$C$110,0),0)</f>
        <v>309.18206155967505</v>
      </c>
      <c r="K26" s="47">
        <f ca="1">386.6*OFFSET(K$108,MATCH($M$1,$C$109:$C$110,0),0)</f>
        <v>373.43240035035291</v>
      </c>
      <c r="L26" s="47">
        <f ca="1">340.1*OFFSET(L$108,MATCH($M$1,$C$109:$C$110,0),0)</f>
        <v>334.39651711798473</v>
      </c>
      <c r="M26" s="48">
        <f ca="1">341.3*OFFSET(M$108,MATCH($M$1,$C$109:$C$110,0),0)</f>
        <v>341.29999867399721</v>
      </c>
      <c r="N26" s="49">
        <f t="shared" ca="1" si="0"/>
        <v>0.59209621184045658</v>
      </c>
      <c r="O26" s="49">
        <f t="shared" ca="1" si="1"/>
        <v>0.50677888488790035</v>
      </c>
    </row>
    <row r="27" spans="1:15" s="19" customFormat="1" ht="18" customHeight="1" x14ac:dyDescent="0.2">
      <c r="A27" s="148"/>
      <c r="B27" s="33" t="s">
        <v>35</v>
      </c>
      <c r="C27" s="25"/>
      <c r="D27" s="26">
        <f ca="1">42.3*OFFSET(D$108,MATCH($M$1,$C$109:$C$110,0),0)</f>
        <v>34.409357691741178</v>
      </c>
      <c r="E27" s="26">
        <f ca="1">47.9*OFFSET(E$108,MATCH($M$1,$C$109:$C$110,0),0)</f>
        <v>40.012303954767567</v>
      </c>
      <c r="F27" s="26">
        <f ca="1">56.7*OFFSET(F$108,MATCH($M$1,$C$109:$C$110,0),0)</f>
        <v>48.723442738522898</v>
      </c>
      <c r="G27" s="26">
        <f ca="1">69.4*OFFSET(G$108,MATCH($M$1,$C$109:$C$110,0),0)</f>
        <v>61.368338817855587</v>
      </c>
      <c r="H27" s="26">
        <f ca="1">55.8*OFFSET(H$108,MATCH($M$1,$C$109:$C$110,0),0)</f>
        <v>50.319324806473006</v>
      </c>
      <c r="I27" s="26">
        <f ca="1">61.3*OFFSET(I$108,MATCH($M$1,$C$109:$C$110,0),0)</f>
        <v>57.032906257265438</v>
      </c>
      <c r="J27" s="26">
        <f ca="1">77.5*OFFSET(J$108,MATCH($M$1,$C$109:$C$110,0),0)</f>
        <v>73.637399418791702</v>
      </c>
      <c r="K27" s="26">
        <f ca="1">82.3*OFFSET(K$108,MATCH($M$1,$C$109:$C$110,0),0)</f>
        <v>79.496861223057536</v>
      </c>
      <c r="L27" s="26">
        <f ca="1">81.4*OFFSET(L$108,MATCH($M$1,$C$109:$C$110,0),0)</f>
        <v>80.034920592190403</v>
      </c>
      <c r="M27" s="27">
        <f ca="1">71.8*OFFSET(M$108,MATCH($M$1,$C$109:$C$110,0),0)</f>
        <v>71.799999721045992</v>
      </c>
      <c r="N27" s="24">
        <f t="shared" ca="1" si="0"/>
        <v>1.3259638063921235</v>
      </c>
      <c r="O27" s="24">
        <f t="shared" ca="1" si="1"/>
        <v>0.59054043153406588</v>
      </c>
    </row>
    <row r="28" spans="1:15" s="19" customFormat="1" ht="18" customHeight="1" x14ac:dyDescent="0.2">
      <c r="A28" s="148"/>
      <c r="B28" s="33" t="s">
        <v>36</v>
      </c>
      <c r="C28" s="25"/>
      <c r="D28" s="26">
        <f ca="1">65.1*OFFSET(D$108,MATCH($M$1,$C$109:$C$110,0),0)</f>
        <v>52.956245525587491</v>
      </c>
      <c r="E28" s="26">
        <f ca="1">78.5*OFFSET(E$108,MATCH($M$1,$C$109:$C$110,0),0)</f>
        <v>65.573400009379</v>
      </c>
      <c r="F28" s="26">
        <f ca="1">99.8*OFFSET(F$108,MATCH($M$1,$C$109:$C$110,0),0)</f>
        <v>85.760133779622308</v>
      </c>
      <c r="G28" s="26">
        <f ca="1">76.1*OFFSET(G$108,MATCH($M$1,$C$109:$C$110,0),0)</f>
        <v>67.292947896812819</v>
      </c>
      <c r="H28" s="26">
        <f ca="1">68*OFFSET(H$108,MATCH($M$1,$C$109:$C$110,0),0)</f>
        <v>61.32104098279865</v>
      </c>
      <c r="I28" s="26">
        <f ca="1">53.2*OFFSET(I$108,MATCH($M$1,$C$109:$C$110,0),0)</f>
        <v>49.496747355408182</v>
      </c>
      <c r="J28" s="26">
        <f ca="1">61.7*OFFSET(J$108,MATCH($M$1,$C$109:$C$110,0),0)</f>
        <v>58.624871537283198</v>
      </c>
      <c r="K28" s="26">
        <f ca="1">86.4*OFFSET(K$108,MATCH($M$1,$C$109:$C$110,0),0)</f>
        <v>83.457215184352023</v>
      </c>
      <c r="L28" s="26">
        <f ca="1">78*OFFSET(L$108,MATCH($M$1,$C$109:$C$110,0),0)</f>
        <v>76.691938650993265</v>
      </c>
      <c r="M28" s="27">
        <f ca="1">82.1*OFFSET(M$108,MATCH($M$1,$C$109:$C$110,0),0)</f>
        <v>82.099999681028919</v>
      </c>
      <c r="N28" s="24">
        <f t="shared" ca="1" si="0"/>
        <v>0.44821329174359842</v>
      </c>
      <c r="O28" s="24">
        <f t="shared" ca="1" si="1"/>
        <v>0.25066269948852227</v>
      </c>
    </row>
    <row r="29" spans="1:15" s="19" customFormat="1" ht="18" customHeight="1" x14ac:dyDescent="0.2">
      <c r="A29" s="148"/>
      <c r="B29" s="33" t="s">
        <v>37</v>
      </c>
      <c r="C29" s="25"/>
      <c r="D29" s="26">
        <f ca="1">40.4*OFFSET(D$108,MATCH($M$1,$C$109:$C$110,0),0)</f>
        <v>32.863783705587323</v>
      </c>
      <c r="E29" s="26">
        <f ca="1">58*OFFSET(E$108,MATCH($M$1,$C$109:$C$110,0),0)</f>
        <v>48.449136312662198</v>
      </c>
      <c r="F29" s="26">
        <f ca="1">48.7*OFFSET(F$108,MATCH($M$1,$C$109:$C$110,0),0)</f>
        <v>41.848882916509083</v>
      </c>
      <c r="G29" s="26">
        <f ca="1">44.5*OFFSET(G$108,MATCH($M$1,$C$109:$C$110,0),0)</f>
        <v>39.350015524417486</v>
      </c>
      <c r="H29" s="26">
        <f ca="1">35.4*OFFSET(H$108,MATCH($M$1,$C$109:$C$110,0),0)</f>
        <v>31.923012511633413</v>
      </c>
      <c r="I29" s="26">
        <f ca="1">39*OFFSET(I$108,MATCH($M$1,$C$109:$C$110,0),0)</f>
        <v>36.285209527460886</v>
      </c>
      <c r="J29" s="26">
        <f ca="1">44.6*OFFSET(J$108,MATCH($M$1,$C$109:$C$110,0),0)</f>
        <v>42.377135665524001</v>
      </c>
      <c r="K29" s="26">
        <f ca="1">52.3*OFFSET(K$108,MATCH($M$1,$C$109:$C$110,0),0)</f>
        <v>50.518661506268643</v>
      </c>
      <c r="L29" s="26">
        <f ca="1">54.7*OFFSET(L$108,MATCH($M$1,$C$109:$C$110,0),0)</f>
        <v>53.782680053965791</v>
      </c>
      <c r="M29" s="27">
        <f ca="1">54.9*OFFSET(M$108,MATCH($M$1,$C$109:$C$110,0),0)</f>
        <v>54.899999786705088</v>
      </c>
      <c r="N29" s="24">
        <f t="shared" ca="1" si="0"/>
        <v>0.63653341124022644</v>
      </c>
      <c r="O29" s="24">
        <f t="shared" ca="1" si="1"/>
        <v>0.68476205165055326</v>
      </c>
    </row>
    <row r="30" spans="1:15" s="19" customFormat="1" ht="18" customHeight="1" x14ac:dyDescent="0.2">
      <c r="A30" s="148"/>
      <c r="B30" s="33" t="s">
        <v>38</v>
      </c>
      <c r="C30" s="25"/>
      <c r="D30" s="26">
        <f ca="1">147.8*OFFSET(D$108,MATCH($M$1,$C$109:$C$110,0),0)</f>
        <v>120.22938692291601</v>
      </c>
      <c r="E30" s="26">
        <f ca="1">184.4*OFFSET(E$108,MATCH($M$1,$C$109:$C$110,0),0)</f>
        <v>154.03484027680878</v>
      </c>
      <c r="F30" s="26">
        <f ca="1">205.3*OFFSET(F$108,MATCH($M$1,$C$109:$C$110,0),0)</f>
        <v>176.41839143242947</v>
      </c>
      <c r="G30" s="26">
        <f ca="1">190*OFFSET(G$108,MATCH($M$1,$C$109:$C$110,0),0)</f>
        <v>168.01130223908589</v>
      </c>
      <c r="H30" s="26">
        <f ca="1">159.2*OFFSET(H$108,MATCH($M$1,$C$109:$C$110,0),0)</f>
        <v>143.56337830090507</v>
      </c>
      <c r="I30" s="26">
        <f ca="1">153.5*OFFSET(I$108,MATCH($M$1,$C$109:$C$110,0),0)</f>
        <v>142.81486314013449</v>
      </c>
      <c r="J30" s="26">
        <f ca="1">183.8*OFFSET(J$108,MATCH($M$1,$C$109:$C$110,0),0)</f>
        <v>174.63940662159891</v>
      </c>
      <c r="K30" s="26">
        <f ca="1">221*OFFSET(K$108,MATCH($M$1,$C$109:$C$110,0),0)</f>
        <v>213.4727379136782</v>
      </c>
      <c r="L30" s="26">
        <f ca="1">214.1*OFFSET(L$108,MATCH($M$1,$C$109:$C$110,0),0)</f>
        <v>210.50953929714944</v>
      </c>
      <c r="M30" s="27">
        <f ca="1">208.9*OFFSET(M$108,MATCH($M$1,$C$109:$C$110,0),0)</f>
        <v>208.89999918839149</v>
      </c>
      <c r="N30" s="24">
        <f t="shared" ca="1" si="0"/>
        <v>0.75089921594722719</v>
      </c>
      <c r="O30" s="24">
        <f t="shared" ca="1" si="1"/>
        <v>0.46631781578674597</v>
      </c>
    </row>
    <row r="31" spans="1:15" s="19" customFormat="1" ht="18" customHeight="1" x14ac:dyDescent="0.2">
      <c r="A31" s="148"/>
      <c r="B31" s="33" t="s">
        <v>39</v>
      </c>
      <c r="C31" s="25"/>
      <c r="D31" s="26">
        <f ca="1">52.9*OFFSET(D$108,MATCH($M$1,$C$109:$C$110,0),0)</f>
        <v>43.032033614494296</v>
      </c>
      <c r="E31" s="26">
        <f ca="1">75.5*OFFSET(E$108,MATCH($M$1,$C$109:$C$110,0),0)</f>
        <v>63.067410200103375</v>
      </c>
      <c r="F31" s="26">
        <f ca="1">71.7*OFFSET(F$108,MATCH($M$1,$C$109:$C$110,0),0)</f>
        <v>61.613242404798797</v>
      </c>
      <c r="G31" s="26">
        <f ca="1">71*OFFSET(G$108,MATCH($M$1,$C$109:$C$110,0),0)</f>
        <v>62.783170836711044</v>
      </c>
      <c r="H31" s="26">
        <f ca="1">93.1*OFFSET(H$108,MATCH($M$1,$C$109:$C$110,0),0)</f>
        <v>83.955719345566976</v>
      </c>
      <c r="I31" s="26">
        <f ca="1">78.4*OFFSET(I$108,MATCH($M$1,$C$109:$C$110,0),0)</f>
        <v>72.94257505007522</v>
      </c>
      <c r="J31" s="26">
        <f ca="1">74.9*OFFSET(J$108,MATCH($M$1,$C$109:$C$110,0),0)</f>
        <v>71.166983438290302</v>
      </c>
      <c r="K31" s="26">
        <f ca="1">84.1*OFFSET(K$108,MATCH($M$1,$C$109:$C$110,0),0)</f>
        <v>81.235553206064864</v>
      </c>
      <c r="L31" s="26">
        <f ca="1">78.6*OFFSET(L$108,MATCH($M$1,$C$109:$C$110,0),0)</f>
        <v>77.281876640616275</v>
      </c>
      <c r="M31" s="27">
        <f ca="1">78.9*OFFSET(M$108,MATCH($M$1,$C$109:$C$110,0),0)</f>
        <v>78.899999693461424</v>
      </c>
      <c r="N31" s="24">
        <f t="shared" ca="1" si="0"/>
        <v>0.7959150462874186</v>
      </c>
      <c r="O31" s="24">
        <f t="shared" ca="1" si="1"/>
        <v>-7.9492412869226314E-2</v>
      </c>
    </row>
    <row r="32" spans="1:15" s="19" customFormat="1" ht="18" customHeight="1" x14ac:dyDescent="0.2">
      <c r="A32" s="148"/>
      <c r="B32" s="33" t="s">
        <v>40</v>
      </c>
      <c r="C32" s="25"/>
      <c r="D32" s="26">
        <f ca="1">200.7*OFFSET(D$108,MATCH($M$1,$C$109:$C$110,0),0)</f>
        <v>163.26142053741029</v>
      </c>
      <c r="E32" s="26">
        <f ca="1">259.9*OFFSET(E$108,MATCH($M$1,$C$109:$C$110,0),0)</f>
        <v>217.10225047691213</v>
      </c>
      <c r="F32" s="26">
        <f ca="1">277*OFFSET(F$108,MATCH($M$1,$C$109:$C$110,0),0)</f>
        <v>238.03163383722824</v>
      </c>
      <c r="G32" s="26">
        <f ca="1">261*OFFSET(G$108,MATCH($M$1,$C$109:$C$110,0),0)</f>
        <v>230.79447307579693</v>
      </c>
      <c r="H32" s="26">
        <f ca="1">252.3*OFFSET(H$108,MATCH($M$1,$C$109:$C$110,0),0)</f>
        <v>227.51909764647206</v>
      </c>
      <c r="I32" s="26">
        <f ca="1">231.9*OFFSET(I$108,MATCH($M$1,$C$109:$C$110,0),0)</f>
        <v>215.75743819020971</v>
      </c>
      <c r="J32" s="26">
        <f ca="1">258.7*OFFSET(J$108,MATCH($M$1,$C$109:$C$110,0),0)</f>
        <v>245.8063900598892</v>
      </c>
      <c r="K32" s="26">
        <f ca="1">305.1*OFFSET(K$108,MATCH($M$1,$C$109:$C$110,0),0)</f>
        <v>294.70829111974308</v>
      </c>
      <c r="L32" s="26">
        <f ca="1">292.7*OFFSET(L$108,MATCH($M$1,$C$109:$C$110,0),0)</f>
        <v>287.79141593776575</v>
      </c>
      <c r="M32" s="27">
        <f ca="1">287.7*OFFSET(M$108,MATCH($M$1,$C$109:$C$110,0),0)</f>
        <v>287.6999988822414</v>
      </c>
      <c r="N32" s="24">
        <f t="shared" ca="1" si="0"/>
        <v>0.76276437501546934</v>
      </c>
      <c r="O32" s="24">
        <f t="shared" ca="1" si="1"/>
        <v>0.2649110290730281</v>
      </c>
    </row>
    <row r="33" spans="1:15" s="19" customFormat="1" ht="18" customHeight="1" x14ac:dyDescent="0.2">
      <c r="A33" s="148"/>
      <c r="B33" s="45" t="s">
        <v>41</v>
      </c>
      <c r="C33" s="46"/>
      <c r="D33" s="47">
        <f ca="1">122.6*OFFSET(D$108,MATCH($M$1,$C$109:$C$110,0),0)</f>
        <v>99.730195106559549</v>
      </c>
      <c r="E33" s="47">
        <f ca="1">138.9*OFFSET(E$108,MATCH($M$1,$C$109:$C$110,0),0)</f>
        <v>116.02732816946171</v>
      </c>
      <c r="F33" s="47">
        <f ca="1">148.5*OFFSET(F$108,MATCH($M$1,$C$109:$C$110,0),0)</f>
        <v>127.60901669613139</v>
      </c>
      <c r="G33" s="47">
        <f ca="1">101*OFFSET(G$108,MATCH($M$1,$C$109:$C$110,0),0)</f>
        <v>89.31127119025092</v>
      </c>
      <c r="H33" s="47">
        <f ca="1">61.8*OFFSET(H$108,MATCH($M$1,$C$109:$C$110,0),0)</f>
        <v>55.730004893190532</v>
      </c>
      <c r="I33" s="47">
        <f ca="1">79.9*OFFSET(I$108,MATCH($M$1,$C$109:$C$110,0),0)</f>
        <v>74.338160031900628</v>
      </c>
      <c r="J33" s="47">
        <f ca="1">128.4*OFFSET(J$108,MATCH($M$1,$C$109:$C$110,0),0)</f>
        <v>122.00054303706909</v>
      </c>
      <c r="K33" s="47">
        <f ca="1">168*OFFSET(K$108,MATCH($M$1,$C$109:$C$110,0),0)</f>
        <v>162.27791841401782</v>
      </c>
      <c r="L33" s="47">
        <f ca="1">125.5*OFFSET(L$108,MATCH($M$1,$C$109:$C$110,0),0)</f>
        <v>123.39536282948275</v>
      </c>
      <c r="M33" s="48">
        <f ca="1">135.7*OFFSET(M$108,MATCH($M$1,$C$109:$C$110,0),0)</f>
        <v>135.6999994727847</v>
      </c>
      <c r="N33" s="49">
        <f t="shared" ca="1" si="0"/>
        <v>0.23729190239362796</v>
      </c>
      <c r="O33" s="49">
        <f t="shared" ca="1" si="1"/>
        <v>1.2141638613880694</v>
      </c>
    </row>
    <row r="34" spans="1:15" s="19" customFormat="1" ht="18" customHeight="1" x14ac:dyDescent="0.2">
      <c r="A34" s="148"/>
      <c r="B34" s="45" t="s">
        <v>42</v>
      </c>
      <c r="C34" s="46"/>
      <c r="D34" s="47">
        <f ca="1">57.5*OFFSET(D$108,MATCH($M$1,$C$109:$C$110,0),0)</f>
        <v>46.773949580972058</v>
      </c>
      <c r="E34" s="47">
        <f ca="1">60.4*OFFSET(E$108,MATCH($M$1,$C$109:$C$110,0),0)</f>
        <v>50.453928160082697</v>
      </c>
      <c r="F34" s="47">
        <f ca="1">48.7*OFFSET(F$108,MATCH($M$1,$C$109:$C$110,0),0)</f>
        <v>41.848882916509083</v>
      </c>
      <c r="G34" s="47">
        <f ca="1">24.9*OFFSET(G$108,MATCH($M$1,$C$109:$C$110,0),0)</f>
        <v>22.018323293438097</v>
      </c>
      <c r="H34" s="47">
        <f ca="1">-6.2*OFFSET(H$108,MATCH($M$1,$C$109:$C$110,0),0)</f>
        <v>-5.5910360896081128</v>
      </c>
      <c r="I34" s="47">
        <f ca="1">26.7*OFFSET(I$108,MATCH($M$1,$C$109:$C$110,0),0)</f>
        <v>24.84141267649245</v>
      </c>
      <c r="J34" s="47">
        <f ca="1">66.7*OFFSET(J$108,MATCH($M$1,$C$109:$C$110,0),0)</f>
        <v>63.375671499785895</v>
      </c>
      <c r="K34" s="47">
        <f ca="1">81.6*OFFSET(K$108,MATCH($M$1,$C$109:$C$110,0),0)</f>
        <v>78.820703229665796</v>
      </c>
      <c r="L34" s="47">
        <f ca="1">47.5*OFFSET(L$108,MATCH($M$1,$C$109:$C$110,0),0)</f>
        <v>46.703424178489485</v>
      </c>
      <c r="M34" s="48">
        <f ca="1">53.6*OFFSET(M$108,MATCH($M$1,$C$109:$C$110,0),0)</f>
        <v>53.599999791755792</v>
      </c>
      <c r="N34" s="49">
        <f t="shared" ca="1" si="0"/>
        <v>-1.5077923312951024E-3</v>
      </c>
      <c r="O34" s="49" t="str">
        <f t="shared" ca="1" si="1"/>
        <v>na</v>
      </c>
    </row>
    <row r="35" spans="1:15" s="19" customFormat="1" ht="18" customHeight="1" x14ac:dyDescent="0.2">
      <c r="A35" s="148"/>
      <c r="B35" s="33" t="s">
        <v>43</v>
      </c>
      <c r="C35" s="25"/>
      <c r="D35" s="26">
        <f ca="1">18.3*OFFSET(D$108,MATCH($M$1,$C$109:$C$110,0),0)</f>
        <v>14.886317866639803</v>
      </c>
      <c r="E35" s="26">
        <f ca="1">8.4*OFFSET(E$108,MATCH($M$1,$C$109:$C$110,0),0)</f>
        <v>7.0167714659717664</v>
      </c>
      <c r="F35" s="26">
        <f ca="1">9.3*OFFSET(F$108,MATCH($M$1,$C$109:$C$110,0),0)</f>
        <v>7.9916757930910576</v>
      </c>
      <c r="G35" s="26">
        <f ca="1">6.1*OFFSET(G$108,MATCH($M$1,$C$109:$C$110,0),0)</f>
        <v>5.3940470718864413</v>
      </c>
      <c r="H35" s="26">
        <f ca="1">25.7*OFFSET(H$108,MATCH($M$1,$C$109:$C$110,0),0)</f>
        <v>23.175746371440077</v>
      </c>
      <c r="I35" s="26">
        <f ca="1">5.4*OFFSET(I$108,MATCH($M$1,$C$109:$C$110,0),0)</f>
        <v>5.0241059345715069</v>
      </c>
      <c r="J35" s="26">
        <f ca="1">21.5*OFFSET(J$108,MATCH($M$1,$C$109:$C$110,0),0)</f>
        <v>20.42843983876157</v>
      </c>
      <c r="K35" s="26">
        <f ca="1">17*OFFSET(K$108,MATCH($M$1,$C$109:$C$110,0),0)</f>
        <v>16.420979839513709</v>
      </c>
      <c r="L35" s="26">
        <f ca="1">18.8*OFFSET(L$108,MATCH($M$1,$C$109:$C$110,0),0)</f>
        <v>18.484723674854788</v>
      </c>
      <c r="M35" s="27"/>
      <c r="N35" s="24">
        <f t="shared" ca="1" si="0"/>
        <v>0.24172571353450686</v>
      </c>
      <c r="O35" s="24">
        <f t="shared" ca="1" si="1"/>
        <v>-0.20241085751465282</v>
      </c>
    </row>
    <row r="36" spans="1:15" s="19" customFormat="1" ht="18" customHeight="1" x14ac:dyDescent="0.2">
      <c r="A36" s="148"/>
      <c r="B36" s="33" t="s">
        <v>44</v>
      </c>
      <c r="C36" s="25"/>
      <c r="D36" s="26">
        <f ca="1">10.8*OFFSET(D$108,MATCH($M$1,$C$109:$C$110,0),0)</f>
        <v>8.7853679212956219</v>
      </c>
      <c r="E36" s="26">
        <f ca="1">5.7*OFFSET(E$108,MATCH($M$1,$C$109:$C$110,0),0)</f>
        <v>4.7613806376236987</v>
      </c>
      <c r="F36" s="26">
        <f ca="1">4.8*OFFSET(F$108,MATCH($M$1,$C$109:$C$110,0),0)</f>
        <v>4.1247358932082872</v>
      </c>
      <c r="G36" s="26">
        <f ca="1">6.8*OFFSET(G$108,MATCH($M$1,$C$109:$C$110,0),0)</f>
        <v>6.0130360801357057</v>
      </c>
      <c r="H36" s="26">
        <f ca="1">4.3*OFFSET(H$108,MATCH($M$1,$C$109:$C$110,0),0)</f>
        <v>3.8776540621475615</v>
      </c>
      <c r="I36" s="26">
        <f ca="1">2.2*OFFSET(I$108,MATCH($M$1,$C$109:$C$110,0),0)</f>
        <v>2.0468579733439474</v>
      </c>
      <c r="J36" s="26">
        <f ca="1">3.3*OFFSET(J$108,MATCH($M$1,$C$109:$C$110,0),0)</f>
        <v>3.1355279752517755</v>
      </c>
      <c r="K36" s="26">
        <f ca="1">8.1*OFFSET(K$108,MATCH($M$1,$C$109:$C$110,0),0)</f>
        <v>7.8241139235330017</v>
      </c>
      <c r="L36" s="26">
        <f ca="1">4.5*OFFSET(L$108,MATCH($M$1,$C$109:$C$110,0),0)</f>
        <v>4.424534922172688</v>
      </c>
      <c r="M36" s="27"/>
      <c r="N36" s="24">
        <f t="shared" ca="1" si="0"/>
        <v>-0.49637454437762696</v>
      </c>
      <c r="O36" s="24">
        <f t="shared" ca="1" si="1"/>
        <v>0.14103394765500238</v>
      </c>
    </row>
    <row r="37" spans="1:15" s="19" customFormat="1" ht="18" customHeight="1" x14ac:dyDescent="0.2">
      <c r="A37" s="148"/>
      <c r="B37" s="33" t="s">
        <v>45</v>
      </c>
      <c r="C37" s="25"/>
      <c r="D37" s="26"/>
      <c r="E37" s="26"/>
      <c r="F37" s="26"/>
      <c r="G37" s="26"/>
      <c r="H37" s="26">
        <f ca="1">0.1*OFFSET(H$108,MATCH($M$1,$C$109:$C$110,0),0)</f>
        <v>9.0178001445292144E-2</v>
      </c>
      <c r="I37" s="26">
        <f ca="1">0.6*OFFSET(I$108,MATCH($M$1,$C$109:$C$110,0),0)</f>
        <v>0.55823399273016738</v>
      </c>
      <c r="J37" s="26">
        <f ca="1">0.1*OFFSET(J$108,MATCH($M$1,$C$109:$C$110,0),0)</f>
        <v>9.5015999250053815E-2</v>
      </c>
      <c r="K37" s="26">
        <f ca="1">0.6*OFFSET(K$108,MATCH($M$1,$C$109:$C$110,0),0)</f>
        <v>0.57956399433577788</v>
      </c>
      <c r="L37" s="26">
        <f ca="1">3.3*OFFSET(L$108,MATCH($M$1,$C$109:$C$110,0),0)</f>
        <v>3.2446589429266379</v>
      </c>
      <c r="M37" s="27"/>
      <c r="N37" s="24" t="str">
        <f t="shared" ca="1" si="0"/>
        <v/>
      </c>
      <c r="O37" s="24">
        <f t="shared" ca="1" si="1"/>
        <v>34.980603816054405</v>
      </c>
    </row>
    <row r="38" spans="1:15" s="19" customFormat="1" ht="18" customHeight="1" thickBot="1" x14ac:dyDescent="0.25">
      <c r="A38" s="149"/>
      <c r="B38" s="50" t="s">
        <v>46</v>
      </c>
      <c r="C38" s="51"/>
      <c r="D38" s="52">
        <f ca="1">28.4*OFFSET(D$108,MATCH($M$1,$C$109:$C$110,0),0)</f>
        <v>23.102263793036634</v>
      </c>
      <c r="E38" s="52">
        <f ca="1">46.4*OFFSET(E$108,MATCH($M$1,$C$109:$C$110,0),0)</f>
        <v>38.759309050129751</v>
      </c>
      <c r="F38" s="52">
        <f ca="1">34.6*OFFSET(F$108,MATCH($M$1,$C$109:$C$110,0),0)</f>
        <v>29.73247123020974</v>
      </c>
      <c r="G38" s="52">
        <f ca="1">12*OFFSET(G$108,MATCH($M$1,$C$109:$C$110,0),0)</f>
        <v>10.611240141415951</v>
      </c>
      <c r="H38" s="52">
        <f ca="1">-36.4*OFFSET(H$108,MATCH($M$1,$C$109:$C$110,0),0)</f>
        <v>-32.824792526086334</v>
      </c>
      <c r="I38" s="52">
        <f ca="1">18.5*OFFSET(I$108,MATCH($M$1,$C$109:$C$110,0),0)</f>
        <v>17.212214775846828</v>
      </c>
      <c r="J38" s="52">
        <f ca="1">41.7*OFFSET(J$108,MATCH($M$1,$C$109:$C$110,0),0)</f>
        <v>39.621671687272439</v>
      </c>
      <c r="K38" s="52">
        <f ca="1">55.9*OFFSET(K$108,MATCH($M$1,$C$109:$C$110,0),0)</f>
        <v>53.996045472283306</v>
      </c>
      <c r="L38" s="52">
        <f ca="1">21*OFFSET(L$108,MATCH($M$1,$C$109:$C$110,0),0)</f>
        <v>20.647829636805877</v>
      </c>
      <c r="M38" s="53"/>
      <c r="N38" s="54">
        <f t="shared" ca="1" si="0"/>
        <v>-0.1062421491771971</v>
      </c>
      <c r="O38" s="54" t="str">
        <f t="shared" ca="1" si="1"/>
        <v>na</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WOS nephrops over 250kW</v>
      </c>
      <c r="C45" s="61"/>
      <c r="D45" s="61"/>
      <c r="E45" s="61"/>
      <c r="F45" s="61" t="str">
        <f>$B21&amp;CHAR(10)&amp;$A$1</f>
        <v>Income per kW day at sea (£)
WOS nephrops over 250kW</v>
      </c>
      <c r="G45" s="61"/>
      <c r="K45" s="61" t="str">
        <f>$B23&amp;CHAR(10)&amp;$A$1</f>
        <v>Operating profit per kW day at sea (£)
WOS nephrops over 250kW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WOS nephrops over 250kW</v>
      </c>
      <c r="F59" s="61" t="str">
        <f>$B19&amp;CHAR(10)&amp;$A$1</f>
        <v>Average price per tonne landed (£)
WOS nephrops over 250kW</v>
      </c>
      <c r="K59" s="61" t="str">
        <f>"Average annual operating profit per vessel (£'000)"&amp;CHAR(10)&amp;$A$1</f>
        <v>Average annual operating profit per vessel (£'000)
WOS nephrops over 250kW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WOS nephrops over 250kW</v>
      </c>
      <c r="F73" s="61" t="str">
        <f>"Top 5 landed species by value in "&amp;A74&amp;CHAR(10)&amp;A1</f>
        <v>Top 5 landed species by value in 2013
WOS nephrops over 250kW</v>
      </c>
    </row>
    <row r="74" spans="1:9" s="61" customFormat="1" x14ac:dyDescent="0.2">
      <c r="A74" s="61">
        <v>2013</v>
      </c>
      <c r="B74" s="61" t="s">
        <v>492</v>
      </c>
      <c r="C74" s="62">
        <v>0.74299453480423061</v>
      </c>
      <c r="D74" s="63">
        <v>8211234</v>
      </c>
      <c r="G74" s="61" t="s">
        <v>493</v>
      </c>
      <c r="H74" s="62">
        <v>0.91919392615095041</v>
      </c>
      <c r="I74" s="63">
        <v>8211234</v>
      </c>
    </row>
    <row r="75" spans="1:9" s="61" customFormat="1" x14ac:dyDescent="0.2">
      <c r="B75" s="61" t="s">
        <v>494</v>
      </c>
      <c r="C75" s="62">
        <v>0.17246470421581803</v>
      </c>
      <c r="D75" s="63">
        <v>2171775</v>
      </c>
      <c r="G75" s="61" t="s">
        <v>495</v>
      </c>
      <c r="H75" s="62">
        <v>1.8223032817720562E-2</v>
      </c>
      <c r="I75" s="63">
        <v>2171775</v>
      </c>
    </row>
    <row r="76" spans="1:9" s="61" customFormat="1" x14ac:dyDescent="0.2">
      <c r="B76" s="61" t="s">
        <v>496</v>
      </c>
      <c r="C76" s="62">
        <v>2.6730453415793023E-2</v>
      </c>
      <c r="D76" s="63">
        <v>6763595</v>
      </c>
      <c r="G76" s="61" t="s">
        <v>497</v>
      </c>
      <c r="H76" s="62">
        <v>1.3501553606835094E-2</v>
      </c>
      <c r="I76" s="63">
        <v>2783840</v>
      </c>
    </row>
    <row r="77" spans="1:9" s="61" customFormat="1" x14ac:dyDescent="0.2">
      <c r="B77" s="61" t="s">
        <v>498</v>
      </c>
      <c r="C77" s="62">
        <v>1.0855099016170818E-2</v>
      </c>
      <c r="D77" s="63">
        <v>2783840</v>
      </c>
      <c r="G77" s="61" t="s">
        <v>499</v>
      </c>
      <c r="H77" s="62">
        <v>1.0481584129686222E-2</v>
      </c>
      <c r="I77" s="63">
        <v>6763595</v>
      </c>
    </row>
    <row r="78" spans="1:9" s="61" customFormat="1" x14ac:dyDescent="0.2">
      <c r="B78" s="61" t="s">
        <v>500</v>
      </c>
      <c r="C78" s="62">
        <v>1.0755711581467377E-2</v>
      </c>
      <c r="D78" s="63">
        <v>2764187</v>
      </c>
      <c r="G78" s="61" t="s">
        <v>501</v>
      </c>
      <c r="H78" s="62">
        <v>2.9997357990979019E-3</v>
      </c>
      <c r="I78" s="63">
        <v>2764187</v>
      </c>
    </row>
    <row r="79" spans="1:9" s="61" customFormat="1" x14ac:dyDescent="0.2">
      <c r="B79" s="61" t="s">
        <v>438</v>
      </c>
      <c r="C79" s="62">
        <v>3.6199496966520139E-2</v>
      </c>
      <c r="D79" s="63">
        <v>32768</v>
      </c>
      <c r="G79" s="61" t="s">
        <v>438</v>
      </c>
      <c r="H79" s="62">
        <v>3.5600167495709822E-2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60</v>
      </c>
      <c r="D88" s="66">
        <v>0.76447305562636425</v>
      </c>
      <c r="E88" s="66">
        <v>0.88656945101170037</v>
      </c>
      <c r="F88" s="66">
        <v>0.89049011951642698</v>
      </c>
      <c r="G88" s="66">
        <v>0.91851747768826031</v>
      </c>
      <c r="H88" s="66">
        <v>0.89853288118676522</v>
      </c>
      <c r="I88" s="66">
        <v>0.90205918104598015</v>
      </c>
      <c r="J88" s="66">
        <v>0.93346407886352822</v>
      </c>
      <c r="K88" s="66">
        <v>0.91705908299271943</v>
      </c>
      <c r="L88" s="66">
        <v>0.93487173447389538</v>
      </c>
      <c r="M88" s="66">
        <v>0.92644329511957502</v>
      </c>
      <c r="N88" s="61"/>
      <c r="O88" s="61">
        <v>8211234</v>
      </c>
    </row>
    <row r="89" spans="1:15" s="65" customFormat="1" hidden="1" x14ac:dyDescent="0.2">
      <c r="A89" s="61"/>
      <c r="B89" s="61">
        <v>2</v>
      </c>
      <c r="C89" s="61" t="s">
        <v>134</v>
      </c>
      <c r="D89" s="66">
        <v>1.7988275935971933E-2</v>
      </c>
      <c r="E89" s="66"/>
      <c r="F89" s="66"/>
      <c r="G89" s="66"/>
      <c r="H89" s="66"/>
      <c r="I89" s="66">
        <v>1.2767352222582197E-2</v>
      </c>
      <c r="J89" s="66">
        <v>1.1629458525468766E-2</v>
      </c>
      <c r="K89" s="66">
        <v>2.8589341480120344E-2</v>
      </c>
      <c r="L89" s="66">
        <v>1.853384559340468E-2</v>
      </c>
      <c r="M89" s="66">
        <v>2.625739135657091E-2</v>
      </c>
      <c r="N89" s="61"/>
      <c r="O89" s="61">
        <v>2171775</v>
      </c>
    </row>
    <row r="90" spans="1:15" s="65" customFormat="1" hidden="1" x14ac:dyDescent="0.2">
      <c r="A90" s="61"/>
      <c r="B90" s="61">
        <v>3</v>
      </c>
      <c r="C90" s="61" t="s">
        <v>82</v>
      </c>
      <c r="D90" s="66">
        <v>7.3061377738742841E-2</v>
      </c>
      <c r="E90" s="66">
        <v>3.6378899985407831E-2</v>
      </c>
      <c r="F90" s="66">
        <v>2.3511310187923653E-2</v>
      </c>
      <c r="G90" s="66">
        <v>1.3404335505824443E-2</v>
      </c>
      <c r="H90" s="66">
        <v>1.3502268677727317E-2</v>
      </c>
      <c r="I90" s="66">
        <v>1.5665581988412405E-2</v>
      </c>
      <c r="J90" s="66">
        <v>1.3430222901187399E-2</v>
      </c>
      <c r="K90" s="66">
        <v>1.2849679039954086E-2</v>
      </c>
      <c r="L90" s="66">
        <v>1.3731836644492118E-2</v>
      </c>
      <c r="M90" s="66">
        <v>1.6037893196459305E-2</v>
      </c>
      <c r="N90" s="61"/>
      <c r="O90" s="61">
        <v>2783840</v>
      </c>
    </row>
    <row r="91" spans="1:15" s="65" customFormat="1" hidden="1" x14ac:dyDescent="0.2">
      <c r="A91" s="61"/>
      <c r="B91" s="61">
        <v>4</v>
      </c>
      <c r="C91" s="61" t="s">
        <v>64</v>
      </c>
      <c r="D91" s="66"/>
      <c r="E91" s="66"/>
      <c r="F91" s="66">
        <v>7.2746069494875705E-3</v>
      </c>
      <c r="G91" s="66">
        <v>6.6501233088853201E-3</v>
      </c>
      <c r="H91" s="66"/>
      <c r="I91" s="66">
        <v>7.0360217717770051E-3</v>
      </c>
      <c r="J91" s="66"/>
      <c r="K91" s="66">
        <v>1.113603868744013E-2</v>
      </c>
      <c r="L91" s="66">
        <v>1.0660358447304001E-2</v>
      </c>
      <c r="M91" s="66">
        <v>1.0055444092253103E-2</v>
      </c>
      <c r="N91" s="61"/>
      <c r="O91" s="61">
        <v>6763595</v>
      </c>
    </row>
    <row r="92" spans="1:15" s="65" customFormat="1" hidden="1" x14ac:dyDescent="0.2">
      <c r="A92" s="61"/>
      <c r="B92" s="61">
        <v>5</v>
      </c>
      <c r="C92" s="61" t="s">
        <v>271</v>
      </c>
      <c r="D92" s="66"/>
      <c r="E92" s="66"/>
      <c r="F92" s="66"/>
      <c r="G92" s="66"/>
      <c r="H92" s="66"/>
      <c r="I92" s="66"/>
      <c r="J92" s="66"/>
      <c r="K92" s="66"/>
      <c r="L92" s="66">
        <v>3.0508994127160472E-3</v>
      </c>
      <c r="M92" s="66"/>
      <c r="N92" s="61"/>
      <c r="O92" s="61">
        <v>2764187</v>
      </c>
    </row>
    <row r="93" spans="1:15" s="65" customFormat="1" hidden="1" x14ac:dyDescent="0.2">
      <c r="A93" s="61"/>
      <c r="B93" s="61">
        <v>6</v>
      </c>
      <c r="C93" s="61" t="s">
        <v>100</v>
      </c>
      <c r="D93" s="66"/>
      <c r="E93" s="66"/>
      <c r="F93" s="66"/>
      <c r="G93" s="66">
        <v>5.8246594862540512E-3</v>
      </c>
      <c r="H93" s="66">
        <v>2.8269593328360352E-2</v>
      </c>
      <c r="I93" s="66">
        <v>2.6707284734072745E-2</v>
      </c>
      <c r="J93" s="66"/>
      <c r="K93" s="66"/>
      <c r="L93" s="66"/>
      <c r="M93" s="66">
        <v>9.1402833219064988E-3</v>
      </c>
      <c r="N93" s="61"/>
      <c r="O93" s="61">
        <v>3511670</v>
      </c>
    </row>
    <row r="94" spans="1:15" s="65" customFormat="1" hidden="1" x14ac:dyDescent="0.2">
      <c r="A94" s="61"/>
      <c r="B94" s="61">
        <v>7</v>
      </c>
      <c r="C94" s="61" t="s">
        <v>224</v>
      </c>
      <c r="D94" s="66"/>
      <c r="E94" s="66"/>
      <c r="F94" s="66"/>
      <c r="G94" s="66"/>
      <c r="H94" s="66">
        <v>1.1006024537464373E-2</v>
      </c>
      <c r="I94" s="66"/>
      <c r="J94" s="66">
        <v>8.1637326748175212E-3</v>
      </c>
      <c r="K94" s="66">
        <v>9.5032171833833081E-3</v>
      </c>
      <c r="L94" s="66"/>
      <c r="M94" s="66"/>
      <c r="N94" s="61"/>
      <c r="O94" s="61">
        <v>1464488</v>
      </c>
    </row>
    <row r="95" spans="1:15" s="65" customFormat="1" hidden="1" x14ac:dyDescent="0.2">
      <c r="A95" s="61"/>
      <c r="B95" s="61">
        <v>8</v>
      </c>
      <c r="C95" s="61" t="s">
        <v>115</v>
      </c>
      <c r="D95" s="66">
        <v>1.9697835960964149E-2</v>
      </c>
      <c r="E95" s="66">
        <v>8.561848811264313E-3</v>
      </c>
      <c r="F95" s="66">
        <v>7.7076194106437453E-3</v>
      </c>
      <c r="G95" s="66"/>
      <c r="H95" s="66"/>
      <c r="I95" s="66"/>
      <c r="J95" s="66">
        <v>5.7674023697690969E-3</v>
      </c>
      <c r="K95" s="66"/>
      <c r="L95" s="66"/>
      <c r="M95" s="66"/>
      <c r="N95" s="61"/>
      <c r="O95" s="61">
        <v>8274269</v>
      </c>
    </row>
    <row r="96" spans="1:15" s="65" customFormat="1" hidden="1" x14ac:dyDescent="0.2">
      <c r="A96" s="61"/>
      <c r="B96" s="61">
        <v>9</v>
      </c>
      <c r="C96" s="61" t="s">
        <v>59</v>
      </c>
      <c r="D96" s="66">
        <v>1.8102786517472779E-2</v>
      </c>
      <c r="E96" s="66">
        <v>1.1172033615308309E-2</v>
      </c>
      <c r="F96" s="66">
        <v>2.7994642366593631E-2</v>
      </c>
      <c r="G96" s="66">
        <v>2.1048203133637342E-2</v>
      </c>
      <c r="H96" s="66">
        <v>1.0641954744840769E-2</v>
      </c>
      <c r="I96" s="66"/>
      <c r="J96" s="66"/>
      <c r="K96" s="66"/>
      <c r="L96" s="66"/>
      <c r="M96" s="66"/>
      <c r="N96" s="61"/>
      <c r="O96" s="61">
        <v>10520359</v>
      </c>
    </row>
    <row r="97" spans="1:15" s="65" customFormat="1" hidden="1" x14ac:dyDescent="0.2">
      <c r="A97" s="61"/>
      <c r="B97" s="61">
        <v>10</v>
      </c>
      <c r="C97" s="61" t="s">
        <v>174</v>
      </c>
      <c r="D97" s="66"/>
      <c r="E97" s="66">
        <v>1.9609120579730074E-2</v>
      </c>
      <c r="F97" s="66"/>
      <c r="G97" s="66"/>
      <c r="H97" s="66"/>
      <c r="I97" s="66"/>
      <c r="J97" s="66"/>
      <c r="K97" s="66"/>
      <c r="L97" s="66"/>
      <c r="M97" s="66"/>
      <c r="N97" s="61"/>
      <c r="O97" s="61">
        <v>1928395</v>
      </c>
    </row>
    <row r="98" spans="1:15" s="65" customFormat="1" hidden="1" x14ac:dyDescent="0.2">
      <c r="A98" s="61"/>
      <c r="B98" s="61">
        <v>11</v>
      </c>
      <c r="C98" s="61" t="s">
        <v>68</v>
      </c>
      <c r="D98" s="66">
        <v>0.10667666822048405</v>
      </c>
      <c r="E98" s="66">
        <v>3.7708645996589081E-2</v>
      </c>
      <c r="F98" s="66">
        <v>4.3021701568924417E-2</v>
      </c>
      <c r="G98" s="66">
        <v>3.4555200877138523E-2</v>
      </c>
      <c r="H98" s="66">
        <v>3.8047277524841973E-2</v>
      </c>
      <c r="I98" s="66">
        <v>3.5764578237175479E-2</v>
      </c>
      <c r="J98" s="66">
        <v>2.7545104665228984E-2</v>
      </c>
      <c r="K98" s="66">
        <v>2.0862640616382679E-2</v>
      </c>
      <c r="L98" s="66">
        <v>1.9151325428187788E-2</v>
      </c>
      <c r="M98" s="66">
        <v>1.2065692913235185E-2</v>
      </c>
      <c r="N98" s="61"/>
      <c r="O98" s="61">
        <v>32768</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12</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'WOS nephrops over 250kW'!D3:L3</xm:f>
              <xm:sqref>C3</xm:sqref>
            </x14:sparkline>
            <x14:sparkline>
              <xm:f>'WOS nephrops over 250kW'!D4:L4</xm:f>
              <xm:sqref>C4</xm:sqref>
            </x14:sparkline>
            <x14:sparkline>
              <xm:f>'WOS nephrops over 250kW'!D5:L5</xm:f>
              <xm:sqref>C5</xm:sqref>
            </x14:sparkline>
            <x14:sparkline>
              <xm:f>'WOS nephrops over 250kW'!D6:L6</xm:f>
              <xm:sqref>C6</xm:sqref>
            </x14:sparkline>
            <x14:sparkline>
              <xm:f>'WOS nephrops over 250kW'!D7:L7</xm:f>
              <xm:sqref>C7</xm:sqref>
            </x14:sparkline>
            <x14:sparkline>
              <xm:f>'WOS nephrops over 250kW'!D8:L8</xm:f>
              <xm:sqref>C8</xm:sqref>
            </x14:sparkline>
            <x14:sparkline>
              <xm:f>'WOS nephrops over 250kW'!D9:L9</xm:f>
              <xm:sqref>C9</xm:sqref>
            </x14:sparkline>
            <x14:sparkline>
              <xm:f>'WOS nephrops over 250kW'!D10:L10</xm:f>
              <xm:sqref>C10</xm:sqref>
            </x14:sparkline>
            <x14:sparkline>
              <xm:f>'WOS nephrops over 250kW'!D11:L11</xm:f>
              <xm:sqref>C11</xm:sqref>
            </x14:sparkline>
            <x14:sparkline>
              <xm:f>'WOS nephrops over 250kW'!D12:L12</xm:f>
              <xm:sqref>C12</xm:sqref>
            </x14:sparkline>
            <x14:sparkline>
              <xm:f>'WOS nephrops over 250kW'!D13:L13</xm:f>
              <xm:sqref>C13</xm:sqref>
            </x14:sparkline>
            <x14:sparkline>
              <xm:f>'WOS nephrops over 250kW'!D14:L14</xm:f>
              <xm:sqref>C14</xm:sqref>
            </x14:sparkline>
            <x14:sparkline>
              <xm:f>'WOS nephrops over 250kW'!D15:L15</xm:f>
              <xm:sqref>C15</xm:sqref>
            </x14:sparkline>
            <x14:sparkline>
              <xm:f>'WOS nephrops over 250kW'!D16:L16</xm:f>
              <xm:sqref>C16</xm:sqref>
            </x14:sparkline>
            <x14:sparkline>
              <xm:f>'WOS nephrops over 250kW'!D17:L17</xm:f>
              <xm:sqref>C17</xm:sqref>
            </x14:sparkline>
            <x14:sparkline>
              <xm:f>'WOS nephrops over 250kW'!D18:L18</xm:f>
              <xm:sqref>C18</xm:sqref>
            </x14:sparkline>
            <x14:sparkline>
              <xm:f>'WOS nephrops over 250kW'!D19:L19</xm:f>
              <xm:sqref>C19</xm:sqref>
            </x14:sparkline>
            <x14:sparkline>
              <xm:f>'WOS nephrops over 250kW'!D20:L20</xm:f>
              <xm:sqref>C20</xm:sqref>
            </x14:sparkline>
            <x14:sparkline>
              <xm:f>'WOS nephrops over 250kW'!D21:L21</xm:f>
              <xm:sqref>C21</xm:sqref>
            </x14:sparkline>
            <x14:sparkline>
              <xm:f>'WOS nephrops over 250kW'!D22:L22</xm:f>
              <xm:sqref>C22</xm:sqref>
            </x14:sparkline>
            <x14:sparkline>
              <xm:f>'WOS nephrops over 250kW'!D23:L23</xm:f>
              <xm:sqref>C23</xm:sqref>
            </x14:sparkline>
            <x14:sparkline>
              <xm:f>'WOS nephrops over 250kW'!D24:L24</xm:f>
              <xm:sqref>C24</xm:sqref>
            </x14:sparkline>
            <x14:sparkline>
              <xm:f>'WOS nephrops over 250kW'!D25:L25</xm:f>
              <xm:sqref>C25</xm:sqref>
            </x14:sparkline>
            <x14:sparkline>
              <xm:f>'WOS nephrops over 250kW'!D26:L26</xm:f>
              <xm:sqref>C26</xm:sqref>
            </x14:sparkline>
            <x14:sparkline>
              <xm:f>'WOS nephrops over 250kW'!D27:L27</xm:f>
              <xm:sqref>C27</xm:sqref>
            </x14:sparkline>
            <x14:sparkline>
              <xm:f>'WOS nephrops over 250kW'!D28:L28</xm:f>
              <xm:sqref>C28</xm:sqref>
            </x14:sparkline>
            <x14:sparkline>
              <xm:f>'WOS nephrops over 250kW'!D29:L29</xm:f>
              <xm:sqref>C29</xm:sqref>
            </x14:sparkline>
            <x14:sparkline>
              <xm:f>'WOS nephrops over 250kW'!D30:L30</xm:f>
              <xm:sqref>C30</xm:sqref>
            </x14:sparkline>
            <x14:sparkline>
              <xm:f>'WOS nephrops over 250kW'!D31:L31</xm:f>
              <xm:sqref>C31</xm:sqref>
            </x14:sparkline>
            <x14:sparkline>
              <xm:f>'WOS nephrops over 250kW'!D32:L32</xm:f>
              <xm:sqref>C32</xm:sqref>
            </x14:sparkline>
            <x14:sparkline>
              <xm:f>'WOS nephrops over 250kW'!D33:L33</xm:f>
              <xm:sqref>C33</xm:sqref>
            </x14:sparkline>
            <x14:sparkline>
              <xm:f>'WOS nephrops over 250kW'!D34:L34</xm:f>
              <xm:sqref>C34</xm:sqref>
            </x14:sparkline>
            <x14:sparkline>
              <xm:f>'WOS nephrops over 250kW'!D35:L35</xm:f>
              <xm:sqref>C35</xm:sqref>
            </x14:sparkline>
            <x14:sparkline>
              <xm:f>'WOS nephrops over 250kW'!D36:L36</xm:f>
              <xm:sqref>C36</xm:sqref>
            </x14:sparkline>
            <x14:sparkline>
              <xm:f>'WOS nephrops over 250kW'!D37:L37</xm:f>
              <xm:sqref>C37</xm:sqref>
            </x14:sparkline>
            <x14:sparkline>
              <xm:f>'WOS nephrops over 250kW'!D38:L38</xm:f>
              <xm:sqref>C38</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502</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131</v>
      </c>
      <c r="E3" s="16">
        <v>141</v>
      </c>
      <c r="F3" s="16">
        <v>141</v>
      </c>
      <c r="G3" s="16">
        <v>138</v>
      </c>
      <c r="H3" s="16">
        <v>120</v>
      </c>
      <c r="I3" s="16">
        <v>104</v>
      </c>
      <c r="J3" s="16">
        <v>94</v>
      </c>
      <c r="K3" s="16">
        <v>99</v>
      </c>
      <c r="L3" s="16">
        <v>98</v>
      </c>
      <c r="M3" s="17">
        <v>93</v>
      </c>
      <c r="N3" s="18">
        <f t="shared" ref="N3:N38" si="0">IF(L3=0,"",IFERROR(IF(AND(L3&gt;0,D3&lt;0),"na",IF(AND(L3&lt;0,D3&lt;0),-1,1)*(L3-D3)/D3),""))</f>
        <v>-0.25190839694656486</v>
      </c>
      <c r="O3" s="18">
        <f t="shared" ref="O3:O38" si="1">IF(L3=0,"",IFERROR(IF(AND(L3&gt;0,H3&lt;0),"na",IF(AND(L3&lt;0,H3&lt;0),-1,1)*(L3-H3)/H3),""))</f>
        <v>-0.18333333333333332</v>
      </c>
    </row>
    <row r="4" spans="1:15" s="19" customFormat="1" ht="18" customHeight="1" x14ac:dyDescent="0.2">
      <c r="A4" s="141"/>
      <c r="B4" s="20" t="s">
        <v>20</v>
      </c>
      <c r="C4" s="21"/>
      <c r="D4" s="22">
        <v>20334.0390625</v>
      </c>
      <c r="E4" s="22">
        <v>21991.779296875</v>
      </c>
      <c r="F4" s="22">
        <v>22082.630859375</v>
      </c>
      <c r="G4" s="22">
        <v>21536.7109375</v>
      </c>
      <c r="H4" s="22">
        <v>19226.099609375</v>
      </c>
      <c r="I4" s="22">
        <v>16893.66015625</v>
      </c>
      <c r="J4" s="22">
        <v>14963.2001953125</v>
      </c>
      <c r="K4" s="22">
        <v>15511.6904296875</v>
      </c>
      <c r="L4" s="22">
        <v>15761.51953125</v>
      </c>
      <c r="M4" s="23">
        <v>15113.8798828125</v>
      </c>
      <c r="N4" s="24">
        <f t="shared" si="0"/>
        <v>-0.22487020494037668</v>
      </c>
      <c r="O4" s="24">
        <f t="shared" si="1"/>
        <v>-0.18020192074920943</v>
      </c>
    </row>
    <row r="5" spans="1:15" s="19" customFormat="1" ht="18" customHeight="1" x14ac:dyDescent="0.2">
      <c r="A5" s="141"/>
      <c r="B5" s="20" t="s">
        <v>21</v>
      </c>
      <c r="C5" s="21"/>
      <c r="D5" s="22">
        <v>4666.7900390625</v>
      </c>
      <c r="E5" s="22">
        <v>4825.240234375</v>
      </c>
      <c r="F5" s="22">
        <v>4976.31005859375</v>
      </c>
      <c r="G5" s="22">
        <v>4900.419921875</v>
      </c>
      <c r="H5" s="22">
        <v>4441.7001953125</v>
      </c>
      <c r="I5" s="22">
        <v>3985.39990234375</v>
      </c>
      <c r="J5" s="22">
        <v>3653.64990234375</v>
      </c>
      <c r="K5" s="22">
        <v>3701.159912109375</v>
      </c>
      <c r="L5" s="22">
        <v>3769.780029296875</v>
      </c>
      <c r="M5" s="23">
        <v>3602.530029296875</v>
      </c>
      <c r="N5" s="24">
        <f t="shared" si="0"/>
        <v>-0.19221134918377925</v>
      </c>
      <c r="O5" s="24">
        <f t="shared" si="1"/>
        <v>-0.15127544329190173</v>
      </c>
    </row>
    <row r="6" spans="1:15" s="19" customFormat="1" ht="18" customHeight="1" x14ac:dyDescent="0.2">
      <c r="A6" s="141"/>
      <c r="B6" s="20" t="s">
        <v>22</v>
      </c>
      <c r="C6" s="21"/>
      <c r="D6" s="22">
        <v>19071.93359375</v>
      </c>
      <c r="E6" s="22">
        <v>19715.826171875</v>
      </c>
      <c r="F6" s="22">
        <v>16984.62890625</v>
      </c>
      <c r="G6" s="22">
        <v>20005.83984375</v>
      </c>
      <c r="H6" s="22">
        <v>17706.064453125</v>
      </c>
      <c r="I6" s="22">
        <v>15583.3427734375</v>
      </c>
      <c r="J6" s="22">
        <v>13905.6494140625</v>
      </c>
      <c r="K6" s="22">
        <v>14414.265625</v>
      </c>
      <c r="L6" s="22">
        <v>14568.10546875</v>
      </c>
      <c r="M6" s="23">
        <v>13983.345703125</v>
      </c>
      <c r="N6" s="24">
        <f t="shared" si="0"/>
        <v>-0.23614952846081294</v>
      </c>
      <c r="O6" s="24">
        <f t="shared" si="1"/>
        <v>-0.17722509667139338</v>
      </c>
    </row>
    <row r="7" spans="1:15" s="19" customFormat="1" ht="18" customHeight="1" x14ac:dyDescent="0.2">
      <c r="A7" s="141"/>
      <c r="B7" s="20" t="s">
        <v>23</v>
      </c>
      <c r="C7" s="21"/>
      <c r="D7" s="22">
        <v>6309.841796875</v>
      </c>
      <c r="E7" s="22">
        <v>8242.23828125</v>
      </c>
      <c r="F7" s="22">
        <v>9378.4072265625</v>
      </c>
      <c r="G7" s="22">
        <v>8465.869140625</v>
      </c>
      <c r="H7" s="22">
        <v>7109.361328125</v>
      </c>
      <c r="I7" s="22">
        <v>6478.2744140625</v>
      </c>
      <c r="J7" s="22">
        <v>5828.494140625</v>
      </c>
      <c r="K7" s="22">
        <v>6539.41748046875</v>
      </c>
      <c r="L7" s="22">
        <v>6418.51220703125</v>
      </c>
      <c r="M7" s="23">
        <v>5723.78564453125</v>
      </c>
      <c r="N7" s="24">
        <f t="shared" si="0"/>
        <v>1.7222366844453992E-2</v>
      </c>
      <c r="O7" s="24">
        <f t="shared" si="1"/>
        <v>-9.7174568742302528E-2</v>
      </c>
    </row>
    <row r="8" spans="1:15" s="19" customFormat="1" ht="18" customHeight="1" x14ac:dyDescent="0.2">
      <c r="A8" s="141"/>
      <c r="B8" s="20" t="s">
        <v>24</v>
      </c>
      <c r="C8" s="25"/>
      <c r="D8" s="26">
        <f ca="1">15.882461*OFFSET(D$108,MATCH($M$1,$C$109:$C$110,0),0)</f>
        <v>12.919746609317478</v>
      </c>
      <c r="E8" s="26">
        <f ca="1">22.259544*OFFSET(E$108,MATCH($M$1,$C$109:$C$110,0),0)</f>
        <v>18.59406347437417</v>
      </c>
      <c r="F8" s="26">
        <f ca="1">25.227242*OFFSET(F$108,MATCH($M$1,$C$109:$C$110,0),0)</f>
        <v>21.678273034177423</v>
      </c>
      <c r="G8" s="26">
        <f ca="1">22.683294*OFFSET(G$108,MATCH($M$1,$C$109:$C$110,0),0)</f>
        <v>20.058156652694965</v>
      </c>
      <c r="H8" s="26">
        <f ca="1">16.063229*OFFSET(H$108,MATCH($M$1,$C$109:$C$110,0),0)</f>
        <v>14.485498879780584</v>
      </c>
      <c r="I8" s="26">
        <f ca="1">14.865809*OFFSET(I$108,MATCH($M$1,$C$109:$C$110,0),0)</f>
        <v>13.830999855390097</v>
      </c>
      <c r="J8" s="26">
        <f ca="1">16.045408*OFFSET(J$108,MATCH($M$1,$C$109:$C$110,0),0)</f>
        <v>15.245704744948071</v>
      </c>
      <c r="K8" s="26">
        <f ca="1">18.970744*OFFSET(K$108,MATCH($M$1,$C$109:$C$110,0),0)</f>
        <v>18.324600280269156</v>
      </c>
      <c r="L8" s="26">
        <f ca="1">16.488812*OFFSET(L$108,MATCH($M$1,$C$109:$C$110,0),0)</f>
        <v>16.212294337586684</v>
      </c>
      <c r="M8" s="27">
        <f ca="1">15.556804*OFFSET(M$108,MATCH($M$1,$C$109:$C$110,0),0)</f>
        <v>15.556803939559433</v>
      </c>
      <c r="N8" s="24">
        <f t="shared" ca="1" si="0"/>
        <v>0.25484615355340501</v>
      </c>
      <c r="O8" s="24">
        <f t="shared" ca="1" si="1"/>
        <v>0.1192085596869865</v>
      </c>
    </row>
    <row r="9" spans="1:15" s="19" customFormat="1" ht="18" customHeight="1" x14ac:dyDescent="0.2">
      <c r="A9" s="141"/>
      <c r="B9" s="20" t="s">
        <v>25</v>
      </c>
      <c r="C9" s="25"/>
      <c r="D9" s="22">
        <v>21190.833984375</v>
      </c>
      <c r="E9" s="22">
        <v>21952.166015625</v>
      </c>
      <c r="F9" s="22">
        <v>23006</v>
      </c>
      <c r="G9" s="22">
        <v>22325</v>
      </c>
      <c r="H9" s="22">
        <v>19544</v>
      </c>
      <c r="I9" s="22">
        <v>17433</v>
      </c>
      <c r="J9" s="22">
        <v>14852</v>
      </c>
      <c r="K9" s="22">
        <v>16304</v>
      </c>
      <c r="L9" s="22">
        <v>15373</v>
      </c>
      <c r="M9" s="23">
        <v>14725</v>
      </c>
      <c r="N9" s="24">
        <f t="shared" si="0"/>
        <v>-0.27454483333052221</v>
      </c>
      <c r="O9" s="24">
        <f t="shared" si="1"/>
        <v>-0.21341588211215717</v>
      </c>
    </row>
    <row r="10" spans="1:15" s="19" customFormat="1" ht="18" customHeight="1" x14ac:dyDescent="0.2">
      <c r="A10" s="142" t="s">
        <v>7</v>
      </c>
      <c r="B10" s="28" t="s">
        <v>26</v>
      </c>
      <c r="C10" s="29"/>
      <c r="D10" s="30">
        <v>14.423130035400391</v>
      </c>
      <c r="E10" s="30">
        <v>14.295957565307617</v>
      </c>
      <c r="F10" s="30">
        <v>14.405248641967773</v>
      </c>
      <c r="G10" s="30">
        <v>14.408622741699219</v>
      </c>
      <c r="H10" s="30">
        <v>14.509750366210937</v>
      </c>
      <c r="I10" s="30">
        <v>14.66403865814209</v>
      </c>
      <c r="J10" s="30">
        <v>14.618936538696289</v>
      </c>
      <c r="K10" s="30">
        <v>14.562929153442383</v>
      </c>
      <c r="L10" s="30">
        <v>14.569489479064941</v>
      </c>
      <c r="M10" s="31">
        <v>14.756129264831543</v>
      </c>
      <c r="N10" s="32">
        <f t="shared" si="0"/>
        <v>1.0147550726182425E-2</v>
      </c>
      <c r="O10" s="32">
        <f t="shared" si="1"/>
        <v>4.1171702714554777E-3</v>
      </c>
    </row>
    <row r="11" spans="1:15" s="19" customFormat="1" ht="18" customHeight="1" x14ac:dyDescent="0.2">
      <c r="A11" s="143"/>
      <c r="B11" s="33" t="s">
        <v>20</v>
      </c>
      <c r="C11" s="21"/>
      <c r="D11" s="22">
        <v>155.2216796875</v>
      </c>
      <c r="E11" s="22">
        <v>155.97007751464844</v>
      </c>
      <c r="F11" s="22">
        <v>156.61439514160156</v>
      </c>
      <c r="G11" s="22">
        <v>156.0631103515625</v>
      </c>
      <c r="H11" s="22">
        <v>160.21749877929687</v>
      </c>
      <c r="I11" s="22">
        <v>162.43904113769531</v>
      </c>
      <c r="J11" s="22">
        <v>159.1829833984375</v>
      </c>
      <c r="K11" s="22">
        <v>156.68373107910156</v>
      </c>
      <c r="L11" s="22">
        <v>160.83183288574219</v>
      </c>
      <c r="M11" s="23">
        <v>162.51483154296875</v>
      </c>
      <c r="N11" s="24">
        <f t="shared" si="0"/>
        <v>3.6142845571165233E-2</v>
      </c>
      <c r="O11" s="24">
        <f t="shared" si="1"/>
        <v>3.8343758398798325E-3</v>
      </c>
    </row>
    <row r="12" spans="1:15" s="19" customFormat="1" ht="18" customHeight="1" x14ac:dyDescent="0.2">
      <c r="A12" s="143"/>
      <c r="B12" s="33" t="s">
        <v>21</v>
      </c>
      <c r="C12" s="21"/>
      <c r="D12" s="22">
        <v>35.624351501464844</v>
      </c>
      <c r="E12" s="22">
        <v>34.221561431884766</v>
      </c>
      <c r="F12" s="22">
        <v>35.292980194091797</v>
      </c>
      <c r="G12" s="22">
        <v>35.510288238525391</v>
      </c>
      <c r="H12" s="22">
        <v>37.014167785644531</v>
      </c>
      <c r="I12" s="22">
        <v>38.321155548095703</v>
      </c>
      <c r="J12" s="22">
        <v>38.868618011474609</v>
      </c>
      <c r="K12" s="22">
        <v>37.385456085205078</v>
      </c>
      <c r="L12" s="22">
        <v>38.467144012451172</v>
      </c>
      <c r="M12" s="23">
        <v>38.736881256103516</v>
      </c>
      <c r="N12" s="24">
        <f t="shared" si="0"/>
        <v>7.9799137139926174E-2</v>
      </c>
      <c r="O12" s="24">
        <f t="shared" si="1"/>
        <v>3.9254596651235769E-2</v>
      </c>
    </row>
    <row r="13" spans="1:15" s="19" customFormat="1" ht="18" customHeight="1" x14ac:dyDescent="0.2">
      <c r="A13" s="143"/>
      <c r="B13" s="33" t="s">
        <v>22</v>
      </c>
      <c r="C13" s="21"/>
      <c r="D13" s="22">
        <v>145.5872802734375</v>
      </c>
      <c r="E13" s="22">
        <v>139.82856750488281</v>
      </c>
      <c r="F13" s="22">
        <v>120.45836639404297</v>
      </c>
      <c r="G13" s="22">
        <v>144.96986389160156</v>
      </c>
      <c r="H13" s="22">
        <v>147.550537109375</v>
      </c>
      <c r="I13" s="22">
        <v>149.83982849121094</v>
      </c>
      <c r="J13" s="22">
        <v>147.93243408203125</v>
      </c>
      <c r="K13" s="22">
        <v>145.59864807128906</v>
      </c>
      <c r="L13" s="22">
        <v>148.65414428710937</v>
      </c>
      <c r="M13" s="23">
        <v>150.35855102539062</v>
      </c>
      <c r="N13" s="24">
        <f t="shared" si="0"/>
        <v>2.1065466762699232E-2</v>
      </c>
      <c r="O13" s="24">
        <f t="shared" si="1"/>
        <v>7.479519894368819E-3</v>
      </c>
    </row>
    <row r="14" spans="1:15" s="19" customFormat="1" ht="18" customHeight="1" x14ac:dyDescent="0.2">
      <c r="A14" s="143"/>
      <c r="B14" s="33" t="s">
        <v>23</v>
      </c>
      <c r="C14" s="25"/>
      <c r="D14" s="26">
        <v>48.166728973388672</v>
      </c>
      <c r="E14" s="26">
        <v>58.455593109130859</v>
      </c>
      <c r="F14" s="26">
        <v>66.513526916503906</v>
      </c>
      <c r="G14" s="26">
        <v>61.346874237060547</v>
      </c>
      <c r="H14" s="26">
        <v>59.244678497314453</v>
      </c>
      <c r="I14" s="26">
        <v>62.291099548339844</v>
      </c>
      <c r="J14" s="26">
        <v>62.005256652832031</v>
      </c>
      <c r="K14" s="26">
        <v>66.054718017578125</v>
      </c>
      <c r="L14" s="26">
        <v>65.495025634765625</v>
      </c>
      <c r="M14" s="27">
        <v>61.546085357666016</v>
      </c>
      <c r="N14" s="24">
        <f t="shared" si="0"/>
        <v>0.35975655874308077</v>
      </c>
      <c r="O14" s="24">
        <f t="shared" si="1"/>
        <v>0.10550056639660048</v>
      </c>
    </row>
    <row r="15" spans="1:15" s="19" customFormat="1" ht="18" customHeight="1" x14ac:dyDescent="0.2">
      <c r="A15" s="143"/>
      <c r="B15" s="33" t="s">
        <v>27</v>
      </c>
      <c r="C15" s="25"/>
      <c r="D15" s="26">
        <f ca="1">121.2401640625*OFFSET(D$108,MATCH($M$1,$C$109:$C$110,0),0)</f>
        <v>98.624022974750531</v>
      </c>
      <c r="E15" s="26">
        <f ca="1">157.869109375*OFFSET(E$108,MATCH($M$1,$C$109:$C$110,0),0)</f>
        <v>131.8727930977233</v>
      </c>
      <c r="F15" s="26">
        <f ca="1">178.916609375*OFFSET(F$108,MATCH($M$1,$C$109:$C$110,0),0)</f>
        <v>153.74661678753935</v>
      </c>
      <c r="G15" s="26">
        <f ca="1">164.3716875*OFFSET(G$108,MATCH($M$1,$C$109:$C$110,0),0)</f>
        <v>145.34895404268988</v>
      </c>
      <c r="H15" s="26">
        <f ca="1">133.860234375*OFFSET(H$108,MATCH($M$1,$C$109:$C$110,0),0)</f>
        <v>120.71248408935894</v>
      </c>
      <c r="I15" s="26">
        <f ca="1">142.94046875*OFFSET(I$108,MATCH($M$1,$C$109:$C$110,0),0)</f>
        <v>132.99038098839037</v>
      </c>
      <c r="J15" s="26">
        <f ca="1">170.695828125*OFFSET(J$108,MATCH($M$1,$C$109:$C$110,0),0)</f>
        <v>162.18834677112312</v>
      </c>
      <c r="K15" s="26">
        <f ca="1">191.623671875*OFFSET(K$108,MATCH($M$1,$C$109:$C$110,0),0)</f>
        <v>185.09696780193912</v>
      </c>
      <c r="L15" s="26">
        <f ca="1">168.2531875*OFFSET(L$108,MATCH($M$1,$C$109:$C$110,0),0)</f>
        <v>165.43157863569314</v>
      </c>
      <c r="M15" s="27">
        <f ca="1">167.27746875*OFFSET(M$108,MATCH($M$1,$C$109:$C$110,0),0)</f>
        <v>167.2774681001014</v>
      </c>
      <c r="N15" s="24">
        <f t="shared" ca="1" si="0"/>
        <v>0.67739637510068429</v>
      </c>
      <c r="O15" s="24">
        <f t="shared" ca="1" si="1"/>
        <v>0.37045956666114443</v>
      </c>
    </row>
    <row r="16" spans="1:15" s="19" customFormat="1" ht="18" customHeight="1" x14ac:dyDescent="0.2">
      <c r="A16" s="143"/>
      <c r="B16" s="33" t="s">
        <v>25</v>
      </c>
      <c r="C16" s="21"/>
      <c r="D16" s="22">
        <v>161.7620849609375</v>
      </c>
      <c r="E16" s="22">
        <v>155.68913269042969</v>
      </c>
      <c r="F16" s="22">
        <v>163.16311645507812</v>
      </c>
      <c r="G16" s="22">
        <v>161.77536010742187</v>
      </c>
      <c r="H16" s="22">
        <v>162.86666870117187</v>
      </c>
      <c r="I16" s="22">
        <v>167.625</v>
      </c>
      <c r="J16" s="22">
        <v>158</v>
      </c>
      <c r="K16" s="22">
        <v>164.68687438964844</v>
      </c>
      <c r="L16" s="22">
        <v>156.86734008789062</v>
      </c>
      <c r="M16" s="23">
        <v>158.33332824707031</v>
      </c>
      <c r="N16" s="24">
        <f t="shared" si="0"/>
        <v>-3.0258913108277899E-2</v>
      </c>
      <c r="O16" s="24">
        <f t="shared" si="1"/>
        <v>-3.6835828110961311E-2</v>
      </c>
    </row>
    <row r="17" spans="1:15" s="19" customFormat="1" ht="18" customHeight="1" x14ac:dyDescent="0.2">
      <c r="A17" s="143"/>
      <c r="B17" s="33" t="s">
        <v>28</v>
      </c>
      <c r="C17" s="21"/>
      <c r="D17" s="22">
        <v>29.496183395385742</v>
      </c>
      <c r="E17" s="22">
        <v>30.092199325561523</v>
      </c>
      <c r="F17" s="22">
        <v>30.950355529785156</v>
      </c>
      <c r="G17" s="22">
        <v>31.884057998657227</v>
      </c>
      <c r="H17" s="22">
        <v>32.141666412353516</v>
      </c>
      <c r="I17" s="22">
        <v>33.346153259277344</v>
      </c>
      <c r="J17" s="22">
        <v>34.882980346679687</v>
      </c>
      <c r="K17" s="22">
        <v>35.323230743408203</v>
      </c>
      <c r="L17" s="22">
        <v>35.683673858642578</v>
      </c>
      <c r="M17" s="23">
        <v>36.881721496582031</v>
      </c>
      <c r="N17" s="24">
        <f t="shared" si="0"/>
        <v>0.20977257905932267</v>
      </c>
      <c r="O17" s="24">
        <f t="shared" si="1"/>
        <v>0.11019986956643003</v>
      </c>
    </row>
    <row r="18" spans="1:15" s="19" customFormat="1" ht="18" customHeight="1" x14ac:dyDescent="0.2">
      <c r="A18" s="143"/>
      <c r="B18" s="33" t="s">
        <v>29</v>
      </c>
      <c r="C18" s="21"/>
      <c r="D18" s="34">
        <v>0.29776278138160706</v>
      </c>
      <c r="E18" s="34">
        <v>0.37546354532241821</v>
      </c>
      <c r="F18" s="34">
        <v>0.40765050053596497</v>
      </c>
      <c r="G18" s="34">
        <v>0.37921023368835449</v>
      </c>
      <c r="H18" s="34">
        <v>0.36376184225082397</v>
      </c>
      <c r="I18" s="34">
        <v>0.37160983681678772</v>
      </c>
      <c r="J18" s="34">
        <v>0.39243832230567932</v>
      </c>
      <c r="K18" s="34">
        <v>0.40109279751777649</v>
      </c>
      <c r="L18" s="34">
        <v>0.41751855611801147</v>
      </c>
      <c r="M18" s="35">
        <v>0.38871213793754578</v>
      </c>
      <c r="N18" s="24">
        <f t="shared" si="0"/>
        <v>0.40218516961973066</v>
      </c>
      <c r="O18" s="24">
        <f t="shared" si="1"/>
        <v>0.14777996926384801</v>
      </c>
    </row>
    <row r="19" spans="1:15" s="19" customFormat="1" ht="18" customHeight="1" x14ac:dyDescent="0.2">
      <c r="A19" s="144"/>
      <c r="B19" s="36" t="s">
        <v>8</v>
      </c>
      <c r="C19" s="37"/>
      <c r="D19" s="38">
        <f ca="1">2517.0933775021*OFFSET(D$108,MATCH($M$1,$C$109:$C$110,0),0)</f>
        <v>2047.554760519685</v>
      </c>
      <c r="E19" s="38">
        <f ca="1">2700.66737219155*OFFSET(E$108,MATCH($M$1,$C$109:$C$110,0),0)</f>
        <v>2255.9483043184068</v>
      </c>
      <c r="F19" s="38">
        <f ca="1">2689.92819255585*OFFSET(F$108,MATCH($M$1,$C$109:$C$110,0),0)</f>
        <v>2311.5090345808349</v>
      </c>
      <c r="G19" s="38">
        <f ca="1">2679.38159959857*OFFSET(G$108,MATCH($M$1,$C$109:$C$110,0),0)</f>
        <v>2369.2967986526355</v>
      </c>
      <c r="H19" s="38">
        <f ca="1">2259.44754509143*OFFSET(H$108,MATCH($M$1,$C$109:$C$110,0),0)</f>
        <v>2037.5246398681675</v>
      </c>
      <c r="I19" s="38">
        <f ca="1">2294.71739692449*OFFSET(I$108,MATCH($M$1,$C$109:$C$110,0),0)</f>
        <v>2134.9820911208908</v>
      </c>
      <c r="J19" s="38">
        <f ca="1">2752.92513175271*OFFSET(J$108,MATCH($M$1,$C$109:$C$110,0),0)</f>
        <v>2615.7193225406977</v>
      </c>
      <c r="K19" s="38">
        <f ca="1">2900.98377365566*OFFSET(K$108,MATCH($M$1,$C$109:$C$110,0),0)</f>
        <v>2802.1762389385876</v>
      </c>
      <c r="L19" s="38">
        <f ca="1">2568.94611525972*OFFSET(L$108,MATCH($M$1,$C$109:$C$110,0),0)</f>
        <v>2525.8648444769988</v>
      </c>
      <c r="M19" s="39">
        <f ca="1">2717.92218754097*OFFSET(M$108,MATCH($M$1,$C$109:$C$110,0),0)</f>
        <v>2717.9221769814258</v>
      </c>
      <c r="N19" s="40">
        <f ca="1">IF(L19=0,"",IFERROR(IF(AND(L19&gt;0,D19&lt;0),"na",IF(AND(L19&lt;0,D19&lt;0),-1,1)*(L19-D19)/D19),""))</f>
        <v>0.23360063094767486</v>
      </c>
      <c r="O19" s="40">
        <f ca="1">IF(L19=0,"",IFERROR(IF(AND(L19&gt;0,H19&lt;0),"na",IF(AND(L19&lt;0,H19&lt;0),-1,1)*(L19-H19)/H19),""))</f>
        <v>0.23967327562744373</v>
      </c>
    </row>
    <row r="20" spans="1:15" s="19" customFormat="1" ht="18" customHeight="1" x14ac:dyDescent="0.2">
      <c r="A20" s="145" t="s">
        <v>9</v>
      </c>
      <c r="B20" s="28" t="s">
        <v>30</v>
      </c>
      <c r="C20" s="41"/>
      <c r="D20" s="42">
        <v>1.8628485497609097</v>
      </c>
      <c r="E20" s="42">
        <v>2.3670108292717629</v>
      </c>
      <c r="F20" s="42">
        <v>2.5452958473768375</v>
      </c>
      <c r="G20" s="42">
        <v>2.3641869516423895</v>
      </c>
      <c r="H20" s="42">
        <v>2.2305187753388029</v>
      </c>
      <c r="I20" s="42">
        <v>2.2439957359529878</v>
      </c>
      <c r="J20" s="42">
        <v>2.394245083442669</v>
      </c>
      <c r="K20" s="42">
        <v>2.4871515461478548</v>
      </c>
      <c r="L20" s="42">
        <v>2.5137796204516185</v>
      </c>
      <c r="M20" s="43">
        <v>2.3451858105153818</v>
      </c>
      <c r="N20" s="32">
        <f t="shared" si="0"/>
        <v>0.34942780011518038</v>
      </c>
      <c r="O20" s="32">
        <f t="shared" si="1"/>
        <v>0.12699325746307152</v>
      </c>
    </row>
    <row r="21" spans="1:15" s="19" customFormat="1" ht="18" customHeight="1" x14ac:dyDescent="0.2">
      <c r="A21" s="145"/>
      <c r="B21" s="33" t="s">
        <v>31</v>
      </c>
      <c r="C21" s="21"/>
      <c r="D21" s="34">
        <f ca="1">4.6889641171478*OFFSET(D$108,MATCH($M$1,$C$109:$C$110,0),0)</f>
        <v>3.8142847165644933</v>
      </c>
      <c r="E21" s="34">
        <f ca="1">6.39250876816002*OFFSET(E$108,MATCH($M$1,$C$109:$C$110,0),0)</f>
        <v>5.3398539429047087</v>
      </c>
      <c r="F21" s="34">
        <f ca="1">6.84666298692296*OFFSET(F$108,MATCH($M$1,$C$109:$C$110,0),0)</f>
        <v>5.8834742855962068</v>
      </c>
      <c r="G21" s="34">
        <f ca="1">6.33455907313658*OFFSET(G$108,MATCH($M$1,$C$109:$C$110,0),0)</f>
        <v>5.6014606262531252</v>
      </c>
      <c r="H21" s="34">
        <f ca="1">5.03973983179307*OFFSET(H$108,MATCH($M$1,$C$109:$C$110,0),0)</f>
        <v>4.544736658353318</v>
      </c>
      <c r="I21" s="34">
        <f ca="1">5.14933601583326*OFFSET(I$108,MATCH($M$1,$C$109:$C$110,0),0)</f>
        <v>4.7908906733797556</v>
      </c>
      <c r="J21" s="34">
        <f ca="1">6.59117741485535*OFFSET(J$108,MATCH($M$1,$C$109:$C$110,0),0)</f>
        <v>6.262673083068675</v>
      </c>
      <c r="K21" s="34">
        <f ca="1">7.21518653149963*OFFSET(K$108,MATCH($M$1,$C$109:$C$110,0),0)</f>
        <v>6.9694372101227211</v>
      </c>
      <c r="L21" s="34">
        <f ca="1">6.45776423040312*OFFSET(L$108,MATCH($M$1,$C$109:$C$110,0),0)</f>
        <v>6.3494674125724968</v>
      </c>
      <c r="M21" s="35">
        <f ca="1">6.37403246448016*OFFSET(M$108,MATCH($M$1,$C$109:$C$110,0),0)</f>
        <v>6.3740324397160668</v>
      </c>
      <c r="N21" s="24">
        <f t="shared" ca="1" si="0"/>
        <v>0.66465481325983178</v>
      </c>
      <c r="O21" s="24">
        <f t="shared" ca="1" si="1"/>
        <v>0.39710348253117089</v>
      </c>
    </row>
    <row r="22" spans="1:15" s="19" customFormat="1" ht="18" customHeight="1" x14ac:dyDescent="0.2">
      <c r="A22" s="145"/>
      <c r="B22" s="33" t="s">
        <v>10</v>
      </c>
      <c r="C22" s="21"/>
      <c r="D22" s="34">
        <f ca="1">4.10381984426663*OFFSET(D$108,MATCH($M$1,$C$109:$C$110,0),0)</f>
        <v>3.3382932606107816</v>
      </c>
      <c r="E22" s="34">
        <f ca="1">4.90461107109756*OFFSET(E$108,MATCH($M$1,$C$109:$C$110,0),0)</f>
        <v>4.0969684542103071</v>
      </c>
      <c r="F22" s="34">
        <f ca="1">5.54893746466157*OFFSET(F$108,MATCH($M$1,$C$109:$C$110,0),0)</f>
        <v>4.7683128186787025</v>
      </c>
      <c r="G22" s="34">
        <f ca="1">5.14523285468412*OFFSET(G$108,MATCH($M$1,$C$109:$C$110,0),0)</f>
        <v>4.5497751170463596</v>
      </c>
      <c r="H22" s="34">
        <f ca="1">4.21709259116822*OFFSET(H$108,MATCH($M$1,$C$109:$C$110,0),0)</f>
        <v>3.8028898178129853</v>
      </c>
      <c r="I22" s="34">
        <f ca="1">4.29142178148381*OFFSET(I$108,MATCH($M$1,$C$109:$C$110,0),0)</f>
        <v>3.992695859278192</v>
      </c>
      <c r="J22" s="34">
        <f ca="1">5.35754864990852*OFFSET(J$108,MATCH($M$1,$C$109:$C$110,0),0)</f>
        <v>5.0905283850183478</v>
      </c>
      <c r="K22" s="34">
        <f ca="1">5.53519792150121*OFFSET(K$108,MATCH($M$1,$C$109:$C$110,0),0)</f>
        <v>5.3466690280405613</v>
      </c>
      <c r="L22" s="34">
        <f ca="1">5.34507536589231*OFFSET(L$108,MATCH($M$1,$C$109:$C$110,0),0)</f>
        <v>5.2554383595634411</v>
      </c>
      <c r="M22" s="35">
        <f ca="1">5.20479312058095*OFFSET(M$108,MATCH($M$1,$C$109:$C$110,0),0)</f>
        <v>5.2047931003595318</v>
      </c>
      <c r="N22" s="24">
        <f t="shared" ca="1" si="0"/>
        <v>0.5742890001826545</v>
      </c>
      <c r="O22" s="24">
        <f t="shared" ca="1" si="1"/>
        <v>0.38195914458173968</v>
      </c>
    </row>
    <row r="23" spans="1:15" s="19" customFormat="1" ht="18" customHeight="1" x14ac:dyDescent="0.2">
      <c r="A23" s="146"/>
      <c r="B23" s="33" t="s">
        <v>32</v>
      </c>
      <c r="C23" s="44"/>
      <c r="D23" s="34">
        <f ca="1">0.585144272881176*OFFSET(D$108,MATCH($M$1,$C$109:$C$110,0),0)</f>
        <v>0.47599145595371617</v>
      </c>
      <c r="E23" s="34">
        <f ca="1">1.48789769706245*OFFSET(E$108,MATCH($M$1,$C$109:$C$110,0),0)</f>
        <v>1.2428854886943932</v>
      </c>
      <c r="F23" s="34">
        <f ca="1">1.29772552226139*OFFSET(F$108,MATCH($M$1,$C$109:$C$110,0),0)</f>
        <v>1.1151614669175052</v>
      </c>
      <c r="G23" s="34">
        <f ca="1">1.18932621845245*OFFSET(G$108,MATCH($M$1,$C$109:$C$110,0),0)</f>
        <v>1.0516855092067561</v>
      </c>
      <c r="H23" s="34">
        <f ca="1">0.822647240624854*OFFSET(H$108,MATCH($M$1,$C$109:$C$110,0),0)</f>
        <v>0.74184684054033667</v>
      </c>
      <c r="I23" s="34">
        <f ca="1">0.857914234349447*OFFSET(I$108,MATCH($M$1,$C$109:$C$110,0),0)</f>
        <v>0.79819481410156057</v>
      </c>
      <c r="J23" s="34">
        <f ca="1">1.23362876494683*OFFSET(J$108,MATCH($M$1,$C$109:$C$110,0),0)</f>
        <v>1.1721446980503281</v>
      </c>
      <c r="K23" s="34">
        <f ca="1">1.67998860999842*OFFSET(K$108,MATCH($M$1,$C$109:$C$110,0),0)</f>
        <v>1.6227681820821596</v>
      </c>
      <c r="L23" s="34">
        <f ca="1">1.11268886451081*OFFSET(L$108,MATCH($M$1,$C$109:$C$110,0),0)</f>
        <v>1.0940290530090562</v>
      </c>
      <c r="M23" s="35">
        <f ca="1">1.16923934389921*OFFSET(M$108,MATCH($M$1,$C$109:$C$110,0),0)</f>
        <v>1.1692393393565359</v>
      </c>
      <c r="N23" s="24">
        <f t="shared" ca="1" si="0"/>
        <v>1.2984216193902354</v>
      </c>
      <c r="O23" s="24">
        <f t="shared" ca="1" si="1"/>
        <v>0.47473709291826549</v>
      </c>
    </row>
    <row r="24" spans="1:15" s="19" customFormat="1" ht="18" customHeight="1" x14ac:dyDescent="0.2">
      <c r="A24" s="147" t="s">
        <v>11</v>
      </c>
      <c r="B24" s="28" t="s">
        <v>27</v>
      </c>
      <c r="C24" s="29"/>
      <c r="D24" s="30">
        <f ca="1">121.2*OFFSET(D$108,MATCH($M$1,$C$109:$C$110,0),0)</f>
        <v>98.59135111676197</v>
      </c>
      <c r="E24" s="30">
        <f ca="1">157.9*OFFSET(E$108,MATCH($M$1,$C$109:$C$110,0),0)</f>
        <v>131.8985969615407</v>
      </c>
      <c r="F24" s="30">
        <f ca="1">178.9*OFFSET(F$108,MATCH($M$1,$C$109:$C$110,0),0)</f>
        <v>153.73234401978388</v>
      </c>
      <c r="G24" s="30">
        <f ca="1">164.4*OFFSET(G$108,MATCH($M$1,$C$109:$C$110,0),0)</f>
        <v>145.37398993739853</v>
      </c>
      <c r="H24" s="30">
        <f ca="1">133.9*OFFSET(H$108,MATCH($M$1,$C$109:$C$110,0),0)</f>
        <v>120.74834393524617</v>
      </c>
      <c r="I24" s="30">
        <f ca="1">142.9*OFFSET(I$108,MATCH($M$1,$C$109:$C$110,0),0)</f>
        <v>132.95272926856822</v>
      </c>
      <c r="J24" s="30">
        <f ca="1">170.7*OFFSET(J$108,MATCH($M$1,$C$109:$C$110,0),0)</f>
        <v>162.19231071984183</v>
      </c>
      <c r="K24" s="30">
        <f ca="1">191.6*OFFSET(K$108,MATCH($M$1,$C$109:$C$110,0),0)</f>
        <v>185.07410219122508</v>
      </c>
      <c r="L24" s="30">
        <f ca="1">168.3*OFFSET(L$108,MATCH($M$1,$C$109:$C$110,0),0)</f>
        <v>165.47760608925856</v>
      </c>
      <c r="M24" s="31">
        <f ca="1">167.3*OFFSET(M$108,MATCH($M$1,$C$109:$C$110,0),0)</f>
        <v>167.29999935001388</v>
      </c>
      <c r="N24" s="32">
        <f t="shared" ca="1" si="0"/>
        <v>0.67841909269792877</v>
      </c>
      <c r="O24" s="32">
        <f t="shared" ca="1" si="1"/>
        <v>0.37043375251588867</v>
      </c>
    </row>
    <row r="25" spans="1:15" s="19" customFormat="1" ht="18" customHeight="1" x14ac:dyDescent="0.2">
      <c r="A25" s="148"/>
      <c r="B25" s="33" t="s">
        <v>33</v>
      </c>
      <c r="C25" s="25"/>
      <c r="D25" s="26">
        <f ca="1">4.4*OFFSET(D$108,MATCH($M$1,$C$109:$C$110,0),0)</f>
        <v>3.5792239679352535</v>
      </c>
      <c r="E25" s="26">
        <f ca="1">3.8*OFFSET(E$108,MATCH($M$1,$C$109:$C$110,0),0)</f>
        <v>3.1742537584157988</v>
      </c>
      <c r="F25" s="26">
        <f ca="1">3.2*OFFSET(F$108,MATCH($M$1,$C$109:$C$110,0),0)</f>
        <v>2.7498239288055251</v>
      </c>
      <c r="G25" s="26">
        <f ca="1">5.2*OFFSET(G$108,MATCH($M$1,$C$109:$C$110,0),0)</f>
        <v>4.5982040612802457</v>
      </c>
      <c r="H25" s="26">
        <f ca="1">1.6*OFFSET(H$108,MATCH($M$1,$C$109:$C$110,0),0)</f>
        <v>1.4428480231246743</v>
      </c>
      <c r="I25" s="26">
        <f ca="1">2.6*OFFSET(I$108,MATCH($M$1,$C$109:$C$110,0),0)</f>
        <v>2.4190139684973921</v>
      </c>
      <c r="J25" s="26">
        <f ca="1">2.9*OFFSET(J$108,MATCH($M$1,$C$109:$C$110,0),0)</f>
        <v>2.7554639782515604</v>
      </c>
      <c r="K25" s="26">
        <f ca="1">11.4*OFFSET(K$108,MATCH($M$1,$C$109:$C$110,0),0)</f>
        <v>11.011715892379781</v>
      </c>
      <c r="L25" s="26">
        <f ca="1">8.9*OFFSET(L$108,MATCH($M$1,$C$109:$C$110,0),0)</f>
        <v>8.7507468460748719</v>
      </c>
      <c r="M25" s="27">
        <f ca="1">8.8*OFFSET(M$108,MATCH($M$1,$C$109:$C$110,0),0)</f>
        <v>8.7999999658106525</v>
      </c>
      <c r="N25" s="24">
        <f t="shared" ca="1" si="0"/>
        <v>1.4448726663849745</v>
      </c>
      <c r="O25" s="24">
        <f t="shared" ca="1" si="1"/>
        <v>5.0649123856606852</v>
      </c>
    </row>
    <row r="26" spans="1:15" s="19" customFormat="1" ht="18" customHeight="1" x14ac:dyDescent="0.2">
      <c r="A26" s="148"/>
      <c r="B26" s="45" t="s">
        <v>34</v>
      </c>
      <c r="C26" s="46"/>
      <c r="D26" s="47">
        <f ca="1">125.6*OFFSET(D$108,MATCH($M$1,$C$109:$C$110,0),0)</f>
        <v>102.17057508469722</v>
      </c>
      <c r="E26" s="47">
        <f ca="1">161.7*OFFSET(E$108,MATCH($M$1,$C$109:$C$110,0),0)</f>
        <v>135.07285071995648</v>
      </c>
      <c r="F26" s="47">
        <f ca="1">182.2*OFFSET(F$108,MATCH($M$1,$C$109:$C$110,0),0)</f>
        <v>156.56809994636455</v>
      </c>
      <c r="G26" s="47">
        <f ca="1">169.6*OFFSET(G$108,MATCH($M$1,$C$109:$C$110,0),0)</f>
        <v>149.97219399867876</v>
      </c>
      <c r="H26" s="47">
        <f ca="1">135.5*OFFSET(H$108,MATCH($M$1,$C$109:$C$110,0),0)</f>
        <v>122.19119195837084</v>
      </c>
      <c r="I26" s="47">
        <f ca="1">145.5*OFFSET(I$108,MATCH($M$1,$C$109:$C$110,0),0)</f>
        <v>135.3717432370656</v>
      </c>
      <c r="J26" s="47">
        <f ca="1">173.6*OFFSET(J$108,MATCH($M$1,$C$109:$C$110,0),0)</f>
        <v>164.94777469809341</v>
      </c>
      <c r="K26" s="47">
        <f ca="1">203*OFFSET(K$108,MATCH($M$1,$C$109:$C$110,0),0)</f>
        <v>196.08581808360486</v>
      </c>
      <c r="L26" s="47">
        <f ca="1">177.2*OFFSET(L$108,MATCH($M$1,$C$109:$C$110,0),0)</f>
        <v>174.22835293533339</v>
      </c>
      <c r="M26" s="48">
        <f ca="1">176.1*OFFSET(M$108,MATCH($M$1,$C$109:$C$110,0),0)</f>
        <v>176.0999993158245</v>
      </c>
      <c r="N26" s="49">
        <f t="shared" ca="1" si="0"/>
        <v>0.70526937712645554</v>
      </c>
      <c r="O26" s="49">
        <f t="shared" ca="1" si="1"/>
        <v>0.42586671054564251</v>
      </c>
    </row>
    <row r="27" spans="1:15" s="19" customFormat="1" ht="18" customHeight="1" x14ac:dyDescent="0.2">
      <c r="A27" s="148"/>
      <c r="B27" s="33" t="s">
        <v>35</v>
      </c>
      <c r="C27" s="25"/>
      <c r="D27" s="26">
        <f ca="1">19.2*OFFSET(D$108,MATCH($M$1,$C$109:$C$110,0),0)</f>
        <v>15.618431860081104</v>
      </c>
      <c r="E27" s="26">
        <f ca="1">21.3*OFFSET(E$108,MATCH($M$1,$C$109:$C$110,0),0)</f>
        <v>17.792527645856978</v>
      </c>
      <c r="F27" s="26">
        <f ca="1">23.7*OFFSET(F$108,MATCH($M$1,$C$109:$C$110,0),0)</f>
        <v>20.365883472715918</v>
      </c>
      <c r="G27" s="26">
        <f ca="1">32.3*OFFSET(G$108,MATCH($M$1,$C$109:$C$110,0),0)</f>
        <v>28.561921380644598</v>
      </c>
      <c r="H27" s="26">
        <f ca="1">25.2*OFFSET(H$108,MATCH($M$1,$C$109:$C$110,0),0)</f>
        <v>22.724856364213618</v>
      </c>
      <c r="I27" s="26">
        <f ca="1">29.4*OFFSET(I$108,MATCH($M$1,$C$109:$C$110,0),0)</f>
        <v>27.353465643778204</v>
      </c>
      <c r="J27" s="26">
        <f ca="1">36.5*OFFSET(J$108,MATCH($M$1,$C$109:$C$110,0),0)</f>
        <v>34.680839726269639</v>
      </c>
      <c r="K27" s="26">
        <f ca="1">38.2*OFFSET(K$108,MATCH($M$1,$C$109:$C$110,0),0)</f>
        <v>36.89890763937786</v>
      </c>
      <c r="L27" s="26">
        <f ca="1">35.4*OFFSET(L$108,MATCH($M$1,$C$109:$C$110,0),0)</f>
        <v>34.806341387758479</v>
      </c>
      <c r="M27" s="27">
        <f ca="1">32.1*OFFSET(M$108,MATCH($M$1,$C$109:$C$110,0),0)</f>
        <v>32.099999875286585</v>
      </c>
      <c r="N27" s="24">
        <f t="shared" ca="1" si="0"/>
        <v>1.228542641129001</v>
      </c>
      <c r="O27" s="24">
        <f t="shared" ca="1" si="1"/>
        <v>0.5316418651855771</v>
      </c>
    </row>
    <row r="28" spans="1:15" s="19" customFormat="1" ht="18" customHeight="1" x14ac:dyDescent="0.2">
      <c r="A28" s="148"/>
      <c r="B28" s="33" t="s">
        <v>36</v>
      </c>
      <c r="C28" s="25"/>
      <c r="D28" s="26">
        <f ca="1">39.4*OFFSET(D$108,MATCH($M$1,$C$109:$C$110,0),0)</f>
        <v>32.050323712874764</v>
      </c>
      <c r="E28" s="26">
        <f ca="1">41.4*OFFSET(E$108,MATCH($M$1,$C$109:$C$110,0),0)</f>
        <v>34.582659368003704</v>
      </c>
      <c r="F28" s="26">
        <f ca="1">54.4*OFFSET(F$108,MATCH($M$1,$C$109:$C$110,0),0)</f>
        <v>46.74700678969392</v>
      </c>
      <c r="G28" s="26">
        <f ca="1">41.7*OFFSET(G$108,MATCH($M$1,$C$109:$C$110,0),0)</f>
        <v>36.874059491420432</v>
      </c>
      <c r="H28" s="26">
        <f ca="1">31.5*OFFSET(H$108,MATCH($M$1,$C$109:$C$110,0),0)</f>
        <v>28.40607045526702</v>
      </c>
      <c r="I28" s="26">
        <f ca="1">35.3*OFFSET(I$108,MATCH($M$1,$C$109:$C$110,0),0)</f>
        <v>32.842766572291517</v>
      </c>
      <c r="J28" s="26">
        <f ca="1">42.2*OFFSET(J$108,MATCH($M$1,$C$109:$C$110,0),0)</f>
        <v>40.096751683522712</v>
      </c>
      <c r="K28" s="26">
        <f ca="1">47.4*OFFSET(K$108,MATCH($M$1,$C$109:$C$110,0),0)</f>
        <v>45.785555552526453</v>
      </c>
      <c r="L28" s="26">
        <f ca="1">43.9*OFFSET(L$108,MATCH($M$1,$C$109:$C$110,0),0)</f>
        <v>43.163796240751331</v>
      </c>
      <c r="M28" s="27">
        <f ca="1">44.9*OFFSET(M$108,MATCH($M$1,$C$109:$C$110,0),0)</f>
        <v>44.89999982555662</v>
      </c>
      <c r="N28" s="24">
        <f t="shared" ca="1" si="0"/>
        <v>0.34675071077089414</v>
      </c>
      <c r="O28" s="24">
        <f t="shared" ca="1" si="1"/>
        <v>0.51952718376603024</v>
      </c>
    </row>
    <row r="29" spans="1:15" s="19" customFormat="1" ht="18" customHeight="1" x14ac:dyDescent="0.2">
      <c r="A29" s="148"/>
      <c r="B29" s="33" t="s">
        <v>37</v>
      </c>
      <c r="C29" s="25"/>
      <c r="D29" s="26">
        <f ca="1">18.7*OFFSET(D$108,MATCH($M$1,$C$109:$C$110,0),0)</f>
        <v>15.211701863724825</v>
      </c>
      <c r="E29" s="26">
        <f ca="1">25.3*OFFSET(E$108,MATCH($M$1,$C$109:$C$110,0),0)</f>
        <v>21.133847391557818</v>
      </c>
      <c r="F29" s="26">
        <f ca="1">25.4*OFFSET(F$108,MATCH($M$1,$C$109:$C$110,0),0)</f>
        <v>21.826727434893854</v>
      </c>
      <c r="G29" s="26">
        <f ca="1">24.1*OFFSET(G$108,MATCH($M$1,$C$109:$C$110,0),0)</f>
        <v>21.310907284010369</v>
      </c>
      <c r="H29" s="26">
        <f ca="1">19.5*OFFSET(H$108,MATCH($M$1,$C$109:$C$110,0),0)</f>
        <v>17.584710281831967</v>
      </c>
      <c r="I29" s="26">
        <f ca="1">23.8*OFFSET(I$108,MATCH($M$1,$C$109:$C$110,0),0)</f>
        <v>22.143281711629974</v>
      </c>
      <c r="J29" s="26">
        <f ca="1">25.4*OFFSET(J$108,MATCH($M$1,$C$109:$C$110,0),0)</f>
        <v>24.134063809513666</v>
      </c>
      <c r="K29" s="26">
        <f ca="1">26.7*OFFSET(K$108,MATCH($M$1,$C$109:$C$110,0),0)</f>
        <v>25.790597747942115</v>
      </c>
      <c r="L29" s="26">
        <f ca="1">23.8*OFFSET(L$108,MATCH($M$1,$C$109:$C$110,0),0)</f>
        <v>23.400873588379994</v>
      </c>
      <c r="M29" s="27">
        <f ca="1">23.6*OFFSET(M$108,MATCH($M$1,$C$109:$C$110,0),0)</f>
        <v>23.599999908310387</v>
      </c>
      <c r="N29" s="24">
        <f t="shared" ca="1" si="0"/>
        <v>0.5383468462647033</v>
      </c>
      <c r="O29" s="24">
        <f t="shared" ca="1" si="1"/>
        <v>0.33075115900869434</v>
      </c>
    </row>
    <row r="30" spans="1:15" s="19" customFormat="1" ht="18" customHeight="1" x14ac:dyDescent="0.2">
      <c r="A30" s="148"/>
      <c r="B30" s="33" t="s">
        <v>38</v>
      </c>
      <c r="C30" s="25"/>
      <c r="D30" s="26">
        <f ca="1">77.3*OFFSET(D$108,MATCH($M$1,$C$109:$C$110,0),0)</f>
        <v>62.880457436680693</v>
      </c>
      <c r="E30" s="26">
        <f ca="1">88*OFFSET(E$108,MATCH($M$1,$C$109:$C$110,0),0)</f>
        <v>73.509034405418504</v>
      </c>
      <c r="F30" s="26">
        <f ca="1">103.5*OFFSET(F$108,MATCH($M$1,$C$109:$C$110,0),0)</f>
        <v>88.939617697303689</v>
      </c>
      <c r="G30" s="26">
        <f ca="1">98.1*OFFSET(G$108,MATCH($M$1,$C$109:$C$110,0),0)</f>
        <v>86.7468881560754</v>
      </c>
      <c r="H30" s="26">
        <f ca="1">76.2*OFFSET(H$108,MATCH($M$1,$C$109:$C$110,0),0)</f>
        <v>68.715637101312609</v>
      </c>
      <c r="I30" s="26">
        <f ca="1">88.5*OFFSET(I$108,MATCH($M$1,$C$109:$C$110,0),0)</f>
        <v>82.339513927699699</v>
      </c>
      <c r="J30" s="26">
        <f ca="1">104.1*OFFSET(J$108,MATCH($M$1,$C$109:$C$110,0),0)</f>
        <v>98.911655219306013</v>
      </c>
      <c r="K30" s="26">
        <f ca="1">112.3*OFFSET(K$108,MATCH($M$1,$C$109:$C$110,0),0)</f>
        <v>108.47506093984643</v>
      </c>
      <c r="L30" s="26">
        <f ca="1">103.1*OFFSET(L$108,MATCH($M$1,$C$109:$C$110,0),0)</f>
        <v>101.3710112168898</v>
      </c>
      <c r="M30" s="27">
        <f ca="1">100.6*OFFSET(M$108,MATCH($M$1,$C$109:$C$110,0),0)</f>
        <v>100.59999960915358</v>
      </c>
      <c r="N30" s="24">
        <f t="shared" ca="1" si="0"/>
        <v>0.61212267450452773</v>
      </c>
      <c r="O30" s="24">
        <f t="shared" ca="1" si="1"/>
        <v>0.47522478860860923</v>
      </c>
    </row>
    <row r="31" spans="1:15" s="19" customFormat="1" ht="18" customHeight="1" x14ac:dyDescent="0.2">
      <c r="A31" s="148"/>
      <c r="B31" s="33" t="s">
        <v>39</v>
      </c>
      <c r="C31" s="25"/>
      <c r="D31" s="26">
        <f ca="1">33.2*OFFSET(D$108,MATCH($M$1,$C$109:$C$110,0),0)</f>
        <v>27.006871758056914</v>
      </c>
      <c r="E31" s="26">
        <f ca="1">36.9*OFFSET(E$108,MATCH($M$1,$C$109:$C$110,0),0)</f>
        <v>30.823674654090258</v>
      </c>
      <c r="F31" s="26">
        <f ca="1">44.7*OFFSET(F$108,MATCH($M$1,$C$109:$C$110,0),0)</f>
        <v>38.41160300550218</v>
      </c>
      <c r="G31" s="26">
        <f ca="1">40.7*OFFSET(G$108,MATCH($M$1,$C$109:$C$110,0),0)</f>
        <v>35.989789479635768</v>
      </c>
      <c r="H31" s="26">
        <f ca="1">37.4*OFFSET(H$108,MATCH($M$1,$C$109:$C$110,0),0)</f>
        <v>33.726572540539259</v>
      </c>
      <c r="I31" s="26">
        <f ca="1">33.2*OFFSET(I$108,MATCH($M$1,$C$109:$C$110,0),0)</f>
        <v>30.888947597735935</v>
      </c>
      <c r="J31" s="26">
        <f ca="1">37.5*OFFSET(J$108,MATCH($M$1,$C$109:$C$110,0),0)</f>
        <v>35.630999718770177</v>
      </c>
      <c r="K31" s="26">
        <f ca="1">46.2*OFFSET(K$108,MATCH($M$1,$C$109:$C$110,0),0)</f>
        <v>44.626427563854904</v>
      </c>
      <c r="L31" s="26">
        <f ca="1">45.1*OFFSET(L$108,MATCH($M$1,$C$109:$C$110,0),0)</f>
        <v>44.343672219997387</v>
      </c>
      <c r="M31" s="27">
        <f ca="1">44.8*OFFSET(M$108,MATCH($M$1,$C$109:$C$110,0),0)</f>
        <v>44.799999825945136</v>
      </c>
      <c r="N31" s="24">
        <f t="shared" ca="1" si="0"/>
        <v>0.64194034086041141</v>
      </c>
      <c r="O31" s="24">
        <f t="shared" ca="1" si="1"/>
        <v>0.3147992481802413</v>
      </c>
    </row>
    <row r="32" spans="1:15" s="19" customFormat="1" ht="18" customHeight="1" x14ac:dyDescent="0.2">
      <c r="A32" s="148"/>
      <c r="B32" s="33" t="s">
        <v>40</v>
      </c>
      <c r="C32" s="25"/>
      <c r="D32" s="26">
        <f ca="1">110.5*OFFSET(D$108,MATCH($M$1,$C$109:$C$110,0),0)</f>
        <v>89.887329194737603</v>
      </c>
      <c r="E32" s="26">
        <f ca="1">124.9*OFFSET(E$108,MATCH($M$1,$C$109:$C$110,0),0)</f>
        <v>104.33270905950876</v>
      </c>
      <c r="F32" s="26">
        <f ca="1">148.2*OFFSET(F$108,MATCH($M$1,$C$109:$C$110,0),0)</f>
        <v>127.35122070280586</v>
      </c>
      <c r="G32" s="26">
        <f ca="1">138.7*OFFSET(G$108,MATCH($M$1,$C$109:$C$110,0),0)</f>
        <v>122.64825063453269</v>
      </c>
      <c r="H32" s="26">
        <f ca="1">113.6*OFFSET(H$108,MATCH($M$1,$C$109:$C$110,0),0)</f>
        <v>102.44220964185186</v>
      </c>
      <c r="I32" s="26">
        <f ca="1">121.7*OFFSET(I$108,MATCH($M$1,$C$109:$C$110,0),0)</f>
        <v>113.22846152543563</v>
      </c>
      <c r="J32" s="26">
        <f ca="1">141.6*OFFSET(J$108,MATCH($M$1,$C$109:$C$110,0),0)</f>
        <v>134.5426549380762</v>
      </c>
      <c r="K32" s="26">
        <f ca="1">158.4*OFFSET(K$108,MATCH($M$1,$C$109:$C$110,0),0)</f>
        <v>153.00489450464536</v>
      </c>
      <c r="L32" s="26">
        <f ca="1">148.2*OFFSET(L$108,MATCH($M$1,$C$109:$C$110,0),0)</f>
        <v>145.71468343688719</v>
      </c>
      <c r="M32" s="27">
        <f ca="1">145.4*OFFSET(M$108,MATCH($M$1,$C$109:$C$110,0),0)</f>
        <v>145.39999943509872</v>
      </c>
      <c r="N32" s="24">
        <f t="shared" ca="1" si="0"/>
        <v>0.62108146656801499</v>
      </c>
      <c r="O32" s="24">
        <f t="shared" ca="1" si="1"/>
        <v>0.42240863357321351</v>
      </c>
    </row>
    <row r="33" spans="1:15" s="19" customFormat="1" ht="18" customHeight="1" x14ac:dyDescent="0.2">
      <c r="A33" s="148"/>
      <c r="B33" s="45" t="s">
        <v>41</v>
      </c>
      <c r="C33" s="46"/>
      <c r="D33" s="47">
        <f ca="1">54.5*OFFSET(D$108,MATCH($M$1,$C$109:$C$110,0),0)</f>
        <v>44.333569602834388</v>
      </c>
      <c r="E33" s="47">
        <f ca="1">78.1*OFFSET(E$108,MATCH($M$1,$C$109:$C$110,0),0)</f>
        <v>65.239268034808916</v>
      </c>
      <c r="F33" s="47">
        <f ca="1">88.3*OFFSET(F$108,MATCH($M$1,$C$109:$C$110,0),0)</f>
        <v>75.877954035477444</v>
      </c>
      <c r="G33" s="47">
        <f ca="1">72.6*OFFSET(G$108,MATCH($M$1,$C$109:$C$110,0),0)</f>
        <v>64.1980028555665</v>
      </c>
      <c r="H33" s="47">
        <f ca="1">53.4*OFFSET(H$108,MATCH($M$1,$C$109:$C$110,0),0)</f>
        <v>48.155052771785996</v>
      </c>
      <c r="I33" s="47">
        <f ca="1">59.1*OFFSET(I$108,MATCH($M$1,$C$109:$C$110,0),0)</f>
        <v>54.986048283921491</v>
      </c>
      <c r="J33" s="47">
        <f ca="1">74.1*OFFSET(J$108,MATCH($M$1,$C$109:$C$110,0),0)</f>
        <v>70.40685544428986</v>
      </c>
      <c r="K33" s="47">
        <f ca="1">92*OFFSET(K$108,MATCH($M$1,$C$109:$C$110,0),0)</f>
        <v>88.866479131485946</v>
      </c>
      <c r="L33" s="47">
        <f ca="1">72.9*OFFSET(L$108,MATCH($M$1,$C$109:$C$110,0),0)</f>
        <v>71.677465739197558</v>
      </c>
      <c r="M33" s="48">
        <f ca="1">75.6*OFFSET(M$108,MATCH($M$1,$C$109:$C$110,0),0)</f>
        <v>75.599999706282418</v>
      </c>
      <c r="N33" s="49">
        <f t="shared" ca="1" si="0"/>
        <v>0.61677632505853952</v>
      </c>
      <c r="O33" s="49">
        <f t="shared" ca="1" si="1"/>
        <v>0.48847237441287411</v>
      </c>
    </row>
    <row r="34" spans="1:15" s="19" customFormat="1" ht="18" customHeight="1" x14ac:dyDescent="0.2">
      <c r="A34" s="148"/>
      <c r="B34" s="45" t="s">
        <v>42</v>
      </c>
      <c r="C34" s="46"/>
      <c r="D34" s="47">
        <f ca="1">15.1*OFFSET(D$108,MATCH($M$1,$C$109:$C$110,0),0)</f>
        <v>12.283245889959618</v>
      </c>
      <c r="E34" s="47">
        <f ca="1">36.7*OFFSET(E$108,MATCH($M$1,$C$109:$C$110,0),0)</f>
        <v>30.656608666805219</v>
      </c>
      <c r="F34" s="47">
        <f ca="1">33.9*OFFSET(F$108,MATCH($M$1,$C$109:$C$110,0),0)</f>
        <v>29.130947245783528</v>
      </c>
      <c r="G34" s="47">
        <f ca="1">30.9*OFFSET(G$108,MATCH($M$1,$C$109:$C$110,0),0)</f>
        <v>27.323943364146071</v>
      </c>
      <c r="H34" s="47">
        <f ca="1">21.9*OFFSET(H$108,MATCH($M$1,$C$109:$C$110,0),0)</f>
        <v>19.748982316518976</v>
      </c>
      <c r="I34" s="47">
        <f ca="1">23.8*OFFSET(I$108,MATCH($M$1,$C$109:$C$110,0),0)</f>
        <v>22.143281711629974</v>
      </c>
      <c r="J34" s="47">
        <f ca="1">31.9*OFFSET(J$108,MATCH($M$1,$C$109:$C$110,0),0)</f>
        <v>30.310103760767163</v>
      </c>
      <c r="K34" s="47">
        <f ca="1">44.6*OFFSET(K$108,MATCH($M$1,$C$109:$C$110,0),0)</f>
        <v>43.080923578959492</v>
      </c>
      <c r="L34" s="47">
        <f ca="1">29*OFFSET(L$108,MATCH($M$1,$C$109:$C$110,0),0)</f>
        <v>28.513669498446212</v>
      </c>
      <c r="M34" s="48">
        <f ca="1">30.7*OFFSET(M$108,MATCH($M$1,$C$109:$C$110,0),0)</f>
        <v>30.699999880725795</v>
      </c>
      <c r="N34" s="49">
        <f t="shared" ca="1" si="0"/>
        <v>1.321346470948157</v>
      </c>
      <c r="O34" s="49">
        <f t="shared" ca="1" si="1"/>
        <v>0.44380449794600507</v>
      </c>
    </row>
    <row r="35" spans="1:15" s="19" customFormat="1" ht="18" customHeight="1" x14ac:dyDescent="0.2">
      <c r="A35" s="148"/>
      <c r="B35" s="33" t="s">
        <v>43</v>
      </c>
      <c r="C35" s="25"/>
      <c r="D35" s="26">
        <f ca="1">7.2*OFFSET(D$108,MATCH($M$1,$C$109:$C$110,0),0)</f>
        <v>5.8569119475304143</v>
      </c>
      <c r="E35" s="26">
        <f ca="1">3.6*OFFSET(E$108,MATCH($M$1,$C$109:$C$110,0),0)</f>
        <v>3.0071877711307571</v>
      </c>
      <c r="F35" s="26">
        <f ca="1">5*OFFSET(F$108,MATCH($M$1,$C$109:$C$110,0),0)</f>
        <v>4.2965998887586325</v>
      </c>
      <c r="G35" s="26">
        <f ca="1">4.7*OFFSET(G$108,MATCH($M$1,$C$109:$C$110,0),0)</f>
        <v>4.1560690553879143</v>
      </c>
      <c r="H35" s="26">
        <f ca="1">9.4*OFFSET(H$108,MATCH($M$1,$C$109:$C$110,0),0)</f>
        <v>8.4767321358574605</v>
      </c>
      <c r="I35" s="26">
        <f ca="1">9.3*OFFSET(I$108,MATCH($M$1,$C$109:$C$110,0),0)</f>
        <v>8.6526268873175951</v>
      </c>
      <c r="J35" s="26">
        <f ca="1">9.6*OFFSET(J$108,MATCH($M$1,$C$109:$C$110,0),0)</f>
        <v>9.1215359280051658</v>
      </c>
      <c r="K35" s="26">
        <f ca="1">5*OFFSET(K$108,MATCH($M$1,$C$109:$C$110,0),0)</f>
        <v>4.8296999527981495</v>
      </c>
      <c r="L35" s="26">
        <f ca="1">6*OFFSET(L$108,MATCH($M$1,$C$109:$C$110,0),0)</f>
        <v>5.8993798962302506</v>
      </c>
      <c r="M35" s="27"/>
      <c r="N35" s="24">
        <f t="shared" ca="1" si="0"/>
        <v>7.2509112447461371E-3</v>
      </c>
      <c r="O35" s="24">
        <f t="shared" ca="1" si="1"/>
        <v>-0.30405021632389934</v>
      </c>
    </row>
    <row r="36" spans="1:15" s="19" customFormat="1" ht="18" customHeight="1" x14ac:dyDescent="0.2">
      <c r="A36" s="148"/>
      <c r="B36" s="33" t="s">
        <v>44</v>
      </c>
      <c r="C36" s="25"/>
      <c r="D36" s="26">
        <f ca="1">1.4*OFFSET(D$108,MATCH($M$1,$C$109:$C$110,0),0)</f>
        <v>1.1388439897975804</v>
      </c>
      <c r="E36" s="26">
        <f ca="1">4.7*OFFSET(E$108,MATCH($M$1,$C$109:$C$110,0),0)</f>
        <v>3.9260507011984882</v>
      </c>
      <c r="F36" s="26">
        <f ca="1">2.4*OFFSET(F$108,MATCH($M$1,$C$109:$C$110,0),0)</f>
        <v>2.0623679466041436</v>
      </c>
      <c r="G36" s="26">
        <f ca="1">4.3*OFFSET(G$108,MATCH($M$1,$C$109:$C$110,0),0)</f>
        <v>3.8023610506740488</v>
      </c>
      <c r="H36" s="26">
        <f ca="1">3.4*OFFSET(H$108,MATCH($M$1,$C$109:$C$110,0),0)</f>
        <v>3.0660520491399326</v>
      </c>
      <c r="I36" s="26">
        <f ca="1">2.7*OFFSET(I$108,MATCH($M$1,$C$109:$C$110,0),0)</f>
        <v>2.5120529672857534</v>
      </c>
      <c r="J36" s="26">
        <f ca="1">2.5*OFFSET(J$108,MATCH($M$1,$C$109:$C$110,0),0)</f>
        <v>2.3753999812513453</v>
      </c>
      <c r="K36" s="26">
        <f ca="1">2.1*OFFSET(K$108,MATCH($M$1,$C$109:$C$110,0),0)</f>
        <v>2.0284739801752227</v>
      </c>
      <c r="L36" s="26">
        <f ca="1">1.6*OFFSET(L$108,MATCH($M$1,$C$109:$C$110,0),0)</f>
        <v>1.5731679723280669</v>
      </c>
      <c r="M36" s="27"/>
      <c r="N36" s="24">
        <f t="shared" ca="1" si="0"/>
        <v>0.38137267827850929</v>
      </c>
      <c r="O36" s="24">
        <f t="shared" ca="1" si="1"/>
        <v>-0.48690761046624731</v>
      </c>
    </row>
    <row r="37" spans="1:15" s="19" customFormat="1" ht="18" customHeight="1" x14ac:dyDescent="0.2">
      <c r="A37" s="148"/>
      <c r="B37" s="33" t="s">
        <v>45</v>
      </c>
      <c r="C37" s="25"/>
      <c r="D37" s="26"/>
      <c r="E37" s="26"/>
      <c r="F37" s="26"/>
      <c r="G37" s="26"/>
      <c r="H37" s="26">
        <f ca="1">0.3*OFFSET(H$108,MATCH($M$1,$C$109:$C$110,0),0)</f>
        <v>0.27053400433587638</v>
      </c>
      <c r="I37" s="26">
        <f ca="1">0.2*OFFSET(I$108,MATCH($M$1,$C$109:$C$110,0),0)</f>
        <v>0.1860779975767225</v>
      </c>
      <c r="J37" s="26">
        <f ca="1">0.1*OFFSET(J$108,MATCH($M$1,$C$109:$C$110,0),0)</f>
        <v>9.5015999250053815E-2</v>
      </c>
      <c r="K37" s="26">
        <f ca="1">2.5*OFFSET(K$108,MATCH($M$1,$C$109:$C$110,0),0)</f>
        <v>2.4148499763990747</v>
      </c>
      <c r="L37" s="26">
        <f ca="1">0.8*OFFSET(L$108,MATCH($M$1,$C$109:$C$110,0),0)</f>
        <v>0.78658398616403347</v>
      </c>
      <c r="M37" s="27"/>
      <c r="N37" s="24" t="str">
        <f t="shared" ca="1" si="0"/>
        <v/>
      </c>
      <c r="O37" s="24">
        <f t="shared" ca="1" si="1"/>
        <v>1.9075235406912656</v>
      </c>
    </row>
    <row r="38" spans="1:15" s="19" customFormat="1" ht="18" customHeight="1" thickBot="1" x14ac:dyDescent="0.25">
      <c r="A38" s="149"/>
      <c r="B38" s="50" t="s">
        <v>46</v>
      </c>
      <c r="C38" s="51"/>
      <c r="D38" s="52">
        <f ca="1">6.5*OFFSET(D$108,MATCH($M$1,$C$109:$C$110,0),0)</f>
        <v>5.2874899526316241</v>
      </c>
      <c r="E38" s="52">
        <f ca="1">28.5*OFFSET(E$108,MATCH($M$1,$C$109:$C$110,0),0)</f>
        <v>23.806903188118493</v>
      </c>
      <c r="F38" s="52">
        <f ca="1">26.5*OFFSET(F$108,MATCH($M$1,$C$109:$C$110,0),0)</f>
        <v>22.771979410420752</v>
      </c>
      <c r="G38" s="52">
        <f ca="1">21.9*OFFSET(G$108,MATCH($M$1,$C$109:$C$110,0),0)</f>
        <v>19.365513258084111</v>
      </c>
      <c r="H38" s="52">
        <f ca="1">8.7*OFFSET(H$108,MATCH($M$1,$C$109:$C$110,0),0)</f>
        <v>7.8454861257404147</v>
      </c>
      <c r="I38" s="52">
        <f ca="1">11.7*OFFSET(I$108,MATCH($M$1,$C$109:$C$110,0),0)</f>
        <v>10.885562858238265</v>
      </c>
      <c r="J38" s="52">
        <f ca="1">19.7*OFFSET(J$108,MATCH($M$1,$C$109:$C$110,0),0)</f>
        <v>18.718151852260601</v>
      </c>
      <c r="K38" s="52">
        <f ca="1">35*OFFSET(K$108,MATCH($M$1,$C$109:$C$110,0),0)</f>
        <v>33.807899669587044</v>
      </c>
      <c r="L38" s="52">
        <f ca="1">20.7*OFFSET(L$108,MATCH($M$1,$C$109:$C$110,0),0)</f>
        <v>20.352860641994365</v>
      </c>
      <c r="M38" s="53"/>
      <c r="N38" s="54">
        <f t="shared" ca="1" si="0"/>
        <v>2.8492480977414605</v>
      </c>
      <c r="O38" s="54">
        <f t="shared" ca="1" si="1"/>
        <v>1.5942128143236722</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WOS nephrops under 250kW</v>
      </c>
      <c r="C45" s="61"/>
      <c r="D45" s="61"/>
      <c r="E45" s="61"/>
      <c r="F45" s="61" t="str">
        <f>$B21&amp;CHAR(10)&amp;$A$1</f>
        <v>Income per kW day at sea (£)
WOS nephrops under 250kW</v>
      </c>
      <c r="G45" s="61"/>
      <c r="K45" s="61" t="str">
        <f>$B23&amp;CHAR(10)&amp;$A$1</f>
        <v>Operating profit per kW day at sea (£)
WOS nephrops under 250kW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WOS nephrops under 250kW</v>
      </c>
      <c r="F59" s="61" t="str">
        <f>$B19&amp;CHAR(10)&amp;$A$1</f>
        <v>Average price per tonne landed (£)
WOS nephrops under 250kW</v>
      </c>
      <c r="K59" s="61" t="str">
        <f>"Average annual operating profit per vessel (£'000)"&amp;CHAR(10)&amp;$A$1</f>
        <v>Average annual operating profit per vessel (£'000)
WOS nephrops under 250kW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WOS nephrops under 250kW</v>
      </c>
      <c r="F73" s="61" t="str">
        <f>"Top 5 landed species by value in "&amp;A74&amp;CHAR(10)&amp;A1</f>
        <v>Top 5 landed species by value in 2013
WOS nephrops under 250kW</v>
      </c>
    </row>
    <row r="74" spans="1:9" s="61" customFormat="1" x14ac:dyDescent="0.2">
      <c r="A74" s="61">
        <v>2013</v>
      </c>
      <c r="B74" s="61" t="s">
        <v>503</v>
      </c>
      <c r="C74" s="62">
        <v>0.90257984088839704</v>
      </c>
      <c r="D74" s="63">
        <v>8211234</v>
      </c>
      <c r="G74" s="61" t="s">
        <v>504</v>
      </c>
      <c r="H74" s="62">
        <v>0.93810542566680977</v>
      </c>
      <c r="I74" s="63">
        <v>8211234</v>
      </c>
    </row>
    <row r="75" spans="1:9" s="61" customFormat="1" x14ac:dyDescent="0.2">
      <c r="B75" s="61" t="s">
        <v>505</v>
      </c>
      <c r="C75" s="62">
        <v>3.8060221030431614E-2</v>
      </c>
      <c r="D75" s="63">
        <v>2783840</v>
      </c>
      <c r="G75" s="61" t="s">
        <v>506</v>
      </c>
      <c r="H75" s="62">
        <v>1.2630720644094918E-2</v>
      </c>
      <c r="I75" s="63">
        <v>2171775</v>
      </c>
    </row>
    <row r="76" spans="1:9" s="61" customFormat="1" x14ac:dyDescent="0.2">
      <c r="B76" s="61" t="s">
        <v>507</v>
      </c>
      <c r="C76" s="62">
        <v>1.7449526679610895E-2</v>
      </c>
      <c r="D76" s="63">
        <v>2171775</v>
      </c>
      <c r="G76" s="61" t="s">
        <v>508</v>
      </c>
      <c r="H76" s="62">
        <v>7.3168187276014792E-3</v>
      </c>
      <c r="I76" s="63">
        <v>2783840</v>
      </c>
    </row>
    <row r="77" spans="1:9" s="61" customFormat="1" x14ac:dyDescent="0.2">
      <c r="B77" s="61" t="s">
        <v>509</v>
      </c>
      <c r="C77" s="62">
        <v>9.3523539888930585E-3</v>
      </c>
      <c r="D77" s="63">
        <v>2764187</v>
      </c>
      <c r="G77" s="61" t="s">
        <v>510</v>
      </c>
      <c r="H77" s="62">
        <v>5.1093493917269478E-3</v>
      </c>
      <c r="I77" s="63">
        <v>6763595</v>
      </c>
    </row>
    <row r="78" spans="1:9" s="61" customFormat="1" x14ac:dyDescent="0.2">
      <c r="B78" s="61" t="s">
        <v>511</v>
      </c>
      <c r="C78" s="62">
        <v>5.2301839759764709E-3</v>
      </c>
      <c r="D78" s="63">
        <v>3511670</v>
      </c>
      <c r="G78" s="61" t="s">
        <v>512</v>
      </c>
      <c r="H78" s="62">
        <v>3.7308308658016115E-3</v>
      </c>
      <c r="I78" s="63">
        <v>2764187</v>
      </c>
    </row>
    <row r="79" spans="1:9" s="61" customFormat="1" x14ac:dyDescent="0.2">
      <c r="B79" s="61" t="s">
        <v>388</v>
      </c>
      <c r="C79" s="62">
        <v>2.7327873436690853E-2</v>
      </c>
      <c r="D79" s="63">
        <v>32768</v>
      </c>
      <c r="G79" s="61" t="s">
        <v>513</v>
      </c>
      <c r="H79" s="62">
        <v>3.3106854703965349E-2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60</v>
      </c>
      <c r="D88" s="66">
        <v>0.93432402352770527</v>
      </c>
      <c r="E88" s="66">
        <v>0.95015581316704079</v>
      </c>
      <c r="F88" s="66">
        <v>0.95352969092739492</v>
      </c>
      <c r="G88" s="66">
        <v>0.97143047446634678</v>
      </c>
      <c r="H88" s="66">
        <v>0.96088826217780021</v>
      </c>
      <c r="I88" s="66">
        <v>0.96585178222832768</v>
      </c>
      <c r="J88" s="66">
        <v>0.98170986397217208</v>
      </c>
      <c r="K88" s="66">
        <v>0.9601952566495312</v>
      </c>
      <c r="L88" s="66">
        <v>0.95410581624044077</v>
      </c>
      <c r="M88" s="66">
        <v>0.97851872402583462</v>
      </c>
      <c r="N88" s="61"/>
      <c r="O88" s="61">
        <v>8211234</v>
      </c>
    </row>
    <row r="89" spans="1:15" s="65" customFormat="1" hidden="1" x14ac:dyDescent="0.2">
      <c r="A89" s="61"/>
      <c r="B89" s="61">
        <v>2</v>
      </c>
      <c r="C89" s="61" t="s">
        <v>59</v>
      </c>
      <c r="D89" s="66">
        <v>1.3774551370858888E-2</v>
      </c>
      <c r="E89" s="66">
        <v>1.5954772582260662E-2</v>
      </c>
      <c r="F89" s="66">
        <v>1.6323119815546183E-2</v>
      </c>
      <c r="G89" s="66">
        <v>9.1884957545449349E-3</v>
      </c>
      <c r="H89" s="66">
        <v>1.2363947549473273E-2</v>
      </c>
      <c r="I89" s="66">
        <v>7.9183051207432579E-3</v>
      </c>
      <c r="J89" s="66">
        <v>1.0102688190063247E-2</v>
      </c>
      <c r="K89" s="66">
        <v>2.0018842498608427E-2</v>
      </c>
      <c r="L89" s="66">
        <v>1.284615108293743E-2</v>
      </c>
      <c r="M89" s="66">
        <v>3.7173337165686475E-3</v>
      </c>
      <c r="N89" s="61"/>
      <c r="O89" s="61">
        <v>2171775</v>
      </c>
    </row>
    <row r="90" spans="1:15" s="65" customFormat="1" hidden="1" x14ac:dyDescent="0.2">
      <c r="A90" s="61"/>
      <c r="B90" s="61">
        <v>3</v>
      </c>
      <c r="C90" s="61" t="s">
        <v>62</v>
      </c>
      <c r="D90" s="66">
        <v>7.4959781042925992E-3</v>
      </c>
      <c r="E90" s="66">
        <v>3.0866211943365368E-3</v>
      </c>
      <c r="F90" s="66"/>
      <c r="G90" s="66"/>
      <c r="H90" s="66">
        <v>6.267799375106054E-3</v>
      </c>
      <c r="I90" s="66">
        <v>5.7840166564239754E-3</v>
      </c>
      <c r="J90" s="66"/>
      <c r="K90" s="66">
        <v>3.9916138176276702E-3</v>
      </c>
      <c r="L90" s="66">
        <v>7.441614890372701E-3</v>
      </c>
      <c r="M90" s="66"/>
      <c r="N90" s="61"/>
      <c r="O90" s="61">
        <v>2783840</v>
      </c>
    </row>
    <row r="91" spans="1:15" s="65" customFormat="1" hidden="1" x14ac:dyDescent="0.2">
      <c r="A91" s="61"/>
      <c r="B91" s="61">
        <v>4</v>
      </c>
      <c r="C91" s="61" t="s">
        <v>170</v>
      </c>
      <c r="D91" s="66"/>
      <c r="E91" s="66"/>
      <c r="F91" s="66"/>
      <c r="G91" s="66"/>
      <c r="H91" s="66"/>
      <c r="I91" s="66"/>
      <c r="J91" s="66"/>
      <c r="K91" s="66"/>
      <c r="L91" s="66">
        <v>5.1964948058862001E-3</v>
      </c>
      <c r="M91" s="66"/>
      <c r="N91" s="61"/>
      <c r="O91" s="61">
        <v>6763595</v>
      </c>
    </row>
    <row r="92" spans="1:15" s="65" customFormat="1" hidden="1" x14ac:dyDescent="0.2">
      <c r="A92" s="61"/>
      <c r="B92" s="61">
        <v>5</v>
      </c>
      <c r="C92" s="61" t="s">
        <v>64</v>
      </c>
      <c r="D92" s="66"/>
      <c r="E92" s="66"/>
      <c r="F92" s="66">
        <v>2.4869546293288507E-3</v>
      </c>
      <c r="G92" s="66">
        <v>2.2012996468244637E-3</v>
      </c>
      <c r="H92" s="66"/>
      <c r="I92" s="66"/>
      <c r="J92" s="66">
        <v>1.3763372599094146E-3</v>
      </c>
      <c r="K92" s="66">
        <v>3.2781321795564431E-3</v>
      </c>
      <c r="L92" s="66">
        <v>3.794464173299596E-3</v>
      </c>
      <c r="M92" s="66">
        <v>2.2724308745388833E-3</v>
      </c>
      <c r="N92" s="61"/>
      <c r="O92" s="61">
        <v>2764187</v>
      </c>
    </row>
    <row r="93" spans="1:15" s="65" customFormat="1" hidden="1" x14ac:dyDescent="0.2">
      <c r="A93" s="61"/>
      <c r="B93" s="61">
        <v>6</v>
      </c>
      <c r="C93" s="61" t="s">
        <v>82</v>
      </c>
      <c r="D93" s="66">
        <v>5.9997159774103932E-3</v>
      </c>
      <c r="E93" s="66">
        <v>4.8722151999691949E-3</v>
      </c>
      <c r="F93" s="66">
        <v>4.1216723535436777E-3</v>
      </c>
      <c r="G93" s="66">
        <v>1.7570223756485891E-3</v>
      </c>
      <c r="H93" s="66">
        <v>1.4362109241083739E-3</v>
      </c>
      <c r="I93" s="66"/>
      <c r="J93" s="66">
        <v>8.8018763043838449E-4</v>
      </c>
      <c r="K93" s="66">
        <v>2.0267612850348713E-3</v>
      </c>
      <c r="L93" s="66"/>
      <c r="M93" s="66">
        <v>5.3685221511436407E-3</v>
      </c>
      <c r="N93" s="61"/>
      <c r="O93" s="61">
        <v>3511670</v>
      </c>
    </row>
    <row r="94" spans="1:15" s="65" customFormat="1" hidden="1" x14ac:dyDescent="0.2">
      <c r="A94" s="61"/>
      <c r="B94" s="61">
        <v>7</v>
      </c>
      <c r="C94" s="61" t="s">
        <v>61</v>
      </c>
      <c r="D94" s="66"/>
      <c r="E94" s="66"/>
      <c r="F94" s="66"/>
      <c r="G94" s="66"/>
      <c r="H94" s="66"/>
      <c r="I94" s="66"/>
      <c r="J94" s="66"/>
      <c r="K94" s="66"/>
      <c r="L94" s="66"/>
      <c r="M94" s="66">
        <v>3.3007176273159963E-3</v>
      </c>
      <c r="N94" s="61"/>
      <c r="O94" s="61">
        <v>1464488</v>
      </c>
    </row>
    <row r="95" spans="1:15" s="65" customFormat="1" hidden="1" x14ac:dyDescent="0.2">
      <c r="A95" s="61"/>
      <c r="B95" s="61">
        <v>8</v>
      </c>
      <c r="C95" s="61" t="s">
        <v>100</v>
      </c>
      <c r="D95" s="66">
        <v>1.2050637485393484E-2</v>
      </c>
      <c r="E95" s="66"/>
      <c r="F95" s="66">
        <v>4.5832931241014041E-3</v>
      </c>
      <c r="G95" s="66">
        <v>4.8864762605794866E-3</v>
      </c>
      <c r="H95" s="66">
        <v>8.764936403981417E-3</v>
      </c>
      <c r="I95" s="66">
        <v>9.0821032689248783E-3</v>
      </c>
      <c r="J95" s="66">
        <v>6.5828181673752162E-4</v>
      </c>
      <c r="K95" s="66"/>
      <c r="L95" s="66"/>
      <c r="M95" s="66"/>
      <c r="N95" s="61"/>
      <c r="O95" s="61">
        <v>8274269</v>
      </c>
    </row>
    <row r="96" spans="1:15" s="65" customFormat="1" hidden="1" x14ac:dyDescent="0.2">
      <c r="A96" s="61"/>
      <c r="B96" s="61">
        <v>9</v>
      </c>
      <c r="C96" s="61" t="s">
        <v>67</v>
      </c>
      <c r="D96" s="66"/>
      <c r="E96" s="66"/>
      <c r="F96" s="66"/>
      <c r="G96" s="66"/>
      <c r="H96" s="66"/>
      <c r="I96" s="66">
        <v>2.1207837861958643E-3</v>
      </c>
      <c r="J96" s="66"/>
      <c r="K96" s="66"/>
      <c r="L96" s="66"/>
      <c r="M96" s="66"/>
      <c r="N96" s="61"/>
      <c r="O96" s="61">
        <v>10520359</v>
      </c>
    </row>
    <row r="97" spans="1:15" s="65" customFormat="1" hidden="1" x14ac:dyDescent="0.2">
      <c r="A97" s="61"/>
      <c r="B97" s="61">
        <v>10</v>
      </c>
      <c r="C97" s="61" t="s">
        <v>174</v>
      </c>
      <c r="D97" s="66"/>
      <c r="E97" s="66">
        <v>4.5258193690201343E-3</v>
      </c>
      <c r="F97" s="66"/>
      <c r="G97" s="66"/>
      <c r="H97" s="66"/>
      <c r="I97" s="66"/>
      <c r="J97" s="66"/>
      <c r="K97" s="66"/>
      <c r="L97" s="66"/>
      <c r="M97" s="66"/>
      <c r="N97" s="61"/>
      <c r="O97" s="61">
        <v>1928395</v>
      </c>
    </row>
    <row r="98" spans="1:15" s="65" customFormat="1" hidden="1" x14ac:dyDescent="0.2">
      <c r="A98" s="61"/>
      <c r="B98" s="61">
        <v>11</v>
      </c>
      <c r="C98" s="61" t="s">
        <v>68</v>
      </c>
      <c r="D98" s="66">
        <v>2.6355093534339333E-2</v>
      </c>
      <c r="E98" s="66">
        <v>2.1404758487372638E-2</v>
      </c>
      <c r="F98" s="66">
        <v>1.8955269150084934E-2</v>
      </c>
      <c r="G98" s="66">
        <v>1.0536231496055769E-2</v>
      </c>
      <c r="H98" s="66">
        <v>1.0278843569530714E-2</v>
      </c>
      <c r="I98" s="66">
        <v>9.2430089393843538E-3</v>
      </c>
      <c r="J98" s="66">
        <v>5.2726411306793378E-3</v>
      </c>
      <c r="K98" s="66">
        <v>1.0489393569641356E-2</v>
      </c>
      <c r="L98" s="66">
        <v>1.6615458807063332E-2</v>
      </c>
      <c r="M98" s="66">
        <v>6.8222716045982191E-3</v>
      </c>
      <c r="N98" s="61"/>
      <c r="O98" s="61">
        <v>32768</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12</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'WOS nephrops under 250kW'!D3:L3</xm:f>
              <xm:sqref>C3</xm:sqref>
            </x14:sparkline>
            <x14:sparkline>
              <xm:f>'WOS nephrops under 250kW'!D4:L4</xm:f>
              <xm:sqref>C4</xm:sqref>
            </x14:sparkline>
            <x14:sparkline>
              <xm:f>'WOS nephrops under 250kW'!D5:L5</xm:f>
              <xm:sqref>C5</xm:sqref>
            </x14:sparkline>
            <x14:sparkline>
              <xm:f>'WOS nephrops under 250kW'!D6:L6</xm:f>
              <xm:sqref>C6</xm:sqref>
            </x14:sparkline>
            <x14:sparkline>
              <xm:f>'WOS nephrops under 250kW'!D7:L7</xm:f>
              <xm:sqref>C7</xm:sqref>
            </x14:sparkline>
            <x14:sparkline>
              <xm:f>'WOS nephrops under 250kW'!D8:L8</xm:f>
              <xm:sqref>C8</xm:sqref>
            </x14:sparkline>
            <x14:sparkline>
              <xm:f>'WOS nephrops under 250kW'!D9:L9</xm:f>
              <xm:sqref>C9</xm:sqref>
            </x14:sparkline>
            <x14:sparkline>
              <xm:f>'WOS nephrops under 250kW'!D10:L10</xm:f>
              <xm:sqref>C10</xm:sqref>
            </x14:sparkline>
            <x14:sparkline>
              <xm:f>'WOS nephrops under 250kW'!D11:L11</xm:f>
              <xm:sqref>C11</xm:sqref>
            </x14:sparkline>
            <x14:sparkline>
              <xm:f>'WOS nephrops under 250kW'!D12:L12</xm:f>
              <xm:sqref>C12</xm:sqref>
            </x14:sparkline>
            <x14:sparkline>
              <xm:f>'WOS nephrops under 250kW'!D13:L13</xm:f>
              <xm:sqref>C13</xm:sqref>
            </x14:sparkline>
            <x14:sparkline>
              <xm:f>'WOS nephrops under 250kW'!D14:L14</xm:f>
              <xm:sqref>C14</xm:sqref>
            </x14:sparkline>
            <x14:sparkline>
              <xm:f>'WOS nephrops under 250kW'!D15:L15</xm:f>
              <xm:sqref>C15</xm:sqref>
            </x14:sparkline>
            <x14:sparkline>
              <xm:f>'WOS nephrops under 250kW'!D16:L16</xm:f>
              <xm:sqref>C16</xm:sqref>
            </x14:sparkline>
            <x14:sparkline>
              <xm:f>'WOS nephrops under 250kW'!D17:L17</xm:f>
              <xm:sqref>C17</xm:sqref>
            </x14:sparkline>
            <x14:sparkline>
              <xm:f>'WOS nephrops under 250kW'!D18:L18</xm:f>
              <xm:sqref>C18</xm:sqref>
            </x14:sparkline>
            <x14:sparkline>
              <xm:f>'WOS nephrops under 250kW'!D19:L19</xm:f>
              <xm:sqref>C19</xm:sqref>
            </x14:sparkline>
            <x14:sparkline>
              <xm:f>'WOS nephrops under 250kW'!D20:L20</xm:f>
              <xm:sqref>C20</xm:sqref>
            </x14:sparkline>
            <x14:sparkline>
              <xm:f>'WOS nephrops under 250kW'!D21:L21</xm:f>
              <xm:sqref>C21</xm:sqref>
            </x14:sparkline>
            <x14:sparkline>
              <xm:f>'WOS nephrops under 250kW'!D22:L22</xm:f>
              <xm:sqref>C22</xm:sqref>
            </x14:sparkline>
            <x14:sparkline>
              <xm:f>'WOS nephrops under 250kW'!D23:L23</xm:f>
              <xm:sqref>C23</xm:sqref>
            </x14:sparkline>
            <x14:sparkline>
              <xm:f>'WOS nephrops under 250kW'!D24:L24</xm:f>
              <xm:sqref>C24</xm:sqref>
            </x14:sparkline>
            <x14:sparkline>
              <xm:f>'WOS nephrops under 250kW'!D25:L25</xm:f>
              <xm:sqref>C25</xm:sqref>
            </x14:sparkline>
            <x14:sparkline>
              <xm:f>'WOS nephrops under 250kW'!D26:L26</xm:f>
              <xm:sqref>C26</xm:sqref>
            </x14:sparkline>
            <x14:sparkline>
              <xm:f>'WOS nephrops under 250kW'!D27:L27</xm:f>
              <xm:sqref>C27</xm:sqref>
            </x14:sparkline>
            <x14:sparkline>
              <xm:f>'WOS nephrops under 250kW'!D28:L28</xm:f>
              <xm:sqref>C28</xm:sqref>
            </x14:sparkline>
            <x14:sparkline>
              <xm:f>'WOS nephrops under 250kW'!D29:L29</xm:f>
              <xm:sqref>C29</xm:sqref>
            </x14:sparkline>
            <x14:sparkline>
              <xm:f>'WOS nephrops under 250kW'!D30:L30</xm:f>
              <xm:sqref>C30</xm:sqref>
            </x14:sparkline>
            <x14:sparkline>
              <xm:f>'WOS nephrops under 250kW'!D31:L31</xm:f>
              <xm:sqref>C31</xm:sqref>
            </x14:sparkline>
            <x14:sparkline>
              <xm:f>'WOS nephrops under 250kW'!D32:L32</xm:f>
              <xm:sqref>C32</xm:sqref>
            </x14:sparkline>
            <x14:sparkline>
              <xm:f>'WOS nephrops under 250kW'!D33:L33</xm:f>
              <xm:sqref>C33</xm:sqref>
            </x14:sparkline>
            <x14:sparkline>
              <xm:f>'WOS nephrops under 250kW'!D34:L34</xm:f>
              <xm:sqref>C34</xm:sqref>
            </x14:sparkline>
            <x14:sparkline>
              <xm:f>'WOS nephrops under 250kW'!D35:L35</xm:f>
              <xm:sqref>C35</xm:sqref>
            </x14:sparkline>
            <x14:sparkline>
              <xm:f>'WOS nephrops under 250kW'!D36:L36</xm:f>
              <xm:sqref>C36</xm:sqref>
            </x14:sparkline>
            <x14:sparkline>
              <xm:f>'WOS nephrops under 250kW'!D37:L37</xm:f>
              <xm:sqref>C37</xm:sqref>
            </x14:sparkline>
            <x14:sparkline>
              <xm:f>'WOS nephrops under 250kW'!D38:L38</xm:f>
              <xm:sqref>C38</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J35"/>
  <sheetViews>
    <sheetView workbookViewId="0"/>
  </sheetViews>
  <sheetFormatPr defaultColWidth="8.75" defaultRowHeight="15" customHeight="1" x14ac:dyDescent="0.2"/>
  <cols>
    <col min="1" max="1" width="32.25" style="71" customWidth="1"/>
    <col min="2" max="10" width="6.75" style="83" customWidth="1"/>
    <col min="11" max="22" width="6.75" style="71" customWidth="1"/>
    <col min="23" max="16384" width="8.75" style="71"/>
  </cols>
  <sheetData>
    <row r="1" spans="1:10" ht="33" customHeight="1" x14ac:dyDescent="0.2">
      <c r="A1" s="5" t="s">
        <v>521</v>
      </c>
      <c r="B1" s="5"/>
      <c r="C1" s="5"/>
      <c r="D1" s="5"/>
      <c r="E1" s="5"/>
      <c r="F1" s="5"/>
      <c r="G1" s="5"/>
      <c r="H1" s="5"/>
      <c r="I1" s="150" t="s">
        <v>515</v>
      </c>
      <c r="J1" s="150"/>
    </row>
    <row r="2" spans="1:10" ht="30" customHeight="1" x14ac:dyDescent="0.2">
      <c r="A2" s="151" t="s">
        <v>522</v>
      </c>
      <c r="B2" s="151"/>
      <c r="C2" s="151"/>
      <c r="D2" s="151"/>
      <c r="E2" s="151"/>
      <c r="F2" s="151"/>
      <c r="G2" s="151"/>
      <c r="H2" s="151"/>
      <c r="I2" s="151"/>
      <c r="J2" s="151"/>
    </row>
    <row r="3" spans="1:10" ht="15" customHeight="1" x14ac:dyDescent="0.2">
      <c r="A3" s="88"/>
      <c r="B3" s="33"/>
      <c r="C3" s="33"/>
      <c r="D3" s="33"/>
      <c r="E3" s="33"/>
      <c r="F3" s="33"/>
      <c r="G3" s="33"/>
      <c r="H3" s="33"/>
      <c r="I3" s="33"/>
      <c r="J3" s="33"/>
    </row>
    <row r="4" spans="1:10" ht="15" customHeight="1" thickBot="1" x14ac:dyDescent="0.25">
      <c r="A4" s="89" t="s">
        <v>516</v>
      </c>
      <c r="B4" s="90">
        <v>2005</v>
      </c>
      <c r="C4" s="90">
        <v>2006</v>
      </c>
      <c r="D4" s="90">
        <v>2007</v>
      </c>
      <c r="E4" s="90">
        <v>2008</v>
      </c>
      <c r="F4" s="90">
        <v>2009</v>
      </c>
      <c r="G4" s="90">
        <v>2010</v>
      </c>
      <c r="H4" s="90">
        <v>2011</v>
      </c>
      <c r="I4" s="90">
        <v>2012</v>
      </c>
      <c r="J4" s="90">
        <v>2013</v>
      </c>
    </row>
    <row r="5" spans="1:10" ht="15" customHeight="1" x14ac:dyDescent="0.2">
      <c r="A5" s="76" t="s">
        <v>18</v>
      </c>
      <c r="B5" s="77">
        <v>0.16666666666666666</v>
      </c>
      <c r="C5" s="77">
        <v>0.23529411764705882</v>
      </c>
      <c r="D5" s="77">
        <v>6.25E-2</v>
      </c>
      <c r="E5" s="77">
        <v>0.13333333333333333</v>
      </c>
      <c r="F5" s="77">
        <v>0.26666666666666666</v>
      </c>
      <c r="G5" s="77">
        <v>0.21428571428571427</v>
      </c>
      <c r="H5" s="77">
        <v>8.3333333333333329E-2</v>
      </c>
      <c r="I5" s="77">
        <v>0</v>
      </c>
      <c r="J5" s="77">
        <v>0.4</v>
      </c>
    </row>
    <row r="6" spans="1:10" ht="15" customHeight="1" x14ac:dyDescent="0.2">
      <c r="A6" s="79" t="s">
        <v>69</v>
      </c>
      <c r="B6" s="77">
        <v>0.22857142857142856</v>
      </c>
      <c r="C6" s="77">
        <v>0.11764705882352941</v>
      </c>
      <c r="D6" s="77">
        <v>0.11428571428571428</v>
      </c>
      <c r="E6" s="77">
        <v>0.2</v>
      </c>
      <c r="F6" s="77">
        <v>0.13513513513513514</v>
      </c>
      <c r="G6" s="77">
        <v>0.17647058823529413</v>
      </c>
      <c r="H6" s="77">
        <v>0.22222222222222221</v>
      </c>
      <c r="I6" s="77">
        <v>0.12820512820512819</v>
      </c>
      <c r="J6" s="77">
        <v>0.16666666666666666</v>
      </c>
    </row>
    <row r="7" spans="1:10" ht="15" customHeight="1" x14ac:dyDescent="0.2">
      <c r="A7" s="79" t="s">
        <v>86</v>
      </c>
      <c r="B7" s="77">
        <v>0.11666666666666667</v>
      </c>
      <c r="C7" s="77">
        <v>0.2153846153846154</v>
      </c>
      <c r="D7" s="77">
        <v>0.14516129032258066</v>
      </c>
      <c r="E7" s="77">
        <v>0.14516129032258066</v>
      </c>
      <c r="F7" s="77">
        <v>4.9180327868852458E-2</v>
      </c>
      <c r="G7" s="77">
        <v>0.24074074074074073</v>
      </c>
      <c r="H7" s="77">
        <v>0.23636363636363636</v>
      </c>
      <c r="I7" s="77">
        <v>0.14035087719298245</v>
      </c>
      <c r="J7" s="77">
        <v>0.12727272727272726</v>
      </c>
    </row>
    <row r="8" spans="1:10" ht="15" customHeight="1" x14ac:dyDescent="0.2">
      <c r="A8" s="79" t="s">
        <v>102</v>
      </c>
      <c r="B8" s="77">
        <v>0</v>
      </c>
      <c r="C8" s="77">
        <v>0.17647058823529413</v>
      </c>
      <c r="D8" s="77">
        <v>0</v>
      </c>
      <c r="E8" s="77">
        <v>0</v>
      </c>
      <c r="F8" s="77">
        <v>0.21428571428571427</v>
      </c>
      <c r="G8" s="77">
        <v>6.6666666666666666E-2</v>
      </c>
      <c r="H8" s="77">
        <v>6.6666666666666666E-2</v>
      </c>
      <c r="I8" s="77">
        <v>0</v>
      </c>
      <c r="J8" s="77">
        <v>0</v>
      </c>
    </row>
    <row r="9" spans="1:10" ht="15" customHeight="1" x14ac:dyDescent="0.2">
      <c r="A9" s="79" t="s">
        <v>119</v>
      </c>
      <c r="B9" s="77">
        <v>7.6923076923076927E-2</v>
      </c>
      <c r="C9" s="77">
        <v>0.13636363636363635</v>
      </c>
      <c r="D9" s="77">
        <v>0.25</v>
      </c>
      <c r="E9" s="77">
        <v>0.17910447761194029</v>
      </c>
      <c r="F9" s="77">
        <v>0.21666666666666667</v>
      </c>
      <c r="G9" s="77">
        <v>0.171875</v>
      </c>
      <c r="H9" s="77">
        <v>4.7619047619047616E-2</v>
      </c>
      <c r="I9" s="77">
        <v>0.14754098360655737</v>
      </c>
      <c r="J9" s="77">
        <v>0.11475409836065574</v>
      </c>
    </row>
    <row r="10" spans="1:10" ht="15" customHeight="1" x14ac:dyDescent="0.2">
      <c r="A10" s="79" t="s">
        <v>137</v>
      </c>
      <c r="B10" s="77">
        <v>6.4516129032258063E-2</v>
      </c>
      <c r="C10" s="77">
        <v>0.08</v>
      </c>
      <c r="D10" s="77">
        <v>0</v>
      </c>
      <c r="E10" s="77">
        <v>0.05</v>
      </c>
      <c r="F10" s="77">
        <v>7.8947368421052627E-2</v>
      </c>
      <c r="G10" s="77">
        <v>7.4999999999999997E-2</v>
      </c>
      <c r="H10" s="77">
        <v>0.1951219512195122</v>
      </c>
      <c r="I10" s="77">
        <v>0.17073170731707318</v>
      </c>
      <c r="J10" s="77">
        <v>7.8947368421052627E-2</v>
      </c>
    </row>
    <row r="11" spans="1:10" ht="15" customHeight="1" x14ac:dyDescent="0.2">
      <c r="A11" s="79" t="s">
        <v>155</v>
      </c>
      <c r="B11" s="77">
        <v>0.1111111111111111</v>
      </c>
      <c r="C11" s="77">
        <v>0</v>
      </c>
      <c r="D11" s="77">
        <v>3.7037037037037035E-2</v>
      </c>
      <c r="E11" s="77">
        <v>9.6774193548387094E-2</v>
      </c>
      <c r="F11" s="77">
        <v>0.10344827586206896</v>
      </c>
      <c r="G11" s="77">
        <v>0.13793103448275862</v>
      </c>
      <c r="H11" s="77">
        <v>8.3333333333333329E-2</v>
      </c>
      <c r="I11" s="77">
        <v>7.1428571428571425E-2</v>
      </c>
      <c r="J11" s="77">
        <v>3.7037037037037035E-2</v>
      </c>
    </row>
    <row r="12" spans="1:10" ht="15" customHeight="1" x14ac:dyDescent="0.2">
      <c r="A12" s="79" t="s">
        <v>178</v>
      </c>
      <c r="B12" s="77">
        <v>0</v>
      </c>
      <c r="C12" s="77">
        <v>6.7567567567567571E-2</v>
      </c>
      <c r="D12" s="77">
        <v>7.1428571428571425E-2</v>
      </c>
      <c r="E12" s="77">
        <v>1.4285714285714285E-2</v>
      </c>
      <c r="F12" s="77">
        <v>2.8571428571428571E-2</v>
      </c>
      <c r="G12" s="77">
        <v>8.8607594936708861E-2</v>
      </c>
      <c r="H12" s="77">
        <v>4.2857142857142858E-2</v>
      </c>
      <c r="I12" s="77">
        <v>8.0645161290322578E-2</v>
      </c>
      <c r="J12" s="77">
        <v>3.7735849056603772E-2</v>
      </c>
    </row>
    <row r="13" spans="1:10" ht="15" customHeight="1" x14ac:dyDescent="0.2">
      <c r="A13" s="79" t="s">
        <v>196</v>
      </c>
      <c r="B13" s="77">
        <v>1.0332950631458095E-2</v>
      </c>
      <c r="C13" s="77">
        <v>1.7607771706132362E-2</v>
      </c>
      <c r="D13" s="77">
        <v>1.2273524254821741E-2</v>
      </c>
      <c r="E13" s="77">
        <v>0</v>
      </c>
      <c r="F13" s="77">
        <v>7.0498915401301515E-3</v>
      </c>
      <c r="G13" s="77">
        <v>8.5714285714285719E-3</v>
      </c>
      <c r="H13" s="77">
        <v>5.2941176470588233E-3</v>
      </c>
      <c r="I13" s="77">
        <v>2.0254629629629629E-2</v>
      </c>
      <c r="J13" s="77">
        <v>1.4863258026159334E-2</v>
      </c>
    </row>
    <row r="14" spans="1:10" ht="15" customHeight="1" x14ac:dyDescent="0.2">
      <c r="A14" s="79" t="s">
        <v>231</v>
      </c>
      <c r="B14" s="77">
        <v>0.36666666666666664</v>
      </c>
      <c r="C14" s="77">
        <v>0.52</v>
      </c>
      <c r="D14" s="77">
        <v>0.2</v>
      </c>
      <c r="E14" s="77">
        <v>0.35714285714285715</v>
      </c>
      <c r="F14" s="77">
        <v>0.55555555555555558</v>
      </c>
      <c r="G14" s="77">
        <v>0.7</v>
      </c>
      <c r="H14" s="77">
        <v>0.55555555555555558</v>
      </c>
      <c r="I14" s="77">
        <v>0.625</v>
      </c>
      <c r="J14" s="77">
        <v>0.18181818181818182</v>
      </c>
    </row>
    <row r="15" spans="1:10" ht="15" customHeight="1" x14ac:dyDescent="0.2">
      <c r="A15" s="79" t="s">
        <v>245</v>
      </c>
      <c r="B15" s="77">
        <v>0</v>
      </c>
      <c r="C15" s="77">
        <v>0</v>
      </c>
      <c r="D15" s="77">
        <v>0.5</v>
      </c>
      <c r="E15" s="77">
        <v>0.17241379310344829</v>
      </c>
      <c r="F15" s="77">
        <v>0.18518518518518517</v>
      </c>
      <c r="G15" s="77">
        <v>0.55555555555555558</v>
      </c>
      <c r="H15" s="77">
        <v>0.69230769230769229</v>
      </c>
      <c r="I15" s="77">
        <v>0.64</v>
      </c>
      <c r="J15" s="77">
        <v>0.3888888888888889</v>
      </c>
    </row>
    <row r="16" spans="1:10" ht="15" customHeight="1" x14ac:dyDescent="0.2">
      <c r="A16" s="79" t="s">
        <v>258</v>
      </c>
      <c r="B16" s="77">
        <v>0.39772727272727271</v>
      </c>
      <c r="C16" s="77">
        <v>0.41304347826086957</v>
      </c>
      <c r="D16" s="77">
        <v>0.41</v>
      </c>
      <c r="E16" s="77">
        <v>0.47422680412371132</v>
      </c>
      <c r="F16" s="77">
        <v>0.51807228915662651</v>
      </c>
      <c r="G16" s="77">
        <v>0.43157894736842106</v>
      </c>
      <c r="H16" s="77">
        <v>0.44578313253012047</v>
      </c>
      <c r="I16" s="77">
        <v>0.46575342465753422</v>
      </c>
      <c r="J16" s="77">
        <v>0.34545454545454546</v>
      </c>
    </row>
    <row r="17" spans="1:10" ht="15" customHeight="1" x14ac:dyDescent="0.2">
      <c r="A17" s="79" t="s">
        <v>272</v>
      </c>
      <c r="B17" s="77">
        <v>0.12871287128712872</v>
      </c>
      <c r="C17" s="77">
        <v>0.27272727272727271</v>
      </c>
      <c r="D17" s="77">
        <v>0.21568627450980393</v>
      </c>
      <c r="E17" s="77">
        <v>0.21951219512195122</v>
      </c>
      <c r="F17" s="77">
        <v>0.25301204819277107</v>
      </c>
      <c r="G17" s="77">
        <v>0.27027027027027029</v>
      </c>
      <c r="H17" s="77">
        <v>0.21875</v>
      </c>
      <c r="I17" s="77">
        <v>0.13636363636363635</v>
      </c>
      <c r="J17" s="77">
        <v>0.13793103448275862</v>
      </c>
    </row>
    <row r="18" spans="1:10" ht="15" customHeight="1" x14ac:dyDescent="0.2">
      <c r="A18" s="79" t="s">
        <v>285</v>
      </c>
      <c r="B18" s="77">
        <v>0.41860465116279072</v>
      </c>
      <c r="C18" s="77">
        <v>0.48780487804878048</v>
      </c>
      <c r="D18" s="77">
        <v>0.45238095238095238</v>
      </c>
      <c r="E18" s="77">
        <v>0.40425531914893614</v>
      </c>
      <c r="F18" s="77">
        <v>0.38775510204081631</v>
      </c>
      <c r="G18" s="77">
        <v>0.55813953488372092</v>
      </c>
      <c r="H18" s="77">
        <v>0.45238095238095238</v>
      </c>
      <c r="I18" s="77">
        <v>0.61904761904761907</v>
      </c>
      <c r="J18" s="77">
        <v>0.52500000000000002</v>
      </c>
    </row>
    <row r="19" spans="1:10" ht="15" customHeight="1" x14ac:dyDescent="0.2">
      <c r="A19" s="79" t="s">
        <v>298</v>
      </c>
      <c r="B19" s="77">
        <v>0.54761904761904767</v>
      </c>
      <c r="C19" s="77">
        <v>0.43902439024390244</v>
      </c>
      <c r="D19" s="77">
        <v>0.58333333333333337</v>
      </c>
      <c r="E19" s="77">
        <v>0.61538461538461542</v>
      </c>
      <c r="F19" s="77">
        <v>0.59459459459459463</v>
      </c>
      <c r="G19" s="77">
        <v>0.57894736842105265</v>
      </c>
      <c r="H19" s="77">
        <v>0.61764705882352944</v>
      </c>
      <c r="I19" s="77">
        <v>0.45161290322580644</v>
      </c>
      <c r="J19" s="77">
        <v>0.40740740740740738</v>
      </c>
    </row>
    <row r="20" spans="1:10" ht="15" customHeight="1" x14ac:dyDescent="0.2">
      <c r="A20" s="79" t="s">
        <v>310</v>
      </c>
      <c r="B20" s="77">
        <v>0.52</v>
      </c>
      <c r="C20" s="77">
        <v>0.59259259259259256</v>
      </c>
      <c r="D20" s="77">
        <v>0.57692307692307687</v>
      </c>
      <c r="E20" s="77">
        <v>0.45833333333333331</v>
      </c>
      <c r="F20" s="77">
        <v>0.45833333333333331</v>
      </c>
      <c r="G20" s="77">
        <v>0.39130434782608697</v>
      </c>
      <c r="H20" s="77">
        <v>0.4375</v>
      </c>
      <c r="I20" s="77">
        <v>0.6875</v>
      </c>
      <c r="J20" s="77">
        <v>0.42105263157894735</v>
      </c>
    </row>
    <row r="21" spans="1:10" ht="15" customHeight="1" x14ac:dyDescent="0.2">
      <c r="A21" s="79" t="s">
        <v>323</v>
      </c>
      <c r="B21" s="77">
        <v>0.40540540540540543</v>
      </c>
      <c r="C21" s="77">
        <v>0.51351351351351349</v>
      </c>
      <c r="D21" s="77">
        <v>0.36666666666666664</v>
      </c>
      <c r="E21" s="77">
        <v>0.33333333333333331</v>
      </c>
      <c r="F21" s="77">
        <v>0.45833333333333331</v>
      </c>
      <c r="G21" s="77">
        <v>0.47727272727272729</v>
      </c>
      <c r="H21" s="77">
        <v>0.45945945945945948</v>
      </c>
      <c r="I21" s="77">
        <v>0.47368421052631576</v>
      </c>
      <c r="J21" s="77">
        <v>0.46341463414634149</v>
      </c>
    </row>
    <row r="22" spans="1:10" ht="15" customHeight="1" x14ac:dyDescent="0.2">
      <c r="A22" s="79" t="s">
        <v>336</v>
      </c>
      <c r="B22" s="77">
        <v>0.14285714285714285</v>
      </c>
      <c r="C22" s="77">
        <v>0.125</v>
      </c>
      <c r="D22" s="77">
        <v>0.10714285714285714</v>
      </c>
      <c r="E22" s="77">
        <v>9.0909090909090912E-2</v>
      </c>
      <c r="F22" s="77">
        <v>0.15625</v>
      </c>
      <c r="G22" s="77">
        <v>0.25</v>
      </c>
      <c r="H22" s="77">
        <v>0.14285714285714285</v>
      </c>
      <c r="I22" s="77">
        <v>0.36842105263157893</v>
      </c>
      <c r="J22" s="77">
        <v>0.36842105263157893</v>
      </c>
    </row>
    <row r="23" spans="1:10" ht="15" customHeight="1" x14ac:dyDescent="0.2">
      <c r="A23" s="79" t="s">
        <v>364</v>
      </c>
      <c r="B23" s="77">
        <v>6.1728395061728392E-3</v>
      </c>
      <c r="C23" s="77">
        <v>0.12643678160919541</v>
      </c>
      <c r="D23" s="77">
        <v>0.10169491525423729</v>
      </c>
      <c r="E23" s="77">
        <v>0.13559322033898305</v>
      </c>
      <c r="F23" s="77">
        <v>9.03954802259887E-2</v>
      </c>
      <c r="G23" s="77">
        <v>0.10857142857142857</v>
      </c>
      <c r="H23" s="77">
        <v>0.10734463276836158</v>
      </c>
      <c r="I23" s="77">
        <v>0.1377245508982036</v>
      </c>
      <c r="J23" s="77">
        <v>0.13017751479289941</v>
      </c>
    </row>
    <row r="24" spans="1:10" ht="15" customHeight="1" x14ac:dyDescent="0.2">
      <c r="A24" s="79" t="s">
        <v>377</v>
      </c>
      <c r="B24" s="77">
        <v>8.5365853658536592E-2</v>
      </c>
      <c r="C24" s="77">
        <v>9.5238095238095233E-2</v>
      </c>
      <c r="D24" s="77">
        <v>8.0459770114942528E-2</v>
      </c>
      <c r="E24" s="77">
        <v>0.1111111111111111</v>
      </c>
      <c r="F24" s="77">
        <v>4.878048780487805E-2</v>
      </c>
      <c r="G24" s="77">
        <v>0.13580246913580246</v>
      </c>
      <c r="H24" s="77">
        <v>9.7560975609756101E-2</v>
      </c>
      <c r="I24" s="77">
        <v>0.21176470588235294</v>
      </c>
      <c r="J24" s="77">
        <v>0.29213483146067415</v>
      </c>
    </row>
    <row r="25" spans="1:10" ht="15" customHeight="1" x14ac:dyDescent="0.2">
      <c r="A25" s="79" t="s">
        <v>389</v>
      </c>
      <c r="B25" s="77">
        <v>0.5</v>
      </c>
      <c r="C25" s="77">
        <v>0.53846153846153844</v>
      </c>
      <c r="D25" s="77">
        <v>0.43243243243243246</v>
      </c>
      <c r="E25" s="77">
        <v>0.54838709677419351</v>
      </c>
      <c r="F25" s="77">
        <v>0.54166666666666663</v>
      </c>
      <c r="G25" s="77">
        <v>0.77272727272727271</v>
      </c>
      <c r="H25" s="77">
        <v>0.81818181818181823</v>
      </c>
      <c r="I25" s="77">
        <v>0.84210526315789469</v>
      </c>
      <c r="J25" s="77">
        <v>0.15789473684210525</v>
      </c>
    </row>
    <row r="26" spans="1:10" ht="15" customHeight="1" x14ac:dyDescent="0.2">
      <c r="A26" s="79" t="s">
        <v>402</v>
      </c>
      <c r="B26" s="77">
        <v>0</v>
      </c>
      <c r="C26" s="77">
        <v>6.25E-2</v>
      </c>
      <c r="D26" s="77">
        <v>0.36842105263157893</v>
      </c>
      <c r="E26" s="77">
        <v>0.40909090909090912</v>
      </c>
      <c r="F26" s="77">
        <v>0.31818181818181818</v>
      </c>
      <c r="G26" s="77">
        <v>0.36842105263157893</v>
      </c>
      <c r="H26" s="77">
        <v>0.21739130434782608</v>
      </c>
      <c r="I26" s="77">
        <v>0.30769230769230771</v>
      </c>
      <c r="J26" s="77">
        <v>0.32</v>
      </c>
    </row>
    <row r="27" spans="1:10" ht="15" customHeight="1" x14ac:dyDescent="0.2">
      <c r="A27" s="79" t="s">
        <v>443</v>
      </c>
      <c r="B27" s="77">
        <v>4.7058823529411764E-2</v>
      </c>
      <c r="C27" s="77">
        <v>0.10091743119266056</v>
      </c>
      <c r="D27" s="77">
        <v>0.17843866171003717</v>
      </c>
      <c r="E27" s="77">
        <v>6.7193675889328064E-2</v>
      </c>
      <c r="F27" s="77">
        <v>0.1038961038961039</v>
      </c>
      <c r="G27" s="77">
        <v>0.12037037037037036</v>
      </c>
      <c r="H27" s="77">
        <v>7.1428571428571425E-2</v>
      </c>
      <c r="I27" s="77">
        <v>0.11312217194570136</v>
      </c>
      <c r="J27" s="77">
        <v>9.5000000000000001E-2</v>
      </c>
    </row>
    <row r="28" spans="1:10" ht="15" customHeight="1" x14ac:dyDescent="0.2">
      <c r="A28" s="79" t="s">
        <v>455</v>
      </c>
      <c r="B28" s="77">
        <v>3.3333333333333333E-2</v>
      </c>
      <c r="C28" s="77">
        <v>8.1081081081081086E-2</v>
      </c>
      <c r="D28" s="77">
        <v>7.9069767441860464E-2</v>
      </c>
      <c r="E28" s="77">
        <v>3.4782608695652174E-2</v>
      </c>
      <c r="F28" s="77">
        <v>3.3333333333333333E-2</v>
      </c>
      <c r="G28" s="77">
        <v>6.7729083665338641E-2</v>
      </c>
      <c r="H28" s="77">
        <v>6.5972222222222224E-2</v>
      </c>
      <c r="I28" s="77">
        <v>0.10077519379844961</v>
      </c>
      <c r="J28" s="77">
        <v>3.6585365853658534E-2</v>
      </c>
    </row>
    <row r="29" spans="1:10" ht="15" customHeight="1" x14ac:dyDescent="0.2">
      <c r="A29" s="79" t="s">
        <v>468</v>
      </c>
      <c r="B29" s="77">
        <v>3.8374717832957109E-2</v>
      </c>
      <c r="C29" s="77">
        <v>6.2376237623762376E-2</v>
      </c>
      <c r="D29" s="77">
        <v>6.8716094032549732E-2</v>
      </c>
      <c r="E29" s="77">
        <v>6.4667291471415186E-2</v>
      </c>
      <c r="F29" s="77">
        <v>4.8582995951417005E-2</v>
      </c>
      <c r="G29" s="77">
        <v>6.5541211519364442E-2</v>
      </c>
      <c r="H29" s="77">
        <v>4.7047970479704798E-2</v>
      </c>
      <c r="I29" s="77">
        <v>7.5700934579439258E-2</v>
      </c>
      <c r="J29" s="77">
        <v>7.9079079079079073E-2</v>
      </c>
    </row>
    <row r="30" spans="1:10" ht="15" customHeight="1" x14ac:dyDescent="0.2">
      <c r="A30" s="79" t="s">
        <v>479</v>
      </c>
      <c r="B30" s="77">
        <v>0</v>
      </c>
      <c r="C30" s="77">
        <v>3.0303030303030304E-2</v>
      </c>
      <c r="D30" s="77">
        <v>8.5714285714285715E-2</v>
      </c>
      <c r="E30" s="77">
        <v>5.5555555555555552E-2</v>
      </c>
      <c r="F30" s="77">
        <v>7.6190476190476197E-2</v>
      </c>
      <c r="G30" s="77">
        <v>5.185185185185185E-2</v>
      </c>
      <c r="H30" s="77">
        <v>5.0359712230215826E-2</v>
      </c>
      <c r="I30" s="77">
        <v>0.10638297872340426</v>
      </c>
      <c r="J30" s="77">
        <v>4.6979865771812082E-2</v>
      </c>
    </row>
    <row r="31" spans="1:10" ht="15" customHeight="1" x14ac:dyDescent="0.2">
      <c r="A31" s="79" t="s">
        <v>491</v>
      </c>
      <c r="B31" s="77">
        <v>0.35714285714285715</v>
      </c>
      <c r="C31" s="77">
        <v>0.40740740740740738</v>
      </c>
      <c r="D31" s="77">
        <v>0.27272727272727271</v>
      </c>
      <c r="E31" s="77">
        <v>5.4054054054054057E-2</v>
      </c>
      <c r="F31" s="77">
        <v>0.1875</v>
      </c>
      <c r="G31" s="77">
        <v>0.2413793103448276</v>
      </c>
      <c r="H31" s="77">
        <v>0.2</v>
      </c>
      <c r="I31" s="77">
        <v>0.21212121212121213</v>
      </c>
      <c r="J31" s="77">
        <v>0.29729729729729731</v>
      </c>
    </row>
    <row r="32" spans="1:10" ht="15" customHeight="1" x14ac:dyDescent="0.2">
      <c r="A32" s="79" t="s">
        <v>502</v>
      </c>
      <c r="B32" s="77">
        <v>7.6335877862595422E-2</v>
      </c>
      <c r="C32" s="77">
        <v>0.26241134751773049</v>
      </c>
      <c r="D32" s="77">
        <v>0.22695035460992907</v>
      </c>
      <c r="E32" s="77">
        <v>0.13768115942028986</v>
      </c>
      <c r="F32" s="77">
        <v>0.15833333333333333</v>
      </c>
      <c r="G32" s="77">
        <v>0.30769230769230771</v>
      </c>
      <c r="H32" s="77">
        <v>0.19148936170212766</v>
      </c>
      <c r="I32" s="77">
        <v>0.32323232323232326</v>
      </c>
      <c r="J32" s="77">
        <v>0.21428571428571427</v>
      </c>
    </row>
    <row r="33" spans="1:10" ht="15" customHeight="1" x14ac:dyDescent="0.2">
      <c r="A33" s="79" t="s">
        <v>415</v>
      </c>
      <c r="B33" s="77">
        <v>0.2441860465116279</v>
      </c>
      <c r="C33" s="77">
        <v>0.23376623376623376</v>
      </c>
      <c r="D33" s="77">
        <v>0.20289855072463769</v>
      </c>
      <c r="E33" s="77">
        <v>0.14285714285714285</v>
      </c>
      <c r="F33" s="77">
        <v>0.25333333333333335</v>
      </c>
      <c r="G33" s="77">
        <v>0.16867469879518071</v>
      </c>
      <c r="H33" s="77">
        <v>0.17073170731707318</v>
      </c>
      <c r="I33" s="77">
        <v>0.30681818181818182</v>
      </c>
      <c r="J33" s="77">
        <v>0.20202020202020202</v>
      </c>
    </row>
    <row r="34" spans="1:10" ht="15" customHeight="1" x14ac:dyDescent="0.2">
      <c r="A34" s="79" t="s">
        <v>427</v>
      </c>
      <c r="B34" s="77">
        <v>3.7037037037037035E-2</v>
      </c>
      <c r="C34" s="77">
        <v>7.8125E-2</v>
      </c>
      <c r="D34" s="77">
        <v>0.11926605504587157</v>
      </c>
      <c r="E34" s="77">
        <v>6.5040650406504072E-2</v>
      </c>
      <c r="F34" s="77">
        <v>3.787878787878788E-2</v>
      </c>
      <c r="G34" s="77">
        <v>0.1111111111111111</v>
      </c>
      <c r="H34" s="77">
        <v>0.11627906976744186</v>
      </c>
      <c r="I34" s="77">
        <v>0.12658227848101267</v>
      </c>
      <c r="J34" s="77">
        <v>0.11855670103092783</v>
      </c>
    </row>
    <row r="35" spans="1:10" ht="15" customHeight="1" thickBot="1" x14ac:dyDescent="0.25">
      <c r="A35" s="91" t="s">
        <v>154</v>
      </c>
      <c r="B35" s="92">
        <v>6.8874172185430464E-3</v>
      </c>
      <c r="C35" s="92">
        <v>7.9798404031919366E-3</v>
      </c>
      <c r="D35" s="92">
        <v>5.8881256133464181E-3</v>
      </c>
      <c r="E35" s="92">
        <v>0</v>
      </c>
      <c r="F35" s="92">
        <v>0</v>
      </c>
      <c r="G35" s="92">
        <v>2.5693730729701952E-3</v>
      </c>
      <c r="H35" s="92">
        <v>0</v>
      </c>
      <c r="I35" s="92">
        <v>0</v>
      </c>
      <c r="J35" s="92">
        <v>0</v>
      </c>
    </row>
  </sheetData>
  <mergeCells count="2">
    <mergeCell ref="I1:J1"/>
    <mergeCell ref="A2:J2"/>
  </mergeCells>
  <hyperlinks>
    <hyperlink ref="I1:J1" location="Home_page" display="Back to_x000a_home page"/>
  </hyperlinks>
  <pageMargins left="0.70866141732283472" right="0.70866141732283472" top="0.74803149606299213" bottom="0.74803149606299213" header="0.31496062992125984" footer="0.31496062992125984"/>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L33"/>
  <sheetViews>
    <sheetView workbookViewId="0">
      <selection activeCell="K1" sqref="K1:L1"/>
    </sheetView>
  </sheetViews>
  <sheetFormatPr defaultColWidth="8.75" defaultRowHeight="15" customHeight="1" x14ac:dyDescent="0.2"/>
  <cols>
    <col min="1" max="1" width="32.25" style="85" customWidth="1"/>
    <col min="2" max="2" width="6.75" style="85" customWidth="1"/>
    <col min="3" max="12" width="6.75" style="86" customWidth="1"/>
    <col min="13" max="23" width="6.75" style="85" customWidth="1"/>
    <col min="24" max="16384" width="8.75" style="85"/>
  </cols>
  <sheetData>
    <row r="1" spans="1:12" s="71" customFormat="1" ht="33" customHeight="1" thickBot="1" x14ac:dyDescent="0.25">
      <c r="A1" s="5" t="s">
        <v>520</v>
      </c>
      <c r="B1" s="5"/>
      <c r="C1" s="5"/>
      <c r="D1" s="5"/>
      <c r="E1" s="5"/>
      <c r="F1" s="5"/>
      <c r="G1" s="5"/>
      <c r="H1" s="5"/>
      <c r="K1" s="150" t="s">
        <v>515</v>
      </c>
      <c r="L1" s="150"/>
    </row>
    <row r="2" spans="1:12" ht="15" customHeight="1" thickBot="1" x14ac:dyDescent="0.25">
      <c r="A2" s="72" t="s">
        <v>516</v>
      </c>
      <c r="B2" s="73" t="s">
        <v>517</v>
      </c>
      <c r="C2" s="74">
        <v>2005</v>
      </c>
      <c r="D2" s="74">
        <v>2006</v>
      </c>
      <c r="E2" s="74">
        <v>2007</v>
      </c>
      <c r="F2" s="74">
        <v>2008</v>
      </c>
      <c r="G2" s="74">
        <v>2009</v>
      </c>
      <c r="H2" s="74">
        <v>2010</v>
      </c>
      <c r="I2" s="74">
        <v>2011</v>
      </c>
      <c r="J2" s="74">
        <v>2012</v>
      </c>
      <c r="K2" s="74">
        <v>2013</v>
      </c>
      <c r="L2" s="75" t="s">
        <v>518</v>
      </c>
    </row>
    <row r="3" spans="1:12" ht="15" customHeight="1" x14ac:dyDescent="0.2">
      <c r="A3" s="76" t="s">
        <v>18</v>
      </c>
      <c r="C3" s="77">
        <v>7.294070217406351E-2</v>
      </c>
      <c r="D3" s="77">
        <v>8.2891611451577099E-2</v>
      </c>
      <c r="E3" s="77">
        <v>4.5806154002002879E-2</v>
      </c>
      <c r="F3" s="77">
        <v>0.19255464693019994</v>
      </c>
      <c r="G3" s="77">
        <v>0.14284265656092837</v>
      </c>
      <c r="H3" s="77">
        <v>0.13699421260836497</v>
      </c>
      <c r="I3" s="77">
        <v>6.4958120826373422E-2</v>
      </c>
      <c r="J3" s="77">
        <v>9.1813966206139325E-2</v>
      </c>
      <c r="K3" s="77">
        <v>0.14203560313643279</v>
      </c>
      <c r="L3" s="78">
        <v>0.1429223412071903</v>
      </c>
    </row>
    <row r="4" spans="1:12" ht="15" customHeight="1" x14ac:dyDescent="0.2">
      <c r="A4" s="79" t="s">
        <v>69</v>
      </c>
      <c r="C4" s="77">
        <v>0.18017519076443902</v>
      </c>
      <c r="D4" s="77">
        <v>0.13672096962100255</v>
      </c>
      <c r="E4" s="77">
        <v>0.20501671241851041</v>
      </c>
      <c r="F4" s="77">
        <v>0.22629999240338217</v>
      </c>
      <c r="G4" s="77">
        <v>0.19359315188144466</v>
      </c>
      <c r="H4" s="77">
        <v>0.15838514089079855</v>
      </c>
      <c r="I4" s="77">
        <v>0.18150873695120889</v>
      </c>
      <c r="J4" s="77">
        <v>0.25404283768990843</v>
      </c>
      <c r="K4" s="77">
        <v>0.19508989354994724</v>
      </c>
      <c r="L4" s="78">
        <v>0.21686346689579442</v>
      </c>
    </row>
    <row r="5" spans="1:12" ht="15" customHeight="1" x14ac:dyDescent="0.2">
      <c r="A5" s="79" t="s">
        <v>86</v>
      </c>
      <c r="C5" s="77">
        <v>0.22924898983196387</v>
      </c>
      <c r="D5" s="77">
        <v>0.16503786082265701</v>
      </c>
      <c r="E5" s="77">
        <v>0.20155541093723625</v>
      </c>
      <c r="F5" s="77">
        <v>0.21348742277687702</v>
      </c>
      <c r="G5" s="77">
        <v>0.16786802847238558</v>
      </c>
      <c r="H5" s="77">
        <v>0.17208938645618638</v>
      </c>
      <c r="I5" s="77">
        <v>0.24530533097786089</v>
      </c>
      <c r="J5" s="77">
        <v>0.22597174732884176</v>
      </c>
      <c r="K5" s="77">
        <v>0.24335412402721543</v>
      </c>
      <c r="L5" s="78">
        <v>0.25550532919707181</v>
      </c>
    </row>
    <row r="6" spans="1:12" ht="15" customHeight="1" x14ac:dyDescent="0.2">
      <c r="A6" s="79" t="s">
        <v>102</v>
      </c>
      <c r="C6" s="77">
        <v>-5.7565679352837837E-2</v>
      </c>
      <c r="D6" s="77">
        <v>-0.27012465861131596</v>
      </c>
      <c r="E6" s="77">
        <v>-0.15771436005483883</v>
      </c>
      <c r="F6" s="77">
        <v>-0.17122626666596616</v>
      </c>
      <c r="G6" s="77">
        <v>-7.4590962450163641E-3</v>
      </c>
      <c r="H6" s="77">
        <v>0.262091700364389</v>
      </c>
      <c r="I6" s="77">
        <v>0.21424067277965228</v>
      </c>
      <c r="J6" s="77">
        <v>-9.0210821354145404E-3</v>
      </c>
      <c r="K6" s="77">
        <v>-8.7625586371563573E-3</v>
      </c>
      <c r="L6" s="78">
        <v>2.2681703549701084E-2</v>
      </c>
    </row>
    <row r="7" spans="1:12" ht="15" customHeight="1" x14ac:dyDescent="0.2">
      <c r="A7" s="79" t="s">
        <v>119</v>
      </c>
      <c r="C7" s="77">
        <v>0.25597391603665365</v>
      </c>
      <c r="D7" s="77">
        <v>0.23084098317345858</v>
      </c>
      <c r="E7" s="77">
        <v>0.36166473580431224</v>
      </c>
      <c r="F7" s="77">
        <v>0.17492606104527475</v>
      </c>
      <c r="G7" s="77">
        <v>0.17058859189810655</v>
      </c>
      <c r="H7" s="77">
        <v>0.23028472911762307</v>
      </c>
      <c r="I7" s="77">
        <v>4.1528484990884594E-2</v>
      </c>
      <c r="J7" s="77">
        <v>0.19052724481449787</v>
      </c>
      <c r="K7" s="77">
        <v>0.14422427875313823</v>
      </c>
      <c r="L7" s="78">
        <v>0.15405748179160664</v>
      </c>
    </row>
    <row r="8" spans="1:12" ht="15" customHeight="1" x14ac:dyDescent="0.2">
      <c r="A8" s="79" t="s">
        <v>137</v>
      </c>
      <c r="C8" s="77">
        <v>4.5610552760248141E-2</v>
      </c>
      <c r="D8" s="77">
        <v>0.1532868760090077</v>
      </c>
      <c r="E8" s="77">
        <v>0.15318669545488839</v>
      </c>
      <c r="F8" s="77">
        <v>0.10841736219972037</v>
      </c>
      <c r="G8" s="77">
        <v>2.4619483728981494E-2</v>
      </c>
      <c r="H8" s="77">
        <v>0.28815739588047751</v>
      </c>
      <c r="I8" s="77">
        <v>6.9792587019661484E-2</v>
      </c>
      <c r="J8" s="77">
        <v>0.23627747231219443</v>
      </c>
      <c r="K8" s="77">
        <v>0.11642209331835274</v>
      </c>
      <c r="L8" s="78">
        <v>0.12811549221940799</v>
      </c>
    </row>
    <row r="9" spans="1:12" ht="15" customHeight="1" x14ac:dyDescent="0.2">
      <c r="A9" s="79" t="s">
        <v>155</v>
      </c>
      <c r="C9" s="77">
        <v>-6.702399427075359E-3</v>
      </c>
      <c r="D9" s="77">
        <v>-6.8554141685332456E-2</v>
      </c>
      <c r="E9" s="77">
        <v>-8.7789562074629207E-2</v>
      </c>
      <c r="F9" s="77">
        <v>-0.15793827712127292</v>
      </c>
      <c r="G9" s="77">
        <v>0.39525700177362505</v>
      </c>
      <c r="H9" s="77">
        <v>-9.5850885922103543E-2</v>
      </c>
      <c r="I9" s="77">
        <v>0.48861259687015168</v>
      </c>
      <c r="J9" s="77">
        <v>-0.14838850952621399</v>
      </c>
      <c r="K9" s="77">
        <v>9.181218157517404E-2</v>
      </c>
      <c r="L9" s="78">
        <v>-9.1582804867039305E-2</v>
      </c>
    </row>
    <row r="10" spans="1:12" ht="15" customHeight="1" x14ac:dyDescent="0.2">
      <c r="A10" s="79" t="s">
        <v>178</v>
      </c>
      <c r="C10" s="77">
        <v>-0.22741464526572081</v>
      </c>
      <c r="D10" s="77">
        <v>-4.4940851321025654E-2</v>
      </c>
      <c r="E10" s="77">
        <v>-0.10456600708525712</v>
      </c>
      <c r="F10" s="77">
        <v>-6.8813571538778859</v>
      </c>
      <c r="G10" s="77">
        <v>-0.23806356691099217</v>
      </c>
      <c r="H10" s="77">
        <v>-0.26109758553399853</v>
      </c>
      <c r="I10" s="77">
        <v>-0.33625948464201971</v>
      </c>
      <c r="J10" s="77">
        <v>-0.52350849545562472</v>
      </c>
      <c r="K10" s="77">
        <v>-0.50307122207653843</v>
      </c>
      <c r="L10" s="78">
        <v>-0.54682874650391244</v>
      </c>
    </row>
    <row r="11" spans="1:12" ht="15" customHeight="1" x14ac:dyDescent="0.2">
      <c r="A11" s="79" t="s">
        <v>196</v>
      </c>
      <c r="C11" s="77">
        <v>6.8030703283527102E-2</v>
      </c>
      <c r="D11" s="77">
        <v>0.2096855224572573</v>
      </c>
      <c r="E11" s="77">
        <v>0.24435982099278664</v>
      </c>
      <c r="F11" s="77">
        <v>0.22784110903382998</v>
      </c>
      <c r="G11" s="77">
        <v>0.28248739377145532</v>
      </c>
      <c r="H11" s="77">
        <v>7.7714784833730524E-2</v>
      </c>
      <c r="I11" s="77">
        <v>0.16519902653838089</v>
      </c>
      <c r="J11" s="77">
        <v>0.18081561727018794</v>
      </c>
      <c r="K11" s="77">
        <v>-9.1539258300356433E-2</v>
      </c>
      <c r="L11" s="78">
        <v>-9.609714773956575E-2</v>
      </c>
    </row>
    <row r="12" spans="1:12" ht="15" customHeight="1" x14ac:dyDescent="0.2">
      <c r="A12" s="79" t="s">
        <v>231</v>
      </c>
      <c r="C12" s="77">
        <v>0.12225359530779475</v>
      </c>
      <c r="D12" s="77">
        <v>0.11176718464707168</v>
      </c>
      <c r="E12" s="77">
        <v>0.11562553252520602</v>
      </c>
      <c r="F12" s="77">
        <v>2.7808800888265671E-2</v>
      </c>
      <c r="G12" s="77">
        <v>0.18660876501489074</v>
      </c>
      <c r="H12" s="77">
        <v>7.9317074234495757E-2</v>
      </c>
      <c r="I12" s="77">
        <v>5.9081025740301621E-2</v>
      </c>
      <c r="J12" s="77">
        <v>5.8089480256807069E-4</v>
      </c>
      <c r="K12" s="77">
        <v>-5.5173395069805189E-2</v>
      </c>
      <c r="L12" s="78">
        <v>8.0196922372543378E-3</v>
      </c>
    </row>
    <row r="13" spans="1:12" ht="15" customHeight="1" x14ac:dyDescent="0.2">
      <c r="A13" s="79" t="s">
        <v>245</v>
      </c>
      <c r="C13" s="77">
        <v>-0.16498402314860652</v>
      </c>
      <c r="D13" s="77">
        <v>-0.14601747338380064</v>
      </c>
      <c r="E13" s="77">
        <v>0.19449266102355051</v>
      </c>
      <c r="F13" s="77">
        <v>-0.37537771725404967</v>
      </c>
      <c r="G13" s="77">
        <v>4.436943609635019E-2</v>
      </c>
      <c r="H13" s="77">
        <v>-2.8431341463634831E-2</v>
      </c>
      <c r="I13" s="77">
        <v>-0.24858475723596415</v>
      </c>
      <c r="J13" s="77">
        <v>3.0305737079161649E-2</v>
      </c>
      <c r="K13" s="77">
        <v>-5.3025627508528551E-2</v>
      </c>
      <c r="L13" s="78">
        <v>-0.36430760502203402</v>
      </c>
    </row>
    <row r="14" spans="1:12" ht="15" customHeight="1" x14ac:dyDescent="0.2">
      <c r="A14" s="79" t="s">
        <v>258</v>
      </c>
      <c r="C14" s="77">
        <v>0.18140265261250293</v>
      </c>
      <c r="D14" s="77">
        <v>0.18955543606854861</v>
      </c>
      <c r="E14" s="77">
        <v>0.19251832508938471</v>
      </c>
      <c r="F14" s="77">
        <v>9.1747633377992382E-2</v>
      </c>
      <c r="G14" s="77">
        <v>0.11408210475913795</v>
      </c>
      <c r="H14" s="77">
        <v>9.0684772231598265E-2</v>
      </c>
      <c r="I14" s="77">
        <v>0.11951360967053525</v>
      </c>
      <c r="J14" s="77">
        <v>0.11393396710728849</v>
      </c>
      <c r="K14" s="77">
        <v>9.5044588327423046E-2</v>
      </c>
      <c r="L14" s="78">
        <v>0.14021010654163171</v>
      </c>
    </row>
    <row r="15" spans="1:12" ht="15" customHeight="1" x14ac:dyDescent="0.2">
      <c r="A15" s="79" t="s">
        <v>272</v>
      </c>
      <c r="C15" s="77">
        <v>0.1354465800493824</v>
      </c>
      <c r="D15" s="77">
        <v>0.16197989340727034</v>
      </c>
      <c r="E15" s="77">
        <v>0.14364698460141595</v>
      </c>
      <c r="F15" s="77">
        <v>4.6988240366951331E-2</v>
      </c>
      <c r="G15" s="77">
        <v>8.1827022144308925E-2</v>
      </c>
      <c r="H15" s="77">
        <v>3.7096089453804111E-2</v>
      </c>
      <c r="I15" s="77">
        <v>0.16965658728598762</v>
      </c>
      <c r="J15" s="77">
        <v>0.14607023832975594</v>
      </c>
      <c r="K15" s="77">
        <v>6.8918794091664251E-2</v>
      </c>
      <c r="L15" s="78">
        <v>0.10517376547996321</v>
      </c>
    </row>
    <row r="16" spans="1:12" ht="15" customHeight="1" x14ac:dyDescent="0.2">
      <c r="A16" s="79" t="s">
        <v>285</v>
      </c>
      <c r="C16" s="77">
        <v>0.14227134534394578</v>
      </c>
      <c r="D16" s="77">
        <v>0.14309213210927438</v>
      </c>
      <c r="E16" s="77">
        <v>0.14207075280551054</v>
      </c>
      <c r="F16" s="77">
        <v>8.4370497250566057E-2</v>
      </c>
      <c r="G16" s="77">
        <v>8.4553748033479995E-2</v>
      </c>
      <c r="H16" s="77">
        <v>0.10661084639584924</v>
      </c>
      <c r="I16" s="77">
        <v>7.2060467912423432E-2</v>
      </c>
      <c r="J16" s="77">
        <v>6.0789902766282815E-2</v>
      </c>
      <c r="K16" s="77">
        <v>7.7214511515779516E-2</v>
      </c>
      <c r="L16" s="78">
        <v>0.10041548165613001</v>
      </c>
    </row>
    <row r="17" spans="1:12" ht="15" customHeight="1" x14ac:dyDescent="0.2">
      <c r="A17" s="79" t="s">
        <v>298</v>
      </c>
      <c r="C17" s="77">
        <v>0.16167436293288237</v>
      </c>
      <c r="D17" s="77">
        <v>0.19057869444352174</v>
      </c>
      <c r="E17" s="77">
        <v>0.16523515556957058</v>
      </c>
      <c r="F17" s="77">
        <v>7.7732122920454616E-2</v>
      </c>
      <c r="G17" s="77">
        <v>5.7128943963515713E-2</v>
      </c>
      <c r="H17" s="77">
        <v>0.1009122037559098</v>
      </c>
      <c r="I17" s="77">
        <v>0.10596126878118581</v>
      </c>
      <c r="J17" s="77">
        <v>9.4445353532254375E-2</v>
      </c>
      <c r="K17" s="77">
        <v>6.5961400735752948E-2</v>
      </c>
      <c r="L17" s="78">
        <v>7.0154359379652129E-2</v>
      </c>
    </row>
    <row r="18" spans="1:12" ht="15" customHeight="1" x14ac:dyDescent="0.2">
      <c r="A18" s="79" t="s">
        <v>310</v>
      </c>
      <c r="C18" s="77">
        <v>0.17055079706540976</v>
      </c>
      <c r="D18" s="77">
        <v>0.19678355722061083</v>
      </c>
      <c r="E18" s="77">
        <v>0.18468328865689213</v>
      </c>
      <c r="F18" s="77">
        <v>9.8433445345877654E-2</v>
      </c>
      <c r="G18" s="77">
        <v>0.12044777715685717</v>
      </c>
      <c r="H18" s="77">
        <v>0.1784157732323417</v>
      </c>
      <c r="I18" s="77">
        <v>0.24217040019160527</v>
      </c>
      <c r="J18" s="77">
        <v>0.17177107637235919</v>
      </c>
      <c r="K18" s="77">
        <v>9.8750498087475838E-2</v>
      </c>
      <c r="L18" s="78">
        <v>0.10599819852293363</v>
      </c>
    </row>
    <row r="19" spans="1:12" ht="15" customHeight="1" x14ac:dyDescent="0.2">
      <c r="A19" s="79" t="s">
        <v>323</v>
      </c>
      <c r="C19" s="77">
        <v>0.12308460872421624</v>
      </c>
      <c r="D19" s="77">
        <v>0.1638601912553434</v>
      </c>
      <c r="E19" s="77">
        <v>0.20788794349998502</v>
      </c>
      <c r="F19" s="77">
        <v>0.14440789333134288</v>
      </c>
      <c r="G19" s="77">
        <v>0.10271462479009161</v>
      </c>
      <c r="H19" s="77">
        <v>0.16023296389719088</v>
      </c>
      <c r="I19" s="77">
        <v>0.15186667865437109</v>
      </c>
      <c r="J19" s="77">
        <v>0.10752804438007806</v>
      </c>
      <c r="K19" s="77">
        <v>0.18336620390413227</v>
      </c>
      <c r="L19" s="78">
        <v>0.20912344843850689</v>
      </c>
    </row>
    <row r="20" spans="1:12" ht="15" customHeight="1" x14ac:dyDescent="0.2">
      <c r="A20" s="79" t="s">
        <v>336</v>
      </c>
      <c r="C20" s="77">
        <v>0.11200389208246789</v>
      </c>
      <c r="D20" s="77">
        <v>0.15536386471139374</v>
      </c>
      <c r="E20" s="77">
        <v>0.18542973241755359</v>
      </c>
      <c r="F20" s="77">
        <v>0.12661635562932291</v>
      </c>
      <c r="G20" s="77">
        <v>0.12975940810854059</v>
      </c>
      <c r="H20" s="77">
        <v>0.16771146054550956</v>
      </c>
      <c r="I20" s="77">
        <v>0.21913186398337578</v>
      </c>
      <c r="J20" s="77">
        <v>0.17456690697002092</v>
      </c>
      <c r="K20" s="77">
        <v>0.13499596643082015</v>
      </c>
      <c r="L20" s="78">
        <v>0.15386082053749542</v>
      </c>
    </row>
    <row r="21" spans="1:12" ht="15" customHeight="1" x14ac:dyDescent="0.2">
      <c r="A21" s="79" t="s">
        <v>364</v>
      </c>
      <c r="C21" s="77">
        <v>0.12931136048429565</v>
      </c>
      <c r="D21" s="77">
        <v>0.32920766017385111</v>
      </c>
      <c r="E21" s="77">
        <v>0.15048332985332888</v>
      </c>
      <c r="F21" s="77">
        <v>0.26605575018959016</v>
      </c>
      <c r="G21" s="77">
        <v>0.28659998264107661</v>
      </c>
      <c r="H21" s="77">
        <v>0.2321556119229935</v>
      </c>
      <c r="I21" s="77">
        <v>0.13714535209856452</v>
      </c>
      <c r="J21" s="77">
        <v>0.32355959370997817</v>
      </c>
      <c r="K21" s="77">
        <v>0.239624909922143</v>
      </c>
      <c r="L21" s="78">
        <v>0.24968123746530543</v>
      </c>
    </row>
    <row r="22" spans="1:12" ht="15" customHeight="1" x14ac:dyDescent="0.2">
      <c r="A22" s="79" t="s">
        <v>377</v>
      </c>
      <c r="C22" s="77">
        <v>0.18044576424815489</v>
      </c>
      <c r="D22" s="77">
        <v>0.13480791375361639</v>
      </c>
      <c r="E22" s="77">
        <v>0.11862981760747163</v>
      </c>
      <c r="F22" s="77">
        <v>0.17129520216207594</v>
      </c>
      <c r="G22" s="77">
        <v>0.1904764956743828</v>
      </c>
      <c r="H22" s="77">
        <v>0.12672935177822009</v>
      </c>
      <c r="I22" s="77">
        <v>8.5377677866887436E-2</v>
      </c>
      <c r="J22" s="77">
        <v>0.1897126565804502</v>
      </c>
      <c r="K22" s="77">
        <v>0.16727154273801251</v>
      </c>
      <c r="L22" s="78">
        <v>0.18495144262067947</v>
      </c>
    </row>
    <row r="23" spans="1:12" ht="15" customHeight="1" x14ac:dyDescent="0.2">
      <c r="A23" s="79" t="s">
        <v>389</v>
      </c>
      <c r="C23" s="77">
        <v>-6.3171445760376074E-2</v>
      </c>
      <c r="D23" s="77">
        <v>0.18918412677227955</v>
      </c>
      <c r="E23" s="77">
        <v>0.1823221637502814</v>
      </c>
      <c r="F23" s="77">
        <v>-3.46656252299604E-3</v>
      </c>
      <c r="G23" s="77">
        <v>5.1079760552769915E-2</v>
      </c>
      <c r="H23" s="77">
        <v>0.13498799826533536</v>
      </c>
      <c r="I23" s="77">
        <v>0.11168673701293115</v>
      </c>
      <c r="J23" s="77">
        <v>4.270256998504076E-2</v>
      </c>
      <c r="K23" s="77">
        <v>1.6700656981289856E-2</v>
      </c>
      <c r="L23" s="78">
        <v>2.5535095782492547E-2</v>
      </c>
    </row>
    <row r="24" spans="1:12" ht="15" customHeight="1" x14ac:dyDescent="0.2">
      <c r="A24" s="79" t="s">
        <v>402</v>
      </c>
      <c r="C24" s="77">
        <v>0.11248387245667404</v>
      </c>
      <c r="D24" s="77">
        <v>5.4175891362044884E-2</v>
      </c>
      <c r="E24" s="77">
        <v>0.12046512219019065</v>
      </c>
      <c r="F24" s="77">
        <v>7.9508738933955787E-3</v>
      </c>
      <c r="G24" s="77">
        <v>8.4059370271222428E-2</v>
      </c>
      <c r="H24" s="77">
        <v>4.3904209388348998E-2</v>
      </c>
      <c r="I24" s="77">
        <v>3.9179413389930903E-2</v>
      </c>
      <c r="J24" s="77">
        <v>0.14146415158528014</v>
      </c>
      <c r="K24" s="77">
        <v>7.1069795501187721E-2</v>
      </c>
      <c r="L24" s="78">
        <v>8.1002167633399305E-2</v>
      </c>
    </row>
    <row r="25" spans="1:12" ht="15" customHeight="1" x14ac:dyDescent="0.2">
      <c r="A25" s="79" t="s">
        <v>443</v>
      </c>
      <c r="C25" s="77">
        <v>0.16901722439808867</v>
      </c>
      <c r="D25" s="77">
        <v>0.17732096522648735</v>
      </c>
      <c r="E25" s="77">
        <v>0.24883878513466848</v>
      </c>
      <c r="F25" s="77">
        <v>0.12163591509420681</v>
      </c>
      <c r="G25" s="77">
        <v>0.24562664189888556</v>
      </c>
      <c r="H25" s="77">
        <v>0.20079219285184699</v>
      </c>
      <c r="I25" s="77">
        <v>0.20562581063553825</v>
      </c>
      <c r="J25" s="77">
        <v>0.19498845064408513</v>
      </c>
      <c r="K25" s="77">
        <v>0.22762636654906615</v>
      </c>
      <c r="L25" s="78">
        <v>0.23596318044501294</v>
      </c>
    </row>
    <row r="26" spans="1:12" ht="15" customHeight="1" x14ac:dyDescent="0.2">
      <c r="A26" s="79" t="s">
        <v>455</v>
      </c>
      <c r="C26" s="77">
        <v>0.31346474920729955</v>
      </c>
      <c r="D26" s="77">
        <v>0.28856494772753011</v>
      </c>
      <c r="E26" s="77">
        <v>0.34586112930135021</v>
      </c>
      <c r="F26" s="77">
        <v>0.2943021125194365</v>
      </c>
      <c r="G26" s="77">
        <v>0.27365054755114882</v>
      </c>
      <c r="H26" s="77">
        <v>0.28459037051426972</v>
      </c>
      <c r="I26" s="77">
        <v>0.31553955531691091</v>
      </c>
      <c r="J26" s="77">
        <v>0.33488056345947687</v>
      </c>
      <c r="K26" s="77">
        <v>0.29054217156640821</v>
      </c>
      <c r="L26" s="78">
        <v>0.30357532147761873</v>
      </c>
    </row>
    <row r="27" spans="1:12" ht="15" customHeight="1" x14ac:dyDescent="0.2">
      <c r="A27" s="79" t="s">
        <v>468</v>
      </c>
      <c r="C27" s="77">
        <v>0.16530652244717181</v>
      </c>
      <c r="D27" s="77">
        <v>0.22305199006745949</v>
      </c>
      <c r="E27" s="77">
        <v>0.31237556094968522</v>
      </c>
      <c r="F27" s="77">
        <v>0.26159355435855525</v>
      </c>
      <c r="G27" s="77">
        <v>0.29845557953118779</v>
      </c>
      <c r="H27" s="77">
        <v>0.2607841554491474</v>
      </c>
      <c r="I27" s="77">
        <v>0.24847696243881962</v>
      </c>
      <c r="J27" s="77">
        <v>0.18848152357716585</v>
      </c>
      <c r="K27" s="77">
        <v>0.20373119484224333</v>
      </c>
      <c r="L27" s="78">
        <v>0.20980102014561372</v>
      </c>
    </row>
    <row r="28" spans="1:12" ht="15" customHeight="1" x14ac:dyDescent="0.2">
      <c r="A28" s="79" t="s">
        <v>479</v>
      </c>
      <c r="C28" s="77">
        <v>0.28658226732919145</v>
      </c>
      <c r="D28" s="77">
        <v>0.35036472783270634</v>
      </c>
      <c r="E28" s="77">
        <v>0.44302690722746479</v>
      </c>
      <c r="F28" s="77">
        <v>0.15663468941506853</v>
      </c>
      <c r="G28" s="77">
        <v>0.33200536925247692</v>
      </c>
      <c r="H28" s="77">
        <v>0.21718418087905308</v>
      </c>
      <c r="I28" s="77">
        <v>7.3845377489559882E-2</v>
      </c>
      <c r="J28" s="77">
        <v>0.18513930401024253</v>
      </c>
      <c r="K28" s="77">
        <v>0.27259026784862761</v>
      </c>
      <c r="L28" s="78">
        <v>0.26965111715601808</v>
      </c>
    </row>
    <row r="29" spans="1:12" ht="15" customHeight="1" x14ac:dyDescent="0.2">
      <c r="A29" s="79" t="s">
        <v>491</v>
      </c>
      <c r="C29" s="77">
        <v>0.22252418113830297</v>
      </c>
      <c r="D29" s="77">
        <v>0.18869342256781851</v>
      </c>
      <c r="E29" s="77">
        <v>0.14947014206672932</v>
      </c>
      <c r="F29" s="77">
        <v>8.7123128535105968E-2</v>
      </c>
      <c r="G29" s="77">
        <v>-2.53598200714799E-2</v>
      </c>
      <c r="H29" s="77">
        <v>0.10334958997564733</v>
      </c>
      <c r="I29" s="77">
        <v>0.20501458801552255</v>
      </c>
      <c r="J29" s="77">
        <v>0.21093498389062443</v>
      </c>
      <c r="K29" s="77">
        <v>0.1395190923425608</v>
      </c>
      <c r="L29" s="78">
        <v>0.15699360727775852</v>
      </c>
    </row>
    <row r="30" spans="1:12" ht="15" customHeight="1" x14ac:dyDescent="0.2">
      <c r="A30" s="79" t="s">
        <v>502</v>
      </c>
      <c r="C30" s="77">
        <v>0.12044208729488666</v>
      </c>
      <c r="D30" s="77">
        <v>0.22730626109668067</v>
      </c>
      <c r="E30" s="77">
        <v>0.18616556112973887</v>
      </c>
      <c r="F30" s="77">
        <v>0.18198394319161629</v>
      </c>
      <c r="G30" s="77">
        <v>0.16127244692369633</v>
      </c>
      <c r="H30" s="77">
        <v>0.16362784950229267</v>
      </c>
      <c r="I30" s="77">
        <v>0.18404224873916528</v>
      </c>
      <c r="J30" s="77">
        <v>0.21974194557322804</v>
      </c>
      <c r="K30" s="77">
        <v>0.16364762332529662</v>
      </c>
      <c r="L30" s="78">
        <v>0.17422372168592568</v>
      </c>
    </row>
    <row r="31" spans="1:12" ht="15" customHeight="1" x14ac:dyDescent="0.2">
      <c r="A31" s="79" t="s">
        <v>415</v>
      </c>
      <c r="C31" s="77">
        <v>0.16151017187459898</v>
      </c>
      <c r="D31" s="77">
        <v>0.14650707554173381</v>
      </c>
      <c r="E31" s="77">
        <v>0.25087681063746503</v>
      </c>
      <c r="F31" s="77">
        <v>0.20103307349195482</v>
      </c>
      <c r="G31" s="77">
        <v>0.18401955407446247</v>
      </c>
      <c r="H31" s="77">
        <v>0.25467199206761454</v>
      </c>
      <c r="I31" s="77">
        <v>0.23830201131092649</v>
      </c>
      <c r="J31" s="77">
        <v>0.21881677552435466</v>
      </c>
      <c r="K31" s="77">
        <v>0.16429181108864735</v>
      </c>
      <c r="L31" s="78">
        <v>0.16442747798294133</v>
      </c>
    </row>
    <row r="32" spans="1:12" ht="15" customHeight="1" thickBot="1" x14ac:dyDescent="0.25">
      <c r="A32" s="80" t="s">
        <v>427</v>
      </c>
      <c r="B32" s="81"/>
      <c r="C32" s="82">
        <v>0.14070011674672195</v>
      </c>
      <c r="D32" s="82">
        <v>0.10673485412242743</v>
      </c>
      <c r="E32" s="82">
        <v>0.19990608604510382</v>
      </c>
      <c r="F32" s="82">
        <v>0.16261866244236781</v>
      </c>
      <c r="G32" s="82">
        <v>0.31623830114699425</v>
      </c>
      <c r="H32" s="82">
        <v>0.1768979077315263</v>
      </c>
      <c r="I32" s="82">
        <v>0.12617339483341544</v>
      </c>
      <c r="J32" s="82">
        <v>0.2235460055325689</v>
      </c>
      <c r="K32" s="82">
        <v>0.14882608459632626</v>
      </c>
      <c r="L32" s="126">
        <v>0.18085520517316023</v>
      </c>
    </row>
    <row r="33" spans="1:1" ht="15" customHeight="1" x14ac:dyDescent="0.2">
      <c r="A33" s="55" t="s">
        <v>519</v>
      </c>
    </row>
  </sheetData>
  <mergeCells count="1">
    <mergeCell ref="K1:L1"/>
  </mergeCells>
  <hyperlinks>
    <hyperlink ref="K1:L1" location="Home_page" display="Back to_x000a_home page"/>
  </hyperlinks>
  <pageMargins left="0.70866141732283472" right="0.70866141732283472" top="0.74803149606299213" bottom="0.74803149606299213" header="0.31496062992125984" footer="0.31496062992125984"/>
  <pageSetup paperSize="9" orientation="landscape"/>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'Operating profit margin'!C3:K3</xm:f>
              <xm:sqref>B3</xm:sqref>
            </x14:sparkline>
            <x14:sparkline>
              <xm:f>'Operating profit margin'!C4:K4</xm:f>
              <xm:sqref>B4</xm:sqref>
            </x14:sparkline>
            <x14:sparkline>
              <xm:f>'Operating profit margin'!C5:K5</xm:f>
              <xm:sqref>B5</xm:sqref>
            </x14:sparkline>
            <x14:sparkline>
              <xm:f>'Operating profit margin'!C6:K6</xm:f>
              <xm:sqref>B6</xm:sqref>
            </x14:sparkline>
            <x14:sparkline>
              <xm:f>'Operating profit margin'!C7:K7</xm:f>
              <xm:sqref>B7</xm:sqref>
            </x14:sparkline>
            <x14:sparkline>
              <xm:f>'Operating profit margin'!C8:K8</xm:f>
              <xm:sqref>B8</xm:sqref>
            </x14:sparkline>
            <x14:sparkline>
              <xm:f>'Operating profit margin'!C9:K9</xm:f>
              <xm:sqref>B9</xm:sqref>
            </x14:sparkline>
            <x14:sparkline>
              <xm:f>'Operating profit margin'!C10:K10</xm:f>
              <xm:sqref>B10</xm:sqref>
            </x14:sparkline>
            <x14:sparkline>
              <xm:f>'Operating profit margin'!C11:K11</xm:f>
              <xm:sqref>B11</xm:sqref>
            </x14:sparkline>
            <x14:sparkline>
              <xm:f>'Operating profit margin'!C12:K12</xm:f>
              <xm:sqref>B12</xm:sqref>
            </x14:sparkline>
            <x14:sparkline>
              <xm:f>'Operating profit margin'!C13:K13</xm:f>
              <xm:sqref>B13</xm:sqref>
            </x14:sparkline>
            <x14:sparkline>
              <xm:f>'Operating profit margin'!C14:K14</xm:f>
              <xm:sqref>B14</xm:sqref>
            </x14:sparkline>
            <x14:sparkline>
              <xm:f>'Operating profit margin'!C15:K15</xm:f>
              <xm:sqref>B15</xm:sqref>
            </x14:sparkline>
            <x14:sparkline>
              <xm:f>'Operating profit margin'!C16:K16</xm:f>
              <xm:sqref>B16</xm:sqref>
            </x14:sparkline>
            <x14:sparkline>
              <xm:f>'Operating profit margin'!C17:K17</xm:f>
              <xm:sqref>B17</xm:sqref>
            </x14:sparkline>
            <x14:sparkline>
              <xm:f>'Operating profit margin'!C18:K18</xm:f>
              <xm:sqref>B18</xm:sqref>
            </x14:sparkline>
            <x14:sparkline>
              <xm:f>'Operating profit margin'!C19:K19</xm:f>
              <xm:sqref>B19</xm:sqref>
            </x14:sparkline>
            <x14:sparkline>
              <xm:f>'Operating profit margin'!C20:K20</xm:f>
              <xm:sqref>B20</xm:sqref>
            </x14:sparkline>
            <x14:sparkline>
              <xm:f>'Operating profit margin'!C21:K21</xm:f>
              <xm:sqref>B21</xm:sqref>
            </x14:sparkline>
            <x14:sparkline>
              <xm:f>'Operating profit margin'!C22:K22</xm:f>
              <xm:sqref>B22</xm:sqref>
            </x14:sparkline>
            <x14:sparkline>
              <xm:f>'Operating profit margin'!C23:K23</xm:f>
              <xm:sqref>B23</xm:sqref>
            </x14:sparkline>
            <x14:sparkline>
              <xm:f>'Operating profit margin'!C24:K24</xm:f>
              <xm:sqref>B24</xm:sqref>
            </x14:sparkline>
            <x14:sparkline>
              <xm:f>'Operating profit margin'!C25:K25</xm:f>
              <xm:sqref>B25</xm:sqref>
            </x14:sparkline>
            <x14:sparkline>
              <xm:f>'Operating profit margin'!C26:K26</xm:f>
              <xm:sqref>B26</xm:sqref>
            </x14:sparkline>
            <x14:sparkline>
              <xm:f>'Operating profit margin'!C27:K27</xm:f>
              <xm:sqref>B27</xm:sqref>
            </x14:sparkline>
            <x14:sparkline>
              <xm:f>'Operating profit margin'!C28:K28</xm:f>
              <xm:sqref>B28</xm:sqref>
            </x14:sparkline>
            <x14:sparkline>
              <xm:f>'Operating profit margin'!C29:K29</xm:f>
              <xm:sqref>B29</xm:sqref>
            </x14:sparkline>
            <x14:sparkline>
              <xm:f>'Operating profit margin'!C30:K30</xm:f>
              <xm:sqref>B30</xm:sqref>
            </x14:sparkline>
            <x14:sparkline>
              <xm:f>'Operating profit margin'!C31:K31</xm:f>
              <xm:sqref>B31</xm:sqref>
            </x14:sparkline>
            <x14:sparkline>
              <xm:f>'Operating profit margin'!C32:K32</xm:f>
              <xm:sqref>B32</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I34"/>
  <sheetViews>
    <sheetView zoomScaleNormal="100" workbookViewId="0">
      <selection activeCell="I1" sqref="I1"/>
    </sheetView>
  </sheetViews>
  <sheetFormatPr defaultColWidth="8.75" defaultRowHeight="12.75" x14ac:dyDescent="0.2"/>
  <cols>
    <col min="1" max="1" width="4.875" style="94" customWidth="1"/>
    <col min="2" max="2" width="46.125" style="94" customWidth="1"/>
    <col min="3" max="3" width="9.375" style="117" customWidth="1"/>
    <col min="4" max="4" width="20.75" style="117" customWidth="1"/>
    <col min="5" max="5" width="12.75" style="117" customWidth="1"/>
    <col min="6" max="7" width="9.625" style="117" customWidth="1"/>
    <col min="8" max="8" width="9.625" style="118" customWidth="1"/>
    <col min="9" max="9" width="9.625" style="117" customWidth="1"/>
    <col min="10" max="11" width="8.75" style="94"/>
    <col min="12" max="12" width="55.75" style="94" bestFit="1" customWidth="1"/>
    <col min="13" max="16384" width="8.75" style="94"/>
  </cols>
  <sheetData>
    <row r="1" spans="1:9" ht="28.5" customHeight="1" thickBot="1" x14ac:dyDescent="0.25">
      <c r="A1" s="93"/>
      <c r="B1" s="137" t="s">
        <v>524</v>
      </c>
      <c r="C1" s="137"/>
      <c r="D1" s="137"/>
      <c r="E1" s="137"/>
      <c r="F1" s="137"/>
      <c r="G1" s="137"/>
      <c r="H1" s="137"/>
      <c r="I1" s="119" t="s">
        <v>515</v>
      </c>
    </row>
    <row r="2" spans="1:9" ht="26.25" thickBot="1" x14ac:dyDescent="0.25">
      <c r="A2" s="138" t="s">
        <v>525</v>
      </c>
      <c r="B2" s="139"/>
      <c r="C2" s="95" t="s">
        <v>526</v>
      </c>
      <c r="D2" s="95" t="s">
        <v>527</v>
      </c>
      <c r="E2" s="95" t="s">
        <v>528</v>
      </c>
      <c r="F2" s="95" t="s">
        <v>529</v>
      </c>
      <c r="G2" s="95" t="s">
        <v>530</v>
      </c>
      <c r="H2" s="95" t="s">
        <v>531</v>
      </c>
      <c r="I2" s="96" t="s">
        <v>532</v>
      </c>
    </row>
    <row r="3" spans="1:9" x14ac:dyDescent="0.2">
      <c r="A3" s="97">
        <v>1</v>
      </c>
      <c r="B3" s="98" t="s">
        <v>533</v>
      </c>
      <c r="C3" s="99" t="s">
        <v>534</v>
      </c>
      <c r="D3" s="99" t="s">
        <v>535</v>
      </c>
      <c r="E3" s="100"/>
      <c r="F3" s="100"/>
      <c r="G3" s="100"/>
      <c r="H3" s="99" t="s">
        <v>536</v>
      </c>
      <c r="I3" s="101"/>
    </row>
    <row r="4" spans="1:9" x14ac:dyDescent="0.2">
      <c r="A4" s="102">
        <v>2</v>
      </c>
      <c r="B4" s="103" t="s">
        <v>69</v>
      </c>
      <c r="C4" s="104" t="s">
        <v>534</v>
      </c>
      <c r="D4" s="104" t="s">
        <v>535</v>
      </c>
      <c r="E4" s="105" t="s">
        <v>537</v>
      </c>
      <c r="F4" s="105"/>
      <c r="G4" s="105" t="s">
        <v>538</v>
      </c>
      <c r="H4" s="104" t="s">
        <v>536</v>
      </c>
      <c r="I4" s="106"/>
    </row>
    <row r="5" spans="1:9" x14ac:dyDescent="0.2">
      <c r="A5" s="102">
        <v>3</v>
      </c>
      <c r="B5" s="103" t="s">
        <v>86</v>
      </c>
      <c r="C5" s="104" t="s">
        <v>534</v>
      </c>
      <c r="D5" s="104" t="s">
        <v>535</v>
      </c>
      <c r="E5" s="105" t="s">
        <v>537</v>
      </c>
      <c r="F5" s="105"/>
      <c r="G5" s="105" t="s">
        <v>539</v>
      </c>
      <c r="H5" s="104" t="s">
        <v>536</v>
      </c>
      <c r="I5" s="106"/>
    </row>
    <row r="6" spans="1:9" ht="25.5" x14ac:dyDescent="0.2">
      <c r="A6" s="102">
        <v>4</v>
      </c>
      <c r="B6" s="103" t="s">
        <v>540</v>
      </c>
      <c r="C6" s="104" t="s">
        <v>541</v>
      </c>
      <c r="D6" s="104" t="s">
        <v>535</v>
      </c>
      <c r="E6" s="105" t="s">
        <v>542</v>
      </c>
      <c r="F6" s="105"/>
      <c r="G6" s="105"/>
      <c r="H6" s="104" t="s">
        <v>543</v>
      </c>
      <c r="I6" s="106"/>
    </row>
    <row r="7" spans="1:9" ht="25.5" x14ac:dyDescent="0.2">
      <c r="A7" s="102">
        <v>5</v>
      </c>
      <c r="B7" s="103" t="s">
        <v>544</v>
      </c>
      <c r="C7" s="104" t="s">
        <v>541</v>
      </c>
      <c r="D7" s="104" t="s">
        <v>535</v>
      </c>
      <c r="E7" s="105" t="s">
        <v>542</v>
      </c>
      <c r="F7" s="105"/>
      <c r="G7" s="105"/>
      <c r="H7" s="104" t="s">
        <v>545</v>
      </c>
      <c r="I7" s="106"/>
    </row>
    <row r="8" spans="1:9" x14ac:dyDescent="0.2">
      <c r="A8" s="102">
        <v>6</v>
      </c>
      <c r="B8" s="103" t="s">
        <v>546</v>
      </c>
      <c r="C8" s="104"/>
      <c r="D8" s="104" t="s">
        <v>547</v>
      </c>
      <c r="E8" s="105" t="s">
        <v>542</v>
      </c>
      <c r="F8" s="105"/>
      <c r="G8" s="105"/>
      <c r="H8" s="104" t="s">
        <v>536</v>
      </c>
      <c r="I8" s="106"/>
    </row>
    <row r="9" spans="1:9" x14ac:dyDescent="0.2">
      <c r="A9" s="102">
        <v>7</v>
      </c>
      <c r="B9" s="103" t="s">
        <v>548</v>
      </c>
      <c r="C9" s="104"/>
      <c r="D9" s="104" t="s">
        <v>549</v>
      </c>
      <c r="E9" s="105" t="s">
        <v>542</v>
      </c>
      <c r="F9" s="105"/>
      <c r="G9" s="105"/>
      <c r="H9" s="104" t="s">
        <v>536</v>
      </c>
      <c r="I9" s="106"/>
    </row>
    <row r="10" spans="1:9" x14ac:dyDescent="0.2">
      <c r="A10" s="102">
        <v>8</v>
      </c>
      <c r="B10" s="103" t="s">
        <v>550</v>
      </c>
      <c r="C10" s="104"/>
      <c r="D10" s="104"/>
      <c r="E10" s="105"/>
      <c r="F10" s="105"/>
      <c r="G10" s="105"/>
      <c r="H10" s="104" t="s">
        <v>536</v>
      </c>
      <c r="I10" s="106" t="s">
        <v>551</v>
      </c>
    </row>
    <row r="11" spans="1:9" x14ac:dyDescent="0.2">
      <c r="A11" s="102">
        <v>9</v>
      </c>
      <c r="B11" s="103" t="s">
        <v>552</v>
      </c>
      <c r="C11" s="104"/>
      <c r="D11" s="104"/>
      <c r="E11" s="105"/>
      <c r="F11" s="105"/>
      <c r="G11" s="105"/>
      <c r="H11" s="104" t="s">
        <v>553</v>
      </c>
      <c r="I11" s="106" t="s">
        <v>551</v>
      </c>
    </row>
    <row r="12" spans="1:9" x14ac:dyDescent="0.2">
      <c r="A12" s="102">
        <v>10</v>
      </c>
      <c r="B12" s="103" t="s">
        <v>554</v>
      </c>
      <c r="C12" s="104"/>
      <c r="D12" s="104"/>
      <c r="E12" s="105"/>
      <c r="F12" s="105"/>
      <c r="G12" s="105"/>
      <c r="H12" s="104" t="s">
        <v>536</v>
      </c>
      <c r="I12" s="106"/>
    </row>
    <row r="13" spans="1:9" x14ac:dyDescent="0.2">
      <c r="A13" s="102">
        <v>11</v>
      </c>
      <c r="B13" s="103" t="s">
        <v>231</v>
      </c>
      <c r="C13" s="104" t="s">
        <v>555</v>
      </c>
      <c r="D13" s="104" t="s">
        <v>556</v>
      </c>
      <c r="E13" s="105" t="s">
        <v>542</v>
      </c>
      <c r="F13" s="105"/>
      <c r="G13" s="105" t="s">
        <v>557</v>
      </c>
      <c r="H13" s="104" t="s">
        <v>536</v>
      </c>
      <c r="I13" s="106"/>
    </row>
    <row r="14" spans="1:9" x14ac:dyDescent="0.2">
      <c r="A14" s="102">
        <v>12</v>
      </c>
      <c r="B14" s="103" t="s">
        <v>245</v>
      </c>
      <c r="C14" s="104" t="s">
        <v>555</v>
      </c>
      <c r="D14" s="104" t="s">
        <v>556</v>
      </c>
      <c r="E14" s="105" t="s">
        <v>542</v>
      </c>
      <c r="F14" s="105"/>
      <c r="G14" s="105" t="s">
        <v>558</v>
      </c>
      <c r="H14" s="104" t="s">
        <v>536</v>
      </c>
      <c r="I14" s="106"/>
    </row>
    <row r="15" spans="1:9" x14ac:dyDescent="0.2">
      <c r="A15" s="102">
        <v>13</v>
      </c>
      <c r="B15" s="103" t="s">
        <v>559</v>
      </c>
      <c r="C15" s="104" t="s">
        <v>555</v>
      </c>
      <c r="D15" s="104" t="s">
        <v>535</v>
      </c>
      <c r="E15" s="105" t="s">
        <v>537</v>
      </c>
      <c r="F15" s="105"/>
      <c r="G15" s="105" t="s">
        <v>557</v>
      </c>
      <c r="H15" s="104" t="s">
        <v>536</v>
      </c>
      <c r="I15" s="106"/>
    </row>
    <row r="16" spans="1:9" x14ac:dyDescent="0.2">
      <c r="A16" s="102">
        <v>14</v>
      </c>
      <c r="B16" s="103" t="s">
        <v>560</v>
      </c>
      <c r="C16" s="104" t="s">
        <v>555</v>
      </c>
      <c r="D16" s="104" t="s">
        <v>535</v>
      </c>
      <c r="E16" s="105" t="s">
        <v>537</v>
      </c>
      <c r="F16" s="105"/>
      <c r="G16" s="105" t="s">
        <v>558</v>
      </c>
      <c r="H16" s="104" t="s">
        <v>536</v>
      </c>
      <c r="I16" s="106"/>
    </row>
    <row r="17" spans="1:9" x14ac:dyDescent="0.2">
      <c r="A17" s="102">
        <v>15</v>
      </c>
      <c r="B17" s="103" t="s">
        <v>561</v>
      </c>
      <c r="C17" s="104" t="s">
        <v>562</v>
      </c>
      <c r="D17" s="104"/>
      <c r="E17" s="105" t="s">
        <v>542</v>
      </c>
      <c r="F17" s="105"/>
      <c r="G17" s="105"/>
      <c r="H17" s="104" t="s">
        <v>563</v>
      </c>
      <c r="I17" s="106"/>
    </row>
    <row r="18" spans="1:9" x14ac:dyDescent="0.2">
      <c r="A18" s="102">
        <v>16</v>
      </c>
      <c r="B18" s="103" t="s">
        <v>564</v>
      </c>
      <c r="C18" s="104" t="s">
        <v>562</v>
      </c>
      <c r="D18" s="104" t="s">
        <v>535</v>
      </c>
      <c r="E18" s="105" t="s">
        <v>542</v>
      </c>
      <c r="F18" s="104" t="s">
        <v>565</v>
      </c>
      <c r="G18" s="105"/>
      <c r="H18" s="104" t="s">
        <v>536</v>
      </c>
      <c r="I18" s="106"/>
    </row>
    <row r="19" spans="1:9" ht="25.5" x14ac:dyDescent="0.2">
      <c r="A19" s="102">
        <v>17</v>
      </c>
      <c r="B19" s="103" t="s">
        <v>566</v>
      </c>
      <c r="C19" s="104" t="s">
        <v>562</v>
      </c>
      <c r="D19" s="104" t="s">
        <v>535</v>
      </c>
      <c r="E19" s="105" t="s">
        <v>542</v>
      </c>
      <c r="F19" s="104" t="s">
        <v>567</v>
      </c>
      <c r="G19" s="105"/>
      <c r="H19" s="104" t="s">
        <v>536</v>
      </c>
      <c r="I19" s="106"/>
    </row>
    <row r="20" spans="1:9" ht="25.5" x14ac:dyDescent="0.2">
      <c r="A20" s="102">
        <v>18</v>
      </c>
      <c r="B20" s="103" t="s">
        <v>568</v>
      </c>
      <c r="C20" s="104" t="s">
        <v>562</v>
      </c>
      <c r="D20" s="104" t="s">
        <v>535</v>
      </c>
      <c r="E20" s="105" t="s">
        <v>542</v>
      </c>
      <c r="F20" s="105"/>
      <c r="G20" s="105" t="s">
        <v>557</v>
      </c>
      <c r="H20" s="104" t="s">
        <v>543</v>
      </c>
      <c r="I20" s="106"/>
    </row>
    <row r="21" spans="1:9" ht="25.5" x14ac:dyDescent="0.2">
      <c r="A21" s="102">
        <v>19</v>
      </c>
      <c r="B21" s="103" t="s">
        <v>569</v>
      </c>
      <c r="C21" s="104" t="s">
        <v>562</v>
      </c>
      <c r="D21" s="104" t="s">
        <v>535</v>
      </c>
      <c r="E21" s="105" t="s">
        <v>542</v>
      </c>
      <c r="F21" s="105"/>
      <c r="G21" s="105" t="s">
        <v>558</v>
      </c>
      <c r="H21" s="104" t="s">
        <v>543</v>
      </c>
      <c r="I21" s="106"/>
    </row>
    <row r="22" spans="1:9" ht="25.5" x14ac:dyDescent="0.2">
      <c r="A22" s="102">
        <v>20</v>
      </c>
      <c r="B22" s="103" t="s">
        <v>570</v>
      </c>
      <c r="C22" s="104"/>
      <c r="D22" s="104" t="s">
        <v>571</v>
      </c>
      <c r="E22" s="105" t="s">
        <v>209</v>
      </c>
      <c r="F22" s="105"/>
      <c r="G22" s="105"/>
      <c r="H22" s="104" t="s">
        <v>572</v>
      </c>
      <c r="I22" s="106"/>
    </row>
    <row r="23" spans="1:9" ht="25.5" x14ac:dyDescent="0.2">
      <c r="A23" s="102">
        <v>21</v>
      </c>
      <c r="B23" s="103" t="s">
        <v>573</v>
      </c>
      <c r="C23" s="104"/>
      <c r="D23" s="104" t="s">
        <v>574</v>
      </c>
      <c r="E23" s="105"/>
      <c r="F23" s="105"/>
      <c r="G23" s="105"/>
      <c r="H23" s="104" t="s">
        <v>575</v>
      </c>
      <c r="I23" s="106"/>
    </row>
    <row r="24" spans="1:9" x14ac:dyDescent="0.2">
      <c r="A24" s="102">
        <v>22</v>
      </c>
      <c r="B24" s="103" t="s">
        <v>576</v>
      </c>
      <c r="C24" s="104"/>
      <c r="D24" s="104" t="s">
        <v>574</v>
      </c>
      <c r="E24" s="105"/>
      <c r="F24" s="105"/>
      <c r="G24" s="105"/>
      <c r="H24" s="104" t="s">
        <v>577</v>
      </c>
      <c r="I24" s="106"/>
    </row>
    <row r="25" spans="1:9" ht="25.5" x14ac:dyDescent="0.2">
      <c r="A25" s="102">
        <v>23</v>
      </c>
      <c r="B25" s="103" t="s">
        <v>578</v>
      </c>
      <c r="C25" s="104" t="s">
        <v>541</v>
      </c>
      <c r="D25" s="104" t="s">
        <v>556</v>
      </c>
      <c r="E25" s="105"/>
      <c r="F25" s="105"/>
      <c r="G25" s="105" t="s">
        <v>579</v>
      </c>
      <c r="H25" s="104" t="s">
        <v>536</v>
      </c>
      <c r="I25" s="106"/>
    </row>
    <row r="26" spans="1:9" ht="25.5" x14ac:dyDescent="0.2">
      <c r="A26" s="102">
        <v>24</v>
      </c>
      <c r="B26" s="103" t="s">
        <v>580</v>
      </c>
      <c r="C26" s="104" t="s">
        <v>541</v>
      </c>
      <c r="D26" s="104" t="s">
        <v>556</v>
      </c>
      <c r="E26" s="105"/>
      <c r="F26" s="105"/>
      <c r="G26" s="105" t="s">
        <v>538</v>
      </c>
      <c r="H26" s="104" t="s">
        <v>536</v>
      </c>
      <c r="I26" s="106"/>
    </row>
    <row r="27" spans="1:9" x14ac:dyDescent="0.2">
      <c r="A27" s="102">
        <v>25</v>
      </c>
      <c r="B27" s="103" t="s">
        <v>581</v>
      </c>
      <c r="C27" s="104"/>
      <c r="D27" s="104" t="s">
        <v>535</v>
      </c>
      <c r="E27" s="105"/>
      <c r="F27" s="105"/>
      <c r="G27" s="105"/>
      <c r="H27" s="104" t="s">
        <v>553</v>
      </c>
      <c r="I27" s="106"/>
    </row>
    <row r="28" spans="1:9" x14ac:dyDescent="0.2">
      <c r="A28" s="102">
        <v>26</v>
      </c>
      <c r="B28" s="103" t="s">
        <v>582</v>
      </c>
      <c r="C28" s="104"/>
      <c r="D28" s="104" t="s">
        <v>547</v>
      </c>
      <c r="E28" s="105"/>
      <c r="F28" s="105"/>
      <c r="G28" s="105"/>
      <c r="H28" s="104" t="s">
        <v>553</v>
      </c>
      <c r="I28" s="106"/>
    </row>
    <row r="29" spans="1:9" x14ac:dyDescent="0.2">
      <c r="A29" s="102">
        <v>28</v>
      </c>
      <c r="B29" s="103" t="s">
        <v>583</v>
      </c>
      <c r="C29" s="104"/>
      <c r="D29" s="104" t="s">
        <v>574</v>
      </c>
      <c r="E29" s="105"/>
      <c r="F29" s="105"/>
      <c r="G29" s="105"/>
      <c r="H29" s="104" t="s">
        <v>553</v>
      </c>
      <c r="I29" s="106"/>
    </row>
    <row r="30" spans="1:9" x14ac:dyDescent="0.2">
      <c r="A30" s="102">
        <v>29</v>
      </c>
      <c r="B30" s="103" t="s">
        <v>584</v>
      </c>
      <c r="C30" s="104"/>
      <c r="D30" s="104" t="s">
        <v>549</v>
      </c>
      <c r="E30" s="105"/>
      <c r="F30" s="105"/>
      <c r="G30" s="105"/>
      <c r="H30" s="104" t="s">
        <v>553</v>
      </c>
      <c r="I30" s="106"/>
    </row>
    <row r="31" spans="1:9" x14ac:dyDescent="0.2">
      <c r="A31" s="102">
        <v>30</v>
      </c>
      <c r="B31" s="103" t="s">
        <v>585</v>
      </c>
      <c r="C31" s="104" t="s">
        <v>586</v>
      </c>
      <c r="D31" s="104" t="s">
        <v>535</v>
      </c>
      <c r="E31" s="105" t="s">
        <v>537</v>
      </c>
      <c r="F31" s="105"/>
      <c r="G31" s="105" t="s">
        <v>538</v>
      </c>
      <c r="H31" s="104" t="s">
        <v>536</v>
      </c>
      <c r="I31" s="106"/>
    </row>
    <row r="32" spans="1:9" x14ac:dyDescent="0.2">
      <c r="A32" s="107">
        <v>31</v>
      </c>
      <c r="B32" s="108" t="s">
        <v>587</v>
      </c>
      <c r="C32" s="109" t="s">
        <v>586</v>
      </c>
      <c r="D32" s="109" t="s">
        <v>535</v>
      </c>
      <c r="E32" s="110" t="s">
        <v>537</v>
      </c>
      <c r="F32" s="110"/>
      <c r="G32" s="110" t="s">
        <v>579</v>
      </c>
      <c r="H32" s="109" t="s">
        <v>536</v>
      </c>
      <c r="I32" s="111"/>
    </row>
    <row r="33" spans="1:9" ht="45.75" customHeight="1" x14ac:dyDescent="0.2">
      <c r="A33" s="102">
        <v>32</v>
      </c>
      <c r="B33" s="103" t="s">
        <v>415</v>
      </c>
      <c r="C33" s="104"/>
      <c r="D33" s="104" t="s">
        <v>588</v>
      </c>
      <c r="E33" s="104" t="s">
        <v>589</v>
      </c>
      <c r="F33" s="105"/>
      <c r="G33" s="105"/>
      <c r="H33" s="104" t="s">
        <v>590</v>
      </c>
      <c r="I33" s="106"/>
    </row>
    <row r="34" spans="1:9" ht="48" customHeight="1" thickBot="1" x14ac:dyDescent="0.25">
      <c r="A34" s="112">
        <v>33</v>
      </c>
      <c r="B34" s="113" t="s">
        <v>427</v>
      </c>
      <c r="C34" s="114"/>
      <c r="D34" s="114" t="s">
        <v>588</v>
      </c>
      <c r="E34" s="114" t="s">
        <v>589</v>
      </c>
      <c r="F34" s="115"/>
      <c r="G34" s="115"/>
      <c r="H34" s="114" t="s">
        <v>591</v>
      </c>
      <c r="I34" s="116"/>
    </row>
  </sheetData>
  <mergeCells count="2">
    <mergeCell ref="B1:H1"/>
    <mergeCell ref="A2:B2"/>
  </mergeCells>
  <hyperlinks>
    <hyperlink ref="I1" location="Home_page" display="Back to_x000a_home page"/>
  </hyperlinks>
  <pageMargins left="0.70866141732283472" right="0.70866141732283472" top="0.74803149606299213" bottom="0.74803149606299213" header="0.31496062992125984" footer="0.31496062992125984"/>
  <pageSetup paperSize="9" scale="6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L33"/>
  <sheetViews>
    <sheetView workbookViewId="0">
      <selection activeCell="K1" sqref="K1:L1"/>
    </sheetView>
  </sheetViews>
  <sheetFormatPr defaultColWidth="8.75" defaultRowHeight="15" customHeight="1" x14ac:dyDescent="0.2"/>
  <cols>
    <col min="1" max="1" width="32.25" style="71" customWidth="1"/>
    <col min="2" max="2" width="6.75" style="71" customWidth="1"/>
    <col min="3" max="12" width="6.75" style="83" customWidth="1"/>
    <col min="13" max="23" width="6.75" style="71" customWidth="1"/>
    <col min="24" max="16384" width="8.75" style="71"/>
  </cols>
  <sheetData>
    <row r="1" spans="1:12" ht="33" customHeight="1" thickBot="1" x14ac:dyDescent="0.25">
      <c r="A1" s="5" t="s">
        <v>514</v>
      </c>
      <c r="B1" s="5"/>
      <c r="C1" s="5"/>
      <c r="D1" s="5"/>
      <c r="E1" s="5"/>
      <c r="F1" s="5"/>
      <c r="G1" s="5"/>
      <c r="H1" s="5"/>
      <c r="I1" s="71"/>
      <c r="J1" s="71"/>
      <c r="K1" s="150" t="s">
        <v>515</v>
      </c>
      <c r="L1" s="150"/>
    </row>
    <row r="2" spans="1:12" ht="15" customHeight="1" thickBot="1" x14ac:dyDescent="0.25">
      <c r="A2" s="72" t="s">
        <v>516</v>
      </c>
      <c r="B2" s="73" t="s">
        <v>517</v>
      </c>
      <c r="C2" s="74">
        <v>2005</v>
      </c>
      <c r="D2" s="74">
        <v>2006</v>
      </c>
      <c r="E2" s="74">
        <v>2007</v>
      </c>
      <c r="F2" s="74">
        <v>2008</v>
      </c>
      <c r="G2" s="74">
        <v>2009</v>
      </c>
      <c r="H2" s="74">
        <v>2010</v>
      </c>
      <c r="I2" s="74">
        <v>2011</v>
      </c>
      <c r="J2" s="74">
        <v>2012</v>
      </c>
      <c r="K2" s="74">
        <v>2013</v>
      </c>
      <c r="L2" s="71"/>
    </row>
    <row r="3" spans="1:12" ht="15" customHeight="1" x14ac:dyDescent="0.2">
      <c r="A3" s="76" t="s">
        <v>18</v>
      </c>
      <c r="C3" s="77">
        <v>-9.1789290793177925E-3</v>
      </c>
      <c r="D3" s="77">
        <v>2.416606595970968E-2</v>
      </c>
      <c r="E3" s="77">
        <v>-5.9534255183955428E-2</v>
      </c>
      <c r="F3" s="77">
        <v>0.1786503943876174</v>
      </c>
      <c r="G3" s="77">
        <v>0.11638422205263371</v>
      </c>
      <c r="H3" s="77">
        <v>0.12913413851611785</v>
      </c>
      <c r="I3" s="77">
        <v>-1.7234831909987768E-2</v>
      </c>
      <c r="J3" s="77">
        <v>9.1813966206139325E-2</v>
      </c>
      <c r="K3" s="77">
        <v>9.3228680726268193E-2</v>
      </c>
      <c r="L3" s="71"/>
    </row>
    <row r="4" spans="1:12" ht="15" customHeight="1" x14ac:dyDescent="0.2">
      <c r="A4" s="79" t="s">
        <v>69</v>
      </c>
      <c r="C4" s="77">
        <v>0.122190355240879</v>
      </c>
      <c r="D4" s="77">
        <v>7.9719945219924995E-2</v>
      </c>
      <c r="E4" s="77">
        <v>0.14706947106753854</v>
      </c>
      <c r="F4" s="77">
        <v>0.19205517109772213</v>
      </c>
      <c r="G4" s="77">
        <v>0.15793521571313843</v>
      </c>
      <c r="H4" s="77">
        <v>0.11659445462197809</v>
      </c>
      <c r="I4" s="77">
        <v>0.13295589550355724</v>
      </c>
      <c r="J4" s="77">
        <v>0.22877813587963577</v>
      </c>
      <c r="K4" s="77">
        <v>4.6094765494103934E-2</v>
      </c>
      <c r="L4" s="71"/>
    </row>
    <row r="5" spans="1:12" ht="15" customHeight="1" x14ac:dyDescent="0.2">
      <c r="A5" s="79" t="s">
        <v>86</v>
      </c>
      <c r="C5" s="77">
        <v>0.14973539992983778</v>
      </c>
      <c r="D5" s="77">
        <v>0.12625918120863144</v>
      </c>
      <c r="E5" s="77">
        <v>0.160781189022141</v>
      </c>
      <c r="F5" s="77">
        <v>0.19204462605949232</v>
      </c>
      <c r="G5" s="77">
        <v>7.8394678691446437E-2</v>
      </c>
      <c r="H5" s="77">
        <v>0.1444646838171261</v>
      </c>
      <c r="I5" s="77">
        <v>0.22208256527278411</v>
      </c>
      <c r="J5" s="77">
        <v>0.19257253988303089</v>
      </c>
      <c r="K5" s="77">
        <v>0.21435159514629931</v>
      </c>
      <c r="L5" s="71"/>
    </row>
    <row r="6" spans="1:12" ht="15" customHeight="1" x14ac:dyDescent="0.2">
      <c r="A6" s="79" t="s">
        <v>102</v>
      </c>
      <c r="C6" s="77">
        <v>-5.7565679352837837E-2</v>
      </c>
      <c r="D6" s="77">
        <v>-0.31894310775888968</v>
      </c>
      <c r="E6" s="77">
        <v>-0.15771436005483883</v>
      </c>
      <c r="F6" s="77">
        <v>-0.17122626666596616</v>
      </c>
      <c r="G6" s="77">
        <v>-0.17592827092886607</v>
      </c>
      <c r="H6" s="77">
        <v>7.4798863657363462E-2</v>
      </c>
      <c r="I6" s="77">
        <v>5.3531849806664013E-2</v>
      </c>
      <c r="J6" s="77">
        <v>-9.0210821354145404E-3</v>
      </c>
      <c r="K6" s="77">
        <v>-8.7625586371563573E-3</v>
      </c>
      <c r="L6" s="71"/>
    </row>
    <row r="7" spans="1:12" ht="15" customHeight="1" x14ac:dyDescent="0.2">
      <c r="A7" s="79" t="s">
        <v>119</v>
      </c>
      <c r="C7" s="77">
        <v>0.20127106615889448</v>
      </c>
      <c r="D7" s="77">
        <v>0.16771213856768596</v>
      </c>
      <c r="E7" s="77">
        <v>0.30101890390359654</v>
      </c>
      <c r="F7" s="77">
        <v>0.12182129749345982</v>
      </c>
      <c r="G7" s="77">
        <v>0.13476761633028111</v>
      </c>
      <c r="H7" s="77">
        <v>0.19132024703643735</v>
      </c>
      <c r="I7" s="77">
        <v>1.598122852992476E-2</v>
      </c>
      <c r="J7" s="77">
        <v>0.13616428375814185</v>
      </c>
      <c r="K7" s="77">
        <v>8.9910671337724943E-2</v>
      </c>
      <c r="L7" s="71"/>
    </row>
    <row r="8" spans="1:12" ht="15" customHeight="1" x14ac:dyDescent="0.2">
      <c r="A8" s="79" t="s">
        <v>137</v>
      </c>
      <c r="C8" s="77">
        <v>1.8743748840085471E-2</v>
      </c>
      <c r="D8" s="77">
        <v>7.8294483997442446E-2</v>
      </c>
      <c r="E8" s="77">
        <v>0.15318669545488839</v>
      </c>
      <c r="F8" s="77">
        <v>8.5150904413633863E-2</v>
      </c>
      <c r="G8" s="77">
        <v>9.1177114095023649E-3</v>
      </c>
      <c r="H8" s="77">
        <v>0.26208623826092836</v>
      </c>
      <c r="I8" s="77">
        <v>3.596063887475013E-2</v>
      </c>
      <c r="J8" s="77">
        <v>0.20305023986339771</v>
      </c>
      <c r="K8" s="77">
        <v>4.3570322379061652E-2</v>
      </c>
      <c r="L8" s="71"/>
    </row>
    <row r="9" spans="1:12" ht="15" customHeight="1" x14ac:dyDescent="0.2">
      <c r="A9" s="79" t="s">
        <v>155</v>
      </c>
      <c r="C9" s="77">
        <v>-7.2008591134186631E-2</v>
      </c>
      <c r="D9" s="77">
        <v>-6.8554141685332456E-2</v>
      </c>
      <c r="E9" s="77">
        <v>-0.13867616215845643</v>
      </c>
      <c r="F9" s="77">
        <v>-0.21220459753298285</v>
      </c>
      <c r="G9" s="77">
        <v>0.30894826123833757</v>
      </c>
      <c r="H9" s="77">
        <v>-0.15831893607885703</v>
      </c>
      <c r="I9" s="77">
        <v>0.39493605328239934</v>
      </c>
      <c r="J9" s="77">
        <v>-0.15768597542509599</v>
      </c>
      <c r="K9" s="77">
        <v>2.3884572347910582E-2</v>
      </c>
      <c r="L9" s="71"/>
    </row>
    <row r="10" spans="1:12" ht="15" customHeight="1" x14ac:dyDescent="0.2">
      <c r="A10" s="79" t="s">
        <v>178</v>
      </c>
      <c r="C10" s="77">
        <v>-0.22741464526572081</v>
      </c>
      <c r="D10" s="77">
        <v>-0.23852119704417621</v>
      </c>
      <c r="E10" s="77">
        <v>-0.28393402272611262</v>
      </c>
      <c r="F10" s="77">
        <v>-6.8813571538778859</v>
      </c>
      <c r="G10" s="77">
        <v>-0.45458813173872803</v>
      </c>
      <c r="H10" s="77">
        <v>-0.35677965220569968</v>
      </c>
      <c r="I10" s="77">
        <v>-0.41542412391271055</v>
      </c>
      <c r="J10" s="77">
        <v>-0.62928021221626729</v>
      </c>
      <c r="K10" s="77">
        <v>-0.64904288179838343</v>
      </c>
      <c r="L10" s="71"/>
    </row>
    <row r="11" spans="1:12" ht="15" customHeight="1" x14ac:dyDescent="0.2">
      <c r="A11" s="79" t="s">
        <v>196</v>
      </c>
      <c r="C11" s="77">
        <v>-3.6603591097910067E-2</v>
      </c>
      <c r="D11" s="77">
        <v>0.14571204442519708</v>
      </c>
      <c r="E11" s="77">
        <v>0.10939628670486849</v>
      </c>
      <c r="F11" s="77">
        <v>0.22784110903382998</v>
      </c>
      <c r="G11" s="77">
        <v>0.17473844171660033</v>
      </c>
      <c r="H11" s="77">
        <v>5.4111055833353509E-2</v>
      </c>
      <c r="I11" s="77">
        <v>7.9950289169288036E-2</v>
      </c>
      <c r="J11" s="77">
        <v>-6.0931208480188938E-2</v>
      </c>
      <c r="K11" s="77">
        <v>-0.13937228115966432</v>
      </c>
      <c r="L11" s="71"/>
    </row>
    <row r="12" spans="1:12" ht="15" customHeight="1" x14ac:dyDescent="0.2">
      <c r="A12" s="79" t="s">
        <v>231</v>
      </c>
      <c r="C12" s="77">
        <v>-0.16053107540583997</v>
      </c>
      <c r="D12" s="77">
        <v>4.3794061246287298E-2</v>
      </c>
      <c r="E12" s="77">
        <v>-0.17420563261397204</v>
      </c>
      <c r="F12" s="77">
        <v>-0.12687386416649279</v>
      </c>
      <c r="G12" s="77">
        <v>3.9356759208559168E-2</v>
      </c>
      <c r="H12" s="77">
        <v>-2.0680640552831475E-3</v>
      </c>
      <c r="I12" s="77">
        <v>-4.4457101624144922E-2</v>
      </c>
      <c r="J12" s="77">
        <v>-9.3897942372300966E-2</v>
      </c>
      <c r="K12" s="77">
        <v>-0.12576861143748524</v>
      </c>
      <c r="L12" s="71"/>
    </row>
    <row r="13" spans="1:12" ht="15" customHeight="1" x14ac:dyDescent="0.2">
      <c r="A13" s="79" t="s">
        <v>245</v>
      </c>
      <c r="C13" s="77">
        <v>-0.16498402314860652</v>
      </c>
      <c r="D13" s="77">
        <v>-0.14601747338380064</v>
      </c>
      <c r="E13" s="77">
        <v>0.15659046708384633</v>
      </c>
      <c r="F13" s="77">
        <v>-0.48320092183725954</v>
      </c>
      <c r="G13" s="77">
        <v>-0.15874552014547177</v>
      </c>
      <c r="H13" s="77">
        <v>-0.17918830712648376</v>
      </c>
      <c r="I13" s="77">
        <v>-0.35032374992671383</v>
      </c>
      <c r="J13" s="77">
        <v>-8.5142578199539645E-2</v>
      </c>
      <c r="K13" s="77">
        <v>-0.11667032355368827</v>
      </c>
      <c r="L13" s="71"/>
    </row>
    <row r="14" spans="1:12" ht="15" customHeight="1" x14ac:dyDescent="0.2">
      <c r="A14" s="79" t="s">
        <v>258</v>
      </c>
      <c r="C14" s="77">
        <v>8.1917929297587164E-2</v>
      </c>
      <c r="D14" s="77">
        <v>0.15423793259368049</v>
      </c>
      <c r="E14" s="77">
        <v>0.14758192840426063</v>
      </c>
      <c r="F14" s="77">
        <v>-1.7044540800640488E-2</v>
      </c>
      <c r="G14" s="77">
        <v>6.2059167582173532E-3</v>
      </c>
      <c r="H14" s="77">
        <v>-2.4454431164420577E-2</v>
      </c>
      <c r="I14" s="77">
        <v>2.794575282220129E-2</v>
      </c>
      <c r="J14" s="77">
        <v>3.2529184860732606E-2</v>
      </c>
      <c r="K14" s="77">
        <v>-9.8014192735234578E-3</v>
      </c>
      <c r="L14" s="71"/>
    </row>
    <row r="15" spans="1:12" ht="15" customHeight="1" x14ac:dyDescent="0.2">
      <c r="A15" s="79" t="s">
        <v>272</v>
      </c>
      <c r="C15" s="77">
        <v>5.19189242090961E-2</v>
      </c>
      <c r="D15" s="77">
        <v>0.12555021848326386</v>
      </c>
      <c r="E15" s="77">
        <v>0.1087381531105516</v>
      </c>
      <c r="F15" s="77">
        <v>-3.419641878410877E-2</v>
      </c>
      <c r="G15" s="77">
        <v>-1.5628544752244383E-2</v>
      </c>
      <c r="H15" s="77">
        <v>-3.1425740274743402E-2</v>
      </c>
      <c r="I15" s="77">
        <v>0.11911110605180744</v>
      </c>
      <c r="J15" s="77">
        <v>9.1849316136795714E-2</v>
      </c>
      <c r="K15" s="77">
        <v>9.8146887726701191E-3</v>
      </c>
      <c r="L15" s="71"/>
    </row>
    <row r="16" spans="1:12" ht="15" customHeight="1" x14ac:dyDescent="0.2">
      <c r="A16" s="79" t="s">
        <v>285</v>
      </c>
      <c r="C16" s="77">
        <v>-1.2426065276886174E-2</v>
      </c>
      <c r="D16" s="77">
        <v>7.9637011171366387E-2</v>
      </c>
      <c r="E16" s="77">
        <v>8.203009545891525E-2</v>
      </c>
      <c r="F16" s="77">
        <v>3.1621380489026455E-3</v>
      </c>
      <c r="G16" s="77">
        <v>7.7256229839984625E-4</v>
      </c>
      <c r="H16" s="77">
        <v>3.9395000824319751E-2</v>
      </c>
      <c r="I16" s="77">
        <v>6.3072872366205972E-3</v>
      </c>
      <c r="J16" s="77">
        <v>-1.6181101645092014E-2</v>
      </c>
      <c r="K16" s="77">
        <v>2.0188968410559237E-2</v>
      </c>
      <c r="L16" s="71"/>
    </row>
    <row r="17" spans="1:12" ht="15" customHeight="1" x14ac:dyDescent="0.2">
      <c r="A17" s="79" t="s">
        <v>298</v>
      </c>
      <c r="C17" s="77">
        <v>8.1942815647838216E-2</v>
      </c>
      <c r="D17" s="77">
        <v>0.15445521469179507</v>
      </c>
      <c r="E17" s="77">
        <v>0.10694132466784781</v>
      </c>
      <c r="F17" s="77">
        <v>2.0798442096093151E-3</v>
      </c>
      <c r="G17" s="77">
        <v>7.8791974430522787E-5</v>
      </c>
      <c r="H17" s="77">
        <v>4.806261865203746E-2</v>
      </c>
      <c r="I17" s="77">
        <v>5.2432693708368096E-2</v>
      </c>
      <c r="J17" s="77">
        <v>3.870934957039919E-2</v>
      </c>
      <c r="K17" s="77">
        <v>1.8468696413366598E-2</v>
      </c>
      <c r="L17" s="71"/>
    </row>
    <row r="18" spans="1:12" ht="15" customHeight="1" x14ac:dyDescent="0.2">
      <c r="A18" s="79" t="s">
        <v>310</v>
      </c>
      <c r="C18" s="77">
        <v>9.8404465693223281E-2</v>
      </c>
      <c r="D18" s="77">
        <v>0.13394864802473228</v>
      </c>
      <c r="E18" s="77">
        <v>0.11085911927929855</v>
      </c>
      <c r="F18" s="77">
        <v>2.7126632690081112E-2</v>
      </c>
      <c r="G18" s="77">
        <v>4.2114425077509836E-2</v>
      </c>
      <c r="H18" s="77">
        <v>8.5022619439667269E-2</v>
      </c>
      <c r="I18" s="77">
        <v>0.14500344327132192</v>
      </c>
      <c r="J18" s="77">
        <v>6.1595394377166851E-2</v>
      </c>
      <c r="K18" s="77">
        <v>5.4460266302985456E-2</v>
      </c>
      <c r="L18" s="71"/>
    </row>
    <row r="19" spans="1:12" ht="15" customHeight="1" x14ac:dyDescent="0.2">
      <c r="A19" s="79" t="s">
        <v>323</v>
      </c>
      <c r="C19" s="77">
        <v>1.609130977868168E-2</v>
      </c>
      <c r="D19" s="77">
        <v>8.7037561896266921E-2</v>
      </c>
      <c r="E19" s="77">
        <v>0.14027707964977609</v>
      </c>
      <c r="F19" s="77">
        <v>3.8409110053085463E-2</v>
      </c>
      <c r="G19" s="77">
        <v>-8.9208066364854736E-3</v>
      </c>
      <c r="H19" s="77">
        <v>6.5182660168863593E-2</v>
      </c>
      <c r="I19" s="77">
        <v>6.5177516189251786E-2</v>
      </c>
      <c r="J19" s="77">
        <v>2.3779009503959798E-2</v>
      </c>
      <c r="K19" s="77">
        <v>0.10294932757213507</v>
      </c>
      <c r="L19" s="71"/>
    </row>
    <row r="20" spans="1:12" ht="15" customHeight="1" x14ac:dyDescent="0.2">
      <c r="A20" s="79" t="s">
        <v>336</v>
      </c>
      <c r="C20" s="77">
        <v>0.11163199284347587</v>
      </c>
      <c r="D20" s="77">
        <v>0.15304853158358525</v>
      </c>
      <c r="E20" s="77">
        <v>0.12696582408461202</v>
      </c>
      <c r="F20" s="77">
        <v>3.0944032705909227E-2</v>
      </c>
      <c r="G20" s="77">
        <v>6.9885018565018275E-2</v>
      </c>
      <c r="H20" s="77">
        <v>0.1168538944363707</v>
      </c>
      <c r="I20" s="77">
        <v>0.17243653535550357</v>
      </c>
      <c r="J20" s="77">
        <v>9.781851436880297E-2</v>
      </c>
      <c r="K20" s="77">
        <v>6.9499805779952448E-2</v>
      </c>
      <c r="L20" s="71"/>
    </row>
    <row r="21" spans="1:12" ht="15" customHeight="1" x14ac:dyDescent="0.2">
      <c r="A21" s="79" t="s">
        <v>364</v>
      </c>
      <c r="C21" s="77">
        <v>5.2690539057082708E-2</v>
      </c>
      <c r="D21" s="77">
        <v>0.2700218312494268</v>
      </c>
      <c r="E21" s="77">
        <v>0.10939981402295992</v>
      </c>
      <c r="F21" s="77">
        <v>0.19299860028567184</v>
      </c>
      <c r="G21" s="77">
        <v>0.1985795055652394</v>
      </c>
      <c r="H21" s="77">
        <v>0.19416672507266089</v>
      </c>
      <c r="I21" s="77">
        <v>9.0558418224945841E-2</v>
      </c>
      <c r="J21" s="77">
        <v>0.26115181839318335</v>
      </c>
      <c r="K21" s="77">
        <v>0.16311345693089233</v>
      </c>
      <c r="L21" s="71"/>
    </row>
    <row r="22" spans="1:12" ht="15" customHeight="1" x14ac:dyDescent="0.2">
      <c r="A22" s="79" t="s">
        <v>377</v>
      </c>
      <c r="C22" s="77">
        <v>0.10724035846397056</v>
      </c>
      <c r="D22" s="77">
        <v>8.3325394186626434E-2</v>
      </c>
      <c r="E22" s="77">
        <v>6.4924257029755114E-2</v>
      </c>
      <c r="F22" s="77">
        <v>0.12218933968641632</v>
      </c>
      <c r="G22" s="77">
        <v>0.14494107257610311</v>
      </c>
      <c r="H22" s="77">
        <v>5.1499660186273603E-2</v>
      </c>
      <c r="I22" s="77">
        <v>8.5125053178789056E-3</v>
      </c>
      <c r="J22" s="77">
        <v>0.13201176673730819</v>
      </c>
      <c r="K22" s="77">
        <v>9.7439269892286309E-2</v>
      </c>
      <c r="L22" s="71"/>
    </row>
    <row r="23" spans="1:12" ht="15" customHeight="1" x14ac:dyDescent="0.2">
      <c r="A23" s="79" t="s">
        <v>389</v>
      </c>
      <c r="C23" s="77">
        <v>-7.347366893087745E-2</v>
      </c>
      <c r="D23" s="77">
        <v>0.15961767263328319</v>
      </c>
      <c r="E23" s="77">
        <v>0.17273301504156344</v>
      </c>
      <c r="F23" s="77">
        <v>-1.6483789147184492E-2</v>
      </c>
      <c r="G23" s="77">
        <v>4.787175072833439E-2</v>
      </c>
      <c r="H23" s="77">
        <v>0.10062634868277463</v>
      </c>
      <c r="I23" s="77">
        <v>0.10293858840880699</v>
      </c>
      <c r="J23" s="77">
        <v>2.9705172077230675E-2</v>
      </c>
      <c r="K23" s="77">
        <v>2.2673288119855052E-3</v>
      </c>
      <c r="L23" s="71"/>
    </row>
    <row r="24" spans="1:12" ht="15" customHeight="1" x14ac:dyDescent="0.2">
      <c r="A24" s="79" t="s">
        <v>402</v>
      </c>
      <c r="C24" s="77">
        <v>0.11248387245667404</v>
      </c>
      <c r="D24" s="77">
        <v>-4.2566578618397103E-3</v>
      </c>
      <c r="E24" s="77">
        <v>3.4569123340280575E-2</v>
      </c>
      <c r="F24" s="77">
        <v>-6.4009244803203538E-2</v>
      </c>
      <c r="G24" s="77">
        <v>4.0531869198658449E-2</v>
      </c>
      <c r="H24" s="77">
        <v>1.4729882039042052E-2</v>
      </c>
      <c r="I24" s="77">
        <v>-7.1363723268341676E-3</v>
      </c>
      <c r="J24" s="77">
        <v>0.11090722827268201</v>
      </c>
      <c r="K24" s="77">
        <v>4.5841992620301766E-2</v>
      </c>
      <c r="L24" s="71"/>
    </row>
    <row r="25" spans="1:12" ht="15" customHeight="1" x14ac:dyDescent="0.2">
      <c r="A25" s="79" t="s">
        <v>443</v>
      </c>
      <c r="C25" s="77">
        <v>7.5697185117073587E-2</v>
      </c>
      <c r="D25" s="77">
        <v>0.11141562889330353</v>
      </c>
      <c r="E25" s="77">
        <v>0.181247091358297</v>
      </c>
      <c r="F25" s="77">
        <v>6.0526577613354289E-2</v>
      </c>
      <c r="G25" s="77">
        <v>0.15509215231682652</v>
      </c>
      <c r="H25" s="77">
        <v>0.14184945303376451</v>
      </c>
      <c r="I25" s="77">
        <v>0.13744149511290407</v>
      </c>
      <c r="J25" s="77">
        <v>0.1268893796278828</v>
      </c>
      <c r="K25" s="77">
        <v>0.16955926423777332</v>
      </c>
      <c r="L25" s="71"/>
    </row>
    <row r="26" spans="1:12" ht="15" customHeight="1" x14ac:dyDescent="0.2">
      <c r="A26" s="79" t="s">
        <v>455</v>
      </c>
      <c r="C26" s="77">
        <v>0.18786211261616756</v>
      </c>
      <c r="D26" s="77">
        <v>0.22715101924178577</v>
      </c>
      <c r="E26" s="77">
        <v>0.28793474636181826</v>
      </c>
      <c r="F26" s="77">
        <v>0.19615573324581517</v>
      </c>
      <c r="G26" s="77">
        <v>0.2142302706928442</v>
      </c>
      <c r="H26" s="77">
        <v>0.19599327209389289</v>
      </c>
      <c r="I26" s="77">
        <v>0.23935179986848706</v>
      </c>
      <c r="J26" s="77">
        <v>0.2395500338801384</v>
      </c>
      <c r="K26" s="77">
        <v>0.17174858563017806</v>
      </c>
      <c r="L26" s="71"/>
    </row>
    <row r="27" spans="1:12" ht="15" customHeight="1" x14ac:dyDescent="0.2">
      <c r="A27" s="79" t="s">
        <v>468</v>
      </c>
      <c r="C27" s="77">
        <v>8.7301694297499913E-2</v>
      </c>
      <c r="D27" s="77">
        <v>0.12950394015332631</v>
      </c>
      <c r="E27" s="77">
        <v>0.2249373731829723</v>
      </c>
      <c r="F27" s="77">
        <v>0.16735592895117268</v>
      </c>
      <c r="G27" s="77">
        <v>0.19898268912108638</v>
      </c>
      <c r="H27" s="77">
        <v>0.1842840375965826</v>
      </c>
      <c r="I27" s="77">
        <v>0.1799871864553291</v>
      </c>
      <c r="J27" s="77">
        <v>0.11862250381548119</v>
      </c>
      <c r="K27" s="77">
        <v>0.11847599847926718</v>
      </c>
      <c r="L27" s="71"/>
    </row>
    <row r="28" spans="1:12" ht="15" customHeight="1" x14ac:dyDescent="0.2">
      <c r="A28" s="79" t="s">
        <v>479</v>
      </c>
      <c r="C28" s="77">
        <v>0.28658226732919145</v>
      </c>
      <c r="D28" s="77">
        <v>0.2396909837695336</v>
      </c>
      <c r="E28" s="77">
        <v>0.34402740270558241</v>
      </c>
      <c r="F28" s="77">
        <v>9.1755131785070318E-2</v>
      </c>
      <c r="G28" s="77">
        <v>0.25040625123583066</v>
      </c>
      <c r="H28" s="77">
        <v>0.14509821396802244</v>
      </c>
      <c r="I28" s="77">
        <v>-1.1395503241876929E-2</v>
      </c>
      <c r="J28" s="77">
        <v>0.11480181034973148</v>
      </c>
      <c r="K28" s="77">
        <v>0.15127137381336678</v>
      </c>
      <c r="L28" s="71"/>
    </row>
    <row r="29" spans="1:12" ht="15" customHeight="1" x14ac:dyDescent="0.2">
      <c r="A29" s="79" t="s">
        <v>491</v>
      </c>
      <c r="C29" s="77">
        <v>0.11000395424899323</v>
      </c>
      <c r="D29" s="77">
        <v>0.14492457451986279</v>
      </c>
      <c r="E29" s="77">
        <v>0.1061599840912243</v>
      </c>
      <c r="F29" s="77">
        <v>4.1996729107743082E-2</v>
      </c>
      <c r="G29" s="77">
        <v>-0.14781511344643883</v>
      </c>
      <c r="H29" s="77">
        <v>7.1671204385504964E-2</v>
      </c>
      <c r="I29" s="77">
        <v>0.12827832411600235</v>
      </c>
      <c r="J29" s="77">
        <v>0.1446083587179941</v>
      </c>
      <c r="K29" s="77">
        <v>6.1623553237333838E-2</v>
      </c>
      <c r="L29" s="71"/>
    </row>
    <row r="30" spans="1:12" ht="15" customHeight="1" x14ac:dyDescent="0.2">
      <c r="A30" s="79" t="s">
        <v>502</v>
      </c>
      <c r="C30" s="77">
        <v>5.2130450425737253E-2</v>
      </c>
      <c r="D30" s="77">
        <v>0.17602008464487845</v>
      </c>
      <c r="E30" s="77">
        <v>0.14561385173737143</v>
      </c>
      <c r="F30" s="77">
        <v>0.12905987959998647</v>
      </c>
      <c r="G30" s="77">
        <v>6.4578536681529769E-2</v>
      </c>
      <c r="H30" s="77">
        <v>8.0467428976345026E-2</v>
      </c>
      <c r="I30" s="77">
        <v>0.11369730749096589</v>
      </c>
      <c r="J30" s="77">
        <v>0.1723019916904816</v>
      </c>
      <c r="K30" s="77">
        <v>0.11693117944707417</v>
      </c>
      <c r="L30" s="71"/>
    </row>
    <row r="31" spans="1:12" ht="15" customHeight="1" x14ac:dyDescent="0.2">
      <c r="A31" s="79" t="s">
        <v>415</v>
      </c>
      <c r="C31" s="77">
        <v>4.2408733589166407E-2</v>
      </c>
      <c r="D31" s="77">
        <v>3.0695043971301898E-2</v>
      </c>
      <c r="E31" s="77">
        <v>0.21951575657897612</v>
      </c>
      <c r="F31" s="77">
        <v>0.12525956641003524</v>
      </c>
      <c r="G31" s="77">
        <v>0.12100727286763606</v>
      </c>
      <c r="H31" s="77">
        <v>0.20451704767238044</v>
      </c>
      <c r="I31" s="77">
        <v>0.19352734254883833</v>
      </c>
      <c r="J31" s="77">
        <v>0.16177635833333623</v>
      </c>
      <c r="K31" s="77">
        <v>0.1111145002923596</v>
      </c>
      <c r="L31" s="71"/>
    </row>
    <row r="32" spans="1:12" ht="15" customHeight="1" thickBot="1" x14ac:dyDescent="0.25">
      <c r="A32" s="80" t="s">
        <v>427</v>
      </c>
      <c r="B32" s="81"/>
      <c r="C32" s="82">
        <v>0.10116336190604805</v>
      </c>
      <c r="D32" s="82">
        <v>-6.8500341744443484E-3</v>
      </c>
      <c r="E32" s="82">
        <v>0.13916878921690989</v>
      </c>
      <c r="F32" s="82">
        <v>9.8212574466657362E-2</v>
      </c>
      <c r="G32" s="82">
        <v>0.22285448097087385</v>
      </c>
      <c r="H32" s="82">
        <v>0.11032423104704817</v>
      </c>
      <c r="I32" s="82">
        <v>3.7450185672348167E-2</v>
      </c>
      <c r="J32" s="82">
        <v>0.16807991374583134</v>
      </c>
      <c r="K32" s="82">
        <v>5.5386556997930339E-2</v>
      </c>
      <c r="L32" s="71"/>
    </row>
    <row r="33" spans="1:1" ht="15" customHeight="1" x14ac:dyDescent="0.2">
      <c r="A33" s="55"/>
    </row>
  </sheetData>
  <mergeCells count="1">
    <mergeCell ref="K1:L1"/>
  </mergeCells>
  <hyperlinks>
    <hyperlink ref="K1:L1" location="Home_page" display="Back to_x000a_home page"/>
  </hyperlinks>
  <pageMargins left="0.70866141732283472" right="0.70866141732283472" top="0.74803149606299213" bottom="0.74803149606299213" header="0.31496062992125984" footer="0.31496062992125984"/>
  <pageSetup paperSize="9" orientation="landscape"/>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'Net profit margin'!C3:K3</xm:f>
              <xm:sqref>B3</xm:sqref>
            </x14:sparkline>
            <x14:sparkline>
              <xm:f>'Net profit margin'!C4:K4</xm:f>
              <xm:sqref>B4</xm:sqref>
            </x14:sparkline>
            <x14:sparkline>
              <xm:f>'Net profit margin'!C5:K5</xm:f>
              <xm:sqref>B5</xm:sqref>
            </x14:sparkline>
            <x14:sparkline>
              <xm:f>'Net profit margin'!C6:K6</xm:f>
              <xm:sqref>B6</xm:sqref>
            </x14:sparkline>
            <x14:sparkline>
              <xm:f>'Net profit margin'!C7:K7</xm:f>
              <xm:sqref>B7</xm:sqref>
            </x14:sparkline>
            <x14:sparkline>
              <xm:f>'Net profit margin'!C8:K8</xm:f>
              <xm:sqref>B8</xm:sqref>
            </x14:sparkline>
            <x14:sparkline>
              <xm:f>'Net profit margin'!C9:K9</xm:f>
              <xm:sqref>B9</xm:sqref>
            </x14:sparkline>
            <x14:sparkline>
              <xm:f>'Net profit margin'!C10:K10</xm:f>
              <xm:sqref>B10</xm:sqref>
            </x14:sparkline>
            <x14:sparkline>
              <xm:f>'Net profit margin'!C11:K11</xm:f>
              <xm:sqref>B11</xm:sqref>
            </x14:sparkline>
            <x14:sparkline>
              <xm:f>'Net profit margin'!C12:K12</xm:f>
              <xm:sqref>B12</xm:sqref>
            </x14:sparkline>
            <x14:sparkline>
              <xm:f>'Net profit margin'!C13:K13</xm:f>
              <xm:sqref>B13</xm:sqref>
            </x14:sparkline>
            <x14:sparkline>
              <xm:f>'Net profit margin'!C14:K14</xm:f>
              <xm:sqref>B14</xm:sqref>
            </x14:sparkline>
            <x14:sparkline>
              <xm:f>'Net profit margin'!C15:K15</xm:f>
              <xm:sqref>B15</xm:sqref>
            </x14:sparkline>
            <x14:sparkline>
              <xm:f>'Net profit margin'!C16:K16</xm:f>
              <xm:sqref>B16</xm:sqref>
            </x14:sparkline>
            <x14:sparkline>
              <xm:f>'Net profit margin'!C17:K17</xm:f>
              <xm:sqref>B17</xm:sqref>
            </x14:sparkline>
            <x14:sparkline>
              <xm:f>'Net profit margin'!C18:K18</xm:f>
              <xm:sqref>B18</xm:sqref>
            </x14:sparkline>
            <x14:sparkline>
              <xm:f>'Net profit margin'!C19:K19</xm:f>
              <xm:sqref>B19</xm:sqref>
            </x14:sparkline>
            <x14:sparkline>
              <xm:f>'Net profit margin'!C20:K20</xm:f>
              <xm:sqref>B20</xm:sqref>
            </x14:sparkline>
            <x14:sparkline>
              <xm:f>'Net profit margin'!C21:K21</xm:f>
              <xm:sqref>B21</xm:sqref>
            </x14:sparkline>
            <x14:sparkline>
              <xm:f>'Net profit margin'!C22:K22</xm:f>
              <xm:sqref>B22</xm:sqref>
            </x14:sparkline>
            <x14:sparkline>
              <xm:f>'Net profit margin'!C23:K23</xm:f>
              <xm:sqref>B23</xm:sqref>
            </x14:sparkline>
            <x14:sparkline>
              <xm:f>'Net profit margin'!C24:K24</xm:f>
              <xm:sqref>B24</xm:sqref>
            </x14:sparkline>
            <x14:sparkline>
              <xm:f>'Net profit margin'!C25:K25</xm:f>
              <xm:sqref>B25</xm:sqref>
            </x14:sparkline>
            <x14:sparkline>
              <xm:f>'Net profit margin'!C26:K26</xm:f>
              <xm:sqref>B26</xm:sqref>
            </x14:sparkline>
            <x14:sparkline>
              <xm:f>'Net profit margin'!C27:K27</xm:f>
              <xm:sqref>B27</xm:sqref>
            </x14:sparkline>
            <x14:sparkline>
              <xm:f>'Net profit margin'!C28:K28</xm:f>
              <xm:sqref>B28</xm:sqref>
            </x14:sparkline>
            <x14:sparkline>
              <xm:f>'Net profit margin'!C29:K29</xm:f>
              <xm:sqref>B29</xm:sqref>
            </x14:sparkline>
            <x14:sparkline>
              <xm:f>'Net profit margin'!C30:K30</xm:f>
              <xm:sqref>B30</xm:sqref>
            </x14:sparkline>
            <x14:sparkline>
              <xm:f>'Net profit margin'!C31:K31</xm:f>
              <xm:sqref>B31</xm:sqref>
            </x14:sparkline>
            <x14:sparkline>
              <xm:f>'Net profit margin'!C32:K32</xm:f>
              <xm:sqref>B32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O300"/>
  <sheetViews>
    <sheetView zoomScale="80" zoomScaleNormal="80" zoomScalePageLayoutView="75" workbookViewId="0">
      <selection activeCell="M1" sqref="M1"/>
    </sheetView>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18</v>
      </c>
      <c r="B1" s="57"/>
      <c r="M1" s="7" t="s">
        <v>16</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24</v>
      </c>
      <c r="E3" s="16">
        <v>17</v>
      </c>
      <c r="F3" s="16">
        <v>16</v>
      </c>
      <c r="G3" s="16">
        <v>15</v>
      </c>
      <c r="H3" s="16">
        <v>15</v>
      </c>
      <c r="I3" s="16">
        <v>14</v>
      </c>
      <c r="J3" s="16">
        <v>12</v>
      </c>
      <c r="K3" s="16">
        <v>5</v>
      </c>
      <c r="L3" s="16">
        <v>5</v>
      </c>
      <c r="M3" s="17">
        <v>10</v>
      </c>
      <c r="N3" s="18">
        <f t="shared" ref="N3:N38" si="0">IF(L3=0,"",IFERROR(IF(AND(L3&gt;0,D3&lt;0),"na",IF(AND(L3&lt;0,D3&lt;0),-1,1)*(L3-D3)/D3),""))</f>
        <v>-0.79166666666666663</v>
      </c>
      <c r="O3" s="18">
        <f t="shared" ref="O3:O38" si="1">IF(L3=0,"",IFERROR(IF(AND(L3&gt;0,H3&lt;0),"na",IF(AND(L3&lt;0,H3&lt;0),-1,1)*(L3-H3)/H3),""))</f>
        <v>-0.66666666666666663</v>
      </c>
    </row>
    <row r="4" spans="1:15" s="19" customFormat="1" ht="18" customHeight="1" x14ac:dyDescent="0.2">
      <c r="A4" s="141"/>
      <c r="B4" s="20" t="s">
        <v>20</v>
      </c>
      <c r="C4" s="21"/>
      <c r="D4" s="22">
        <v>8118.330078125</v>
      </c>
      <c r="E4" s="22">
        <v>6211.330078125</v>
      </c>
      <c r="F4" s="22">
        <v>4339.740234375</v>
      </c>
      <c r="G4" s="22">
        <v>4477.5</v>
      </c>
      <c r="H4" s="22">
        <v>4148.5</v>
      </c>
      <c r="I4" s="22">
        <v>4686.2001953125</v>
      </c>
      <c r="J4" s="22">
        <v>3220.110107421875</v>
      </c>
      <c r="K4" s="22">
        <v>962.03997802734375</v>
      </c>
      <c r="L4" s="22">
        <v>824.03997802734375</v>
      </c>
      <c r="M4" s="23">
        <v>1950.199951171875</v>
      </c>
      <c r="N4" s="24">
        <f t="shared" si="0"/>
        <v>-0.89849636931519505</v>
      </c>
      <c r="O4" s="24">
        <f t="shared" si="1"/>
        <v>-0.80136435385625071</v>
      </c>
    </row>
    <row r="5" spans="1:15" s="19" customFormat="1" ht="18" customHeight="1" x14ac:dyDescent="0.2">
      <c r="A5" s="141"/>
      <c r="B5" s="20" t="s">
        <v>21</v>
      </c>
      <c r="C5" s="21"/>
      <c r="D5" s="22">
        <v>2479.280029296875</v>
      </c>
      <c r="E5" s="22">
        <v>1941.1700439453125</v>
      </c>
      <c r="F5" s="22">
        <v>1275.4599609375</v>
      </c>
      <c r="G5" s="22">
        <v>1320.800048828125</v>
      </c>
      <c r="H5" s="22">
        <v>1158.3299560546875</v>
      </c>
      <c r="I5" s="22">
        <v>1395.0999755859375</v>
      </c>
      <c r="J5" s="22">
        <v>843.95001220703125</v>
      </c>
      <c r="K5" s="22">
        <v>222.33000183105469</v>
      </c>
      <c r="L5" s="22">
        <v>124.01000213623047</v>
      </c>
      <c r="M5" s="23">
        <v>487.6099853515625</v>
      </c>
      <c r="N5" s="24">
        <f t="shared" si="0"/>
        <v>-0.94998144595574396</v>
      </c>
      <c r="O5" s="24">
        <f t="shared" si="1"/>
        <v>-0.89294069320402203</v>
      </c>
    </row>
    <row r="6" spans="1:15" s="19" customFormat="1" ht="18" customHeight="1" x14ac:dyDescent="0.2">
      <c r="A6" s="141"/>
      <c r="B6" s="20" t="s">
        <v>22</v>
      </c>
      <c r="C6" s="21"/>
      <c r="D6" s="22">
        <v>7078.28125</v>
      </c>
      <c r="E6" s="22">
        <v>5063.77099609375</v>
      </c>
      <c r="F6" s="22">
        <v>2884.126220703125</v>
      </c>
      <c r="G6" s="22">
        <v>3730.736572265625</v>
      </c>
      <c r="H6" s="22">
        <v>3463.78564453125</v>
      </c>
      <c r="I6" s="22">
        <v>3845.60498046875</v>
      </c>
      <c r="J6" s="22">
        <v>2568.482666015625</v>
      </c>
      <c r="K6" s="22">
        <v>812.864990234375</v>
      </c>
      <c r="L6" s="22">
        <v>655.4130859375</v>
      </c>
      <c r="M6" s="23">
        <v>1704.0469970703125</v>
      </c>
      <c r="N6" s="24">
        <f t="shared" si="0"/>
        <v>-0.90740505176486175</v>
      </c>
      <c r="O6" s="24">
        <f t="shared" si="1"/>
        <v>-0.81078128002167515</v>
      </c>
    </row>
    <row r="7" spans="1:15" s="19" customFormat="1" ht="18" customHeight="1" x14ac:dyDescent="0.2">
      <c r="A7" s="141"/>
      <c r="B7" s="20" t="s">
        <v>23</v>
      </c>
      <c r="C7" s="21"/>
      <c r="D7" s="22">
        <v>2082.70068359375</v>
      </c>
      <c r="E7" s="22">
        <v>1351.5157470703125</v>
      </c>
      <c r="F7" s="22">
        <v>1651.133544921875</v>
      </c>
      <c r="G7" s="22">
        <v>1543.97705078125</v>
      </c>
      <c r="H7" s="22">
        <v>1361.07275390625</v>
      </c>
      <c r="I7" s="22">
        <v>2233.06787109375</v>
      </c>
      <c r="J7" s="22">
        <v>1121.5140380859375</v>
      </c>
      <c r="K7" s="22">
        <v>806.8524169921875</v>
      </c>
      <c r="L7" s="22">
        <v>474.1536865234375</v>
      </c>
      <c r="M7" s="23">
        <v>1113.84326171875</v>
      </c>
      <c r="N7" s="24">
        <f t="shared" si="0"/>
        <v>-0.77233709564771735</v>
      </c>
      <c r="O7" s="24">
        <f t="shared" si="1"/>
        <v>-0.6516323722132954</v>
      </c>
    </row>
    <row r="8" spans="1:15" s="19" customFormat="1" ht="18" customHeight="1" x14ac:dyDescent="0.2">
      <c r="A8" s="141"/>
      <c r="B8" s="20" t="s">
        <v>24</v>
      </c>
      <c r="C8" s="25"/>
      <c r="D8" s="26">
        <f ca="1">3.388932*OFFSET(D$108,MATCH($M$1,$C$109:$C$110,0),0)</f>
        <v>3.3889320000000001</v>
      </c>
      <c r="E8" s="26">
        <f ca="1">2.75649275*OFFSET(E$108,MATCH($M$1,$C$109:$C$110,0),0)</f>
        <v>2.75649275</v>
      </c>
      <c r="F8" s="26">
        <f ca="1">2.320656*OFFSET(F$108,MATCH($M$1,$C$109:$C$110,0),0)</f>
        <v>2.3206560000000001</v>
      </c>
      <c r="G8" s="26">
        <f ca="1">3.14023775*OFFSET(G$108,MATCH($M$1,$C$109:$C$110,0),0)</f>
        <v>3.1402377499999998</v>
      </c>
      <c r="H8" s="26">
        <f ca="1">2.16374275*OFFSET(H$108,MATCH($M$1,$C$109:$C$110,0),0)</f>
        <v>2.1637427499999999</v>
      </c>
      <c r="I8" s="26">
        <f ca="1">2.96065125*OFFSET(I$108,MATCH($M$1,$C$109:$C$110,0),0)</f>
        <v>2.9606512500000002</v>
      </c>
      <c r="J8" s="26">
        <f ca="1">1.753270875*OFFSET(J$108,MATCH($M$1,$C$109:$C$110,0),0)</f>
        <v>1.7532708749999999</v>
      </c>
      <c r="K8" s="26">
        <f ca="1">0.6468269375*OFFSET(K$108,MATCH($M$1,$C$109:$C$110,0),0)</f>
        <v>0.64682693749999998</v>
      </c>
      <c r="L8" s="26">
        <f ca="1">0.575605375*OFFSET(L$108,MATCH($M$1,$C$109:$C$110,0),0)</f>
        <v>0.57560537499999997</v>
      </c>
      <c r="M8" s="27">
        <f ca="1">1.91803325*OFFSET(M$108,MATCH($M$1,$C$109:$C$110,0),0)</f>
        <v>1.9180332499999999</v>
      </c>
      <c r="N8" s="24">
        <f t="shared" ca="1" si="0"/>
        <v>-0.8301513943035741</v>
      </c>
      <c r="O8" s="24">
        <f t="shared" ca="1" si="1"/>
        <v>-0.73397698270739442</v>
      </c>
    </row>
    <row r="9" spans="1:15" s="19" customFormat="1" ht="18" customHeight="1" x14ac:dyDescent="0.2">
      <c r="A9" s="141"/>
      <c r="B9" s="20" t="s">
        <v>25</v>
      </c>
      <c r="C9" s="25"/>
      <c r="D9" s="22">
        <v>3265</v>
      </c>
      <c r="E9" s="22">
        <v>2369</v>
      </c>
      <c r="F9" s="22">
        <v>1670</v>
      </c>
      <c r="G9" s="22">
        <v>1967</v>
      </c>
      <c r="H9" s="22">
        <v>1620</v>
      </c>
      <c r="I9" s="22">
        <v>1689</v>
      </c>
      <c r="J9" s="22">
        <v>1278</v>
      </c>
      <c r="K9" s="22">
        <v>520</v>
      </c>
      <c r="L9" s="22">
        <v>570</v>
      </c>
      <c r="M9" s="23">
        <v>1257</v>
      </c>
      <c r="N9" s="24">
        <f t="shared" si="0"/>
        <v>-0.82542113323124044</v>
      </c>
      <c r="O9" s="24">
        <f t="shared" si="1"/>
        <v>-0.64814814814814814</v>
      </c>
    </row>
    <row r="10" spans="1:15" s="19" customFormat="1" ht="18" customHeight="1" x14ac:dyDescent="0.2">
      <c r="A10" s="142" t="s">
        <v>7</v>
      </c>
      <c r="B10" s="28" t="s">
        <v>26</v>
      </c>
      <c r="C10" s="29"/>
      <c r="D10" s="30">
        <v>20.489166259765625</v>
      </c>
      <c r="E10" s="30">
        <v>20.777647018432617</v>
      </c>
      <c r="F10" s="30">
        <v>19.010000228881836</v>
      </c>
      <c r="G10" s="30">
        <v>18.781333923339844</v>
      </c>
      <c r="H10" s="30">
        <v>17.74333381652832</v>
      </c>
      <c r="I10" s="30">
        <v>19.527856826782227</v>
      </c>
      <c r="J10" s="30">
        <v>16.831666946411133</v>
      </c>
      <c r="K10" s="30">
        <v>14.800000190734863</v>
      </c>
      <c r="L10" s="30">
        <v>12.284000396728516</v>
      </c>
      <c r="M10" s="31">
        <v>15.307999610900879</v>
      </c>
      <c r="N10" s="32">
        <f t="shared" si="0"/>
        <v>-0.4004636283883114</v>
      </c>
      <c r="O10" s="32">
        <f t="shared" si="1"/>
        <v>-0.30768363354097022</v>
      </c>
    </row>
    <row r="11" spans="1:15" s="19" customFormat="1" ht="18" customHeight="1" x14ac:dyDescent="0.2">
      <c r="A11" s="143"/>
      <c r="B11" s="33" t="s">
        <v>20</v>
      </c>
      <c r="C11" s="21"/>
      <c r="D11" s="22">
        <v>338.26376342773437</v>
      </c>
      <c r="E11" s="22">
        <v>365.37234497070312</v>
      </c>
      <c r="F11" s="22">
        <v>271.2337646484375</v>
      </c>
      <c r="G11" s="22">
        <v>298.5</v>
      </c>
      <c r="H11" s="22">
        <v>276.56668090820312</v>
      </c>
      <c r="I11" s="22">
        <v>334.72857666015625</v>
      </c>
      <c r="J11" s="22">
        <v>268.34249877929687</v>
      </c>
      <c r="K11" s="22">
        <v>192.40800476074219</v>
      </c>
      <c r="L11" s="22">
        <v>164.80799865722656</v>
      </c>
      <c r="M11" s="23">
        <v>195.02000427246094</v>
      </c>
      <c r="N11" s="24">
        <f t="shared" si="0"/>
        <v>-0.51278257834308161</v>
      </c>
      <c r="O11" s="24">
        <f t="shared" si="1"/>
        <v>-0.40409308121997184</v>
      </c>
    </row>
    <row r="12" spans="1:15" s="19" customFormat="1" ht="18" customHeight="1" x14ac:dyDescent="0.2">
      <c r="A12" s="143"/>
      <c r="B12" s="33" t="s">
        <v>21</v>
      </c>
      <c r="C12" s="21"/>
      <c r="D12" s="22">
        <v>103.30333709716797</v>
      </c>
      <c r="E12" s="22">
        <v>114.18647003173828</v>
      </c>
      <c r="F12" s="22">
        <v>79.71624755859375</v>
      </c>
      <c r="G12" s="22">
        <v>88.053337097167969</v>
      </c>
      <c r="H12" s="22">
        <v>77.222000122070312</v>
      </c>
      <c r="I12" s="22">
        <v>99.650001525878906</v>
      </c>
      <c r="J12" s="22">
        <v>70.329170227050781</v>
      </c>
      <c r="K12" s="22">
        <v>44.465999603271484</v>
      </c>
      <c r="L12" s="22">
        <v>24.802000045776367</v>
      </c>
      <c r="M12" s="23">
        <v>48.761001586914063</v>
      </c>
      <c r="N12" s="24">
        <f t="shared" si="0"/>
        <v>-0.759910950190821</v>
      </c>
      <c r="O12" s="24">
        <f t="shared" si="1"/>
        <v>-0.67882209724469611</v>
      </c>
    </row>
    <row r="13" spans="1:15" s="19" customFormat="1" ht="18" customHeight="1" x14ac:dyDescent="0.2">
      <c r="A13" s="143"/>
      <c r="B13" s="33" t="s">
        <v>22</v>
      </c>
      <c r="C13" s="21"/>
      <c r="D13" s="22">
        <v>294.92837524414062</v>
      </c>
      <c r="E13" s="22">
        <v>297.86886596679687</v>
      </c>
      <c r="F13" s="22">
        <v>180.25788879394531</v>
      </c>
      <c r="G13" s="22">
        <v>248.71577453613281</v>
      </c>
      <c r="H13" s="22">
        <v>230.91903686523437</v>
      </c>
      <c r="I13" s="22">
        <v>274.68606567382812</v>
      </c>
      <c r="J13" s="22">
        <v>214.04022216796875</v>
      </c>
      <c r="K13" s="22">
        <v>162.572998046875</v>
      </c>
      <c r="L13" s="22">
        <v>131.08262634277344</v>
      </c>
      <c r="M13" s="23">
        <v>170.40469360351562</v>
      </c>
      <c r="N13" s="24">
        <f t="shared" si="0"/>
        <v>-0.55554420209902244</v>
      </c>
      <c r="O13" s="24">
        <f t="shared" si="1"/>
        <v>-0.43234378541395885</v>
      </c>
    </row>
    <row r="14" spans="1:15" s="19" customFormat="1" ht="18" customHeight="1" x14ac:dyDescent="0.2">
      <c r="A14" s="143"/>
      <c r="B14" s="33" t="s">
        <v>23</v>
      </c>
      <c r="C14" s="25"/>
      <c r="D14" s="26">
        <v>86.779197692871094</v>
      </c>
      <c r="E14" s="26">
        <v>79.500923156738281</v>
      </c>
      <c r="F14" s="26">
        <v>103.19584655761719</v>
      </c>
      <c r="G14" s="26">
        <v>102.93180847167969</v>
      </c>
      <c r="H14" s="26">
        <v>90.738182067871094</v>
      </c>
      <c r="I14" s="26">
        <v>159.50483703613281</v>
      </c>
      <c r="J14" s="26">
        <v>93.459503173828125</v>
      </c>
      <c r="K14" s="26">
        <v>161.3704833984375</v>
      </c>
      <c r="L14" s="26">
        <v>94.830741882324219</v>
      </c>
      <c r="M14" s="27">
        <v>111.38433074951172</v>
      </c>
      <c r="N14" s="24">
        <f t="shared" si="0"/>
        <v>9.2781961616528741E-2</v>
      </c>
      <c r="O14" s="24">
        <f t="shared" si="1"/>
        <v>4.5102951383706791E-2</v>
      </c>
    </row>
    <row r="15" spans="1:15" s="19" customFormat="1" ht="18" customHeight="1" x14ac:dyDescent="0.2">
      <c r="A15" s="143"/>
      <c r="B15" s="33" t="s">
        <v>27</v>
      </c>
      <c r="C15" s="25"/>
      <c r="D15" s="26">
        <f ca="1">141.2055*OFFSET(D$108,MATCH($M$1,$C$109:$C$110,0),0)</f>
        <v>141.2055</v>
      </c>
      <c r="E15" s="26">
        <f ca="1">162.146625*OFFSET(E$108,MATCH($M$1,$C$109:$C$110,0),0)</f>
        <v>162.146625</v>
      </c>
      <c r="F15" s="26">
        <f ca="1">145.041*OFFSET(F$108,MATCH($M$1,$C$109:$C$110,0),0)</f>
        <v>145.041</v>
      </c>
      <c r="G15" s="26">
        <f ca="1">209.3491875*OFFSET(G$108,MATCH($M$1,$C$109:$C$110,0),0)</f>
        <v>209.3491875</v>
      </c>
      <c r="H15" s="26">
        <f ca="1">144.249515625*OFFSET(H$108,MATCH($M$1,$C$109:$C$110,0),0)</f>
        <v>144.24951562499999</v>
      </c>
      <c r="I15" s="26">
        <f ca="1">211.47509375*OFFSET(I$108,MATCH($M$1,$C$109:$C$110,0),0)</f>
        <v>211.47509375000001</v>
      </c>
      <c r="J15" s="26">
        <f ca="1">146.10590625*OFFSET(J$108,MATCH($M$1,$C$109:$C$110,0),0)</f>
        <v>146.10590625</v>
      </c>
      <c r="K15" s="26">
        <f ca="1">129.365390625*OFFSET(K$108,MATCH($M$1,$C$109:$C$110,0),0)</f>
        <v>129.365390625</v>
      </c>
      <c r="L15" s="26">
        <f ca="1">115.1210703125*OFFSET(L$108,MATCH($M$1,$C$109:$C$110,0),0)</f>
        <v>115.1210703125</v>
      </c>
      <c r="M15" s="27">
        <f ca="1">191.803328125*OFFSET(M$108,MATCH($M$1,$C$109:$C$110,0),0)</f>
        <v>191.80332812500001</v>
      </c>
      <c r="N15" s="24">
        <f t="shared" ca="1" si="0"/>
        <v>-0.18472672585345476</v>
      </c>
      <c r="O15" s="24">
        <f t="shared" ca="1" si="1"/>
        <v>-0.20193097485487652</v>
      </c>
    </row>
    <row r="16" spans="1:15" s="19" customFormat="1" ht="18" customHeight="1" x14ac:dyDescent="0.2">
      <c r="A16" s="143"/>
      <c r="B16" s="33" t="s">
        <v>25</v>
      </c>
      <c r="C16" s="21"/>
      <c r="D16" s="22">
        <v>136.04167175292969</v>
      </c>
      <c r="E16" s="22">
        <v>139.35293579101562</v>
      </c>
      <c r="F16" s="22">
        <v>104.375</v>
      </c>
      <c r="G16" s="22">
        <v>131.13333129882812</v>
      </c>
      <c r="H16" s="22">
        <v>108</v>
      </c>
      <c r="I16" s="22">
        <v>120.64286041259766</v>
      </c>
      <c r="J16" s="22">
        <v>106.5</v>
      </c>
      <c r="K16" s="22">
        <v>104</v>
      </c>
      <c r="L16" s="22">
        <v>114</v>
      </c>
      <c r="M16" s="23">
        <v>125.69999694824219</v>
      </c>
      <c r="N16" s="24">
        <f t="shared" si="0"/>
        <v>-0.16202147083990839</v>
      </c>
      <c r="O16" s="24">
        <f t="shared" si="1"/>
        <v>5.5555555555555552E-2</v>
      </c>
    </row>
    <row r="17" spans="1:15" s="19" customFormat="1" ht="18" customHeight="1" x14ac:dyDescent="0.2">
      <c r="A17" s="143"/>
      <c r="B17" s="33" t="s">
        <v>28</v>
      </c>
      <c r="C17" s="21"/>
      <c r="D17" s="22">
        <v>28.083333969116211</v>
      </c>
      <c r="E17" s="22">
        <v>29.117647171020508</v>
      </c>
      <c r="F17" s="22">
        <v>33.125</v>
      </c>
      <c r="G17" s="22">
        <v>34.400001525878906</v>
      </c>
      <c r="H17" s="22">
        <v>31.533332824707031</v>
      </c>
      <c r="I17" s="22">
        <v>33</v>
      </c>
      <c r="J17" s="22">
        <v>35.416667938232422</v>
      </c>
      <c r="K17" s="22">
        <v>32.799999237060547</v>
      </c>
      <c r="L17" s="22">
        <v>26.799999237060547</v>
      </c>
      <c r="M17" s="23">
        <v>41.400001525878906</v>
      </c>
      <c r="N17" s="24">
        <f t="shared" si="0"/>
        <v>-4.5697378148441076E-2</v>
      </c>
      <c r="O17" s="24">
        <f t="shared" si="1"/>
        <v>-0.15010571873131714</v>
      </c>
    </row>
    <row r="18" spans="1:15" s="19" customFormat="1" ht="18" customHeight="1" x14ac:dyDescent="0.2">
      <c r="A18" s="143"/>
      <c r="B18" s="33" t="s">
        <v>29</v>
      </c>
      <c r="C18" s="21"/>
      <c r="D18" s="34">
        <v>0.63788688182830811</v>
      </c>
      <c r="E18" s="34">
        <v>0.57050055265426636</v>
      </c>
      <c r="F18" s="34">
        <v>0.98870271444320679</v>
      </c>
      <c r="G18" s="34">
        <v>0.78494006395339966</v>
      </c>
      <c r="H18" s="34">
        <v>0.84016835689544678</v>
      </c>
      <c r="I18" s="34">
        <v>1.3221241235733032</v>
      </c>
      <c r="J18" s="34">
        <v>0.87755399942398071</v>
      </c>
      <c r="K18" s="34">
        <v>1.5516393184661865</v>
      </c>
      <c r="L18" s="34">
        <v>0.8318486213684082</v>
      </c>
      <c r="M18" s="35">
        <v>0.88611245155334473</v>
      </c>
      <c r="N18" s="24">
        <f t="shared" si="0"/>
        <v>0.30406917756980351</v>
      </c>
      <c r="O18" s="24">
        <f t="shared" si="1"/>
        <v>-9.9024623562130997E-3</v>
      </c>
    </row>
    <row r="19" spans="1:15" s="19" customFormat="1" ht="18" customHeight="1" x14ac:dyDescent="0.2">
      <c r="A19" s="144"/>
      <c r="B19" s="36" t="s">
        <v>8</v>
      </c>
      <c r="C19" s="37"/>
      <c r="D19" s="38">
        <f ca="1">1627.18148925381*OFFSET(D$108,MATCH($M$1,$C$109:$C$110,0),0)</f>
        <v>1627.18148925381</v>
      </c>
      <c r="E19" s="38">
        <f ca="1">2039.5565171736*OFFSET(E$108,MATCH($M$1,$C$109:$C$110,0),0)</f>
        <v>2039.5565171736</v>
      </c>
      <c r="F19" s="38">
        <f ca="1">1405.49261271886*OFFSET(F$108,MATCH($M$1,$C$109:$C$110,0),0)</f>
        <v>1405.4926127188601</v>
      </c>
      <c r="G19" s="38">
        <f ca="1">2033.8629699263*OFFSET(G$108,MATCH($M$1,$C$109:$C$110,0),0)</f>
        <v>2033.8629699262999</v>
      </c>
      <c r="H19" s="38">
        <f ca="1">1589.7333509837*OFFSET(H$108,MATCH($M$1,$C$109:$C$110,0),0)</f>
        <v>1589.7333509836999</v>
      </c>
      <c r="I19" s="38">
        <f ca="1">1325.82233093967*OFFSET(I$108,MATCH($M$1,$C$109:$C$110,0),0)</f>
        <v>1325.8223309396701</v>
      </c>
      <c r="J19" s="38">
        <f ca="1">1563.30711472169*OFFSET(J$108,MATCH($M$1,$C$109:$C$110,0),0)</f>
        <v>1563.3071147216899</v>
      </c>
      <c r="K19" s="38">
        <f ca="1">801.666976361382*OFFSET(K$108,MATCH($M$1,$C$109:$C$110,0),0)</f>
        <v>801.66697636138201</v>
      </c>
      <c r="L19" s="38">
        <f ca="1">1213.96372391496*OFFSET(L$108,MATCH($M$1,$C$109:$C$110,0),0)</f>
        <v>1213.9637239149599</v>
      </c>
      <c r="M19" s="39">
        <f ca="1">1721.99564868788*OFFSET(M$108,MATCH($M$1,$C$109:$C$110,0),0)</f>
        <v>1721.99564868788</v>
      </c>
      <c r="N19" s="40">
        <f ca="1">IF(L19=0,"",IFERROR(IF(AND(L19&gt;0,D19&lt;0),"na",IF(AND(L19&lt;0,D19&lt;0),-1,1)*(L19-D19)/D19),""))</f>
        <v>-0.25394694326835215</v>
      </c>
      <c r="O19" s="40">
        <f ca="1">IF(L19=0,"",IFERROR(IF(AND(L19&gt;0,H19&lt;0),"na",IF(AND(L19&lt;0,H19&lt;0),-1,1)*(L19-H19)/H19),""))</f>
        <v>-0.23637273938816225</v>
      </c>
    </row>
    <row r="20" spans="1:15" s="19" customFormat="1" ht="18" customHeight="1" x14ac:dyDescent="0.2">
      <c r="A20" s="145" t="s">
        <v>9</v>
      </c>
      <c r="B20" s="28" t="s">
        <v>30</v>
      </c>
      <c r="C20" s="41"/>
      <c r="D20" s="42">
        <v>1.8155621620717677</v>
      </c>
      <c r="E20" s="42">
        <v>1.4930104585169528</v>
      </c>
      <c r="F20" s="42">
        <v>3.0456922629406376</v>
      </c>
      <c r="G20" s="42">
        <v>2.2239682260779587</v>
      </c>
      <c r="H20" s="42">
        <v>2.6562271389861589</v>
      </c>
      <c r="I20" s="42">
        <v>3.6379490117466236</v>
      </c>
      <c r="J20" s="42">
        <v>3.0996407831590771</v>
      </c>
      <c r="K20" s="42">
        <v>9.018085410723268</v>
      </c>
      <c r="L20" s="42">
        <v>5.0518609748318095</v>
      </c>
      <c r="M20" s="43">
        <v>4.2826917526602744</v>
      </c>
      <c r="N20" s="32">
        <f t="shared" si="0"/>
        <v>1.7825326394041219</v>
      </c>
      <c r="O20" s="32">
        <f t="shared" si="1"/>
        <v>0.90189344152248485</v>
      </c>
    </row>
    <row r="21" spans="1:15" s="19" customFormat="1" ht="18" customHeight="1" x14ac:dyDescent="0.2">
      <c r="A21" s="145"/>
      <c r="B21" s="33" t="s">
        <v>31</v>
      </c>
      <c r="C21" s="21"/>
      <c r="D21" s="34">
        <f ca="1">2.95424905613624*OFFSET(D$108,MATCH($M$1,$C$109:$C$110,0),0)</f>
        <v>2.95424905613624</v>
      </c>
      <c r="E21" s="34">
        <f ca="1">3.04507919311762*OFFSET(E$108,MATCH($M$1,$C$109:$C$110,0),0)</f>
        <v>3.04507919311762</v>
      </c>
      <c r="F21" s="34">
        <f ca="1">4.28069797617806*OFFSET(F$108,MATCH($M$1,$C$109:$C$110,0),0)</f>
        <v>4.2806979761780601</v>
      </c>
      <c r="G21" s="34">
        <f ca="1">4.5232464878273*OFFSET(G$108,MATCH($M$1,$C$109:$C$110,0),0)</f>
        <v>4.5232464878272998</v>
      </c>
      <c r="H21" s="34">
        <f ca="1">4.22269291115105*OFFSET(H$108,MATCH($M$1,$C$109:$C$110,0),0)</f>
        <v>4.2226929111510501</v>
      </c>
      <c r="I21" s="34">
        <f ca="1">4.8232744699934*OFFSET(I$108,MATCH($M$1,$C$109:$C$110,0),0)</f>
        <v>4.8232744699934003</v>
      </c>
      <c r="J21" s="34">
        <f ca="1">4.8456904893941*OFFSET(J$108,MATCH($M$1,$C$109:$C$110,0),0)</f>
        <v>4.8456904893940997</v>
      </c>
      <c r="K21" s="34">
        <f ca="1">7.22950143842183*OFFSET(K$108,MATCH($M$1,$C$109:$C$110,0),0)</f>
        <v>7.2295014384218304</v>
      </c>
      <c r="L21" s="34">
        <f ca="1">6.1327754159539*OFFSET(L$108,MATCH($M$1,$C$109:$C$110,0),0)</f>
        <v>6.1327754159539003</v>
      </c>
      <c r="M21" s="35">
        <f ca="1">7.37477637982155*OFFSET(M$108,MATCH($M$1,$C$109:$C$110,0),0)</f>
        <v>7.37477637982155</v>
      </c>
      <c r="N21" s="24">
        <f t="shared" ca="1" si="0"/>
        <v>1.0759168571842568</v>
      </c>
      <c r="O21" s="24">
        <f t="shared" ca="1" si="1"/>
        <v>0.45233753554723616</v>
      </c>
    </row>
    <row r="22" spans="1:15" s="19" customFormat="1" ht="18" customHeight="1" x14ac:dyDescent="0.2">
      <c r="A22" s="145"/>
      <c r="B22" s="33" t="s">
        <v>10</v>
      </c>
      <c r="C22" s="21"/>
      <c r="D22" s="34">
        <f ca="1">2.70523429323019*OFFSET(D$108,MATCH($M$1,$C$109:$C$110,0),0)</f>
        <v>2.7052342932301898</v>
      </c>
      <c r="E22" s="34">
        <f ca="1">2.73272070633716*OFFSET(E$108,MATCH($M$1,$C$109:$C$110,0),0)</f>
        <v>2.7327207063371599</v>
      </c>
      <c r="F22" s="34">
        <f ca="1">4.05356973219191*OFFSET(F$108,MATCH($M$1,$C$109:$C$110,0),0)</f>
        <v>4.0535697321919102</v>
      </c>
      <c r="G22" s="34">
        <f ca="1">3.57882522037721*OFFSET(G$108,MATCH($M$1,$C$109:$C$110,0),0)</f>
        <v>3.57882522037721</v>
      </c>
      <c r="H22" s="34">
        <f ca="1">3.60340738203024*OFFSET(H$108,MATCH($M$1,$C$109:$C$110,0),0)</f>
        <v>3.6034073820302401</v>
      </c>
      <c r="I22" s="34">
        <f ca="1">4.16130275821621*OFFSET(I$108,MATCH($M$1,$C$109:$C$110,0),0)</f>
        <v>4.1613027582162099</v>
      </c>
      <c r="J22" s="34">
        <f ca="1">4.53053891319558*OFFSET(J$108,MATCH($M$1,$C$109:$C$110,0),0)</f>
        <v>4.5305389131955804</v>
      </c>
      <c r="K22" s="34">
        <f ca="1">6.56451565018446*OFFSET(K$108,MATCH($M$1,$C$109:$C$110,0),0)</f>
        <v>6.5645156501844601</v>
      </c>
      <c r="L22" s="34">
        <f ca="1">5.2611707899537*OFFSET(L$108,MATCH($M$1,$C$109:$C$110,0),0)</f>
        <v>5.2611707899536997</v>
      </c>
      <c r="M22" s="35">
        <f ca="1">6.31882421182289*OFFSET(M$108,MATCH($M$1,$C$109:$C$110,0),0)</f>
        <v>6.3188242118228901</v>
      </c>
      <c r="N22" s="24">
        <f t="shared" ca="1" si="0"/>
        <v>0.94481150971644279</v>
      </c>
      <c r="O22" s="24">
        <f t="shared" ca="1" si="1"/>
        <v>0.46005439634456169</v>
      </c>
    </row>
    <row r="23" spans="1:15" s="19" customFormat="1" ht="18" customHeight="1" x14ac:dyDescent="0.2">
      <c r="A23" s="146"/>
      <c r="B23" s="33" t="s">
        <v>32</v>
      </c>
      <c r="C23" s="44"/>
      <c r="D23" s="34">
        <f ca="1">0.24901476290605*OFFSET(D$108,MATCH($M$1,$C$109:$C$110,0),0)</f>
        <v>0.24901476290605001</v>
      </c>
      <c r="E23" s="34">
        <f ca="1">0.31235848678046*OFFSET(E$108,MATCH($M$1,$C$109:$C$110,0),0)</f>
        <v>0.31235848678046002</v>
      </c>
      <c r="F23" s="34">
        <f ca="1">0.227128243986149*OFFSET(F$108,MATCH($M$1,$C$109:$C$110,0),0)</f>
        <v>0.227128243986149</v>
      </c>
      <c r="G23" s="34">
        <f ca="1">0.944421267450089*OFFSET(G$108,MATCH($M$1,$C$109:$C$110,0),0)</f>
        <v>0.94442126745008903</v>
      </c>
      <c r="H23" s="34">
        <f ca="1">0.619285529120819*OFFSET(H$108,MATCH($M$1,$C$109:$C$110,0),0)</f>
        <v>0.61928552912081902</v>
      </c>
      <c r="I23" s="34">
        <f ca="1">0.661971711777191*OFFSET(I$108,MATCH($M$1,$C$109:$C$110,0),0)</f>
        <v>0.66197171177719105</v>
      </c>
      <c r="J23" s="34">
        <f ca="1">0.315151576198524*OFFSET(J$108,MATCH($M$1,$C$109:$C$110,0),0)</f>
        <v>0.31515157619852402</v>
      </c>
      <c r="K23" s="34">
        <f ca="1">0.664985788237369*OFFSET(K$108,MATCH($M$1,$C$109:$C$110,0),0)</f>
        <v>0.66498578823736898</v>
      </c>
      <c r="L23" s="34">
        <f ca="1">0.871604626000197*OFFSET(L$108,MATCH($M$1,$C$109:$C$110,0),0)</f>
        <v>0.87160462600019695</v>
      </c>
      <c r="M23" s="35">
        <f ca="1">1.05595216799866*OFFSET(M$108,MATCH($M$1,$C$109:$C$110,0),0)</f>
        <v>1.0559521679986601</v>
      </c>
      <c r="N23" s="24">
        <f t="shared" ca="1" si="0"/>
        <v>2.500212661403701</v>
      </c>
      <c r="O23" s="24">
        <f t="shared" ca="1" si="1"/>
        <v>0.40743580305773935</v>
      </c>
    </row>
    <row r="24" spans="1:15" s="19" customFormat="1" ht="18" customHeight="1" x14ac:dyDescent="0.2">
      <c r="A24" s="147" t="s">
        <v>11</v>
      </c>
      <c r="B24" s="28" t="s">
        <v>27</v>
      </c>
      <c r="C24" s="29"/>
      <c r="D24" s="30">
        <f ca="1">141.2*OFFSET(D$108,MATCH($M$1,$C$109:$C$110,0),0)</f>
        <v>141.19999999999999</v>
      </c>
      <c r="E24" s="30">
        <f ca="1">162.1*OFFSET(E$108,MATCH($M$1,$C$109:$C$110,0),0)</f>
        <v>162.1</v>
      </c>
      <c r="F24" s="30">
        <f ca="1">145*OFFSET(F$108,MATCH($M$1,$C$109:$C$110,0),0)</f>
        <v>145</v>
      </c>
      <c r="G24" s="30">
        <f ca="1">209.3*OFFSET(G$108,MATCH($M$1,$C$109:$C$110,0),0)</f>
        <v>209.3</v>
      </c>
      <c r="H24" s="30">
        <f ca="1">144.2*OFFSET(H$108,MATCH($M$1,$C$109:$C$110,0),0)</f>
        <v>144.19999999999999</v>
      </c>
      <c r="I24" s="30">
        <f ca="1">211.5*OFFSET(I$108,MATCH($M$1,$C$109:$C$110,0),0)</f>
        <v>211.5</v>
      </c>
      <c r="J24" s="30">
        <f ca="1">146.1*OFFSET(J$108,MATCH($M$1,$C$109:$C$110,0),0)</f>
        <v>146.1</v>
      </c>
      <c r="K24" s="30">
        <f ca="1">129.4*OFFSET(K$108,MATCH($M$1,$C$109:$C$110,0),0)</f>
        <v>129.4</v>
      </c>
      <c r="L24" s="30">
        <f ca="1">115.1*OFFSET(L$108,MATCH($M$1,$C$109:$C$110,0),0)</f>
        <v>115.1</v>
      </c>
      <c r="M24" s="31">
        <f ca="1">191.8*OFFSET(M$108,MATCH($M$1,$C$109:$C$110,0),0)</f>
        <v>191.8</v>
      </c>
      <c r="N24" s="32">
        <f t="shared" ca="1" si="0"/>
        <v>-0.18484419263456089</v>
      </c>
      <c r="O24" s="32">
        <f t="shared" ca="1" si="1"/>
        <v>-0.20180305131761439</v>
      </c>
    </row>
    <row r="25" spans="1:15" s="19" customFormat="1" ht="18" customHeight="1" x14ac:dyDescent="0.2">
      <c r="A25" s="148"/>
      <c r="B25" s="33" t="s">
        <v>33</v>
      </c>
      <c r="C25" s="25"/>
      <c r="D25" s="26">
        <f ca="1">22*OFFSET(D$108,MATCH($M$1,$C$109:$C$110,0),0)</f>
        <v>22</v>
      </c>
      <c r="E25" s="26">
        <f ca="1">38.5*OFFSET(E$108,MATCH($M$1,$C$109:$C$110,0),0)</f>
        <v>38.5</v>
      </c>
      <c r="F25" s="26">
        <f ca="1">23*OFFSET(F$108,MATCH($M$1,$C$109:$C$110,0),0)</f>
        <v>23</v>
      </c>
      <c r="G25" s="26">
        <f ca="1">17.7*OFFSET(G$108,MATCH($M$1,$C$109:$C$110,0),0)</f>
        <v>17.7</v>
      </c>
      <c r="H25" s="26">
        <f ca="1">3.9*OFFSET(H$108,MATCH($M$1,$C$109:$C$110,0),0)</f>
        <v>3.9</v>
      </c>
      <c r="I25" s="26">
        <f ca="1">0.4*OFFSET(I$108,MATCH($M$1,$C$109:$C$110,0),0)</f>
        <v>0.4</v>
      </c>
      <c r="J25" s="26">
        <f ca="1">0.2*OFFSET(J$108,MATCH($M$1,$C$109:$C$110,0),0)</f>
        <v>0.2</v>
      </c>
      <c r="K25" s="26">
        <f ca="1">0.2*OFFSET(K$108,MATCH($M$1,$C$109:$C$110,0),0)</f>
        <v>0.2</v>
      </c>
      <c r="L25" s="26">
        <f ca="1">0.1*OFFSET(L$108,MATCH($M$1,$C$109:$C$110,0),0)</f>
        <v>0.1</v>
      </c>
      <c r="M25" s="27">
        <f ca="1">0.4*OFFSET(M$108,MATCH($M$1,$C$109:$C$110,0),0)</f>
        <v>0.4</v>
      </c>
      <c r="N25" s="24">
        <f t="shared" ca="1" si="0"/>
        <v>-0.99545454545454537</v>
      </c>
      <c r="O25" s="24">
        <f t="shared" ca="1" si="1"/>
        <v>-0.97435897435897434</v>
      </c>
    </row>
    <row r="26" spans="1:15" s="19" customFormat="1" ht="18" customHeight="1" x14ac:dyDescent="0.2">
      <c r="A26" s="148"/>
      <c r="B26" s="45" t="s">
        <v>34</v>
      </c>
      <c r="C26" s="46"/>
      <c r="D26" s="47">
        <f ca="1">163.2*OFFSET(D$108,MATCH($M$1,$C$109:$C$110,0),0)</f>
        <v>163.19999999999999</v>
      </c>
      <c r="E26" s="47">
        <f ca="1">200.7*OFFSET(E$108,MATCH($M$1,$C$109:$C$110,0),0)</f>
        <v>200.7</v>
      </c>
      <c r="F26" s="47">
        <f ca="1">168*OFFSET(F$108,MATCH($M$1,$C$109:$C$110,0),0)</f>
        <v>168</v>
      </c>
      <c r="G26" s="47">
        <f ca="1">227*OFFSET(G$108,MATCH($M$1,$C$109:$C$110,0),0)</f>
        <v>227</v>
      </c>
      <c r="H26" s="47">
        <f ca="1">148.1*OFFSET(H$108,MATCH($M$1,$C$109:$C$110,0),0)</f>
        <v>148.1</v>
      </c>
      <c r="I26" s="47">
        <f ca="1">211.9*OFFSET(I$108,MATCH($M$1,$C$109:$C$110,0),0)</f>
        <v>211.9</v>
      </c>
      <c r="J26" s="47">
        <f ca="1">146.3*OFFSET(J$108,MATCH($M$1,$C$109:$C$110,0),0)</f>
        <v>146.30000000000001</v>
      </c>
      <c r="K26" s="47">
        <f ca="1">129.6*OFFSET(K$108,MATCH($M$1,$C$109:$C$110,0),0)</f>
        <v>129.6</v>
      </c>
      <c r="L26" s="47">
        <f ca="1">115.2*OFFSET(L$108,MATCH($M$1,$C$109:$C$110,0),0)</f>
        <v>115.2</v>
      </c>
      <c r="M26" s="48">
        <f ca="1">192.2*OFFSET(M$108,MATCH($M$1,$C$109:$C$110,0),0)</f>
        <v>192.2</v>
      </c>
      <c r="N26" s="49">
        <f t="shared" ca="1" si="0"/>
        <v>-0.29411764705882348</v>
      </c>
      <c r="O26" s="49">
        <f t="shared" ca="1" si="1"/>
        <v>-0.22214719783929773</v>
      </c>
    </row>
    <row r="27" spans="1:15" s="19" customFormat="1" ht="18" customHeight="1" x14ac:dyDescent="0.2">
      <c r="A27" s="148"/>
      <c r="B27" s="33" t="s">
        <v>35</v>
      </c>
      <c r="C27" s="25"/>
      <c r="D27" s="26">
        <f ca="1">37.2*OFFSET(D$108,MATCH($M$1,$C$109:$C$110,0),0)</f>
        <v>37.200000000000003</v>
      </c>
      <c r="E27" s="26">
        <f ca="1">43.8*OFFSET(E$108,MATCH($M$1,$C$109:$C$110,0),0)</f>
        <v>43.8</v>
      </c>
      <c r="F27" s="26">
        <f ca="1">31.6*OFFSET(F$108,MATCH($M$1,$C$109:$C$110,0),0)</f>
        <v>31.6</v>
      </c>
      <c r="G27" s="26">
        <f ca="1">54.3*OFFSET(G$108,MATCH($M$1,$C$109:$C$110,0),0)</f>
        <v>54.3</v>
      </c>
      <c r="H27" s="26">
        <f ca="1">32.7*OFFSET(H$108,MATCH($M$1,$C$109:$C$110,0),0)</f>
        <v>32.700000000000003</v>
      </c>
      <c r="I27" s="26">
        <f ca="1">42.7*OFFSET(I$108,MATCH($M$1,$C$109:$C$110,0),0)</f>
        <v>42.7</v>
      </c>
      <c r="J27" s="26">
        <f ca="1">44.6*OFFSET(J$108,MATCH($M$1,$C$109:$C$110,0),0)</f>
        <v>44.6</v>
      </c>
      <c r="K27" s="26">
        <f ca="1">34.1*OFFSET(K$108,MATCH($M$1,$C$109:$C$110,0),0)</f>
        <v>34.1</v>
      </c>
      <c r="L27" s="26">
        <f ca="1">32*OFFSET(L$108,MATCH($M$1,$C$109:$C$110,0),0)</f>
        <v>32</v>
      </c>
      <c r="M27" s="27">
        <f ca="1">37.2*OFFSET(M$108,MATCH($M$1,$C$109:$C$110,0),0)</f>
        <v>37.200000000000003</v>
      </c>
      <c r="N27" s="24">
        <f t="shared" ca="1" si="0"/>
        <v>-0.13978494623655921</v>
      </c>
      <c r="O27" s="24">
        <f t="shared" ca="1" si="1"/>
        <v>-2.1406727828746263E-2</v>
      </c>
    </row>
    <row r="28" spans="1:15" s="19" customFormat="1" ht="18" customHeight="1" x14ac:dyDescent="0.2">
      <c r="A28" s="148"/>
      <c r="B28" s="33" t="s">
        <v>36</v>
      </c>
      <c r="C28" s="25"/>
      <c r="D28" s="26">
        <f ca="1">43.3*OFFSET(D$108,MATCH($M$1,$C$109:$C$110,0),0)</f>
        <v>43.3</v>
      </c>
      <c r="E28" s="26">
        <f ca="1">59.4*OFFSET(E$108,MATCH($M$1,$C$109:$C$110,0),0)</f>
        <v>59.4</v>
      </c>
      <c r="F28" s="26">
        <f ca="1">59.8*OFFSET(F$108,MATCH($M$1,$C$109:$C$110,0),0)</f>
        <v>59.8</v>
      </c>
      <c r="G28" s="26">
        <f ca="1">57.2*OFFSET(G$108,MATCH($M$1,$C$109:$C$110,0),0)</f>
        <v>57.2</v>
      </c>
      <c r="H28" s="26">
        <f ca="1">40.8*OFFSET(H$108,MATCH($M$1,$C$109:$C$110,0),0)</f>
        <v>40.799999999999997</v>
      </c>
      <c r="I28" s="26">
        <f ca="1">32.6*OFFSET(I$108,MATCH($M$1,$C$109:$C$110,0),0)</f>
        <v>32.6</v>
      </c>
      <c r="J28" s="26">
        <f ca="1">27.4*OFFSET(J$108,MATCH($M$1,$C$109:$C$110,0),0)</f>
        <v>27.4</v>
      </c>
      <c r="K28" s="26">
        <f ca="1">17.9*OFFSET(K$108,MATCH($M$1,$C$109:$C$110,0),0)</f>
        <v>17.899999999999999</v>
      </c>
      <c r="L28" s="26">
        <f ca="1">31.2*OFFSET(L$108,MATCH($M$1,$C$109:$C$110,0),0)</f>
        <v>31.2</v>
      </c>
      <c r="M28" s="27">
        <f ca="1">30*OFFSET(M$108,MATCH($M$1,$C$109:$C$110,0),0)</f>
        <v>30</v>
      </c>
      <c r="N28" s="24">
        <f t="shared" ca="1" si="0"/>
        <v>-0.27944572748267893</v>
      </c>
      <c r="O28" s="24">
        <f t="shared" ca="1" si="1"/>
        <v>-0.23529411764705879</v>
      </c>
    </row>
    <row r="29" spans="1:15" s="19" customFormat="1" ht="18" customHeight="1" x14ac:dyDescent="0.2">
      <c r="A29" s="148"/>
      <c r="B29" s="33" t="s">
        <v>37</v>
      </c>
      <c r="C29" s="25"/>
      <c r="D29" s="26">
        <f ca="1">30.2*OFFSET(D$108,MATCH($M$1,$C$109:$C$110,0),0)</f>
        <v>30.2</v>
      </c>
      <c r="E29" s="26">
        <f ca="1">24.9*OFFSET(E$108,MATCH($M$1,$C$109:$C$110,0),0)</f>
        <v>24.9</v>
      </c>
      <c r="F29" s="26">
        <f ca="1">26.3*OFFSET(F$108,MATCH($M$1,$C$109:$C$110,0),0)</f>
        <v>26.3</v>
      </c>
      <c r="G29" s="26">
        <f ca="1">30.3*OFFSET(G$108,MATCH($M$1,$C$109:$C$110,0),0)</f>
        <v>30.3</v>
      </c>
      <c r="H29" s="26">
        <f ca="1">28*OFFSET(H$108,MATCH($M$1,$C$109:$C$110,0),0)</f>
        <v>28</v>
      </c>
      <c r="I29" s="26">
        <f ca="1">44.4*OFFSET(I$108,MATCH($M$1,$C$109:$C$110,0),0)</f>
        <v>44.4</v>
      </c>
      <c r="J29" s="26">
        <f ca="1">26.3*OFFSET(J$108,MATCH($M$1,$C$109:$C$110,0),0)</f>
        <v>26.3</v>
      </c>
      <c r="K29" s="26">
        <f ca="1">27.2*OFFSET(K$108,MATCH($M$1,$C$109:$C$110,0),0)</f>
        <v>27.2</v>
      </c>
      <c r="L29" s="26">
        <f ca="1">15.3*OFFSET(L$108,MATCH($M$1,$C$109:$C$110,0),0)</f>
        <v>15.3</v>
      </c>
      <c r="M29" s="27">
        <f ca="1">40.3*OFFSET(M$108,MATCH($M$1,$C$109:$C$110,0),0)</f>
        <v>40.299999999999997</v>
      </c>
      <c r="N29" s="24">
        <f t="shared" ca="1" si="0"/>
        <v>-0.49337748344370858</v>
      </c>
      <c r="O29" s="24">
        <f t="shared" ca="1" si="1"/>
        <v>-0.45357142857142857</v>
      </c>
    </row>
    <row r="30" spans="1:15" s="19" customFormat="1" ht="18" customHeight="1" x14ac:dyDescent="0.2">
      <c r="A30" s="148"/>
      <c r="B30" s="33" t="s">
        <v>38</v>
      </c>
      <c r="C30" s="25"/>
      <c r="D30" s="26">
        <f ca="1">110.7*OFFSET(D$108,MATCH($M$1,$C$109:$C$110,0),0)</f>
        <v>110.7</v>
      </c>
      <c r="E30" s="26">
        <f ca="1">128.1*OFFSET(E$108,MATCH($M$1,$C$109:$C$110,0),0)</f>
        <v>128.1</v>
      </c>
      <c r="F30" s="26">
        <f ca="1">117.6*OFFSET(F$108,MATCH($M$1,$C$109:$C$110,0),0)</f>
        <v>117.6</v>
      </c>
      <c r="G30" s="26">
        <f ca="1">141.8*OFFSET(G$108,MATCH($M$1,$C$109:$C$110,0),0)</f>
        <v>141.80000000000001</v>
      </c>
      <c r="H30" s="26">
        <f ca="1">101.5*OFFSET(H$108,MATCH($M$1,$C$109:$C$110,0),0)</f>
        <v>101.5</v>
      </c>
      <c r="I30" s="26">
        <f ca="1">119.7*OFFSET(I$108,MATCH($M$1,$C$109:$C$110,0),0)</f>
        <v>119.7</v>
      </c>
      <c r="J30" s="26">
        <f ca="1">98.3*OFFSET(J$108,MATCH($M$1,$C$109:$C$110,0),0)</f>
        <v>98.3</v>
      </c>
      <c r="K30" s="26">
        <f ca="1">79.1*OFFSET(K$108,MATCH($M$1,$C$109:$C$110,0),0)</f>
        <v>79.099999999999994</v>
      </c>
      <c r="L30" s="26">
        <f ca="1">78.5*OFFSET(L$108,MATCH($M$1,$C$109:$C$110,0),0)</f>
        <v>78.5</v>
      </c>
      <c r="M30" s="27">
        <f ca="1">107.4*OFFSET(M$108,MATCH($M$1,$C$109:$C$110,0),0)</f>
        <v>107.4</v>
      </c>
      <c r="N30" s="24">
        <f t="shared" ca="1" si="0"/>
        <v>-0.2908762420957543</v>
      </c>
      <c r="O30" s="24">
        <f t="shared" ca="1" si="1"/>
        <v>-0.22660098522167488</v>
      </c>
    </row>
    <row r="31" spans="1:15" s="19" customFormat="1" ht="18" customHeight="1" x14ac:dyDescent="0.2">
      <c r="A31" s="148"/>
      <c r="B31" s="33" t="s">
        <v>39</v>
      </c>
      <c r="C31" s="25"/>
      <c r="D31" s="26">
        <f ca="1">40.6*OFFSET(D$108,MATCH($M$1,$C$109:$C$110,0),0)</f>
        <v>40.6</v>
      </c>
      <c r="E31" s="26">
        <f ca="1">55.9*OFFSET(E$108,MATCH($M$1,$C$109:$C$110,0),0)</f>
        <v>55.9</v>
      </c>
      <c r="F31" s="26">
        <f ca="1">42.7*OFFSET(F$108,MATCH($M$1,$C$109:$C$110,0),0)</f>
        <v>42.7</v>
      </c>
      <c r="G31" s="26">
        <f ca="1">41.5*OFFSET(G$108,MATCH($M$1,$C$109:$C$110,0),0)</f>
        <v>41.5</v>
      </c>
      <c r="H31" s="26">
        <f ca="1">25.4*OFFSET(H$108,MATCH($M$1,$C$109:$C$110,0),0)</f>
        <v>25.4</v>
      </c>
      <c r="I31" s="26">
        <f ca="1">63.1*OFFSET(I$108,MATCH($M$1,$C$109:$C$110,0),0)</f>
        <v>63.1</v>
      </c>
      <c r="J31" s="26">
        <f ca="1">38.5*OFFSET(J$108,MATCH($M$1,$C$109:$C$110,0),0)</f>
        <v>38.5</v>
      </c>
      <c r="K31" s="26">
        <f ca="1">38.6*OFFSET(K$108,MATCH($M$1,$C$109:$C$110,0),0)</f>
        <v>38.6</v>
      </c>
      <c r="L31" s="26">
        <f ca="1">20.3*OFFSET(L$108,MATCH($M$1,$C$109:$C$110,0),0)</f>
        <v>20.3</v>
      </c>
      <c r="M31" s="27">
        <f ca="1">57.3*OFFSET(M$108,MATCH($M$1,$C$109:$C$110,0),0)</f>
        <v>57.3</v>
      </c>
      <c r="N31" s="24">
        <f t="shared" ca="1" si="0"/>
        <v>-0.5</v>
      </c>
      <c r="O31" s="24">
        <f t="shared" ca="1" si="1"/>
        <v>-0.20078740157480307</v>
      </c>
    </row>
    <row r="32" spans="1:15" s="19" customFormat="1" ht="18" customHeight="1" x14ac:dyDescent="0.2">
      <c r="A32" s="148"/>
      <c r="B32" s="33" t="s">
        <v>40</v>
      </c>
      <c r="C32" s="25"/>
      <c r="D32" s="26">
        <f ca="1">151.3*OFFSET(D$108,MATCH($M$1,$C$109:$C$110,0),0)</f>
        <v>151.30000000000001</v>
      </c>
      <c r="E32" s="26">
        <f ca="1">184*OFFSET(E$108,MATCH($M$1,$C$109:$C$110,0),0)</f>
        <v>184</v>
      </c>
      <c r="F32" s="26">
        <f ca="1">160.3*OFFSET(F$108,MATCH($M$1,$C$109:$C$110,0),0)</f>
        <v>160.30000000000001</v>
      </c>
      <c r="G32" s="26">
        <f ca="1">183.3*OFFSET(G$108,MATCH($M$1,$C$109:$C$110,0),0)</f>
        <v>183.3</v>
      </c>
      <c r="H32" s="26">
        <f ca="1">126.9*OFFSET(H$108,MATCH($M$1,$C$109:$C$110,0),0)</f>
        <v>126.9</v>
      </c>
      <c r="I32" s="26">
        <f ca="1">182.8*OFFSET(I$108,MATCH($M$1,$C$109:$C$110,0),0)</f>
        <v>182.8</v>
      </c>
      <c r="J32" s="26">
        <f ca="1">136.8*OFFSET(J$108,MATCH($M$1,$C$109:$C$110,0),0)</f>
        <v>136.80000000000001</v>
      </c>
      <c r="K32" s="26">
        <f ca="1">117.7*OFFSET(K$108,MATCH($M$1,$C$109:$C$110,0),0)</f>
        <v>117.7</v>
      </c>
      <c r="L32" s="26">
        <f ca="1">98.8*OFFSET(L$108,MATCH($M$1,$C$109:$C$110,0),0)</f>
        <v>98.8</v>
      </c>
      <c r="M32" s="27">
        <f ca="1">164.7*OFFSET(M$108,MATCH($M$1,$C$109:$C$110,0),0)</f>
        <v>164.7</v>
      </c>
      <c r="N32" s="24">
        <f t="shared" ca="1" si="0"/>
        <v>-0.3469927296761402</v>
      </c>
      <c r="O32" s="24">
        <f t="shared" ca="1" si="1"/>
        <v>-0.22143420015760448</v>
      </c>
    </row>
    <row r="33" spans="1:15" s="19" customFormat="1" ht="18" customHeight="1" x14ac:dyDescent="0.2">
      <c r="A33" s="148"/>
      <c r="B33" s="45" t="s">
        <v>41</v>
      </c>
      <c r="C33" s="46"/>
      <c r="D33" s="47">
        <f ca="1">55.2*OFFSET(D$108,MATCH($M$1,$C$109:$C$110,0),0)</f>
        <v>55.2</v>
      </c>
      <c r="E33" s="47">
        <f ca="1">76*OFFSET(E$108,MATCH($M$1,$C$109:$C$110,0),0)</f>
        <v>76</v>
      </c>
      <c r="F33" s="47">
        <f ca="1">67.5*OFFSET(F$108,MATCH($M$1,$C$109:$C$110,0),0)</f>
        <v>67.5</v>
      </c>
      <c r="G33" s="47">
        <f ca="1">100.9*OFFSET(G$108,MATCH($M$1,$C$109:$C$110,0),0)</f>
        <v>100.9</v>
      </c>
      <c r="H33" s="47">
        <f ca="1">62*OFFSET(H$108,MATCH($M$1,$C$109:$C$110,0),0)</f>
        <v>62</v>
      </c>
      <c r="I33" s="47">
        <f ca="1">61.6*OFFSET(I$108,MATCH($M$1,$C$109:$C$110,0),0)</f>
        <v>61.6</v>
      </c>
      <c r="J33" s="47">
        <f ca="1">36.9*OFFSET(J$108,MATCH($M$1,$C$109:$C$110,0),0)</f>
        <v>36.9</v>
      </c>
      <c r="K33" s="47">
        <f ca="1">29.8*OFFSET(K$108,MATCH($M$1,$C$109:$C$110,0),0)</f>
        <v>29.8</v>
      </c>
      <c r="L33" s="47">
        <f ca="1">47.6*OFFSET(L$108,MATCH($M$1,$C$109:$C$110,0),0)</f>
        <v>47.6</v>
      </c>
      <c r="M33" s="48">
        <f ca="1">57.5*OFFSET(M$108,MATCH($M$1,$C$109:$C$110,0),0)</f>
        <v>57.5</v>
      </c>
      <c r="N33" s="49">
        <f t="shared" ca="1" si="0"/>
        <v>-0.13768115942028988</v>
      </c>
      <c r="O33" s="49">
        <f t="shared" ca="1" si="1"/>
        <v>-0.23225806451612901</v>
      </c>
    </row>
    <row r="34" spans="1:15" s="19" customFormat="1" ht="18" customHeight="1" x14ac:dyDescent="0.2">
      <c r="A34" s="148"/>
      <c r="B34" s="45" t="s">
        <v>42</v>
      </c>
      <c r="C34" s="46"/>
      <c r="D34" s="47">
        <f ca="1">11.9*OFFSET(D$108,MATCH($M$1,$C$109:$C$110,0),0)</f>
        <v>11.9</v>
      </c>
      <c r="E34" s="47">
        <f ca="1">16.6*OFFSET(E$108,MATCH($M$1,$C$109:$C$110,0),0)</f>
        <v>16.600000000000001</v>
      </c>
      <c r="F34" s="47">
        <f ca="1">7.7*OFFSET(F$108,MATCH($M$1,$C$109:$C$110,0),0)</f>
        <v>7.7</v>
      </c>
      <c r="G34" s="47">
        <f ca="1">43.7*OFFSET(G$108,MATCH($M$1,$C$109:$C$110,0),0)</f>
        <v>43.7</v>
      </c>
      <c r="H34" s="47">
        <f ca="1">21.2*OFFSET(H$108,MATCH($M$1,$C$109:$C$110,0),0)</f>
        <v>21.2</v>
      </c>
      <c r="I34" s="47">
        <f ca="1">29*OFFSET(I$108,MATCH($M$1,$C$109:$C$110,0),0)</f>
        <v>29</v>
      </c>
      <c r="J34" s="47">
        <f ca="1">9.5*OFFSET(J$108,MATCH($M$1,$C$109:$C$110,0),0)</f>
        <v>9.5</v>
      </c>
      <c r="K34" s="47">
        <f ca="1">11.9*OFFSET(K$108,MATCH($M$1,$C$109:$C$110,0),0)</f>
        <v>11.9</v>
      </c>
      <c r="L34" s="47">
        <f ca="1">16.4*OFFSET(L$108,MATCH($M$1,$C$109:$C$110,0),0)</f>
        <v>16.399999999999999</v>
      </c>
      <c r="M34" s="48">
        <f ca="1">27.5*OFFSET(M$108,MATCH($M$1,$C$109:$C$110,0),0)</f>
        <v>27.5</v>
      </c>
      <c r="N34" s="49">
        <f t="shared" ca="1" si="0"/>
        <v>0.3781512605042015</v>
      </c>
      <c r="O34" s="49">
        <f t="shared" ca="1" si="1"/>
        <v>-0.22641509433962267</v>
      </c>
    </row>
    <row r="35" spans="1:15" s="19" customFormat="1" ht="18" customHeight="1" x14ac:dyDescent="0.2">
      <c r="A35" s="148"/>
      <c r="B35" s="33" t="s">
        <v>43</v>
      </c>
      <c r="C35" s="25"/>
      <c r="D35" s="26">
        <f ca="1">7.8*OFFSET(D$108,MATCH($M$1,$C$109:$C$110,0),0)</f>
        <v>7.8</v>
      </c>
      <c r="E35" s="26">
        <f ca="1">8.9*OFFSET(E$108,MATCH($M$1,$C$109:$C$110,0),0)</f>
        <v>8.9</v>
      </c>
      <c r="F35" s="26">
        <f ca="1">17.7*OFFSET(F$108,MATCH($M$1,$C$109:$C$110,0),0)</f>
        <v>17.7</v>
      </c>
      <c r="G35" s="26">
        <f ca="1">0.1*OFFSET(G$108,MATCH($M$1,$C$109:$C$110,0),0)</f>
        <v>0.1</v>
      </c>
      <c r="H35" s="26">
        <f ca="1">2.9*OFFSET(H$108,MATCH($M$1,$C$109:$C$110,0),0)</f>
        <v>2.9</v>
      </c>
      <c r="I35" s="26">
        <f ca="1">0.1*OFFSET(I$108,MATCH($M$1,$C$109:$C$110,0),0)</f>
        <v>0.1</v>
      </c>
      <c r="J35" s="26">
        <f ca="1">12*OFFSET(J$108,MATCH($M$1,$C$109:$C$110,0),0)</f>
        <v>12</v>
      </c>
      <c r="K35" s="26"/>
      <c r="L35" s="26">
        <f ca="1">5.3*OFFSET(L$108,MATCH($M$1,$C$109:$C$110,0),0)</f>
        <v>5.3</v>
      </c>
      <c r="M35" s="27"/>
      <c r="N35" s="24">
        <f t="shared" ca="1" si="0"/>
        <v>-0.32051282051282054</v>
      </c>
      <c r="O35" s="24">
        <f t="shared" ca="1" si="1"/>
        <v>0.82758620689655171</v>
      </c>
    </row>
    <row r="36" spans="1:15" s="19" customFormat="1" ht="18" customHeight="1" x14ac:dyDescent="0.2">
      <c r="A36" s="148"/>
      <c r="B36" s="33" t="s">
        <v>44</v>
      </c>
      <c r="C36" s="25"/>
      <c r="D36" s="26">
        <f ca="1">5.6*OFFSET(D$108,MATCH($M$1,$C$109:$C$110,0),0)</f>
        <v>5.6</v>
      </c>
      <c r="E36" s="26">
        <f ca="1">2.8*OFFSET(E$108,MATCH($M$1,$C$109:$C$110,0),0)</f>
        <v>2.8</v>
      </c>
      <c r="F36" s="26"/>
      <c r="G36" s="26">
        <f ca="1">3.1*OFFSET(G$108,MATCH($M$1,$C$109:$C$110,0),0)</f>
        <v>3.1</v>
      </c>
      <c r="H36" s="26">
        <f ca="1">1.1*OFFSET(H$108,MATCH($M$1,$C$109:$C$110,0),0)</f>
        <v>1.1000000000000001</v>
      </c>
      <c r="I36" s="26">
        <f ca="1">1.6*OFFSET(I$108,MATCH($M$1,$C$109:$C$110,0),0)</f>
        <v>1.6</v>
      </c>
      <c r="J36" s="26"/>
      <c r="K36" s="26"/>
      <c r="L36" s="26">
        <f ca="1">0.3*OFFSET(L$108,MATCH($M$1,$C$109:$C$110,0),0)</f>
        <v>0.3</v>
      </c>
      <c r="M36" s="27"/>
      <c r="N36" s="24">
        <f t="shared" ca="1" si="0"/>
        <v>-0.94642857142857151</v>
      </c>
      <c r="O36" s="24">
        <f t="shared" ca="1" si="1"/>
        <v>-0.72727272727272729</v>
      </c>
    </row>
    <row r="37" spans="1:15" s="19" customFormat="1" ht="18" customHeight="1" x14ac:dyDescent="0.2">
      <c r="A37" s="148"/>
      <c r="B37" s="33" t="s">
        <v>45</v>
      </c>
      <c r="C37" s="25"/>
      <c r="D37" s="26"/>
      <c r="E37" s="26"/>
      <c r="F37" s="26"/>
      <c r="G37" s="26"/>
      <c r="H37" s="26"/>
      <c r="I37" s="26"/>
      <c r="J37" s="26"/>
      <c r="K37" s="26"/>
      <c r="L37" s="26"/>
      <c r="M37" s="27"/>
      <c r="N37" s="24" t="str">
        <f t="shared" si="0"/>
        <v/>
      </c>
      <c r="O37" s="24" t="str">
        <f t="shared" si="1"/>
        <v/>
      </c>
    </row>
    <row r="38" spans="1:15" s="19" customFormat="1" ht="18" customHeight="1" thickBot="1" x14ac:dyDescent="0.25">
      <c r="A38" s="149"/>
      <c r="B38" s="50" t="s">
        <v>46</v>
      </c>
      <c r="C38" s="51"/>
      <c r="D38" s="52">
        <f ca="1">-1.5*OFFSET(D$108,MATCH($M$1,$C$109:$C$110,0),0)</f>
        <v>-1.5</v>
      </c>
      <c r="E38" s="52">
        <f ca="1">4.8*OFFSET(E$108,MATCH($M$1,$C$109:$C$110,0),0)</f>
        <v>4.8</v>
      </c>
      <c r="F38" s="52">
        <f ca="1">-10*OFFSET(F$108,MATCH($M$1,$C$109:$C$110,0),0)</f>
        <v>-10</v>
      </c>
      <c r="G38" s="52">
        <f ca="1">40.6*OFFSET(G$108,MATCH($M$1,$C$109:$C$110,0),0)</f>
        <v>40.6</v>
      </c>
      <c r="H38" s="52">
        <f ca="1">17.2*OFFSET(H$108,MATCH($M$1,$C$109:$C$110,0),0)</f>
        <v>17.2</v>
      </c>
      <c r="I38" s="52">
        <f ca="1">27.4*OFFSET(I$108,MATCH($M$1,$C$109:$C$110,0),0)</f>
        <v>27.4</v>
      </c>
      <c r="J38" s="52">
        <f ca="1">-2.5*OFFSET(J$108,MATCH($M$1,$C$109:$C$110,0),0)</f>
        <v>-2.5</v>
      </c>
      <c r="K38" s="52"/>
      <c r="L38" s="52">
        <f ca="1">10.7*OFFSET(L$108,MATCH($M$1,$C$109:$C$110,0),0)</f>
        <v>10.7</v>
      </c>
      <c r="M38" s="53"/>
      <c r="N38" s="54" t="str">
        <f t="shared" ca="1" si="0"/>
        <v>na</v>
      </c>
      <c r="O38" s="54">
        <f t="shared" ca="1" si="1"/>
        <v>-0.37790697674418605</v>
      </c>
    </row>
    <row r="39" spans="1:15" s="59" customFormat="1" x14ac:dyDescent="0.2">
      <c r="A39" s="57" t="s">
        <v>12</v>
      </c>
      <c r="B39" s="57" t="str">
        <f ca="1">"All values are "&amp;OFFSET($A$108,MATCH($M$1,$C$109:$C$110,0),0)&amp;". 2014 fishing income based on provisionnal data from MMO. 2014 costs and profits are projections."</f>
        <v>All values are adjusted to 2014 prices.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Area VIIA demersal trawl</v>
      </c>
      <c r="C45" s="61"/>
      <c r="D45" s="61"/>
      <c r="E45" s="61"/>
      <c r="F45" s="61" t="str">
        <f>$B21&amp;CHAR(10)&amp;$A$1</f>
        <v>Income per kW day at sea (£)
Area VIIA demersal trawl</v>
      </c>
      <c r="G45" s="61"/>
      <c r="K45" s="61" t="str">
        <f>$B23&amp;CHAR(10)&amp;$A$1</f>
        <v>Operating profit per kW day at sea (£)
Area VIIA demersal trawl</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Area VIIA demersal trawl</v>
      </c>
      <c r="F59" s="61" t="str">
        <f>$B19&amp;CHAR(10)&amp;$A$1</f>
        <v>Average price per tonne landed (£)
Area VIIA demersal trawl</v>
      </c>
      <c r="K59" s="61" t="str">
        <f>"Average annual operating profit per vessel (£'000)"&amp;CHAR(10)&amp;$A$1</f>
        <v>Average annual operating profit per vessel (£'000)
Area VIIA demersal trawl</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Area VIIA demersal trawl</v>
      </c>
      <c r="F73" s="61" t="str">
        <f>"Top 5 landed species by value in "&amp;A74&amp;CHAR(10)&amp;A1</f>
        <v>Top 5 landed species by value in 2013
Area VIIA demersal trawl</v>
      </c>
    </row>
    <row r="74" spans="1:9" s="61" customFormat="1" x14ac:dyDescent="0.2">
      <c r="A74" s="61">
        <v>2013</v>
      </c>
      <c r="B74" s="61" t="s">
        <v>47</v>
      </c>
      <c r="C74" s="62">
        <v>0.30532295411206284</v>
      </c>
      <c r="D74" s="63">
        <v>6763595</v>
      </c>
      <c r="G74" s="61" t="s">
        <v>48</v>
      </c>
      <c r="H74" s="62">
        <v>0.38083638247818657</v>
      </c>
      <c r="I74" s="63">
        <v>8211234</v>
      </c>
    </row>
    <row r="75" spans="1:9" s="61" customFormat="1" x14ac:dyDescent="0.2">
      <c r="B75" s="61" t="s">
        <v>49</v>
      </c>
      <c r="C75" s="62">
        <v>0.26544136255308914</v>
      </c>
      <c r="D75" s="63">
        <v>8211234</v>
      </c>
      <c r="G75" s="61" t="s">
        <v>50</v>
      </c>
      <c r="H75" s="62">
        <v>0.26235582298897053</v>
      </c>
      <c r="I75" s="63">
        <v>2171775</v>
      </c>
    </row>
    <row r="76" spans="1:9" s="61" customFormat="1" x14ac:dyDescent="0.2">
      <c r="B76" s="61" t="s">
        <v>51</v>
      </c>
      <c r="C76" s="62">
        <v>0.2255597709941155</v>
      </c>
      <c r="D76" s="63">
        <v>2783840</v>
      </c>
      <c r="G76" s="61" t="s">
        <v>52</v>
      </c>
      <c r="H76" s="62">
        <v>0.17239810076043852</v>
      </c>
      <c r="I76" s="63">
        <v>2783840</v>
      </c>
    </row>
    <row r="77" spans="1:9" s="61" customFormat="1" x14ac:dyDescent="0.2">
      <c r="B77" s="61" t="s">
        <v>53</v>
      </c>
      <c r="C77" s="62">
        <v>0.13033748548954024</v>
      </c>
      <c r="D77" s="63">
        <v>2171775</v>
      </c>
      <c r="G77" s="61" t="s">
        <v>54</v>
      </c>
      <c r="H77" s="62">
        <v>0.11044061382765927</v>
      </c>
      <c r="I77" s="63">
        <v>6763595</v>
      </c>
    </row>
    <row r="78" spans="1:9" s="61" customFormat="1" x14ac:dyDescent="0.2">
      <c r="B78" s="61" t="s">
        <v>55</v>
      </c>
      <c r="C78" s="62">
        <v>3.556505159145857E-2</v>
      </c>
      <c r="D78" s="63">
        <v>2764187</v>
      </c>
      <c r="G78" s="61" t="s">
        <v>56</v>
      </c>
      <c r="H78" s="62">
        <v>2.7926111568841762E-2</v>
      </c>
      <c r="I78" s="63">
        <v>2764187</v>
      </c>
    </row>
    <row r="79" spans="1:9" s="61" customFormat="1" x14ac:dyDescent="0.2">
      <c r="B79" s="61" t="s">
        <v>57</v>
      </c>
      <c r="C79" s="62">
        <v>3.7773375259733677E-2</v>
      </c>
      <c r="D79" s="63">
        <v>32768</v>
      </c>
      <c r="G79" s="61" t="s">
        <v>58</v>
      </c>
      <c r="H79" s="62">
        <v>4.6042968375903492E-2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adjusted to 2014 prices.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59</v>
      </c>
      <c r="D88" s="66"/>
      <c r="E88" s="66"/>
      <c r="F88" s="66"/>
      <c r="G88" s="66">
        <v>9.8885950673941306E-2</v>
      </c>
      <c r="H88" s="66">
        <v>7.9210223553099063E-2</v>
      </c>
      <c r="I88" s="66"/>
      <c r="J88" s="66">
        <v>0.12914706594523956</v>
      </c>
      <c r="K88" s="66">
        <v>0.20185679087086117</v>
      </c>
      <c r="L88" s="66">
        <v>0.38733196329771086</v>
      </c>
      <c r="M88" s="66">
        <v>0.36809968622806721</v>
      </c>
      <c r="N88" s="61"/>
      <c r="O88" s="61">
        <v>8211234</v>
      </c>
    </row>
    <row r="89" spans="1:15" s="65" customFormat="1" hidden="1" x14ac:dyDescent="0.2">
      <c r="A89" s="61"/>
      <c r="B89" s="61">
        <v>2</v>
      </c>
      <c r="C89" s="61" t="s">
        <v>60</v>
      </c>
      <c r="D89" s="66">
        <v>6.1959198853219308E-2</v>
      </c>
      <c r="E89" s="66">
        <v>7.7488214583982057E-2</v>
      </c>
      <c r="F89" s="66">
        <v>0.16018517392560172</v>
      </c>
      <c r="G89" s="66">
        <v>0.17766000034391879</v>
      </c>
      <c r="H89" s="66">
        <v>0.10141260028421964</v>
      </c>
      <c r="I89" s="66">
        <v>0.12746934832883033</v>
      </c>
      <c r="J89" s="66">
        <v>0.31764210121284425</v>
      </c>
      <c r="K89" s="66">
        <v>0.18041128070089271</v>
      </c>
      <c r="L89" s="66">
        <v>0.26683058834780615</v>
      </c>
      <c r="M89" s="66">
        <v>0.36347251800770397</v>
      </c>
      <c r="N89" s="61"/>
      <c r="O89" s="61">
        <v>2171775</v>
      </c>
    </row>
    <row r="90" spans="1:15" s="65" customFormat="1" hidden="1" x14ac:dyDescent="0.2">
      <c r="A90" s="61"/>
      <c r="B90" s="61">
        <v>3</v>
      </c>
      <c r="C90" s="61" t="s">
        <v>61</v>
      </c>
      <c r="D90" s="66"/>
      <c r="E90" s="66"/>
      <c r="F90" s="66"/>
      <c r="G90" s="66"/>
      <c r="H90" s="66"/>
      <c r="I90" s="66"/>
      <c r="J90" s="66"/>
      <c r="K90" s="66">
        <v>0.16311261114501663</v>
      </c>
      <c r="L90" s="66">
        <v>0.17533853882818554</v>
      </c>
      <c r="M90" s="66">
        <v>5.5198033747590143E-2</v>
      </c>
      <c r="N90" s="61"/>
      <c r="O90" s="61">
        <v>2783840</v>
      </c>
    </row>
    <row r="91" spans="1:15" s="65" customFormat="1" hidden="1" x14ac:dyDescent="0.2">
      <c r="A91" s="61"/>
      <c r="B91" s="61">
        <v>4</v>
      </c>
      <c r="C91" s="61" t="s">
        <v>62</v>
      </c>
      <c r="D91" s="66"/>
      <c r="E91" s="66"/>
      <c r="F91" s="66">
        <v>0.11730275692688646</v>
      </c>
      <c r="G91" s="66"/>
      <c r="H91" s="66"/>
      <c r="I91" s="66">
        <v>8.1736447314957078E-2</v>
      </c>
      <c r="J91" s="66">
        <v>8.2959092835104525E-2</v>
      </c>
      <c r="K91" s="66">
        <v>0.32255897599386679</v>
      </c>
      <c r="L91" s="66">
        <v>0.1123242992261165</v>
      </c>
      <c r="M91" s="66"/>
      <c r="N91" s="61"/>
      <c r="O91" s="61">
        <v>6763595</v>
      </c>
    </row>
    <row r="92" spans="1:15" s="65" customFormat="1" hidden="1" x14ac:dyDescent="0.2">
      <c r="A92" s="61"/>
      <c r="B92" s="61">
        <v>5</v>
      </c>
      <c r="C92" s="61" t="s">
        <v>63</v>
      </c>
      <c r="D92" s="66"/>
      <c r="E92" s="66"/>
      <c r="F92" s="66"/>
      <c r="G92" s="66"/>
      <c r="H92" s="66"/>
      <c r="I92" s="66"/>
      <c r="J92" s="66"/>
      <c r="K92" s="66"/>
      <c r="L92" s="66">
        <v>2.8402421929448796E-2</v>
      </c>
      <c r="M92" s="66"/>
      <c r="N92" s="61"/>
      <c r="O92" s="61">
        <v>2764187</v>
      </c>
    </row>
    <row r="93" spans="1:15" s="65" customFormat="1" hidden="1" x14ac:dyDescent="0.2">
      <c r="A93" s="61"/>
      <c r="B93" s="61">
        <v>6</v>
      </c>
      <c r="C93" s="61" t="s">
        <v>64</v>
      </c>
      <c r="D93" s="66">
        <v>9.7260378416951856E-2</v>
      </c>
      <c r="E93" s="66">
        <v>8.81402624923944E-2</v>
      </c>
      <c r="F93" s="66">
        <v>0.14369503396373257</v>
      </c>
      <c r="G93" s="66">
        <v>9.5135660211106726E-2</v>
      </c>
      <c r="H93" s="66">
        <v>9.9479538729585773E-2</v>
      </c>
      <c r="I93" s="66">
        <v>0.31099886996481563</v>
      </c>
      <c r="J93" s="66"/>
      <c r="K93" s="66"/>
      <c r="L93" s="66"/>
      <c r="M93" s="66">
        <v>0.16503179428719497</v>
      </c>
      <c r="N93" s="61"/>
      <c r="O93" s="61">
        <v>3511670</v>
      </c>
    </row>
    <row r="94" spans="1:15" s="65" customFormat="1" hidden="1" x14ac:dyDescent="0.2">
      <c r="A94" s="61"/>
      <c r="B94" s="61">
        <v>7</v>
      </c>
      <c r="C94" s="61" t="s">
        <v>65</v>
      </c>
      <c r="D94" s="66">
        <v>0.25422688113214031</v>
      </c>
      <c r="E94" s="66">
        <v>0.39195309524398925</v>
      </c>
      <c r="F94" s="66">
        <v>0.28850537261820108</v>
      </c>
      <c r="G94" s="66">
        <v>0.31512759702584064</v>
      </c>
      <c r="H94" s="66">
        <v>0.32961915043018919</v>
      </c>
      <c r="I94" s="66">
        <v>0.16884741402915401</v>
      </c>
      <c r="J94" s="66">
        <v>0.12489345021194778</v>
      </c>
      <c r="K94" s="66">
        <v>4.1360533442062142E-2</v>
      </c>
      <c r="L94" s="66"/>
      <c r="M94" s="66">
        <v>1.4169060163907482E-2</v>
      </c>
      <c r="N94" s="61"/>
      <c r="O94" s="61">
        <v>1464488</v>
      </c>
    </row>
    <row r="95" spans="1:15" s="65" customFormat="1" hidden="1" x14ac:dyDescent="0.2">
      <c r="A95" s="61"/>
      <c r="B95" s="61">
        <v>8</v>
      </c>
      <c r="C95" s="61" t="s">
        <v>66</v>
      </c>
      <c r="D95" s="66">
        <v>0.20696674983492855</v>
      </c>
      <c r="E95" s="66">
        <v>0.20182833687501112</v>
      </c>
      <c r="F95" s="66">
        <v>9.5959822391191191E-2</v>
      </c>
      <c r="G95" s="66">
        <v>0.19269124383635838</v>
      </c>
      <c r="H95" s="66">
        <v>0.17778120405318237</v>
      </c>
      <c r="I95" s="66">
        <v>0.13662521086623536</v>
      </c>
      <c r="J95" s="66">
        <v>0.10092983073665747</v>
      </c>
      <c r="K95" s="66"/>
      <c r="L95" s="66"/>
      <c r="M95" s="66"/>
      <c r="N95" s="61"/>
      <c r="O95" s="61">
        <v>8274269</v>
      </c>
    </row>
    <row r="96" spans="1:15" s="65" customFormat="1" hidden="1" x14ac:dyDescent="0.2">
      <c r="A96" s="61"/>
      <c r="B96" s="61">
        <v>9</v>
      </c>
      <c r="C96" s="61" t="s">
        <v>67</v>
      </c>
      <c r="D96" s="66">
        <v>6.1145029995802139E-2</v>
      </c>
      <c r="E96" s="66">
        <v>4.5749320273640752E-2</v>
      </c>
      <c r="F96" s="66"/>
      <c r="G96" s="66"/>
      <c r="H96" s="66"/>
      <c r="I96" s="66"/>
      <c r="J96" s="66"/>
      <c r="K96" s="66"/>
      <c r="L96" s="66"/>
      <c r="M96" s="66"/>
      <c r="N96" s="61"/>
      <c r="O96" s="61">
        <v>10520359</v>
      </c>
    </row>
    <row r="97" spans="1:15" s="65" customFormat="1" hidden="1" x14ac:dyDescent="0.2">
      <c r="A97" s="61"/>
      <c r="B97" s="61">
        <v>10</v>
      </c>
      <c r="C97" s="61" t="s">
        <v>68</v>
      </c>
      <c r="D97" s="66">
        <v>0.31844176176695782</v>
      </c>
      <c r="E97" s="66">
        <v>0.19484077053098239</v>
      </c>
      <c r="F97" s="66">
        <v>0.19435184017438695</v>
      </c>
      <c r="G97" s="66">
        <v>0.12049954790883415</v>
      </c>
      <c r="H97" s="66">
        <v>0.21249728294972395</v>
      </c>
      <c r="I97" s="66">
        <v>0.17432270949600759</v>
      </c>
      <c r="J97" s="66">
        <v>0.24442845905820643</v>
      </c>
      <c r="K97" s="66">
        <v>9.069980784730057E-2</v>
      </c>
      <c r="L97" s="66">
        <v>2.9772188370732127E-2</v>
      </c>
      <c r="M97" s="66">
        <v>3.4028907565536205E-2</v>
      </c>
      <c r="N97" s="61"/>
      <c r="O97" s="61">
        <v>32768</v>
      </c>
    </row>
    <row r="98" spans="1:15" s="65" customFormat="1" hidden="1" x14ac:dyDescent="0.2">
      <c r="A98" s="61"/>
      <c r="B98" s="61">
        <v>11</v>
      </c>
      <c r="C98" s="61"/>
      <c r="D98" s="66"/>
      <c r="E98" s="66"/>
      <c r="F98" s="66"/>
      <c r="G98" s="66"/>
      <c r="H98" s="66"/>
      <c r="I98" s="66"/>
      <c r="J98" s="66"/>
      <c r="K98" s="66"/>
      <c r="L98" s="66"/>
      <c r="M98" s="66"/>
      <c r="N98" s="61"/>
      <c r="O98" s="61">
        <v>10782840</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11</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'Area VIIa demersal trawl'!D3:L3</xm:f>
              <xm:sqref>C3</xm:sqref>
            </x14:sparkline>
            <x14:sparkline>
              <xm:f>'Area VIIa demersal trawl'!D4:L4</xm:f>
              <xm:sqref>C4</xm:sqref>
            </x14:sparkline>
            <x14:sparkline>
              <xm:f>'Area VIIa demersal trawl'!D5:L5</xm:f>
              <xm:sqref>C5</xm:sqref>
            </x14:sparkline>
            <x14:sparkline>
              <xm:f>'Area VIIa demersal trawl'!D6:L6</xm:f>
              <xm:sqref>C6</xm:sqref>
            </x14:sparkline>
            <x14:sparkline>
              <xm:f>'Area VIIa demersal trawl'!D7:L7</xm:f>
              <xm:sqref>C7</xm:sqref>
            </x14:sparkline>
            <x14:sparkline>
              <xm:f>'Area VIIa demersal trawl'!D8:L8</xm:f>
              <xm:sqref>C8</xm:sqref>
            </x14:sparkline>
            <x14:sparkline>
              <xm:f>'Area VIIa demersal trawl'!D9:L9</xm:f>
              <xm:sqref>C9</xm:sqref>
            </x14:sparkline>
            <x14:sparkline>
              <xm:f>'Area VIIa demersal trawl'!D10:L10</xm:f>
              <xm:sqref>C10</xm:sqref>
            </x14:sparkline>
            <x14:sparkline>
              <xm:f>'Area VIIa demersal trawl'!D11:L11</xm:f>
              <xm:sqref>C11</xm:sqref>
            </x14:sparkline>
            <x14:sparkline>
              <xm:f>'Area VIIa demersal trawl'!D12:L12</xm:f>
              <xm:sqref>C12</xm:sqref>
            </x14:sparkline>
            <x14:sparkline>
              <xm:f>'Area VIIa demersal trawl'!D13:L13</xm:f>
              <xm:sqref>C13</xm:sqref>
            </x14:sparkline>
            <x14:sparkline>
              <xm:f>'Area VIIa demersal trawl'!D14:L14</xm:f>
              <xm:sqref>C14</xm:sqref>
            </x14:sparkline>
            <x14:sparkline>
              <xm:f>'Area VIIa demersal trawl'!D15:L15</xm:f>
              <xm:sqref>C15</xm:sqref>
            </x14:sparkline>
            <x14:sparkline>
              <xm:f>'Area VIIa demersal trawl'!D16:L16</xm:f>
              <xm:sqref>C16</xm:sqref>
            </x14:sparkline>
            <x14:sparkline>
              <xm:f>'Area VIIa demersal trawl'!D17:L17</xm:f>
              <xm:sqref>C17</xm:sqref>
            </x14:sparkline>
            <x14:sparkline>
              <xm:f>'Area VIIa demersal trawl'!D18:L18</xm:f>
              <xm:sqref>C18</xm:sqref>
            </x14:sparkline>
            <x14:sparkline>
              <xm:f>'Area VIIa demersal trawl'!D19:L19</xm:f>
              <xm:sqref>C19</xm:sqref>
            </x14:sparkline>
            <x14:sparkline>
              <xm:f>'Area VIIa demersal trawl'!D20:L20</xm:f>
              <xm:sqref>C20</xm:sqref>
            </x14:sparkline>
            <x14:sparkline>
              <xm:f>'Area VIIa demersal trawl'!D21:L21</xm:f>
              <xm:sqref>C21</xm:sqref>
            </x14:sparkline>
            <x14:sparkline>
              <xm:f>'Area VIIa demersal trawl'!D22:L22</xm:f>
              <xm:sqref>C22</xm:sqref>
            </x14:sparkline>
            <x14:sparkline>
              <xm:f>'Area VIIa demersal trawl'!D23:L23</xm:f>
              <xm:sqref>C23</xm:sqref>
            </x14:sparkline>
            <x14:sparkline>
              <xm:f>'Area VIIa demersal trawl'!D24:L24</xm:f>
              <xm:sqref>C24</xm:sqref>
            </x14:sparkline>
            <x14:sparkline>
              <xm:f>'Area VIIa demersal trawl'!D25:L25</xm:f>
              <xm:sqref>C25</xm:sqref>
            </x14:sparkline>
            <x14:sparkline>
              <xm:f>'Area VIIa demersal trawl'!D26:L26</xm:f>
              <xm:sqref>C26</xm:sqref>
            </x14:sparkline>
            <x14:sparkline>
              <xm:f>'Area VIIa demersal trawl'!D27:L27</xm:f>
              <xm:sqref>C27</xm:sqref>
            </x14:sparkline>
            <x14:sparkline>
              <xm:f>'Area VIIa demersal trawl'!D28:L28</xm:f>
              <xm:sqref>C28</xm:sqref>
            </x14:sparkline>
            <x14:sparkline>
              <xm:f>'Area VIIa demersal trawl'!D29:L29</xm:f>
              <xm:sqref>C29</xm:sqref>
            </x14:sparkline>
            <x14:sparkline>
              <xm:f>'Area VIIa demersal trawl'!D30:L30</xm:f>
              <xm:sqref>C30</xm:sqref>
            </x14:sparkline>
            <x14:sparkline>
              <xm:f>'Area VIIa demersal trawl'!D31:L31</xm:f>
              <xm:sqref>C31</xm:sqref>
            </x14:sparkline>
            <x14:sparkline>
              <xm:f>'Area VIIa demersal trawl'!D32:L32</xm:f>
              <xm:sqref>C32</xm:sqref>
            </x14:sparkline>
            <x14:sparkline>
              <xm:f>'Area VIIa demersal trawl'!D33:L33</xm:f>
              <xm:sqref>C33</xm:sqref>
            </x14:sparkline>
            <x14:sparkline>
              <xm:f>'Area VIIa demersal trawl'!D34:L34</xm:f>
              <xm:sqref>C34</xm:sqref>
            </x14:sparkline>
            <x14:sparkline>
              <xm:f>'Area VIIa demersal trawl'!D35:L35</xm:f>
              <xm:sqref>C35</xm:sqref>
            </x14:sparkline>
            <x14:sparkline>
              <xm:f>'Area VIIa demersal trawl'!D36:L36</xm:f>
              <xm:sqref>C36</xm:sqref>
            </x14:sparkline>
            <x14:sparkline>
              <xm:f>'Area VIIa demersal trawl'!D37:L37</xm:f>
              <xm:sqref>C37</xm:sqref>
            </x14:sparkline>
            <x14:sparkline>
              <xm:f>'Area VIIa demersal trawl'!D38:L38</xm:f>
              <xm:sqref>C38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O300"/>
  <sheetViews>
    <sheetView topLeftCell="A4" zoomScale="90" zoomScaleNormal="90" zoomScalePageLayoutView="75" workbookViewId="0">
      <selection activeCell="B18" sqref="B18"/>
    </sheetView>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69</v>
      </c>
      <c r="B1" s="57"/>
      <c r="M1" s="7" t="s">
        <v>16</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35</v>
      </c>
      <c r="E3" s="16">
        <v>34</v>
      </c>
      <c r="F3" s="16">
        <v>35</v>
      </c>
      <c r="G3" s="16">
        <v>35</v>
      </c>
      <c r="H3" s="16">
        <v>37</v>
      </c>
      <c r="I3" s="16">
        <v>34</v>
      </c>
      <c r="J3" s="16">
        <v>36</v>
      </c>
      <c r="K3" s="16">
        <v>39</v>
      </c>
      <c r="L3" s="16">
        <v>42</v>
      </c>
      <c r="M3" s="17">
        <v>38</v>
      </c>
      <c r="N3" s="18">
        <f t="shared" ref="N3:N38" si="0">IF(L3=0,"",IFERROR(IF(AND(L3&gt;0,D3&lt;0),"na",IF(AND(L3&lt;0,D3&lt;0),-1,1)*(L3-D3)/D3),""))</f>
        <v>0.2</v>
      </c>
      <c r="O3" s="18">
        <f t="shared" ref="O3:O38" si="1">IF(L3=0,"",IFERROR(IF(AND(L3&gt;0,H3&lt;0),"na",IF(AND(L3&lt;0,H3&lt;0),-1,1)*(L3-H3)/H3),""))</f>
        <v>0.13513513513513514</v>
      </c>
    </row>
    <row r="4" spans="1:15" s="19" customFormat="1" ht="18" customHeight="1" x14ac:dyDescent="0.2">
      <c r="A4" s="141"/>
      <c r="B4" s="20" t="s">
        <v>20</v>
      </c>
      <c r="C4" s="21"/>
      <c r="D4" s="22">
        <v>11864.259765625</v>
      </c>
      <c r="E4" s="22">
        <v>11699.8603515625</v>
      </c>
      <c r="F4" s="22">
        <v>12350.91015625</v>
      </c>
      <c r="G4" s="22">
        <v>12043.1396484375</v>
      </c>
      <c r="H4" s="22">
        <v>12525.4296875</v>
      </c>
      <c r="I4" s="22">
        <v>11454.4296875</v>
      </c>
      <c r="J4" s="22">
        <v>12875.1396484375</v>
      </c>
      <c r="K4" s="22">
        <v>13579.0400390625</v>
      </c>
      <c r="L4" s="22">
        <v>15468.2001953125</v>
      </c>
      <c r="M4" s="23">
        <v>14105.2001953125</v>
      </c>
      <c r="N4" s="24">
        <f t="shared" si="0"/>
        <v>0.30376445736036589</v>
      </c>
      <c r="O4" s="24">
        <f t="shared" si="1"/>
        <v>0.23494367708193645</v>
      </c>
    </row>
    <row r="5" spans="1:15" s="19" customFormat="1" ht="18" customHeight="1" x14ac:dyDescent="0.2">
      <c r="A5" s="141"/>
      <c r="B5" s="20" t="s">
        <v>21</v>
      </c>
      <c r="C5" s="21"/>
      <c r="D5" s="22">
        <v>3480</v>
      </c>
      <c r="E5" s="22">
        <v>3479</v>
      </c>
      <c r="F5" s="22">
        <v>3571</v>
      </c>
      <c r="G5" s="22">
        <v>3337.419921875</v>
      </c>
      <c r="H5" s="22">
        <v>3587.419921875</v>
      </c>
      <c r="I5" s="22">
        <v>3325</v>
      </c>
      <c r="J5" s="22">
        <v>3765</v>
      </c>
      <c r="K5" s="22">
        <v>3942.6298828125</v>
      </c>
      <c r="L5" s="22">
        <v>4570.6298828125</v>
      </c>
      <c r="M5" s="23">
        <v>4286</v>
      </c>
      <c r="N5" s="24">
        <f t="shared" si="0"/>
        <v>0.31339939161278735</v>
      </c>
      <c r="O5" s="24">
        <f t="shared" si="1"/>
        <v>0.27407161200788999</v>
      </c>
    </row>
    <row r="6" spans="1:15" s="19" customFormat="1" ht="18" customHeight="1" x14ac:dyDescent="0.2">
      <c r="A6" s="141"/>
      <c r="B6" s="20" t="s">
        <v>22</v>
      </c>
      <c r="C6" s="21"/>
      <c r="D6" s="22">
        <v>7884.158203125</v>
      </c>
      <c r="E6" s="22">
        <v>9610.224609375</v>
      </c>
      <c r="F6" s="22">
        <v>7568.7177734375</v>
      </c>
      <c r="G6" s="22">
        <v>9586.5</v>
      </c>
      <c r="H6" s="22">
        <v>10106.052734375</v>
      </c>
      <c r="I6" s="22">
        <v>9209.9775390625</v>
      </c>
      <c r="J6" s="22">
        <v>10278.7412109375</v>
      </c>
      <c r="K6" s="22">
        <v>10968.0283203125</v>
      </c>
      <c r="L6" s="22">
        <v>12430.328125</v>
      </c>
      <c r="M6" s="23">
        <v>11367.7978515625</v>
      </c>
      <c r="N6" s="24">
        <f t="shared" si="0"/>
        <v>0.57662083950485166</v>
      </c>
      <c r="O6" s="24">
        <f t="shared" si="1"/>
        <v>0.22998844867681592</v>
      </c>
    </row>
    <row r="7" spans="1:15" s="19" customFormat="1" ht="18" customHeight="1" x14ac:dyDescent="0.2">
      <c r="A7" s="141"/>
      <c r="B7" s="20" t="s">
        <v>23</v>
      </c>
      <c r="C7" s="21"/>
      <c r="D7" s="22">
        <v>3572.42578125</v>
      </c>
      <c r="E7" s="22">
        <v>4108.0244140625</v>
      </c>
      <c r="F7" s="22">
        <v>4202.82666015625</v>
      </c>
      <c r="G7" s="22">
        <v>4602.43701171875</v>
      </c>
      <c r="H7" s="22">
        <v>4666.66259765625</v>
      </c>
      <c r="I7" s="22">
        <v>4438.1142578125</v>
      </c>
      <c r="J7" s="22">
        <v>4993.8984375</v>
      </c>
      <c r="K7" s="22">
        <v>4887.81689453125</v>
      </c>
      <c r="L7" s="22">
        <v>5045.77734375</v>
      </c>
      <c r="M7" s="23">
        <v>4570.9716796875</v>
      </c>
      <c r="N7" s="24">
        <f t="shared" si="0"/>
        <v>0.41242328118695609</v>
      </c>
      <c r="O7" s="24">
        <f t="shared" si="1"/>
        <v>8.1238944997685025E-2</v>
      </c>
    </row>
    <row r="8" spans="1:15" s="19" customFormat="1" ht="18" customHeight="1" x14ac:dyDescent="0.2">
      <c r="A8" s="141"/>
      <c r="B8" s="20" t="s">
        <v>24</v>
      </c>
      <c r="C8" s="25"/>
      <c r="D8" s="26">
        <f ca="1">6.8117665*OFFSET(D$108,MATCH($M$1,$C$109:$C$110,0),0)</f>
        <v>6.8117665000000001</v>
      </c>
      <c r="E8" s="26">
        <f ca="1">9.675661*OFFSET(E$108,MATCH($M$1,$C$109:$C$110,0),0)</f>
        <v>9.6756609999999998</v>
      </c>
      <c r="F8" s="26">
        <f ca="1">9.110094*OFFSET(F$108,MATCH($M$1,$C$109:$C$110,0),0)</f>
        <v>9.1100940000000001</v>
      </c>
      <c r="G8" s="26">
        <f ca="1">9.12608*OFFSET(G$108,MATCH($M$1,$C$109:$C$110,0),0)</f>
        <v>9.12608</v>
      </c>
      <c r="H8" s="26">
        <f ca="1">7.655351*OFFSET(H$108,MATCH($M$1,$C$109:$C$110,0),0)</f>
        <v>7.6553509999999996</v>
      </c>
      <c r="I8" s="26">
        <f ca="1">7.4071035*OFFSET(I$108,MATCH($M$1,$C$109:$C$110,0),0)</f>
        <v>7.4071034999999998</v>
      </c>
      <c r="J8" s="26">
        <f ca="1">10.205491*OFFSET(J$108,MATCH($M$1,$C$109:$C$110,0),0)</f>
        <v>10.205491</v>
      </c>
      <c r="K8" s="26">
        <f ca="1">10.600241*OFFSET(K$108,MATCH($M$1,$C$109:$C$110,0),0)</f>
        <v>10.600241</v>
      </c>
      <c r="L8" s="26">
        <f ca="1">9.562433*OFFSET(L$108,MATCH($M$1,$C$109:$C$110,0),0)</f>
        <v>9.5624330000000004</v>
      </c>
      <c r="M8" s="27">
        <f ca="1">9.568594*OFFSET(M$108,MATCH($M$1,$C$109:$C$110,0),0)</f>
        <v>9.5685939999999992</v>
      </c>
      <c r="N8" s="24">
        <f t="shared" ca="1" si="0"/>
        <v>0.40381103785633293</v>
      </c>
      <c r="O8" s="24">
        <f t="shared" ca="1" si="1"/>
        <v>0.2491175127045123</v>
      </c>
    </row>
    <row r="9" spans="1:15" s="19" customFormat="1" ht="18" customHeight="1" x14ac:dyDescent="0.2">
      <c r="A9" s="141"/>
      <c r="B9" s="20" t="s">
        <v>25</v>
      </c>
      <c r="C9" s="25"/>
      <c r="D9" s="22">
        <v>6504</v>
      </c>
      <c r="E9" s="22">
        <v>6120</v>
      </c>
      <c r="F9" s="22">
        <v>6024</v>
      </c>
      <c r="G9" s="22">
        <v>6018</v>
      </c>
      <c r="H9" s="22">
        <v>6330</v>
      </c>
      <c r="I9" s="22">
        <v>5747.0498046875</v>
      </c>
      <c r="J9" s="22">
        <v>5372.9501953125</v>
      </c>
      <c r="K9" s="22">
        <v>5525</v>
      </c>
      <c r="L9" s="22">
        <v>5993</v>
      </c>
      <c r="M9" s="23">
        <v>5606</v>
      </c>
      <c r="N9" s="24">
        <f t="shared" si="0"/>
        <v>-7.8567035670356708E-2</v>
      </c>
      <c r="O9" s="24">
        <f t="shared" si="1"/>
        <v>-5.323854660347551E-2</v>
      </c>
    </row>
    <row r="10" spans="1:15" s="19" customFormat="1" ht="18" customHeight="1" x14ac:dyDescent="0.2">
      <c r="A10" s="142" t="s">
        <v>7</v>
      </c>
      <c r="B10" s="28" t="s">
        <v>26</v>
      </c>
      <c r="C10" s="29"/>
      <c r="D10" s="30">
        <v>20.208856582641602</v>
      </c>
      <c r="E10" s="30">
        <v>20.406764984130859</v>
      </c>
      <c r="F10" s="30">
        <v>20.455999374389648</v>
      </c>
      <c r="G10" s="30">
        <v>19.810857772827148</v>
      </c>
      <c r="H10" s="30">
        <v>19.946756362915039</v>
      </c>
      <c r="I10" s="30">
        <v>19.944118499755859</v>
      </c>
      <c r="J10" s="30">
        <v>20.351943969726562</v>
      </c>
      <c r="K10" s="30">
        <v>19.840768814086914</v>
      </c>
      <c r="L10" s="30">
        <v>20.491666793823242</v>
      </c>
      <c r="M10" s="31">
        <v>20.682895660400391</v>
      </c>
      <c r="N10" s="32">
        <f t="shared" si="0"/>
        <v>1.399436974700293E-2</v>
      </c>
      <c r="O10" s="32">
        <f t="shared" si="1"/>
        <v>2.731824768869686E-2</v>
      </c>
    </row>
    <row r="11" spans="1:15" s="19" customFormat="1" ht="18" customHeight="1" x14ac:dyDescent="0.2">
      <c r="A11" s="143"/>
      <c r="B11" s="33" t="s">
        <v>20</v>
      </c>
      <c r="C11" s="21"/>
      <c r="D11" s="22">
        <v>338.97885131835937</v>
      </c>
      <c r="E11" s="22">
        <v>344.113525390625</v>
      </c>
      <c r="F11" s="22">
        <v>352.88314819335937</v>
      </c>
      <c r="G11" s="22">
        <v>344.0897216796875</v>
      </c>
      <c r="H11" s="22">
        <v>338.525146484375</v>
      </c>
      <c r="I11" s="22">
        <v>336.89498901367187</v>
      </c>
      <c r="J11" s="22">
        <v>357.64279174804688</v>
      </c>
      <c r="K11" s="22">
        <v>348.18051147460937</v>
      </c>
      <c r="L11" s="22">
        <v>368.29046630859375</v>
      </c>
      <c r="M11" s="23">
        <v>371.18948364257812</v>
      </c>
      <c r="N11" s="24">
        <f t="shared" si="0"/>
        <v>8.6470335468526713E-2</v>
      </c>
      <c r="O11" s="24">
        <f t="shared" si="1"/>
        <v>8.7926466123226688E-2</v>
      </c>
    </row>
    <row r="12" spans="1:15" s="19" customFormat="1" ht="18" customHeight="1" x14ac:dyDescent="0.2">
      <c r="A12" s="143"/>
      <c r="B12" s="33" t="s">
        <v>21</v>
      </c>
      <c r="C12" s="21"/>
      <c r="D12" s="22">
        <v>99.428573608398438</v>
      </c>
      <c r="E12" s="22">
        <v>102.32353210449219</v>
      </c>
      <c r="F12" s="22">
        <v>102.02857208251953</v>
      </c>
      <c r="G12" s="22">
        <v>95.3548583984375</v>
      </c>
      <c r="H12" s="22">
        <v>96.957298278808594</v>
      </c>
      <c r="I12" s="22">
        <v>97.794120788574219</v>
      </c>
      <c r="J12" s="22">
        <v>104.58333587646484</v>
      </c>
      <c r="K12" s="22">
        <v>101.09307861328125</v>
      </c>
      <c r="L12" s="22">
        <v>108.82452392578125</v>
      </c>
      <c r="M12" s="23">
        <v>112.78947448730469</v>
      </c>
      <c r="N12" s="24">
        <f t="shared" si="0"/>
        <v>9.4499498246741059E-2</v>
      </c>
      <c r="O12" s="24">
        <f t="shared" si="1"/>
        <v>0.12239641427350301</v>
      </c>
    </row>
    <row r="13" spans="1:15" s="19" customFormat="1" ht="18" customHeight="1" x14ac:dyDescent="0.2">
      <c r="A13" s="143"/>
      <c r="B13" s="33" t="s">
        <v>22</v>
      </c>
      <c r="C13" s="21"/>
      <c r="D13" s="22">
        <v>225.26165771484375</v>
      </c>
      <c r="E13" s="22">
        <v>282.65365600585937</v>
      </c>
      <c r="F13" s="22">
        <v>216.24908447265625</v>
      </c>
      <c r="G13" s="22">
        <v>273.9000244140625</v>
      </c>
      <c r="H13" s="22">
        <v>273.13653564453125</v>
      </c>
      <c r="I13" s="22">
        <v>270.88168334960937</v>
      </c>
      <c r="J13" s="22">
        <v>285.52056884765625</v>
      </c>
      <c r="K13" s="22">
        <v>281.23147583007812</v>
      </c>
      <c r="L13" s="22">
        <v>295.960205078125</v>
      </c>
      <c r="M13" s="23">
        <v>299.152587890625</v>
      </c>
      <c r="N13" s="24">
        <f t="shared" si="0"/>
        <v>0.31385078171083053</v>
      </c>
      <c r="O13" s="24">
        <f t="shared" si="1"/>
        <v>8.3561393131591943E-2</v>
      </c>
    </row>
    <row r="14" spans="1:15" s="19" customFormat="1" ht="18" customHeight="1" x14ac:dyDescent="0.2">
      <c r="A14" s="143"/>
      <c r="B14" s="33" t="s">
        <v>23</v>
      </c>
      <c r="C14" s="25"/>
      <c r="D14" s="26">
        <v>102.06931304931641</v>
      </c>
      <c r="E14" s="26">
        <v>120.82424163818359</v>
      </c>
      <c r="F14" s="26">
        <v>120.08075714111328</v>
      </c>
      <c r="G14" s="26">
        <v>131.49819946289062</v>
      </c>
      <c r="H14" s="26">
        <v>126.12602233886719</v>
      </c>
      <c r="I14" s="26">
        <v>130.53277587890625</v>
      </c>
      <c r="J14" s="26">
        <v>138.71940612792969</v>
      </c>
      <c r="K14" s="26">
        <v>125.32863616943359</v>
      </c>
      <c r="L14" s="26">
        <v>120.13755798339844</v>
      </c>
      <c r="M14" s="27">
        <v>120.28872680664062</v>
      </c>
      <c r="N14" s="24">
        <f t="shared" si="0"/>
        <v>0.17701936453076814</v>
      </c>
      <c r="O14" s="24">
        <f t="shared" si="1"/>
        <v>-4.7480006460358624E-2</v>
      </c>
    </row>
    <row r="15" spans="1:15" s="19" customFormat="1" ht="18" customHeight="1" x14ac:dyDescent="0.2">
      <c r="A15" s="143"/>
      <c r="B15" s="33" t="s">
        <v>27</v>
      </c>
      <c r="C15" s="25"/>
      <c r="D15" s="26">
        <f ca="1">194.621890625*OFFSET(D$108,MATCH($M$1,$C$109:$C$110,0),0)</f>
        <v>194.62189062499999</v>
      </c>
      <c r="E15" s="26">
        <f ca="1">284.57828125*OFFSET(E$108,MATCH($M$1,$C$109:$C$110,0),0)</f>
        <v>284.57828124999997</v>
      </c>
      <c r="F15" s="26">
        <f ca="1">260.288390625*OFFSET(F$108,MATCH($M$1,$C$109:$C$110,0),0)</f>
        <v>260.28839062499998</v>
      </c>
      <c r="G15" s="26">
        <f ca="1">260.745140625*OFFSET(G$108,MATCH($M$1,$C$109:$C$110,0),0)</f>
        <v>260.74514062499998</v>
      </c>
      <c r="H15" s="26">
        <f ca="1">206.901375*OFFSET(H$108,MATCH($M$1,$C$109:$C$110,0),0)</f>
        <v>206.901375</v>
      </c>
      <c r="I15" s="26">
        <f ca="1">217.856*OFFSET(I$108,MATCH($M$1,$C$109:$C$110,0),0)</f>
        <v>217.85599999999999</v>
      </c>
      <c r="J15" s="26">
        <f ca="1">283.485875*OFFSET(J$108,MATCH($M$1,$C$109:$C$110,0),0)</f>
        <v>283.48587500000002</v>
      </c>
      <c r="K15" s="26">
        <f ca="1">271.8010625*OFFSET(K$108,MATCH($M$1,$C$109:$C$110,0),0)</f>
        <v>271.8010625</v>
      </c>
      <c r="L15" s="26">
        <f ca="1">227.67696875*OFFSET(L$108,MATCH($M$1,$C$109:$C$110,0),0)</f>
        <v>227.67696874999999</v>
      </c>
      <c r="M15" s="27">
        <f ca="1">251.805109375*OFFSET(M$108,MATCH($M$1,$C$109:$C$110,0),0)</f>
        <v>251.805109375</v>
      </c>
      <c r="N15" s="24">
        <f t="shared" ca="1" si="0"/>
        <v>0.16984254966822285</v>
      </c>
      <c r="O15" s="24">
        <f t="shared" ca="1" si="1"/>
        <v>0.10041302891293005</v>
      </c>
    </row>
    <row r="16" spans="1:15" s="19" customFormat="1" ht="18" customHeight="1" x14ac:dyDescent="0.2">
      <c r="A16" s="143"/>
      <c r="B16" s="33" t="s">
        <v>25</v>
      </c>
      <c r="C16" s="21"/>
      <c r="D16" s="22">
        <v>185.82856750488281</v>
      </c>
      <c r="E16" s="22">
        <v>180</v>
      </c>
      <c r="F16" s="22">
        <v>172.11428833007812</v>
      </c>
      <c r="G16" s="22">
        <v>171.94285583496094</v>
      </c>
      <c r="H16" s="22">
        <v>171.08108520507812</v>
      </c>
      <c r="I16" s="22">
        <v>169.0308837890625</v>
      </c>
      <c r="J16" s="22">
        <v>149.24861145019531</v>
      </c>
      <c r="K16" s="22">
        <v>141.66667175292969</v>
      </c>
      <c r="L16" s="22">
        <v>142.69047546386719</v>
      </c>
      <c r="M16" s="23">
        <v>147.52632141113281</v>
      </c>
      <c r="N16" s="24">
        <f t="shared" si="0"/>
        <v>-0.23213918408902406</v>
      </c>
      <c r="O16" s="24">
        <f t="shared" si="1"/>
        <v>-0.16594826778880073</v>
      </c>
    </row>
    <row r="17" spans="1:15" s="19" customFormat="1" ht="18" customHeight="1" x14ac:dyDescent="0.2">
      <c r="A17" s="143"/>
      <c r="B17" s="33" t="s">
        <v>28</v>
      </c>
      <c r="C17" s="21"/>
      <c r="D17" s="22">
        <v>29.342857360839844</v>
      </c>
      <c r="E17" s="22">
        <v>29.911764144897461</v>
      </c>
      <c r="F17" s="22">
        <v>31.628570556640625</v>
      </c>
      <c r="G17" s="22">
        <v>31.885713577270508</v>
      </c>
      <c r="H17" s="22">
        <v>32.972972869873047</v>
      </c>
      <c r="I17" s="22">
        <v>34.441177368164063</v>
      </c>
      <c r="J17" s="22">
        <v>34.694442749023438</v>
      </c>
      <c r="K17" s="22">
        <v>35.051280975341797</v>
      </c>
      <c r="L17" s="22">
        <v>35.857143402099609</v>
      </c>
      <c r="M17" s="23">
        <v>37.473682403564453</v>
      </c>
      <c r="N17" s="24">
        <f t="shared" si="0"/>
        <v>0.22200585175299081</v>
      </c>
      <c r="O17" s="24">
        <f t="shared" si="1"/>
        <v>8.7470745922997722E-2</v>
      </c>
    </row>
    <row r="18" spans="1:15" s="19" customFormat="1" ht="18" customHeight="1" x14ac:dyDescent="0.2">
      <c r="A18" s="143"/>
      <c r="B18" s="33" t="s">
        <v>29</v>
      </c>
      <c r="C18" s="21"/>
      <c r="D18" s="34">
        <v>0.54926598072052002</v>
      </c>
      <c r="E18" s="34">
        <v>0.67124581336975098</v>
      </c>
      <c r="F18" s="34">
        <v>0.69768035411834717</v>
      </c>
      <c r="G18" s="34">
        <v>0.7647784948348999</v>
      </c>
      <c r="H18" s="34">
        <v>0.73722952604293823</v>
      </c>
      <c r="I18" s="34">
        <v>0.77224218845367432</v>
      </c>
      <c r="J18" s="34">
        <v>0.92945188283920288</v>
      </c>
      <c r="K18" s="34">
        <v>0.88467270135879517</v>
      </c>
      <c r="L18" s="34">
        <v>0.84194517135620117</v>
      </c>
      <c r="M18" s="35">
        <v>0.81537127494812012</v>
      </c>
      <c r="N18" s="24">
        <f t="shared" si="0"/>
        <v>0.53285512103216071</v>
      </c>
      <c r="O18" s="24">
        <f t="shared" si="1"/>
        <v>0.14203940782909449</v>
      </c>
    </row>
    <row r="19" spans="1:15" s="19" customFormat="1" ht="18" customHeight="1" x14ac:dyDescent="0.2">
      <c r="A19" s="144"/>
      <c r="B19" s="36" t="s">
        <v>8</v>
      </c>
      <c r="C19" s="37"/>
      <c r="D19" s="38">
        <f ca="1">1906.76221623744*OFFSET(D$108,MATCH($M$1,$C$109:$C$110,0),0)</f>
        <v>1906.76221623744</v>
      </c>
      <c r="E19" s="38">
        <f ca="1">2355.30756995467*OFFSET(E$108,MATCH($M$1,$C$109:$C$110,0),0)</f>
        <v>2355.3075699546698</v>
      </c>
      <c r="F19" s="38">
        <f ca="1">2167.61116663834*OFFSET(F$108,MATCH($M$1,$C$109:$C$110,0),0)</f>
        <v>2167.6111666383399</v>
      </c>
      <c r="G19" s="38">
        <f ca="1">1982.87993442672*OFFSET(G$108,MATCH($M$1,$C$109:$C$110,0),0)</f>
        <v>1982.87993442672</v>
      </c>
      <c r="H19" s="38">
        <f ca="1">1640.43378748761*OFFSET(H$108,MATCH($M$1,$C$109:$C$110,0),0)</f>
        <v>1640.4337874876101</v>
      </c>
      <c r="I19" s="38">
        <f ca="1">1668.97539579138*OFFSET(I$108,MATCH($M$1,$C$109:$C$110,0),0)</f>
        <v>1668.9753957913799</v>
      </c>
      <c r="J19" s="38">
        <f ca="1">2043.59202088799*OFFSET(J$108,MATCH($M$1,$C$109:$C$110,0),0)</f>
        <v>2043.59202088799</v>
      </c>
      <c r="K19" s="38">
        <f ca="1">2168.70664935508*OFFSET(K$108,MATCH($M$1,$C$109:$C$110,0),0)</f>
        <v>2168.7066493550801</v>
      </c>
      <c r="L19" s="38">
        <f ca="1">1895.13574391954*OFFSET(L$108,MATCH($M$1,$C$109:$C$110,0),0)</f>
        <v>1895.1357439195399</v>
      </c>
      <c r="M19" s="39">
        <f ca="1">2093.33915642509*OFFSET(M$108,MATCH($M$1,$C$109:$C$110,0),0)</f>
        <v>2093.3391564250901</v>
      </c>
      <c r="N19" s="40">
        <f ca="1">IF(L19=0,"",IFERROR(IF(AND(L19&gt;0,D19&lt;0),"na",IF(AND(L19&lt;0,D19&lt;0),-1,1)*(L19-D19)/D19),""))</f>
        <v>-6.0974946004763728E-3</v>
      </c>
      <c r="O19" s="40">
        <f ca="1">IF(L19=0,"",IFERROR(IF(AND(L19&gt;0,H19&lt;0),"na",IF(AND(L19&lt;0,H19&lt;0),-1,1)*(L19-H19)/H19),""))</f>
        <v>0.15526500269298651</v>
      </c>
    </row>
    <row r="20" spans="1:15" s="19" customFormat="1" ht="18" customHeight="1" x14ac:dyDescent="0.2">
      <c r="A20" s="145" t="s">
        <v>9</v>
      </c>
      <c r="B20" s="28" t="s">
        <v>30</v>
      </c>
      <c r="C20" s="41"/>
      <c r="D20" s="42">
        <v>1.6011559405504525</v>
      </c>
      <c r="E20" s="42">
        <v>1.9220504248957275</v>
      </c>
      <c r="F20" s="42">
        <v>1.9553924475751312</v>
      </c>
      <c r="G20" s="42">
        <v>2.2214701631698244</v>
      </c>
      <c r="H20" s="42">
        <v>2.1733914316884606</v>
      </c>
      <c r="I20" s="42">
        <v>2.2958026809654788</v>
      </c>
      <c r="J20" s="42">
        <v>2.6618199642261544</v>
      </c>
      <c r="K20" s="42">
        <v>2.5754633498767623</v>
      </c>
      <c r="L20" s="42">
        <v>2.2483893912547437</v>
      </c>
      <c r="M20" s="43">
        <v>2.1653766226921616</v>
      </c>
      <c r="N20" s="32">
        <f t="shared" si="0"/>
        <v>0.40422886635375588</v>
      </c>
      <c r="O20" s="32">
        <f t="shared" si="1"/>
        <v>3.4507341141038178E-2</v>
      </c>
    </row>
    <row r="21" spans="1:15" s="19" customFormat="1" ht="18" customHeight="1" x14ac:dyDescent="0.2">
      <c r="A21" s="145"/>
      <c r="B21" s="33" t="s">
        <v>31</v>
      </c>
      <c r="C21" s="21"/>
      <c r="D21" s="34">
        <f ca="1">3.05302335271733*OFFSET(D$108,MATCH($M$1,$C$109:$C$110,0),0)</f>
        <v>3.0530233527173301</v>
      </c>
      <c r="E21" s="34">
        <f ca="1">4.52702039736867*OFFSET(E$108,MATCH($M$1,$C$109:$C$110,0),0)</f>
        <v>4.5270203973686698</v>
      </c>
      <c r="F21" s="34">
        <f ca="1">4.2385305134402*OFFSET(F$108,MATCH($M$1,$C$109:$C$110,0),0)</f>
        <v>4.2385305134401996</v>
      </c>
      <c r="G21" s="34">
        <f ca="1">4.40490860297613*OFFSET(G$108,MATCH($M$1,$C$109:$C$110,0),0)</f>
        <v>4.4049086029761302</v>
      </c>
      <c r="H21" s="34">
        <f ca="1">3.56530450489746*OFFSET(H$108,MATCH($M$1,$C$109:$C$110,0),0)</f>
        <v>3.5653045048974601</v>
      </c>
      <c r="I21" s="34">
        <f ca="1">3.83163834138027*OFFSET(I$108,MATCH($M$1,$C$109:$C$110,0),0)</f>
        <v>3.8316383413802702</v>
      </c>
      <c r="J21" s="34">
        <f ca="1">5.43967410698994*OFFSET(J$108,MATCH($M$1,$C$109:$C$110,0),0)</f>
        <v>5.4396741069899397</v>
      </c>
      <c r="K21" s="34">
        <f ca="1">5.58542481847448*OFFSET(K$108,MATCH($M$1,$C$109:$C$110,0),0)</f>
        <v>5.5854248184744799</v>
      </c>
      <c r="L21" s="34">
        <f ca="1">4.26100288505346*OFFSET(L$108,MATCH($M$1,$C$109:$C$110,0),0)</f>
        <v>4.2610028850534603</v>
      </c>
      <c r="M21" s="35">
        <f ca="1">4.53286780723467*OFFSET(M$108,MATCH($M$1,$C$109:$C$110,0),0)</f>
        <v>4.5328678072346698</v>
      </c>
      <c r="N21" s="24">
        <f t="shared" ca="1" si="0"/>
        <v>0.39566665327370437</v>
      </c>
      <c r="O21" s="24">
        <f t="shared" ca="1" si="1"/>
        <v>0.19513014363860312</v>
      </c>
    </row>
    <row r="22" spans="1:15" s="19" customFormat="1" ht="18" customHeight="1" x14ac:dyDescent="0.2">
      <c r="A22" s="145"/>
      <c r="B22" s="33" t="s">
        <v>10</v>
      </c>
      <c r="C22" s="21"/>
      <c r="D22" s="34">
        <f ca="1">2.49765284050174*OFFSET(D$108,MATCH($M$1,$C$109:$C$110,0),0)</f>
        <v>2.4976528405017402</v>
      </c>
      <c r="E22" s="34">
        <f ca="1">3.89633090455289*OFFSET(E$108,MATCH($M$1,$C$109:$C$110,0),0)</f>
        <v>3.8963309045528902</v>
      </c>
      <c r="F22" s="34">
        <f ca="1">3.35140818883105*OFFSET(F$108,MATCH($M$1,$C$109:$C$110,0),0)</f>
        <v>3.3514081888310501</v>
      </c>
      <c r="G22" s="34">
        <f ca="1">3.4080680909989*OFFSET(G$108,MATCH($M$1,$C$109:$C$110,0),0)</f>
        <v>3.4080680909989001</v>
      </c>
      <c r="H22" s="34">
        <f ca="1">2.87508593233853*OFFSET(H$108,MATCH($M$1,$C$109:$C$110,0),0)</f>
        <v>2.8750859323385298</v>
      </c>
      <c r="I22" s="34">
        <f ca="1">3.21895536153248*OFFSET(I$108,MATCH($M$1,$C$109:$C$110,0),0)</f>
        <v>3.2189553615324802</v>
      </c>
      <c r="J22" s="34">
        <f ca="1">4.43142649174433*OFFSET(J$108,MATCH($M$1,$C$109:$C$110,0),0)</f>
        <v>4.4314264917443298</v>
      </c>
      <c r="K22" s="34">
        <f ca="1">4.14840786137635*OFFSET(K$108,MATCH($M$1,$C$109:$C$110,0),0)</f>
        <v>4.1484078613763504</v>
      </c>
      <c r="L22" s="34">
        <f ca="1">3.3885971961234*OFFSET(L$108,MATCH($M$1,$C$109:$C$110,0),0)</f>
        <v>3.3885971961234</v>
      </c>
      <c r="M22" s="35">
        <f ca="1">3.50122019882789*OFFSET(M$108,MATCH($M$1,$C$109:$C$110,0),0)</f>
        <v>3.5012201988278902</v>
      </c>
      <c r="N22" s="24">
        <f t="shared" ca="1" si="0"/>
        <v>0.35671264683953546</v>
      </c>
      <c r="O22" s="24">
        <f t="shared" ca="1" si="1"/>
        <v>0.17860727500662624</v>
      </c>
    </row>
    <row r="23" spans="1:15" s="19" customFormat="1" ht="18" customHeight="1" x14ac:dyDescent="0.2">
      <c r="A23" s="146"/>
      <c r="B23" s="33" t="s">
        <v>32</v>
      </c>
      <c r="C23" s="44"/>
      <c r="D23" s="34">
        <f ca="1">0.555370512215598*OFFSET(D$108,MATCH($M$1,$C$109:$C$110,0),0)</f>
        <v>0.55537051221559797</v>
      </c>
      <c r="E23" s="34">
        <f ca="1">0.630689492815786*OFFSET(E$108,MATCH($M$1,$C$109:$C$110,0),0)</f>
        <v>0.63068949281578601</v>
      </c>
      <c r="F23" s="34">
        <f ca="1">0.88712232460915*OFFSET(F$108,MATCH($M$1,$C$109:$C$110,0),0)</f>
        <v>0.88712232460914997</v>
      </c>
      <c r="G23" s="34">
        <f ca="1">0.996840511977223*OFFSET(G$108,MATCH($M$1,$C$109:$C$110,0),0)</f>
        <v>0.99684051197722301</v>
      </c>
      <c r="H23" s="34">
        <f ca="1">0.690218572558934*OFFSET(H$108,MATCH($M$1,$C$109:$C$110,0),0)</f>
        <v>0.69021857255893404</v>
      </c>
      <c r="I23" s="34">
        <f ca="1">0.612682979847793*OFFSET(I$108,MATCH($M$1,$C$109:$C$110,0),0)</f>
        <v>0.61268297984779296</v>
      </c>
      <c r="J23" s="34">
        <f ca="1">1.00824761524561*OFFSET(J$108,MATCH($M$1,$C$109:$C$110,0),0)</f>
        <v>1.0082476152456099</v>
      </c>
      <c r="K23" s="34">
        <f ca="1">1.43701695709813*OFFSET(K$108,MATCH($M$1,$C$109:$C$110,0),0)</f>
        <v>1.4370169570981299</v>
      </c>
      <c r="L23" s="34">
        <f ca="1">0.872405688930062*OFFSET(L$108,MATCH($M$1,$C$109:$C$110,0),0)</f>
        <v>0.87240568893006198</v>
      </c>
      <c r="M23" s="35">
        <f ca="1">1.03164760840678*OFFSET(M$108,MATCH($M$1,$C$109:$C$110,0),0)</f>
        <v>1.03164760840678</v>
      </c>
      <c r="N23" s="24">
        <f t="shared" ca="1" si="0"/>
        <v>0.57085345682053279</v>
      </c>
      <c r="O23" s="24">
        <f t="shared" ca="1" si="1"/>
        <v>0.26395568536454006</v>
      </c>
    </row>
    <row r="24" spans="1:15" s="19" customFormat="1" ht="18" customHeight="1" x14ac:dyDescent="0.2">
      <c r="A24" s="147" t="s">
        <v>11</v>
      </c>
      <c r="B24" s="28" t="s">
        <v>27</v>
      </c>
      <c r="C24" s="29"/>
      <c r="D24" s="30">
        <f ca="1">194.6*OFFSET(D$108,MATCH($M$1,$C$109:$C$110,0),0)</f>
        <v>194.6</v>
      </c>
      <c r="E24" s="30">
        <f ca="1">284.6*OFFSET(E$108,MATCH($M$1,$C$109:$C$110,0),0)</f>
        <v>284.60000000000002</v>
      </c>
      <c r="F24" s="30">
        <f ca="1">260.3*OFFSET(F$108,MATCH($M$1,$C$109:$C$110,0),0)</f>
        <v>260.3</v>
      </c>
      <c r="G24" s="30">
        <f ca="1">260.7*OFFSET(G$108,MATCH($M$1,$C$109:$C$110,0),0)</f>
        <v>260.7</v>
      </c>
      <c r="H24" s="30">
        <f ca="1">206.9*OFFSET(H$108,MATCH($M$1,$C$109:$C$110,0),0)</f>
        <v>206.9</v>
      </c>
      <c r="I24" s="30">
        <f ca="1">217.9*OFFSET(I$108,MATCH($M$1,$C$109:$C$110,0),0)</f>
        <v>217.9</v>
      </c>
      <c r="J24" s="30">
        <f ca="1">283.5*OFFSET(J$108,MATCH($M$1,$C$109:$C$110,0),0)</f>
        <v>283.5</v>
      </c>
      <c r="K24" s="30">
        <f ca="1">271.8*OFFSET(K$108,MATCH($M$1,$C$109:$C$110,0),0)</f>
        <v>271.8</v>
      </c>
      <c r="L24" s="30">
        <f ca="1">227.7*OFFSET(L$108,MATCH($M$1,$C$109:$C$110,0),0)</f>
        <v>227.7</v>
      </c>
      <c r="M24" s="31">
        <f ca="1">251.8*OFFSET(M$108,MATCH($M$1,$C$109:$C$110,0),0)</f>
        <v>251.8</v>
      </c>
      <c r="N24" s="32">
        <f t="shared" ca="1" si="0"/>
        <v>0.1700924974306269</v>
      </c>
      <c r="O24" s="32">
        <f t="shared" ca="1" si="1"/>
        <v>0.10053165780570315</v>
      </c>
    </row>
    <row r="25" spans="1:15" s="19" customFormat="1" ht="18" customHeight="1" x14ac:dyDescent="0.2">
      <c r="A25" s="148"/>
      <c r="B25" s="33" t="s">
        <v>33</v>
      </c>
      <c r="C25" s="25"/>
      <c r="D25" s="26">
        <f ca="1">1.9*OFFSET(D$108,MATCH($M$1,$C$109:$C$110,0),0)</f>
        <v>1.9</v>
      </c>
      <c r="E25" s="26">
        <f ca="1">5.4*OFFSET(E$108,MATCH($M$1,$C$109:$C$110,0),0)</f>
        <v>5.4</v>
      </c>
      <c r="F25" s="26">
        <f ca="1">5.4*OFFSET(F$108,MATCH($M$1,$C$109:$C$110,0),0)</f>
        <v>5.4</v>
      </c>
      <c r="G25" s="26"/>
      <c r="H25" s="26"/>
      <c r="I25" s="26">
        <f ca="1">2.1*OFFSET(I$108,MATCH($M$1,$C$109:$C$110,0),0)</f>
        <v>2.1</v>
      </c>
      <c r="J25" s="26">
        <f ca="1">6*OFFSET(J$108,MATCH($M$1,$C$109:$C$110,0),0)</f>
        <v>6</v>
      </c>
      <c r="K25" s="26">
        <f ca="1">3.5*OFFSET(K$108,MATCH($M$1,$C$109:$C$110,0),0)</f>
        <v>3.5</v>
      </c>
      <c r="L25" s="26">
        <f ca="1">11.3*OFFSET(L$108,MATCH($M$1,$C$109:$C$110,0),0)</f>
        <v>11.3</v>
      </c>
      <c r="M25" s="27">
        <f ca="1">12.5*OFFSET(M$108,MATCH($M$1,$C$109:$C$110,0),0)</f>
        <v>12.5</v>
      </c>
      <c r="N25" s="24">
        <f t="shared" ca="1" si="0"/>
        <v>4.9473684210526319</v>
      </c>
      <c r="O25" s="24" t="str">
        <f t="shared" ca="1" si="1"/>
        <v/>
      </c>
    </row>
    <row r="26" spans="1:15" s="19" customFormat="1" ht="18" customHeight="1" x14ac:dyDescent="0.2">
      <c r="A26" s="148"/>
      <c r="B26" s="45" t="s">
        <v>34</v>
      </c>
      <c r="C26" s="46"/>
      <c r="D26" s="47">
        <f ca="1">196.5*OFFSET(D$108,MATCH($M$1,$C$109:$C$110,0),0)</f>
        <v>196.5</v>
      </c>
      <c r="E26" s="47">
        <f ca="1">290*OFFSET(E$108,MATCH($M$1,$C$109:$C$110,0),0)</f>
        <v>290</v>
      </c>
      <c r="F26" s="47">
        <f ca="1">265.7*OFFSET(F$108,MATCH($M$1,$C$109:$C$110,0),0)</f>
        <v>265.7</v>
      </c>
      <c r="G26" s="47">
        <f ca="1">260.7*OFFSET(G$108,MATCH($M$1,$C$109:$C$110,0),0)</f>
        <v>260.7</v>
      </c>
      <c r="H26" s="47">
        <f ca="1">206.9*OFFSET(H$108,MATCH($M$1,$C$109:$C$110,0),0)</f>
        <v>206.9</v>
      </c>
      <c r="I26" s="47">
        <f ca="1">219.9*OFFSET(I$108,MATCH($M$1,$C$109:$C$110,0),0)</f>
        <v>219.9</v>
      </c>
      <c r="J26" s="47">
        <f ca="1">289.5*OFFSET(J$108,MATCH($M$1,$C$109:$C$110,0),0)</f>
        <v>289.5</v>
      </c>
      <c r="K26" s="47">
        <f ca="1">275.3*OFFSET(K$108,MATCH($M$1,$C$109:$C$110,0),0)</f>
        <v>275.3</v>
      </c>
      <c r="L26" s="47">
        <f ca="1">238.9*OFFSET(L$108,MATCH($M$1,$C$109:$C$110,0),0)</f>
        <v>238.9</v>
      </c>
      <c r="M26" s="48">
        <f ca="1">264.3*OFFSET(M$108,MATCH($M$1,$C$109:$C$110,0),0)</f>
        <v>264.3</v>
      </c>
      <c r="N26" s="49">
        <f t="shared" ca="1" si="0"/>
        <v>0.21577608142493643</v>
      </c>
      <c r="O26" s="49">
        <f t="shared" ca="1" si="1"/>
        <v>0.15466408893185113</v>
      </c>
    </row>
    <row r="27" spans="1:15" s="19" customFormat="1" ht="18" customHeight="1" x14ac:dyDescent="0.2">
      <c r="A27" s="148"/>
      <c r="B27" s="33" t="s">
        <v>35</v>
      </c>
      <c r="C27" s="25"/>
      <c r="D27" s="26">
        <f ca="1">39*OFFSET(D$108,MATCH($M$1,$C$109:$C$110,0),0)</f>
        <v>39</v>
      </c>
      <c r="E27" s="26">
        <f ca="1">49*OFFSET(E$108,MATCH($M$1,$C$109:$C$110,0),0)</f>
        <v>49</v>
      </c>
      <c r="F27" s="26">
        <f ca="1">43*OFFSET(F$108,MATCH($M$1,$C$109:$C$110,0),0)</f>
        <v>43</v>
      </c>
      <c r="G27" s="26">
        <f ca="1">62.2*OFFSET(G$108,MATCH($M$1,$C$109:$C$110,0),0)</f>
        <v>62.2</v>
      </c>
      <c r="H27" s="26">
        <f ca="1">47.8*OFFSET(H$108,MATCH($M$1,$C$109:$C$110,0),0)</f>
        <v>47.8</v>
      </c>
      <c r="I27" s="26">
        <f ca="1">52.9*OFFSET(I$108,MATCH($M$1,$C$109:$C$110,0),0)</f>
        <v>52.9</v>
      </c>
      <c r="J27" s="26">
        <f ca="1">63.5*OFFSET(J$108,MATCH($M$1,$C$109:$C$110,0),0)</f>
        <v>63.5</v>
      </c>
      <c r="K27" s="26">
        <f ca="1">61.3*OFFSET(K$108,MATCH($M$1,$C$109:$C$110,0),0)</f>
        <v>61.3</v>
      </c>
      <c r="L27" s="26">
        <f ca="1">62*OFFSET(L$108,MATCH($M$1,$C$109:$C$110,0),0)</f>
        <v>62</v>
      </c>
      <c r="M27" s="27">
        <f ca="1">58.6*OFFSET(M$108,MATCH($M$1,$C$109:$C$110,0),0)</f>
        <v>58.6</v>
      </c>
      <c r="N27" s="24">
        <f t="shared" ca="1" si="0"/>
        <v>0.58974358974358976</v>
      </c>
      <c r="O27" s="24">
        <f t="shared" ca="1" si="1"/>
        <v>0.29707112970711302</v>
      </c>
    </row>
    <row r="28" spans="1:15" s="19" customFormat="1" ht="18" customHeight="1" x14ac:dyDescent="0.2">
      <c r="A28" s="148"/>
      <c r="B28" s="33" t="s">
        <v>36</v>
      </c>
      <c r="C28" s="25"/>
      <c r="D28" s="26">
        <f ca="1">54.6*OFFSET(D$108,MATCH($M$1,$C$109:$C$110,0),0)</f>
        <v>54.6</v>
      </c>
      <c r="E28" s="26">
        <f ca="1">76.6*OFFSET(E$108,MATCH($M$1,$C$109:$C$110,0),0)</f>
        <v>76.599999999999994</v>
      </c>
      <c r="F28" s="26">
        <f ca="1">86.8*OFFSET(F$108,MATCH($M$1,$C$109:$C$110,0),0)</f>
        <v>86.8</v>
      </c>
      <c r="G28" s="26">
        <f ca="1">56.7*OFFSET(G$108,MATCH($M$1,$C$109:$C$110,0),0)</f>
        <v>56.7</v>
      </c>
      <c r="H28" s="26">
        <f ca="1">42.3*OFFSET(H$108,MATCH($M$1,$C$109:$C$110,0),0)</f>
        <v>42.3</v>
      </c>
      <c r="I28" s="26">
        <f ca="1">39*OFFSET(I$108,MATCH($M$1,$C$109:$C$110,0),0)</f>
        <v>39</v>
      </c>
      <c r="J28" s="26">
        <f ca="1">76.3*OFFSET(J$108,MATCH($M$1,$C$109:$C$110,0),0)</f>
        <v>76.3</v>
      </c>
      <c r="K28" s="26">
        <f ca="1">71.3*OFFSET(K$108,MATCH($M$1,$C$109:$C$110,0),0)</f>
        <v>71.3</v>
      </c>
      <c r="L28" s="26">
        <f ca="1">54.3*OFFSET(L$108,MATCH($M$1,$C$109:$C$110,0),0)</f>
        <v>54.3</v>
      </c>
      <c r="M28" s="27">
        <f ca="1">64.2*OFFSET(M$108,MATCH($M$1,$C$109:$C$110,0),0)</f>
        <v>64.2</v>
      </c>
      <c r="N28" s="24">
        <f t="shared" ca="1" si="0"/>
        <v>-5.4945054945055721E-3</v>
      </c>
      <c r="O28" s="24">
        <f t="shared" ca="1" si="1"/>
        <v>0.28368794326241137</v>
      </c>
    </row>
    <row r="29" spans="1:15" s="19" customFormat="1" ht="18" customHeight="1" x14ac:dyDescent="0.2">
      <c r="A29" s="148"/>
      <c r="B29" s="33" t="s">
        <v>37</v>
      </c>
      <c r="C29" s="25"/>
      <c r="D29" s="26">
        <f ca="1">24.7*OFFSET(D$108,MATCH($M$1,$C$109:$C$110,0),0)</f>
        <v>24.7</v>
      </c>
      <c r="E29" s="26">
        <f ca="1">62.2*OFFSET(E$108,MATCH($M$1,$C$109:$C$110,0),0)</f>
        <v>62.2</v>
      </c>
      <c r="F29" s="26">
        <f ca="1">29.5*OFFSET(F$108,MATCH($M$1,$C$109:$C$110,0),0)</f>
        <v>29.5</v>
      </c>
      <c r="G29" s="26">
        <f ca="1">44.9*OFFSET(G$108,MATCH($M$1,$C$109:$C$110,0),0)</f>
        <v>44.9</v>
      </c>
      <c r="H29" s="26">
        <f ca="1">34.6*OFFSET(H$108,MATCH($M$1,$C$109:$C$110,0),0)</f>
        <v>34.6</v>
      </c>
      <c r="I29" s="26">
        <f ca="1">39.3*OFFSET(I$108,MATCH($M$1,$C$109:$C$110,0),0)</f>
        <v>39.299999999999997</v>
      </c>
      <c r="J29" s="26">
        <f ca="1">40.1*OFFSET(J$108,MATCH($M$1,$C$109:$C$110,0),0)</f>
        <v>40.1</v>
      </c>
      <c r="K29" s="26">
        <f ca="1">40.3*OFFSET(K$108,MATCH($M$1,$C$109:$C$110,0),0)</f>
        <v>40.299999999999997</v>
      </c>
      <c r="L29" s="26">
        <f ca="1">37.1*OFFSET(L$108,MATCH($M$1,$C$109:$C$110,0),0)</f>
        <v>37.1</v>
      </c>
      <c r="M29" s="27">
        <f ca="1">41*OFFSET(M$108,MATCH($M$1,$C$109:$C$110,0),0)</f>
        <v>41</v>
      </c>
      <c r="N29" s="24">
        <f t="shared" ca="1" si="0"/>
        <v>0.50202429149797578</v>
      </c>
      <c r="O29" s="24">
        <f t="shared" ca="1" si="1"/>
        <v>7.2254335260115599E-2</v>
      </c>
    </row>
    <row r="30" spans="1:15" s="19" customFormat="1" ht="18" customHeight="1" x14ac:dyDescent="0.2">
      <c r="A30" s="148"/>
      <c r="B30" s="33" t="s">
        <v>38</v>
      </c>
      <c r="C30" s="25"/>
      <c r="D30" s="26">
        <f ca="1">118.3*OFFSET(D$108,MATCH($M$1,$C$109:$C$110,0),0)</f>
        <v>118.3</v>
      </c>
      <c r="E30" s="26">
        <f ca="1">187.7*OFFSET(E$108,MATCH($M$1,$C$109:$C$110,0),0)</f>
        <v>187.7</v>
      </c>
      <c r="F30" s="26">
        <f ca="1">159.4*OFFSET(F$108,MATCH($M$1,$C$109:$C$110,0),0)</f>
        <v>159.4</v>
      </c>
      <c r="G30" s="26">
        <f ca="1">163.8*OFFSET(G$108,MATCH($M$1,$C$109:$C$110,0),0)</f>
        <v>163.80000000000001</v>
      </c>
      <c r="H30" s="26">
        <f ca="1">124.7*OFFSET(H$108,MATCH($M$1,$C$109:$C$110,0),0)</f>
        <v>124.7</v>
      </c>
      <c r="I30" s="26">
        <f ca="1">131.1*OFFSET(I$108,MATCH($M$1,$C$109:$C$110,0),0)</f>
        <v>131.1</v>
      </c>
      <c r="J30" s="26">
        <f ca="1">179.9*OFFSET(J$108,MATCH($M$1,$C$109:$C$110,0),0)</f>
        <v>179.9</v>
      </c>
      <c r="K30" s="26">
        <f ca="1">173*OFFSET(K$108,MATCH($M$1,$C$109:$C$110,0),0)</f>
        <v>173</v>
      </c>
      <c r="L30" s="26">
        <f ca="1">153.4*OFFSET(L$108,MATCH($M$1,$C$109:$C$110,0),0)</f>
        <v>153.4</v>
      </c>
      <c r="M30" s="27">
        <f ca="1">163.9*OFFSET(M$108,MATCH($M$1,$C$109:$C$110,0),0)</f>
        <v>163.9</v>
      </c>
      <c r="N30" s="24">
        <f t="shared" ca="1" si="0"/>
        <v>0.29670329670329676</v>
      </c>
      <c r="O30" s="24">
        <f t="shared" ca="1" si="1"/>
        <v>0.23015236567762631</v>
      </c>
    </row>
    <row r="31" spans="1:15" s="19" customFormat="1" ht="18" customHeight="1" x14ac:dyDescent="0.2">
      <c r="A31" s="148"/>
      <c r="B31" s="33" t="s">
        <v>39</v>
      </c>
      <c r="C31" s="25"/>
      <c r="D31" s="26">
        <f ca="1">42.8*OFFSET(D$108,MATCH($M$1,$C$109:$C$110,0),0)</f>
        <v>42.8</v>
      </c>
      <c r="E31" s="26">
        <f ca="1">62.6*OFFSET(E$108,MATCH($M$1,$C$109:$C$110,0),0)</f>
        <v>62.6</v>
      </c>
      <c r="F31" s="26">
        <f ca="1">51.9*OFFSET(F$108,MATCH($M$1,$C$109:$C$110,0),0)</f>
        <v>51.9</v>
      </c>
      <c r="G31" s="26">
        <f ca="1">37.9*OFFSET(G$108,MATCH($M$1,$C$109:$C$110,0),0)</f>
        <v>37.9</v>
      </c>
      <c r="H31" s="26">
        <f ca="1">42.2*OFFSET(H$108,MATCH($M$1,$C$109:$C$110,0),0)</f>
        <v>42.2</v>
      </c>
      <c r="I31" s="26">
        <f ca="1">54*OFFSET(I$108,MATCH($M$1,$C$109:$C$110,0),0)</f>
        <v>54</v>
      </c>
      <c r="J31" s="26">
        <f ca="1">57*OFFSET(J$108,MATCH($M$1,$C$109:$C$110,0),0)</f>
        <v>57</v>
      </c>
      <c r="K31" s="26">
        <f ca="1">32.4*OFFSET(K$108,MATCH($M$1,$C$109:$C$110,0),0)</f>
        <v>32.4</v>
      </c>
      <c r="L31" s="26">
        <f ca="1">38.9*OFFSET(L$108,MATCH($M$1,$C$109:$C$110,0),0)</f>
        <v>38.9</v>
      </c>
      <c r="M31" s="27">
        <f ca="1">43.1*OFFSET(M$108,MATCH($M$1,$C$109:$C$110,0),0)</f>
        <v>43.1</v>
      </c>
      <c r="N31" s="24">
        <f t="shared" ca="1" si="0"/>
        <v>-9.1121495327102772E-2</v>
      </c>
      <c r="O31" s="24">
        <f t="shared" ca="1" si="1"/>
        <v>-7.8199052132701521E-2</v>
      </c>
    </row>
    <row r="32" spans="1:15" s="19" customFormat="1" ht="18" customHeight="1" x14ac:dyDescent="0.2">
      <c r="A32" s="148"/>
      <c r="B32" s="33" t="s">
        <v>40</v>
      </c>
      <c r="C32" s="25"/>
      <c r="D32" s="26">
        <f ca="1">161.1*OFFSET(D$108,MATCH($M$1,$C$109:$C$110,0),0)</f>
        <v>161.1</v>
      </c>
      <c r="E32" s="26">
        <f ca="1">250.3*OFFSET(E$108,MATCH($M$1,$C$109:$C$110,0),0)</f>
        <v>250.3</v>
      </c>
      <c r="F32" s="26">
        <f ca="1">211.2*OFFSET(F$108,MATCH($M$1,$C$109:$C$110,0),0)</f>
        <v>211.2</v>
      </c>
      <c r="G32" s="26">
        <f ca="1">201.7*OFFSET(G$108,MATCH($M$1,$C$109:$C$110,0),0)</f>
        <v>201.7</v>
      </c>
      <c r="H32" s="26">
        <f ca="1">166.8*OFFSET(H$108,MATCH($M$1,$C$109:$C$110,0),0)</f>
        <v>166.8</v>
      </c>
      <c r="I32" s="26">
        <f ca="1">185.1*OFFSET(I$108,MATCH($M$1,$C$109:$C$110,0),0)</f>
        <v>185.1</v>
      </c>
      <c r="J32" s="26">
        <f ca="1">236.9*OFFSET(J$108,MATCH($M$1,$C$109:$C$110,0),0)</f>
        <v>236.9</v>
      </c>
      <c r="K32" s="26">
        <f ca="1">205.3*OFFSET(K$108,MATCH($M$1,$C$109:$C$110,0),0)</f>
        <v>205.3</v>
      </c>
      <c r="L32" s="26">
        <f ca="1">192.3*OFFSET(L$108,MATCH($M$1,$C$109:$C$110,0),0)</f>
        <v>192.3</v>
      </c>
      <c r="M32" s="27">
        <f ca="1">207*OFFSET(M$108,MATCH($M$1,$C$109:$C$110,0),0)</f>
        <v>207</v>
      </c>
      <c r="N32" s="24">
        <f t="shared" ca="1" si="0"/>
        <v>0.19366852886405969</v>
      </c>
      <c r="O32" s="24">
        <f t="shared" ca="1" si="1"/>
        <v>0.15287769784172661</v>
      </c>
    </row>
    <row r="33" spans="1:15" s="19" customFormat="1" ht="18" customHeight="1" x14ac:dyDescent="0.2">
      <c r="A33" s="148"/>
      <c r="B33" s="45" t="s">
        <v>41</v>
      </c>
      <c r="C33" s="46"/>
      <c r="D33" s="47">
        <f ca="1">90*OFFSET(D$108,MATCH($M$1,$C$109:$C$110,0),0)</f>
        <v>90</v>
      </c>
      <c r="E33" s="47">
        <f ca="1">116.2*OFFSET(E$108,MATCH($M$1,$C$109:$C$110,0),0)</f>
        <v>116.2</v>
      </c>
      <c r="F33" s="47">
        <f ca="1">141.3*OFFSET(F$108,MATCH($M$1,$C$109:$C$110,0),0)</f>
        <v>141.30000000000001</v>
      </c>
      <c r="G33" s="47">
        <f ca="1">115.7*OFFSET(G$108,MATCH($M$1,$C$109:$C$110,0),0)</f>
        <v>115.7</v>
      </c>
      <c r="H33" s="47">
        <f ca="1">82.4*OFFSET(H$108,MATCH($M$1,$C$109:$C$110,0),0)</f>
        <v>82.4</v>
      </c>
      <c r="I33" s="47">
        <f ca="1">73.8*OFFSET(I$108,MATCH($M$1,$C$109:$C$110,0),0)</f>
        <v>73.8</v>
      </c>
      <c r="J33" s="47">
        <f ca="1">128.8*OFFSET(J$108,MATCH($M$1,$C$109:$C$110,0),0)</f>
        <v>128.80000000000001</v>
      </c>
      <c r="K33" s="47">
        <f ca="1">141.2*OFFSET(K$108,MATCH($M$1,$C$109:$C$110,0),0)</f>
        <v>141.19999999999999</v>
      </c>
      <c r="L33" s="47">
        <f ca="1">100.9*OFFSET(L$108,MATCH($M$1,$C$109:$C$110,0),0)</f>
        <v>100.9</v>
      </c>
      <c r="M33" s="48">
        <f ca="1">121.5*OFFSET(M$108,MATCH($M$1,$C$109:$C$110,0),0)</f>
        <v>121.5</v>
      </c>
      <c r="N33" s="49">
        <f t="shared" ca="1" si="0"/>
        <v>0.12111111111111117</v>
      </c>
      <c r="O33" s="49">
        <f t="shared" ca="1" si="1"/>
        <v>0.2245145631067961</v>
      </c>
    </row>
    <row r="34" spans="1:15" s="19" customFormat="1" ht="18" customHeight="1" x14ac:dyDescent="0.2">
      <c r="A34" s="148"/>
      <c r="B34" s="45" t="s">
        <v>42</v>
      </c>
      <c r="C34" s="46"/>
      <c r="D34" s="47">
        <f ca="1">35.4*OFFSET(D$108,MATCH($M$1,$C$109:$C$110,0),0)</f>
        <v>35.4</v>
      </c>
      <c r="E34" s="47">
        <f ca="1">39.6*OFFSET(E$108,MATCH($M$1,$C$109:$C$110,0),0)</f>
        <v>39.6</v>
      </c>
      <c r="F34" s="47">
        <f ca="1">54.5*OFFSET(F$108,MATCH($M$1,$C$109:$C$110,0),0)</f>
        <v>54.5</v>
      </c>
      <c r="G34" s="47">
        <f ca="1">59*OFFSET(G$108,MATCH($M$1,$C$109:$C$110,0),0)</f>
        <v>59</v>
      </c>
      <c r="H34" s="47">
        <f ca="1">40.1*OFFSET(H$108,MATCH($M$1,$C$109:$C$110,0),0)</f>
        <v>40.1</v>
      </c>
      <c r="I34" s="47">
        <f ca="1">34.8*OFFSET(I$108,MATCH($M$1,$C$109:$C$110,0),0)</f>
        <v>34.799999999999997</v>
      </c>
      <c r="J34" s="47">
        <f ca="1">52.5*OFFSET(J$108,MATCH($M$1,$C$109:$C$110,0),0)</f>
        <v>52.5</v>
      </c>
      <c r="K34" s="47">
        <f ca="1">69.9*OFFSET(K$108,MATCH($M$1,$C$109:$C$110,0),0)</f>
        <v>69.900000000000006</v>
      </c>
      <c r="L34" s="47">
        <f ca="1">46.6*OFFSET(L$108,MATCH($M$1,$C$109:$C$110,0),0)</f>
        <v>46.6</v>
      </c>
      <c r="M34" s="48">
        <f ca="1">57.3*OFFSET(M$108,MATCH($M$1,$C$109:$C$110,0),0)</f>
        <v>57.3</v>
      </c>
      <c r="N34" s="49">
        <f t="shared" ca="1" si="0"/>
        <v>0.31638418079096053</v>
      </c>
      <c r="O34" s="49">
        <f t="shared" ca="1" si="1"/>
        <v>0.16209476309226933</v>
      </c>
    </row>
    <row r="35" spans="1:15" s="19" customFormat="1" ht="18" customHeight="1" x14ac:dyDescent="0.2">
      <c r="A35" s="148"/>
      <c r="B35" s="33" t="s">
        <v>43</v>
      </c>
      <c r="C35" s="25"/>
      <c r="D35" s="26">
        <f ca="1">6.4*OFFSET(D$108,MATCH($M$1,$C$109:$C$110,0),0)</f>
        <v>6.4</v>
      </c>
      <c r="E35" s="26">
        <f ca="1">8.9*OFFSET(E$108,MATCH($M$1,$C$109:$C$110,0),0)</f>
        <v>8.9</v>
      </c>
      <c r="F35" s="26">
        <f ca="1">5.9*OFFSET(F$108,MATCH($M$1,$C$109:$C$110,0),0)</f>
        <v>5.9</v>
      </c>
      <c r="G35" s="26">
        <f ca="1">4.9*OFFSET(G$108,MATCH($M$1,$C$109:$C$110,0),0)</f>
        <v>4.9000000000000004</v>
      </c>
      <c r="H35" s="26">
        <f ca="1">2.8*OFFSET(H$108,MATCH($M$1,$C$109:$C$110,0),0)</f>
        <v>2.8</v>
      </c>
      <c r="I35" s="26">
        <f ca="1">6.7*OFFSET(I$108,MATCH($M$1,$C$109:$C$110,0),0)</f>
        <v>6.7</v>
      </c>
      <c r="J35" s="26">
        <f ca="1">7.8*OFFSET(J$108,MATCH($M$1,$C$109:$C$110,0),0)</f>
        <v>7.8</v>
      </c>
      <c r="K35" s="26">
        <f ca="1">5.6*OFFSET(K$108,MATCH($M$1,$C$109:$C$110,0),0)</f>
        <v>5.6</v>
      </c>
      <c r="L35" s="26">
        <f ca="1">25.9*OFFSET(L$108,MATCH($M$1,$C$109:$C$110,0),0)</f>
        <v>25.9</v>
      </c>
      <c r="M35" s="27"/>
      <c r="N35" s="24">
        <f t="shared" ca="1" si="0"/>
        <v>3.046875</v>
      </c>
      <c r="O35" s="24">
        <f t="shared" ca="1" si="1"/>
        <v>8.25</v>
      </c>
    </row>
    <row r="36" spans="1:15" s="19" customFormat="1" ht="18" customHeight="1" x14ac:dyDescent="0.2">
      <c r="A36" s="148"/>
      <c r="B36" s="33" t="s">
        <v>44</v>
      </c>
      <c r="C36" s="25"/>
      <c r="D36" s="26">
        <f ca="1">4.9*OFFSET(D$108,MATCH($M$1,$C$109:$C$110,0),0)</f>
        <v>4.9000000000000004</v>
      </c>
      <c r="E36" s="26">
        <f ca="1">7.6*OFFSET(E$108,MATCH($M$1,$C$109:$C$110,0),0)</f>
        <v>7.6</v>
      </c>
      <c r="F36" s="26">
        <f ca="1">9.5*OFFSET(F$108,MATCH($M$1,$C$109:$C$110,0),0)</f>
        <v>9.5</v>
      </c>
      <c r="G36" s="26">
        <f ca="1">4*OFFSET(G$108,MATCH($M$1,$C$109:$C$110,0),0)</f>
        <v>4</v>
      </c>
      <c r="H36" s="26">
        <f ca="1">0.6*OFFSET(H$108,MATCH($M$1,$C$109:$C$110,0),0)</f>
        <v>0.6</v>
      </c>
      <c r="I36" s="26">
        <f ca="1">2.5*OFFSET(I$108,MATCH($M$1,$C$109:$C$110,0),0)</f>
        <v>2.5</v>
      </c>
      <c r="J36" s="26">
        <f ca="1">2.2*OFFSET(J$108,MATCH($M$1,$C$109:$C$110,0),0)</f>
        <v>2.2000000000000002</v>
      </c>
      <c r="K36" s="26">
        <f ca="1">0.7*OFFSET(K$108,MATCH($M$1,$C$109:$C$110,0),0)</f>
        <v>0.7</v>
      </c>
      <c r="L36" s="26">
        <f ca="1">4.1*OFFSET(L$108,MATCH($M$1,$C$109:$C$110,0),0)</f>
        <v>4.0999999999999996</v>
      </c>
      <c r="M36" s="27"/>
      <c r="N36" s="24">
        <f t="shared" ca="1" si="0"/>
        <v>-0.16326530612244911</v>
      </c>
      <c r="O36" s="24">
        <f t="shared" ca="1" si="1"/>
        <v>5.833333333333333</v>
      </c>
    </row>
    <row r="37" spans="1:15" s="19" customFormat="1" ht="18" customHeight="1" x14ac:dyDescent="0.2">
      <c r="A37" s="148"/>
      <c r="B37" s="33" t="s">
        <v>45</v>
      </c>
      <c r="C37" s="25"/>
      <c r="D37" s="26"/>
      <c r="E37" s="26"/>
      <c r="F37" s="26"/>
      <c r="G37" s="26"/>
      <c r="H37" s="26">
        <f ca="1">3.9*OFFSET(H$108,MATCH($M$1,$C$109:$C$110,0),0)</f>
        <v>3.9</v>
      </c>
      <c r="I37" s="26"/>
      <c r="J37" s="26">
        <f ca="1">4.1*OFFSET(J$108,MATCH($M$1,$C$109:$C$110,0),0)</f>
        <v>4.0999999999999996</v>
      </c>
      <c r="K37" s="26">
        <f ca="1">0.6*OFFSET(K$108,MATCH($M$1,$C$109:$C$110,0),0)</f>
        <v>0.6</v>
      </c>
      <c r="L37" s="26">
        <f ca="1">5.6*OFFSET(L$108,MATCH($M$1,$C$109:$C$110,0),0)</f>
        <v>5.6</v>
      </c>
      <c r="M37" s="27"/>
      <c r="N37" s="24" t="str">
        <f t="shared" ca="1" si="0"/>
        <v/>
      </c>
      <c r="O37" s="24">
        <f t="shared" ca="1" si="1"/>
        <v>0.43589743589743585</v>
      </c>
    </row>
    <row r="38" spans="1:15" s="19" customFormat="1" ht="18" customHeight="1" thickBot="1" x14ac:dyDescent="0.25">
      <c r="A38" s="149"/>
      <c r="B38" s="50" t="s">
        <v>46</v>
      </c>
      <c r="C38" s="51"/>
      <c r="D38" s="52">
        <f ca="1">24*OFFSET(D$108,MATCH($M$1,$C$109:$C$110,0),0)</f>
        <v>24</v>
      </c>
      <c r="E38" s="52">
        <f ca="1">23.1*OFFSET(E$108,MATCH($M$1,$C$109:$C$110,0),0)</f>
        <v>23.1</v>
      </c>
      <c r="F38" s="52">
        <f ca="1">39.1*OFFSET(F$108,MATCH($M$1,$C$109:$C$110,0),0)</f>
        <v>39.1</v>
      </c>
      <c r="G38" s="52">
        <f ca="1">50.1*OFFSET(G$108,MATCH($M$1,$C$109:$C$110,0),0)</f>
        <v>50.1</v>
      </c>
      <c r="H38" s="52">
        <f ca="1">32.7*OFFSET(H$108,MATCH($M$1,$C$109:$C$110,0),0)</f>
        <v>32.700000000000003</v>
      </c>
      <c r="I38" s="52">
        <f ca="1">25.6*OFFSET(I$108,MATCH($M$1,$C$109:$C$110,0),0)</f>
        <v>25.6</v>
      </c>
      <c r="J38" s="52">
        <f ca="1">38.5*OFFSET(J$108,MATCH($M$1,$C$109:$C$110,0),0)</f>
        <v>38.5</v>
      </c>
      <c r="K38" s="52">
        <f ca="1">63*OFFSET(K$108,MATCH($M$1,$C$109:$C$110,0),0)</f>
        <v>63</v>
      </c>
      <c r="L38" s="52">
        <f ca="1">11*OFFSET(L$108,MATCH($M$1,$C$109:$C$110,0),0)</f>
        <v>11</v>
      </c>
      <c r="M38" s="53"/>
      <c r="N38" s="54">
        <f t="shared" ca="1" si="0"/>
        <v>-0.54166666666666663</v>
      </c>
      <c r="O38" s="54">
        <f t="shared" ca="1" si="1"/>
        <v>-0.66360856269113155</v>
      </c>
    </row>
    <row r="39" spans="1:15" s="59" customFormat="1" x14ac:dyDescent="0.2">
      <c r="A39" s="57" t="s">
        <v>12</v>
      </c>
      <c r="B39" s="57" t="str">
        <f ca="1">"All values are "&amp;OFFSET($A$108,MATCH($M$1,$C$109:$C$110,0),0)&amp;". 2014 fishing income based on provisionnal data from MMO. 2014 costs and profits are projections."</f>
        <v>All values are adjusted to 2014 prices.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Area VIIA nephrops over 250kW</v>
      </c>
      <c r="C45" s="61"/>
      <c r="D45" s="61"/>
      <c r="E45" s="61"/>
      <c r="F45" s="61" t="str">
        <f>$B21&amp;CHAR(10)&amp;$A$1</f>
        <v>Income per kW day at sea (£)
Area VIIA nephrops over 250kW</v>
      </c>
      <c r="G45" s="61"/>
      <c r="K45" s="61" t="str">
        <f>$B23&amp;CHAR(10)&amp;$A$1</f>
        <v>Operating profit per kW day at sea (£)
Area VIIA nephrops over 250kW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Area VIIA nephrops over 250kW</v>
      </c>
      <c r="F59" s="61" t="str">
        <f>$B19&amp;CHAR(10)&amp;$A$1</f>
        <v>Average price per tonne landed (£)
Area VIIA nephrops over 250kW</v>
      </c>
      <c r="K59" s="61" t="str">
        <f>"Average annual operating profit per vessel (£'000)"&amp;CHAR(10)&amp;$A$1</f>
        <v>Average annual operating profit per vessel (£'000)
Area VIIA nephrops over 250kW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Area VIIA nephrops over 250kW</v>
      </c>
      <c r="F73" s="61" t="str">
        <f>"Top 5 landed species by value in "&amp;A74&amp;CHAR(10)&amp;A1</f>
        <v>Top 5 landed species by value in 2013
Area VIIA nephrops over 250kW</v>
      </c>
    </row>
    <row r="74" spans="1:9" s="61" customFormat="1" x14ac:dyDescent="0.2">
      <c r="A74" s="61">
        <v>2013</v>
      </c>
      <c r="B74" s="61" t="s">
        <v>70</v>
      </c>
      <c r="C74" s="62">
        <v>0.75667860037670731</v>
      </c>
      <c r="D74" s="63">
        <v>8211234</v>
      </c>
      <c r="G74" s="61" t="s">
        <v>71</v>
      </c>
      <c r="H74" s="62">
        <v>0.84232783644078868</v>
      </c>
      <c r="I74" s="63">
        <v>8211234</v>
      </c>
    </row>
    <row r="75" spans="1:9" s="61" customFormat="1" x14ac:dyDescent="0.2">
      <c r="B75" s="61" t="s">
        <v>72</v>
      </c>
      <c r="C75" s="62">
        <v>4.1444932706920005E-2</v>
      </c>
      <c r="D75" s="63">
        <v>2764187</v>
      </c>
      <c r="G75" s="61" t="s">
        <v>73</v>
      </c>
      <c r="H75" s="62">
        <v>2.7521627471795096E-2</v>
      </c>
      <c r="I75" s="63">
        <v>2171775</v>
      </c>
    </row>
    <row r="76" spans="1:9" s="61" customFormat="1" x14ac:dyDescent="0.2">
      <c r="B76" s="61" t="s">
        <v>74</v>
      </c>
      <c r="C76" s="62">
        <v>3.6712836126704028E-2</v>
      </c>
      <c r="D76" s="63">
        <v>6763595</v>
      </c>
      <c r="G76" s="61" t="s">
        <v>75</v>
      </c>
      <c r="H76" s="62">
        <v>2.5336597456421393E-2</v>
      </c>
      <c r="I76" s="63">
        <v>2783840</v>
      </c>
    </row>
    <row r="77" spans="1:9" s="61" customFormat="1" x14ac:dyDescent="0.2">
      <c r="B77" s="61" t="s">
        <v>76</v>
      </c>
      <c r="C77" s="62">
        <v>3.5049107163593628E-2</v>
      </c>
      <c r="D77" s="63">
        <v>3511670</v>
      </c>
      <c r="G77" s="61" t="s">
        <v>77</v>
      </c>
      <c r="H77" s="62">
        <v>1.4932312140121662E-2</v>
      </c>
      <c r="I77" s="63">
        <v>6763595</v>
      </c>
    </row>
    <row r="78" spans="1:9" s="61" customFormat="1" x14ac:dyDescent="0.2">
      <c r="B78" s="61" t="s">
        <v>78</v>
      </c>
      <c r="C78" s="62">
        <v>2.3323879603458646E-2</v>
      </c>
      <c r="D78" s="63">
        <v>2171775</v>
      </c>
      <c r="G78" s="61" t="s">
        <v>79</v>
      </c>
      <c r="H78" s="62">
        <v>1.1761999894535208E-2</v>
      </c>
      <c r="I78" s="63">
        <v>2764187</v>
      </c>
    </row>
    <row r="79" spans="1:9" s="61" customFormat="1" x14ac:dyDescent="0.2">
      <c r="B79" s="61" t="s">
        <v>80</v>
      </c>
      <c r="C79" s="62">
        <v>0.1067906440226164</v>
      </c>
      <c r="D79" s="63">
        <v>32768</v>
      </c>
      <c r="G79" s="61" t="s">
        <v>81</v>
      </c>
      <c r="H79" s="62">
        <v>7.8119626596337977E-2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adjusted to 2014 prices.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60</v>
      </c>
      <c r="D88" s="66">
        <v>0.75348985341266661</v>
      </c>
      <c r="E88" s="66">
        <v>0.79402600969765058</v>
      </c>
      <c r="F88" s="66">
        <v>0.82949805553066425</v>
      </c>
      <c r="G88" s="66">
        <v>0.87716895777819814</v>
      </c>
      <c r="H88" s="66">
        <v>0.87667529641914166</v>
      </c>
      <c r="I88" s="66">
        <v>0.87411106008202866</v>
      </c>
      <c r="J88" s="66">
        <v>0.87392978132073817</v>
      </c>
      <c r="K88" s="66">
        <v>0.89930245506556816</v>
      </c>
      <c r="L88" s="66">
        <v>0.85669469595525238</v>
      </c>
      <c r="M88" s="66">
        <v>0.89550721871990802</v>
      </c>
      <c r="N88" s="61"/>
      <c r="O88" s="61">
        <v>8211234</v>
      </c>
    </row>
    <row r="89" spans="1:15" s="65" customFormat="1" hidden="1" x14ac:dyDescent="0.2">
      <c r="A89" s="61"/>
      <c r="B89" s="61">
        <v>2</v>
      </c>
      <c r="C89" s="61" t="s">
        <v>82</v>
      </c>
      <c r="D89" s="66">
        <v>2.9720835977588924E-2</v>
      </c>
      <c r="E89" s="66">
        <v>2.0217141986199592E-2</v>
      </c>
      <c r="F89" s="66">
        <v>2.1343450227377953E-2</v>
      </c>
      <c r="G89" s="66">
        <v>2.0622087137559073E-2</v>
      </c>
      <c r="H89" s="66">
        <v>2.862775754632562E-2</v>
      </c>
      <c r="I89" s="66">
        <v>2.4674861913126251E-2</v>
      </c>
      <c r="J89" s="66">
        <v>2.1824132965860048E-2</v>
      </c>
      <c r="K89" s="66">
        <v>2.0945217005298365E-2</v>
      </c>
      <c r="L89" s="66">
        <v>2.7991040137969617E-2</v>
      </c>
      <c r="M89" s="66">
        <v>2.7158411413421867E-2</v>
      </c>
      <c r="N89" s="61"/>
      <c r="O89" s="61">
        <v>2171775</v>
      </c>
    </row>
    <row r="90" spans="1:15" s="65" customFormat="1" hidden="1" x14ac:dyDescent="0.2">
      <c r="A90" s="61"/>
      <c r="B90" s="61">
        <v>3</v>
      </c>
      <c r="C90" s="61" t="s">
        <v>65</v>
      </c>
      <c r="D90" s="66">
        <v>6.3097704029678583E-2</v>
      </c>
      <c r="E90" s="66">
        <v>3.8192425303469155E-2</v>
      </c>
      <c r="F90" s="66">
        <v>4.1645307703514302E-2</v>
      </c>
      <c r="G90" s="66">
        <v>3.0500745608521326E-2</v>
      </c>
      <c r="H90" s="66">
        <v>2.1762131719066248E-2</v>
      </c>
      <c r="I90" s="66">
        <v>2.387943399799318E-2</v>
      </c>
      <c r="J90" s="66">
        <v>1.3737831099790139E-2</v>
      </c>
      <c r="K90" s="66">
        <v>1.8390466496054331E-2</v>
      </c>
      <c r="L90" s="66">
        <v>2.576874194991103E-2</v>
      </c>
      <c r="M90" s="66">
        <v>1.7404112937073096E-2</v>
      </c>
      <c r="N90" s="61"/>
      <c r="O90" s="61">
        <v>2783840</v>
      </c>
    </row>
    <row r="91" spans="1:15" s="65" customFormat="1" hidden="1" x14ac:dyDescent="0.2">
      <c r="A91" s="61"/>
      <c r="B91" s="61">
        <v>4</v>
      </c>
      <c r="C91" s="61" t="s">
        <v>64</v>
      </c>
      <c r="D91" s="66"/>
      <c r="E91" s="66"/>
      <c r="F91" s="66">
        <v>1.6748148875666946E-2</v>
      </c>
      <c r="G91" s="66">
        <v>1.1700626414318807E-2</v>
      </c>
      <c r="H91" s="66">
        <v>8.6754395995186466E-3</v>
      </c>
      <c r="I91" s="66">
        <v>1.1375128419160139E-2</v>
      </c>
      <c r="J91" s="66">
        <v>1.3592290924372348E-2</v>
      </c>
      <c r="K91" s="66">
        <v>5.4851038214959631E-3</v>
      </c>
      <c r="L91" s="66">
        <v>1.5186999711233802E-2</v>
      </c>
      <c r="M91" s="66">
        <v>1.2869886500566332E-2</v>
      </c>
      <c r="N91" s="61"/>
      <c r="O91" s="61">
        <v>6763595</v>
      </c>
    </row>
    <row r="92" spans="1:15" s="65" customFormat="1" hidden="1" x14ac:dyDescent="0.2">
      <c r="A92" s="61"/>
      <c r="B92" s="61">
        <v>5</v>
      </c>
      <c r="C92" s="61" t="s">
        <v>62</v>
      </c>
      <c r="D92" s="66"/>
      <c r="E92" s="66"/>
      <c r="F92" s="66"/>
      <c r="G92" s="66"/>
      <c r="H92" s="66"/>
      <c r="I92" s="66">
        <v>7.5837550714685275E-3</v>
      </c>
      <c r="J92" s="66">
        <v>2.2649678117120507E-2</v>
      </c>
      <c r="K92" s="66">
        <v>1.868423190314631E-2</v>
      </c>
      <c r="L92" s="66">
        <v>1.1962614183631903E-2</v>
      </c>
      <c r="M92" s="66"/>
      <c r="N92" s="61"/>
      <c r="O92" s="61">
        <v>2764187</v>
      </c>
    </row>
    <row r="93" spans="1:15" s="65" customFormat="1" hidden="1" x14ac:dyDescent="0.2">
      <c r="A93" s="61"/>
      <c r="B93" s="61">
        <v>6</v>
      </c>
      <c r="C93" s="61" t="s">
        <v>63</v>
      </c>
      <c r="D93" s="66"/>
      <c r="E93" s="66"/>
      <c r="F93" s="66"/>
      <c r="G93" s="66"/>
      <c r="H93" s="66"/>
      <c r="I93" s="66"/>
      <c r="J93" s="66"/>
      <c r="K93" s="66"/>
      <c r="L93" s="66"/>
      <c r="M93" s="66">
        <v>7.5085548096198874E-3</v>
      </c>
      <c r="N93" s="61"/>
      <c r="O93" s="61">
        <v>3511670</v>
      </c>
    </row>
    <row r="94" spans="1:15" s="65" customFormat="1" hidden="1" x14ac:dyDescent="0.2">
      <c r="A94" s="61"/>
      <c r="B94" s="61">
        <v>7</v>
      </c>
      <c r="C94" s="61" t="s">
        <v>83</v>
      </c>
      <c r="D94" s="66"/>
      <c r="E94" s="66"/>
      <c r="F94" s="66"/>
      <c r="G94" s="66"/>
      <c r="H94" s="66">
        <v>7.3325169833745986E-3</v>
      </c>
      <c r="I94" s="66"/>
      <c r="J94" s="66"/>
      <c r="K94" s="66"/>
      <c r="L94" s="66"/>
      <c r="M94" s="66"/>
      <c r="N94" s="61"/>
      <c r="O94" s="61">
        <v>1464488</v>
      </c>
    </row>
    <row r="95" spans="1:15" s="65" customFormat="1" hidden="1" x14ac:dyDescent="0.2">
      <c r="A95" s="61"/>
      <c r="B95" s="61">
        <v>8</v>
      </c>
      <c r="C95" s="61" t="s">
        <v>84</v>
      </c>
      <c r="D95" s="66"/>
      <c r="E95" s="66"/>
      <c r="F95" s="66"/>
      <c r="G95" s="66">
        <v>8.5671065404811717E-3</v>
      </c>
      <c r="H95" s="66"/>
      <c r="I95" s="66"/>
      <c r="J95" s="66"/>
      <c r="K95" s="66"/>
      <c r="L95" s="66"/>
      <c r="M95" s="66"/>
      <c r="N95" s="61"/>
      <c r="O95" s="61">
        <v>8274269</v>
      </c>
    </row>
    <row r="96" spans="1:15" s="65" customFormat="1" hidden="1" x14ac:dyDescent="0.2">
      <c r="A96" s="61"/>
      <c r="B96" s="61">
        <v>9</v>
      </c>
      <c r="C96" s="61" t="s">
        <v>66</v>
      </c>
      <c r="D96" s="66">
        <v>1.6447765127661034E-2</v>
      </c>
      <c r="E96" s="66">
        <v>1.1866488611941794E-2</v>
      </c>
      <c r="F96" s="66">
        <v>1.6358533085677938E-2</v>
      </c>
      <c r="G96" s="66"/>
      <c r="H96" s="66"/>
      <c r="I96" s="66"/>
      <c r="J96" s="66"/>
      <c r="K96" s="66"/>
      <c r="L96" s="66"/>
      <c r="M96" s="66"/>
      <c r="N96" s="61"/>
      <c r="O96" s="61">
        <v>10520359</v>
      </c>
    </row>
    <row r="97" spans="1:15" s="65" customFormat="1" hidden="1" x14ac:dyDescent="0.2">
      <c r="A97" s="61"/>
      <c r="B97" s="61">
        <v>10</v>
      </c>
      <c r="C97" s="61" t="s">
        <v>85</v>
      </c>
      <c r="D97" s="66">
        <v>1.7127003347891516E-2</v>
      </c>
      <c r="E97" s="66">
        <v>1.2631951936746277E-2</v>
      </c>
      <c r="F97" s="66"/>
      <c r="G97" s="66"/>
      <c r="H97" s="66"/>
      <c r="I97" s="66"/>
      <c r="J97" s="66"/>
      <c r="K97" s="66"/>
      <c r="L97" s="66"/>
      <c r="M97" s="66"/>
      <c r="N97" s="61"/>
      <c r="O97" s="61">
        <v>1928395</v>
      </c>
    </row>
    <row r="98" spans="1:15" s="65" customFormat="1" hidden="1" x14ac:dyDescent="0.2">
      <c r="A98" s="61"/>
      <c r="B98" s="61">
        <v>11</v>
      </c>
      <c r="C98" s="61" t="s">
        <v>68</v>
      </c>
      <c r="D98" s="66">
        <v>0.12011683810451337</v>
      </c>
      <c r="E98" s="66">
        <v>0.12306598246399261</v>
      </c>
      <c r="F98" s="66">
        <v>7.4406504577098603E-2</v>
      </c>
      <c r="G98" s="66">
        <v>5.1440476520921492E-2</v>
      </c>
      <c r="H98" s="66">
        <v>5.6926857732573277E-2</v>
      </c>
      <c r="I98" s="66">
        <v>5.8375760516223257E-2</v>
      </c>
      <c r="J98" s="66">
        <v>5.426628557211878E-2</v>
      </c>
      <c r="K98" s="66">
        <v>3.7192525708436903E-2</v>
      </c>
      <c r="L98" s="66">
        <v>6.2395908062001237E-2</v>
      </c>
      <c r="M98" s="66">
        <v>3.9551815619410749E-2</v>
      </c>
      <c r="N98" s="61"/>
      <c r="O98" s="61">
        <v>32768</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12</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'Area VIIa nephrops o250kW'!D3:L3</xm:f>
              <xm:sqref>C3</xm:sqref>
            </x14:sparkline>
            <x14:sparkline>
              <xm:f>'Area VIIa nephrops o250kW'!D4:L4</xm:f>
              <xm:sqref>C4</xm:sqref>
            </x14:sparkline>
            <x14:sparkline>
              <xm:f>'Area VIIa nephrops o250kW'!D5:L5</xm:f>
              <xm:sqref>C5</xm:sqref>
            </x14:sparkline>
            <x14:sparkline>
              <xm:f>'Area VIIa nephrops o250kW'!D6:L6</xm:f>
              <xm:sqref>C6</xm:sqref>
            </x14:sparkline>
            <x14:sparkline>
              <xm:f>'Area VIIa nephrops o250kW'!D7:L7</xm:f>
              <xm:sqref>C7</xm:sqref>
            </x14:sparkline>
            <x14:sparkline>
              <xm:f>'Area VIIa nephrops o250kW'!D8:L8</xm:f>
              <xm:sqref>C8</xm:sqref>
            </x14:sparkline>
            <x14:sparkline>
              <xm:f>'Area VIIa nephrops o250kW'!D9:L9</xm:f>
              <xm:sqref>C9</xm:sqref>
            </x14:sparkline>
            <x14:sparkline>
              <xm:f>'Area VIIa nephrops o250kW'!D10:L10</xm:f>
              <xm:sqref>C10</xm:sqref>
            </x14:sparkline>
            <x14:sparkline>
              <xm:f>'Area VIIa nephrops o250kW'!D11:L11</xm:f>
              <xm:sqref>C11</xm:sqref>
            </x14:sparkline>
            <x14:sparkline>
              <xm:f>'Area VIIa nephrops o250kW'!D12:L12</xm:f>
              <xm:sqref>C12</xm:sqref>
            </x14:sparkline>
            <x14:sparkline>
              <xm:f>'Area VIIa nephrops o250kW'!D13:L13</xm:f>
              <xm:sqref>C13</xm:sqref>
            </x14:sparkline>
            <x14:sparkline>
              <xm:f>'Area VIIa nephrops o250kW'!D14:L14</xm:f>
              <xm:sqref>C14</xm:sqref>
            </x14:sparkline>
            <x14:sparkline>
              <xm:f>'Area VIIa nephrops o250kW'!D15:L15</xm:f>
              <xm:sqref>C15</xm:sqref>
            </x14:sparkline>
            <x14:sparkline>
              <xm:f>'Area VIIa nephrops o250kW'!D16:L16</xm:f>
              <xm:sqref>C16</xm:sqref>
            </x14:sparkline>
            <x14:sparkline>
              <xm:f>'Area VIIa nephrops o250kW'!D17:L17</xm:f>
              <xm:sqref>C17</xm:sqref>
            </x14:sparkline>
            <x14:sparkline>
              <xm:f>'Area VIIa nephrops o250kW'!D18:L18</xm:f>
              <xm:sqref>C18</xm:sqref>
            </x14:sparkline>
            <x14:sparkline>
              <xm:f>'Area VIIa nephrops o250kW'!D19:L19</xm:f>
              <xm:sqref>C19</xm:sqref>
            </x14:sparkline>
            <x14:sparkline>
              <xm:f>'Area VIIa nephrops o250kW'!D20:L20</xm:f>
              <xm:sqref>C20</xm:sqref>
            </x14:sparkline>
            <x14:sparkline>
              <xm:f>'Area VIIa nephrops o250kW'!D21:L21</xm:f>
              <xm:sqref>C21</xm:sqref>
            </x14:sparkline>
            <x14:sparkline>
              <xm:f>'Area VIIa nephrops o250kW'!D22:L22</xm:f>
              <xm:sqref>C22</xm:sqref>
            </x14:sparkline>
            <x14:sparkline>
              <xm:f>'Area VIIa nephrops o250kW'!D23:L23</xm:f>
              <xm:sqref>C23</xm:sqref>
            </x14:sparkline>
            <x14:sparkline>
              <xm:f>'Area VIIa nephrops o250kW'!D24:L24</xm:f>
              <xm:sqref>C24</xm:sqref>
            </x14:sparkline>
            <x14:sparkline>
              <xm:f>'Area VIIa nephrops o250kW'!D25:L25</xm:f>
              <xm:sqref>C25</xm:sqref>
            </x14:sparkline>
            <x14:sparkline>
              <xm:f>'Area VIIa nephrops o250kW'!D26:L26</xm:f>
              <xm:sqref>C26</xm:sqref>
            </x14:sparkline>
            <x14:sparkline>
              <xm:f>'Area VIIa nephrops o250kW'!D27:L27</xm:f>
              <xm:sqref>C27</xm:sqref>
            </x14:sparkline>
            <x14:sparkline>
              <xm:f>'Area VIIa nephrops o250kW'!D28:L28</xm:f>
              <xm:sqref>C28</xm:sqref>
            </x14:sparkline>
            <x14:sparkline>
              <xm:f>'Area VIIa nephrops o250kW'!D29:L29</xm:f>
              <xm:sqref>C29</xm:sqref>
            </x14:sparkline>
            <x14:sparkline>
              <xm:f>'Area VIIa nephrops o250kW'!D30:L30</xm:f>
              <xm:sqref>C30</xm:sqref>
            </x14:sparkline>
            <x14:sparkline>
              <xm:f>'Area VIIa nephrops o250kW'!D31:L31</xm:f>
              <xm:sqref>C31</xm:sqref>
            </x14:sparkline>
            <x14:sparkline>
              <xm:f>'Area VIIa nephrops o250kW'!D32:L32</xm:f>
              <xm:sqref>C32</xm:sqref>
            </x14:sparkline>
            <x14:sparkline>
              <xm:f>'Area VIIa nephrops o250kW'!D33:L33</xm:f>
              <xm:sqref>C33</xm:sqref>
            </x14:sparkline>
            <x14:sparkline>
              <xm:f>'Area VIIa nephrops o250kW'!D34:L34</xm:f>
              <xm:sqref>C34</xm:sqref>
            </x14:sparkline>
            <x14:sparkline>
              <xm:f>'Area VIIa nephrops o250kW'!D35:L35</xm:f>
              <xm:sqref>C35</xm:sqref>
            </x14:sparkline>
            <x14:sparkline>
              <xm:f>'Area VIIa nephrops o250kW'!D36:L36</xm:f>
              <xm:sqref>C36</xm:sqref>
            </x14:sparkline>
            <x14:sparkline>
              <xm:f>'Area VIIa nephrops o250kW'!D37:L37</xm:f>
              <xm:sqref>C37</xm:sqref>
            </x14:sparkline>
            <x14:sparkline>
              <xm:f>'Area VIIa nephrops o250kW'!D38:L38</xm:f>
              <xm:sqref>C38</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300"/>
  <sheetViews>
    <sheetView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86</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60</v>
      </c>
      <c r="E3" s="16">
        <v>65</v>
      </c>
      <c r="F3" s="16">
        <v>62</v>
      </c>
      <c r="G3" s="16">
        <v>62</v>
      </c>
      <c r="H3" s="16">
        <v>61</v>
      </c>
      <c r="I3" s="16">
        <v>54</v>
      </c>
      <c r="J3" s="16">
        <v>55</v>
      </c>
      <c r="K3" s="16">
        <v>57</v>
      </c>
      <c r="L3" s="16">
        <v>55</v>
      </c>
      <c r="M3" s="17">
        <v>44</v>
      </c>
      <c r="N3" s="18">
        <f t="shared" ref="N3:N38" si="0">IF(L3=0,"",IFERROR(IF(AND(L3&gt;0,D3&lt;0),"na",IF(AND(L3&lt;0,D3&lt;0),-1,1)*(L3-D3)/D3),""))</f>
        <v>-8.3333333333333329E-2</v>
      </c>
      <c r="O3" s="18">
        <f t="shared" ref="O3:O38" si="1">IF(L3=0,"",IFERROR(IF(AND(L3&gt;0,H3&lt;0),"na",IF(AND(L3&lt;0,H3&lt;0),-1,1)*(L3-H3)/H3),""))</f>
        <v>-9.8360655737704916E-2</v>
      </c>
    </row>
    <row r="4" spans="1:15" s="19" customFormat="1" ht="18" customHeight="1" x14ac:dyDescent="0.2">
      <c r="A4" s="141"/>
      <c r="B4" s="20" t="s">
        <v>20</v>
      </c>
      <c r="C4" s="21"/>
      <c r="D4" s="22">
        <v>10288.669921875</v>
      </c>
      <c r="E4" s="22">
        <v>11118.08984375</v>
      </c>
      <c r="F4" s="22">
        <v>10339.58984375</v>
      </c>
      <c r="G4" s="22">
        <v>10669.2900390625</v>
      </c>
      <c r="H4" s="22">
        <v>10091.58984375</v>
      </c>
      <c r="I4" s="22">
        <v>9219.240234375</v>
      </c>
      <c r="J4" s="22">
        <v>9186.5498046875</v>
      </c>
      <c r="K4" s="22">
        <v>9618.599609375</v>
      </c>
      <c r="L4" s="22">
        <v>9376.7802734375</v>
      </c>
      <c r="M4" s="23">
        <v>7637.4501953125</v>
      </c>
      <c r="N4" s="24">
        <f t="shared" si="0"/>
        <v>-8.8630469765456119E-2</v>
      </c>
      <c r="O4" s="24">
        <f t="shared" si="1"/>
        <v>-7.0832205963582764E-2</v>
      </c>
    </row>
    <row r="5" spans="1:15" s="19" customFormat="1" ht="18" customHeight="1" x14ac:dyDescent="0.2">
      <c r="A5" s="141"/>
      <c r="B5" s="20" t="s">
        <v>21</v>
      </c>
      <c r="C5" s="21"/>
      <c r="D5" s="22">
        <v>2587.6298828125</v>
      </c>
      <c r="E5" s="22">
        <v>2838.10009765625</v>
      </c>
      <c r="F5" s="22">
        <v>2511.330078125</v>
      </c>
      <c r="G5" s="22">
        <v>2633.97998046875</v>
      </c>
      <c r="H5" s="22">
        <v>2542.919921875</v>
      </c>
      <c r="I5" s="22">
        <v>2272.010009765625</v>
      </c>
      <c r="J5" s="22">
        <v>2174.93994140625</v>
      </c>
      <c r="K5" s="22">
        <v>2233.330078125</v>
      </c>
      <c r="L5" s="22">
        <v>2276.570068359375</v>
      </c>
      <c r="M5" s="23">
        <v>1878.75</v>
      </c>
      <c r="N5" s="24">
        <f t="shared" si="0"/>
        <v>-0.12021031930386948</v>
      </c>
      <c r="O5" s="24">
        <f t="shared" si="1"/>
        <v>-0.10474173851264425</v>
      </c>
    </row>
    <row r="6" spans="1:15" s="19" customFormat="1" ht="18" customHeight="1" x14ac:dyDescent="0.2">
      <c r="A6" s="141"/>
      <c r="B6" s="20" t="s">
        <v>22</v>
      </c>
      <c r="C6" s="21"/>
      <c r="D6" s="22">
        <v>8397.806640625</v>
      </c>
      <c r="E6" s="22">
        <v>10341.5390625</v>
      </c>
      <c r="F6" s="22">
        <v>8749.1923828125</v>
      </c>
      <c r="G6" s="22">
        <v>9835.30859375</v>
      </c>
      <c r="H6" s="22">
        <v>9419.6025390625</v>
      </c>
      <c r="I6" s="22">
        <v>8418.3662109375</v>
      </c>
      <c r="J6" s="22">
        <v>8472.02734375</v>
      </c>
      <c r="K6" s="22">
        <v>8805.4951171875</v>
      </c>
      <c r="L6" s="22">
        <v>8688.44921875</v>
      </c>
      <c r="M6" s="23">
        <v>6974.06396484375</v>
      </c>
      <c r="N6" s="24">
        <f t="shared" si="0"/>
        <v>3.4609343911182165E-2</v>
      </c>
      <c r="O6" s="24">
        <f t="shared" si="1"/>
        <v>-7.7620400359829742E-2</v>
      </c>
    </row>
    <row r="7" spans="1:15" s="19" customFormat="1" ht="18" customHeight="1" x14ac:dyDescent="0.2">
      <c r="A7" s="141"/>
      <c r="B7" s="20" t="s">
        <v>23</v>
      </c>
      <c r="C7" s="21"/>
      <c r="D7" s="22">
        <v>3422.51025390625</v>
      </c>
      <c r="E7" s="22">
        <v>4054.47412109375</v>
      </c>
      <c r="F7" s="22">
        <v>4178.7412109375</v>
      </c>
      <c r="G7" s="22">
        <v>4594.45263671875</v>
      </c>
      <c r="H7" s="22">
        <v>3877.6826171875</v>
      </c>
      <c r="I7" s="22">
        <v>3889.839111328125</v>
      </c>
      <c r="J7" s="22">
        <v>3947.0048828125</v>
      </c>
      <c r="K7" s="22">
        <v>4034.1201171875</v>
      </c>
      <c r="L7" s="22">
        <v>3792.618408203125</v>
      </c>
      <c r="M7" s="23">
        <v>2762.1689453125</v>
      </c>
      <c r="N7" s="24">
        <f t="shared" si="0"/>
        <v>0.10813938508276361</v>
      </c>
      <c r="O7" s="24">
        <f t="shared" si="1"/>
        <v>-2.1936867294743281E-2</v>
      </c>
    </row>
    <row r="8" spans="1:15" s="19" customFormat="1" ht="18" customHeight="1" x14ac:dyDescent="0.2">
      <c r="A8" s="141"/>
      <c r="B8" s="20" t="s">
        <v>24</v>
      </c>
      <c r="C8" s="25"/>
      <c r="D8" s="26">
        <f ca="1">6.2431935*OFFSET(D$108,MATCH($M$1,$C$109:$C$110,0),0)</f>
        <v>5.0785881390130871</v>
      </c>
      <c r="E8" s="26">
        <f ca="1">8.680041*OFFSET(E$108,MATCH($M$1,$C$109:$C$110,0),0)</f>
        <v>7.2506980966982182</v>
      </c>
      <c r="F8" s="26">
        <f ca="1">8.418217*OFFSET(F$108,MATCH($M$1,$C$109:$C$110,0),0)</f>
        <v>7.233942045149206</v>
      </c>
      <c r="G8" s="26">
        <f ca="1">8.824509*OFFSET(G$108,MATCH($M$1,$C$109:$C$110,0),0)</f>
        <v>7.8032486774238619</v>
      </c>
      <c r="H8" s="26">
        <f ca="1">6.03205*OFFSET(H$108,MATCH($M$1,$C$109:$C$110,0),0)</f>
        <v>5.4395821361807437</v>
      </c>
      <c r="I8" s="26">
        <f ca="1">5.958044*OFFSET(I$108,MATCH($M$1,$C$109:$C$110,0),0)</f>
        <v>5.5433044849700295</v>
      </c>
      <c r="J8" s="26">
        <f ca="1">8.108622*OFFSET(J$108,MATCH($M$1,$C$109:$C$110,0),0)</f>
        <v>7.7044882187096988</v>
      </c>
      <c r="K8" s="26">
        <f ca="1">8.884912*OFFSET(K$108,MATCH($M$1,$C$109:$C$110,0),0)</f>
        <v>8.5822918134031418</v>
      </c>
      <c r="L8" s="26">
        <f ca="1">6.8880945*OFFSET(L$108,MATCH($M$1,$C$109:$C$110,0),0)</f>
        <v>6.7725810361056942</v>
      </c>
      <c r="M8" s="27">
        <f ca="1">5.6254465*OFFSET(M$108,MATCH($M$1,$C$109:$C$110,0),0)</f>
        <v>5.6254464781442781</v>
      </c>
      <c r="N8" s="24">
        <f t="shared" ca="1" si="0"/>
        <v>0.33355587236530615</v>
      </c>
      <c r="O8" s="24">
        <f t="shared" ca="1" si="1"/>
        <v>0.24505538597508517</v>
      </c>
    </row>
    <row r="9" spans="1:15" s="19" customFormat="1" ht="18" customHeight="1" x14ac:dyDescent="0.2">
      <c r="A9" s="141"/>
      <c r="B9" s="20" t="s">
        <v>25</v>
      </c>
      <c r="C9" s="25"/>
      <c r="D9" s="22">
        <v>8609</v>
      </c>
      <c r="E9" s="22">
        <v>8906</v>
      </c>
      <c r="F9" s="22">
        <v>8926</v>
      </c>
      <c r="G9" s="22">
        <v>8784</v>
      </c>
      <c r="H9" s="22">
        <v>7884</v>
      </c>
      <c r="I9" s="22">
        <v>7474</v>
      </c>
      <c r="J9" s="22">
        <v>7140</v>
      </c>
      <c r="K9" s="22">
        <v>7420</v>
      </c>
      <c r="L9" s="22">
        <v>6952</v>
      </c>
      <c r="M9" s="23">
        <v>5661</v>
      </c>
      <c r="N9" s="24">
        <f t="shared" si="0"/>
        <v>-0.19247299337902196</v>
      </c>
      <c r="O9" s="24">
        <f t="shared" si="1"/>
        <v>-0.11821410451547437</v>
      </c>
    </row>
    <row r="10" spans="1:15" s="19" customFormat="1" ht="18" customHeight="1" x14ac:dyDescent="0.2">
      <c r="A10" s="142" t="s">
        <v>7</v>
      </c>
      <c r="B10" s="28" t="s">
        <v>26</v>
      </c>
      <c r="C10" s="29"/>
      <c r="D10" s="30">
        <v>15.52216625213623</v>
      </c>
      <c r="E10" s="30">
        <v>15.607846260070801</v>
      </c>
      <c r="F10" s="30">
        <v>15.172580718994141</v>
      </c>
      <c r="G10" s="30">
        <v>15.459516525268555</v>
      </c>
      <c r="H10" s="30">
        <v>15.267376899719238</v>
      </c>
      <c r="I10" s="30">
        <v>15.198888778686523</v>
      </c>
      <c r="J10" s="30">
        <v>15.152909278869629</v>
      </c>
      <c r="K10" s="30">
        <v>15.045438766479492</v>
      </c>
      <c r="L10" s="30">
        <v>15.456000328063965</v>
      </c>
      <c r="M10" s="31">
        <v>15.336817741394043</v>
      </c>
      <c r="N10" s="32">
        <f t="shared" si="0"/>
        <v>-4.2626733277746961E-3</v>
      </c>
      <c r="O10" s="32">
        <f t="shared" si="1"/>
        <v>1.2354671636369656E-2</v>
      </c>
    </row>
    <row r="11" spans="1:15" s="19" customFormat="1" ht="18" customHeight="1" x14ac:dyDescent="0.2">
      <c r="A11" s="143"/>
      <c r="B11" s="33" t="s">
        <v>20</v>
      </c>
      <c r="C11" s="21"/>
      <c r="D11" s="22">
        <v>171.47782897949219</v>
      </c>
      <c r="E11" s="22">
        <v>171.04753112792969</v>
      </c>
      <c r="F11" s="22">
        <v>166.767578125</v>
      </c>
      <c r="G11" s="22">
        <v>172.0853271484375</v>
      </c>
      <c r="H11" s="22">
        <v>165.43589782714844</v>
      </c>
      <c r="I11" s="22">
        <v>170.72666931152344</v>
      </c>
      <c r="J11" s="22">
        <v>167.02818298339844</v>
      </c>
      <c r="K11" s="22">
        <v>168.74737548828125</v>
      </c>
      <c r="L11" s="22">
        <v>170.48690795898437</v>
      </c>
      <c r="M11" s="23">
        <v>173.57841491699219</v>
      </c>
      <c r="N11" s="24">
        <f t="shared" si="0"/>
        <v>-5.7787121892377193E-3</v>
      </c>
      <c r="O11" s="24">
        <f t="shared" si="1"/>
        <v>3.0531524283280761E-2</v>
      </c>
    </row>
    <row r="12" spans="1:15" s="19" customFormat="1" ht="18" customHeight="1" x14ac:dyDescent="0.2">
      <c r="A12" s="143"/>
      <c r="B12" s="33" t="s">
        <v>21</v>
      </c>
      <c r="C12" s="21"/>
      <c r="D12" s="22">
        <v>43.127166748046875</v>
      </c>
      <c r="E12" s="22">
        <v>43.663078308105469</v>
      </c>
      <c r="F12" s="22">
        <v>40.505321502685547</v>
      </c>
      <c r="G12" s="22">
        <v>42.483547210693359</v>
      </c>
      <c r="H12" s="22">
        <v>41.687213897705078</v>
      </c>
      <c r="I12" s="22">
        <v>42.074260711669922</v>
      </c>
      <c r="J12" s="22">
        <v>39.544364929199219</v>
      </c>
      <c r="K12" s="22">
        <v>39.181228637695313</v>
      </c>
      <c r="L12" s="22">
        <v>41.392181396484375</v>
      </c>
      <c r="M12" s="23">
        <v>42.698863983154297</v>
      </c>
      <c r="N12" s="24">
        <f t="shared" si="0"/>
        <v>-4.0229523114709904E-2</v>
      </c>
      <c r="O12" s="24">
        <f t="shared" si="1"/>
        <v>-7.0772899802004985E-3</v>
      </c>
    </row>
    <row r="13" spans="1:15" s="19" customFormat="1" ht="18" customHeight="1" x14ac:dyDescent="0.2">
      <c r="A13" s="143"/>
      <c r="B13" s="33" t="s">
        <v>22</v>
      </c>
      <c r="C13" s="21"/>
      <c r="D13" s="22">
        <v>139.96345520019531</v>
      </c>
      <c r="E13" s="22">
        <v>159.10060119628906</v>
      </c>
      <c r="F13" s="22">
        <v>141.11599731445312</v>
      </c>
      <c r="G13" s="22">
        <v>158.63400268554687</v>
      </c>
      <c r="H13" s="22">
        <v>154.41972351074219</v>
      </c>
      <c r="I13" s="22">
        <v>155.89566040039063</v>
      </c>
      <c r="J13" s="22">
        <v>154.036865234375</v>
      </c>
      <c r="K13" s="22">
        <v>154.48236083984375</v>
      </c>
      <c r="L13" s="22">
        <v>157.9718017578125</v>
      </c>
      <c r="M13" s="23">
        <v>158.50144958496094</v>
      </c>
      <c r="N13" s="24">
        <f t="shared" si="0"/>
        <v>0.12866463272044215</v>
      </c>
      <c r="O13" s="24">
        <f t="shared" si="1"/>
        <v>2.3002749689700182E-2</v>
      </c>
    </row>
    <row r="14" spans="1:15" s="19" customFormat="1" ht="18" customHeight="1" x14ac:dyDescent="0.2">
      <c r="A14" s="143"/>
      <c r="B14" s="33" t="s">
        <v>23</v>
      </c>
      <c r="C14" s="25"/>
      <c r="D14" s="26">
        <v>57.041835784912109</v>
      </c>
      <c r="E14" s="26">
        <v>62.37652587890625</v>
      </c>
      <c r="F14" s="26">
        <v>67.3990478515625</v>
      </c>
      <c r="G14" s="26">
        <v>74.104072570800781</v>
      </c>
      <c r="H14" s="26">
        <v>63.568565368652344</v>
      </c>
      <c r="I14" s="26">
        <v>72.0340576171875</v>
      </c>
      <c r="J14" s="26">
        <v>71.763725280761719</v>
      </c>
      <c r="K14" s="26">
        <v>70.774032592773438</v>
      </c>
      <c r="L14" s="26">
        <v>68.956703186035156</v>
      </c>
      <c r="M14" s="27">
        <v>62.776565551757813</v>
      </c>
      <c r="N14" s="24">
        <f t="shared" si="0"/>
        <v>0.20887945202273095</v>
      </c>
      <c r="O14" s="24">
        <f t="shared" si="1"/>
        <v>8.476104165849041E-2</v>
      </c>
    </row>
    <row r="15" spans="1:15" s="19" customFormat="1" ht="18" customHeight="1" x14ac:dyDescent="0.2">
      <c r="A15" s="143"/>
      <c r="B15" s="33" t="s">
        <v>27</v>
      </c>
      <c r="C15" s="25"/>
      <c r="D15" s="26">
        <f ca="1">104.05321875*OFFSET(D$108,MATCH($M$1,$C$109:$C$110,0),0)</f>
        <v>84.643130566093149</v>
      </c>
      <c r="E15" s="26">
        <f ca="1">133.53909375*OFFSET(E$108,MATCH($M$1,$C$109:$C$110,0),0)</f>
        <v>111.5492026924677</v>
      </c>
      <c r="F15" s="26">
        <f ca="1">135.7776875*OFFSET(F$108,MATCH($M$1,$C$109:$C$110,0),0)</f>
        <v>116.67647940168089</v>
      </c>
      <c r="G15" s="26">
        <f ca="1">142.330796875*OFFSET(G$108,MATCH($M$1,$C$109:$C$110,0),0)</f>
        <v>125.85885542997667</v>
      </c>
      <c r="H15" s="26">
        <f ca="1">98.8860703125*OFFSET(H$108,MATCH($M$1,$C$109:$C$110,0),0)</f>
        <v>89.173481915598842</v>
      </c>
      <c r="I15" s="26">
        <f ca="1">110.3341484375*OFFSET(I$108,MATCH($M$1,$C$109:$C$110,0),0)</f>
        <v>102.65378702791432</v>
      </c>
      <c r="J15" s="26">
        <f ca="1">147.429484375*OFFSET(J$108,MATCH($M$1,$C$109:$C$110,0),0)</f>
        <v>140.08159776810817</v>
      </c>
      <c r="K15" s="26">
        <f ca="1">155.875640625*OFFSET(K$108,MATCH($M$1,$C$109:$C$110,0),0)</f>
        <v>150.56651483378874</v>
      </c>
      <c r="L15" s="26">
        <f ca="1">125.238078125*OFFSET(L$108,MATCH($M$1,$C$109:$C$110,0),0)</f>
        <v>123.13783338885642</v>
      </c>
      <c r="M15" s="27">
        <f ca="1">127.8510546875*OFFSET(M$108,MATCH($M$1,$C$109:$C$110,0),0)</f>
        <v>127.85105419077907</v>
      </c>
      <c r="N15" s="24">
        <f t="shared" ca="1" si="0"/>
        <v>0.45478826888030666</v>
      </c>
      <c r="O15" s="24">
        <f t="shared" ca="1" si="1"/>
        <v>0.38087950300521234</v>
      </c>
    </row>
    <row r="16" spans="1:15" s="19" customFormat="1" ht="18" customHeight="1" x14ac:dyDescent="0.2">
      <c r="A16" s="143"/>
      <c r="B16" s="33" t="s">
        <v>25</v>
      </c>
      <c r="C16" s="21"/>
      <c r="D16" s="22">
        <v>143.48333740234375</v>
      </c>
      <c r="E16" s="22">
        <v>137.015380859375</v>
      </c>
      <c r="F16" s="22">
        <v>143.96774291992187</v>
      </c>
      <c r="G16" s="22">
        <v>141.67741394042969</v>
      </c>
      <c r="H16" s="22">
        <v>129.24589538574219</v>
      </c>
      <c r="I16" s="22">
        <v>138.40740966796875</v>
      </c>
      <c r="J16" s="22">
        <v>129.81817626953125</v>
      </c>
      <c r="K16" s="22">
        <v>130.17544555664062</v>
      </c>
      <c r="L16" s="22">
        <v>126.40000152587891</v>
      </c>
      <c r="M16" s="23">
        <v>128.65908813476562</v>
      </c>
      <c r="N16" s="24">
        <f t="shared" si="0"/>
        <v>-0.11906146167036252</v>
      </c>
      <c r="O16" s="24">
        <f t="shared" si="1"/>
        <v>-2.2019220427616205E-2</v>
      </c>
    </row>
    <row r="17" spans="1:15" s="19" customFormat="1" ht="18" customHeight="1" x14ac:dyDescent="0.2">
      <c r="A17" s="143"/>
      <c r="B17" s="33" t="s">
        <v>28</v>
      </c>
      <c r="C17" s="21"/>
      <c r="D17" s="22">
        <v>30.450000762939453</v>
      </c>
      <c r="E17" s="22">
        <v>31.861537933349609</v>
      </c>
      <c r="F17" s="22">
        <v>32.838710784912109</v>
      </c>
      <c r="G17" s="22">
        <v>32.774192810058594</v>
      </c>
      <c r="H17" s="22">
        <v>35.344261169433594</v>
      </c>
      <c r="I17" s="22">
        <v>35.222221374511719</v>
      </c>
      <c r="J17" s="22">
        <v>37.200000762939453</v>
      </c>
      <c r="K17" s="22">
        <v>36.789474487304687</v>
      </c>
      <c r="L17" s="22">
        <v>39.254547119140625</v>
      </c>
      <c r="M17" s="23">
        <v>38.613636016845703</v>
      </c>
      <c r="N17" s="24">
        <f t="shared" si="0"/>
        <v>0.28914765634151124</v>
      </c>
      <c r="O17" s="24">
        <f t="shared" si="1"/>
        <v>0.11063425349201308</v>
      </c>
    </row>
    <row r="18" spans="1:15" s="19" customFormat="1" ht="18" customHeight="1" x14ac:dyDescent="0.2">
      <c r="A18" s="143"/>
      <c r="B18" s="33" t="s">
        <v>29</v>
      </c>
      <c r="C18" s="21"/>
      <c r="D18" s="34">
        <v>0.39755025506019592</v>
      </c>
      <c r="E18" s="34">
        <v>0.45525199174880981</v>
      </c>
      <c r="F18" s="34">
        <v>0.46815380454063416</v>
      </c>
      <c r="G18" s="34">
        <v>0.52304786443710327</v>
      </c>
      <c r="H18" s="34">
        <v>0.49184203147888184</v>
      </c>
      <c r="I18" s="34">
        <v>0.52044945955276489</v>
      </c>
      <c r="J18" s="34">
        <v>0.55280184745788574</v>
      </c>
      <c r="K18" s="34">
        <v>0.54368191957473755</v>
      </c>
      <c r="L18" s="34">
        <v>0.54554355144500732</v>
      </c>
      <c r="M18" s="35">
        <v>0.48792949318885803</v>
      </c>
      <c r="N18" s="24">
        <f t="shared" si="0"/>
        <v>0.37226311516867894</v>
      </c>
      <c r="O18" s="24">
        <f t="shared" si="1"/>
        <v>0.10918448715058884</v>
      </c>
    </row>
    <row r="19" spans="1:15" s="19" customFormat="1" ht="18" customHeight="1" x14ac:dyDescent="0.2">
      <c r="A19" s="144"/>
      <c r="B19" s="36" t="s">
        <v>8</v>
      </c>
      <c r="C19" s="37"/>
      <c r="D19" s="38">
        <f ca="1">1824.1562586626*OFFSET(D$108,MATCH($M$1,$C$109:$C$110,0),0)</f>
        <v>1483.878136878245</v>
      </c>
      <c r="E19" s="38">
        <f ca="1">2140.85495202481*OFFSET(E$108,MATCH($M$1,$C$109:$C$110,0),0)</f>
        <v>1788.3202309704809</v>
      </c>
      <c r="F19" s="38">
        <f ca="1">2014.53418028521*OFFSET(F$108,MATCH($M$1,$C$109:$C$110,0),0)</f>
        <v>1731.1294669827791</v>
      </c>
      <c r="G19" s="38">
        <f ca="1">1920.68777235285*OFFSET(G$108,MATCH($M$1,$C$109:$C$110,0),0)</f>
        <v>1698.4065990931119</v>
      </c>
      <c r="H19" s="38">
        <f ca="1">1555.58115387357*OFFSET(H$108,MATCH($M$1,$C$109:$C$110,0),0)</f>
        <v>1402.7919954228</v>
      </c>
      <c r="I19" s="38">
        <f ca="1">1531.69419852065*OFFSET(I$108,MATCH($M$1,$C$109:$C$110,0),0)</f>
        <v>1425.072946803027</v>
      </c>
      <c r="J19" s="38">
        <f ca="1">2054.37344030395*OFFSET(J$108,MATCH($M$1,$C$109:$C$110,0),0)</f>
        <v>1951.9834526325055</v>
      </c>
      <c r="K19" s="38">
        <f ca="1">2202.44111278332*OFFSET(K$108,MATCH($M$1,$C$109:$C$110,0),0)</f>
        <v>2127.4259476900606</v>
      </c>
      <c r="L19" s="38">
        <f ca="1">1816.18442949642*OFFSET(L$108,MATCH($M$1,$C$109:$C$110,0),0)</f>
        <v>1785.7269852029312</v>
      </c>
      <c r="M19" s="39">
        <f ca="1">2036.60478825764*OFFSET(M$108,MATCH($M$1,$C$109:$C$110,0),0)</f>
        <v>2036.6047803451183</v>
      </c>
      <c r="N19" s="40">
        <f ca="1">IF(L19=0,"",IFERROR(IF(AND(L19&gt;0,D19&lt;0),"na",IF(AND(L19&lt;0,D19&lt;0),-1,1)*(L19-D19)/D19),""))</f>
        <v>0.20341889325204981</v>
      </c>
      <c r="O19" s="40">
        <f ca="1">IF(L19=0,"",IFERROR(IF(AND(L19&gt;0,H19&lt;0),"na",IF(AND(L19&lt;0,H19&lt;0),-1,1)*(L19-H19)/H19),""))</f>
        <v>0.27298059229708893</v>
      </c>
    </row>
    <row r="20" spans="1:15" s="19" customFormat="1" ht="18" customHeight="1" x14ac:dyDescent="0.2">
      <c r="A20" s="145" t="s">
        <v>9</v>
      </c>
      <c r="B20" s="28" t="s">
        <v>30</v>
      </c>
      <c r="C20" s="41"/>
      <c r="D20" s="42">
        <v>2.2788752218759982</v>
      </c>
      <c r="E20" s="42">
        <v>2.5782217800968503</v>
      </c>
      <c r="F20" s="42">
        <v>2.6982718877614134</v>
      </c>
      <c r="G20" s="42">
        <v>2.9716046831537888</v>
      </c>
      <c r="H20" s="42">
        <v>2.9088916207667395</v>
      </c>
      <c r="I20" s="42">
        <v>3.0612588554542031</v>
      </c>
      <c r="J20" s="42">
        <v>3.2889814543001723</v>
      </c>
      <c r="K20" s="42">
        <v>3.2289135466914742</v>
      </c>
      <c r="L20" s="42">
        <v>3.1664176280642473</v>
      </c>
      <c r="M20" s="43">
        <v>2.7821912934302961</v>
      </c>
      <c r="N20" s="32">
        <f t="shared" si="0"/>
        <v>0.38946511755813168</v>
      </c>
      <c r="O20" s="32">
        <f t="shared" si="1"/>
        <v>8.8530629831312838E-2</v>
      </c>
    </row>
    <row r="21" spans="1:15" s="19" customFormat="1" ht="18" customHeight="1" x14ac:dyDescent="0.2">
      <c r="A21" s="145"/>
      <c r="B21" s="33" t="s">
        <v>31</v>
      </c>
      <c r="C21" s="21"/>
      <c r="D21" s="34">
        <f ca="1">4.15702437873745*OFFSET(D$108,MATCH($M$1,$C$109:$C$110,0),0)</f>
        <v>3.3815730208336903</v>
      </c>
      <c r="E21" s="34">
        <f ca="1">5.51959884186295*OFFSET(E$108,MATCH($M$1,$C$109:$C$110,0),0)</f>
        <v>4.6106861496660425</v>
      </c>
      <c r="F21" s="34">
        <f ca="1">5.4357610210366*OFFSET(F$108,MATCH($M$1,$C$109:$C$110,0),0)</f>
        <v>4.6710580396608741</v>
      </c>
      <c r="G21" s="34">
        <f ca="1">5.70752521255378*OFFSET(G$108,MATCH($M$1,$C$109:$C$110,0),0)</f>
        <v>5.0469933869661903</v>
      </c>
      <c r="H21" s="34">
        <f ca="1">4.52501735212087*OFFSET(H$108,MATCH($M$1,$C$109:$C$110,0),0)</f>
        <v>4.0805702131952781</v>
      </c>
      <c r="I21" s="34">
        <f ca="1">4.68891244136586*OFFSET(I$108,MATCH($M$1,$C$109:$C$110,0),0)</f>
        <v>4.3625171895097017</v>
      </c>
      <c r="J21" s="34">
        <f ca="1">6.756795832844*OFFSET(J$108,MATCH($M$1,$C$109:$C$110,0),0)</f>
        <v>6.4200370778627223</v>
      </c>
      <c r="K21" s="34">
        <f ca="1">7.1114920144407*OFFSET(K$108,MATCH($M$1,$C$109:$C$110,0),0)</f>
        <v>6.8692745292937332</v>
      </c>
      <c r="L21" s="34">
        <f ca="1">5.75079781888697*OFFSET(L$108,MATCH($M$1,$C$109:$C$110,0),0)</f>
        <v>5.6543568400044277</v>
      </c>
      <c r="M21" s="35">
        <f ca="1">5.66622414082484*OFFSET(M$108,MATCH($M$1,$C$109:$C$110,0),0)</f>
        <v>5.6662241188106917</v>
      </c>
      <c r="N21" s="24">
        <f t="shared" ca="1" si="0"/>
        <v>0.67210845519769591</v>
      </c>
      <c r="O21" s="24">
        <f t="shared" ca="1" si="1"/>
        <v>0.38567811472034463</v>
      </c>
    </row>
    <row r="22" spans="1:15" s="19" customFormat="1" ht="18" customHeight="1" x14ac:dyDescent="0.2">
      <c r="A22" s="145"/>
      <c r="B22" s="33" t="s">
        <v>10</v>
      </c>
      <c r="C22" s="21"/>
      <c r="D22" s="34">
        <f ca="1">3.1310167819717*OFFSET(D$108,MATCH($M$1,$C$109:$C$110,0),0)</f>
        <v>2.5469568886455947</v>
      </c>
      <c r="E22" s="34">
        <f ca="1">4.5828204019735*OFFSET(E$108,MATCH($M$1,$C$109:$C$110,0),0)</f>
        <v>3.8281670750286798</v>
      </c>
      <c r="F22" s="34">
        <f ca="1">4.32405304478631*OFFSET(F$108,MATCH($M$1,$C$109:$C$110,0),0)</f>
        <v>3.7157451662430572</v>
      </c>
      <c r="G22" s="34">
        <f ca="1">4.48792315443088*OFFSET(G$108,MATCH($M$1,$C$109:$C$110,0),0)</f>
        <v>3.9685358606572545</v>
      </c>
      <c r="H22" s="34">
        <f ca="1">3.73650748594536*OFFSET(H$108,MATCH($M$1,$C$109:$C$110,0),0)</f>
        <v>3.3695077746792554</v>
      </c>
      <c r="I22" s="34">
        <f ca="1">3.87154103889996*OFFSET(I$108,MATCH($M$1,$C$109:$C$110,0),0)</f>
        <v>3.6020430202730416</v>
      </c>
      <c r="J22" s="34">
        <f ca="1">5.09931780293374*OFFSET(J$108,MATCH($M$1,$C$109:$C$110,0),0)</f>
        <v>4.8451677653933825</v>
      </c>
      <c r="K22" s="34">
        <f ca="1">5.46389739490815*OFFSET(K$108,MATCH($M$1,$C$109:$C$110,0),0)</f>
        <v>5.277796998056365</v>
      </c>
      <c r="L22" s="34">
        <f ca="1">4.33475649113769*OFFSET(L$108,MATCH($M$1,$C$109:$C$110,0),0)</f>
        <v>4.2620625498118789</v>
      </c>
      <c r="M22" s="35">
        <f ca="1">4.20134149644483*OFFSET(M$108,MATCH($M$1,$C$109:$C$110,0),0)</f>
        <v>4.2013414801219753</v>
      </c>
      <c r="N22" s="24">
        <f t="shared" ca="1" si="0"/>
        <v>0.67339406835360016</v>
      </c>
      <c r="O22" s="24">
        <f t="shared" ca="1" si="1"/>
        <v>0.26489173933352506</v>
      </c>
    </row>
    <row r="23" spans="1:15" s="19" customFormat="1" ht="18" customHeight="1" x14ac:dyDescent="0.2">
      <c r="A23" s="146"/>
      <c r="B23" s="33" t="s">
        <v>32</v>
      </c>
      <c r="C23" s="44"/>
      <c r="D23" s="34">
        <f ca="1">1.02600759676575*OFFSET(D$108,MATCH($M$1,$C$109:$C$110,0),0)</f>
        <v>0.83461613218809572</v>
      </c>
      <c r="E23" s="34">
        <f ca="1">0.93677843988945*OFFSET(E$108,MATCH($M$1,$C$109:$C$110,0),0)</f>
        <v>0.78251907463736192</v>
      </c>
      <c r="F23" s="34">
        <f ca="1">1.11170797625029*OFFSET(F$108,MATCH($M$1,$C$109:$C$110,0),0)</f>
        <v>0.95531287341781612</v>
      </c>
      <c r="G23" s="34">
        <f ca="1">1.2196020581229*OFFSET(G$108,MATCH($M$1,$C$109:$C$110,0),0)</f>
        <v>1.0784575263089353</v>
      </c>
      <c r="H23" s="34">
        <f ca="1">0.78850986617551*OFFSET(H$108,MATCH($M$1,$C$109:$C$110,0),0)</f>
        <v>0.71106243851602247</v>
      </c>
      <c r="I23" s="34">
        <f ca="1">0.817371402465894*OFFSET(I$108,MATCH($M$1,$C$109:$C$110,0),0)</f>
        <v>0.76047416923665434</v>
      </c>
      <c r="J23" s="34">
        <f ca="1">1.65747802991026*OFFSET(J$108,MATCH($M$1,$C$109:$C$110,0),0)</f>
        <v>1.5748693124693394</v>
      </c>
      <c r="K23" s="34">
        <f ca="1">1.64759461953255*OFFSET(K$108,MATCH($M$1,$C$109:$C$110,0),0)</f>
        <v>1.5914775312373683</v>
      </c>
      <c r="L23" s="34">
        <f ca="1">1.41604132774928*OFFSET(L$108,MATCH($M$1,$C$109:$C$110,0),0)</f>
        <v>1.392294290192549</v>
      </c>
      <c r="M23" s="35">
        <f ca="1">1.46488264438001*OFFSET(M$108,MATCH($M$1,$C$109:$C$110,0),0)</f>
        <v>1.4648826386887166</v>
      </c>
      <c r="N23" s="24">
        <f t="shared" ca="1" si="0"/>
        <v>0.66818521293423849</v>
      </c>
      <c r="O23" s="24">
        <f t="shared" ca="1" si="1"/>
        <v>0.9580478658080267</v>
      </c>
    </row>
    <row r="24" spans="1:15" s="19" customFormat="1" ht="18" customHeight="1" x14ac:dyDescent="0.2">
      <c r="A24" s="147" t="s">
        <v>11</v>
      </c>
      <c r="B24" s="28" t="s">
        <v>27</v>
      </c>
      <c r="C24" s="29"/>
      <c r="D24" s="30">
        <f ca="1">104.1*OFFSET(D$108,MATCH($M$1,$C$109:$C$110,0),0)</f>
        <v>84.681185241377236</v>
      </c>
      <c r="E24" s="30">
        <f ca="1">133.5*OFFSET(E$108,MATCH($M$1,$C$109:$C$110,0),0)</f>
        <v>111.51654651276557</v>
      </c>
      <c r="F24" s="30">
        <f ca="1">135.8*OFFSET(F$108,MATCH($M$1,$C$109:$C$110,0),0)</f>
        <v>116.69565297868448</v>
      </c>
      <c r="G24" s="30">
        <f ca="1">142.3*OFFSET(G$108,MATCH($M$1,$C$109:$C$110,0),0)</f>
        <v>125.83162267695749</v>
      </c>
      <c r="H24" s="30">
        <f ca="1">98.9*OFFSET(H$108,MATCH($M$1,$C$109:$C$110,0),0)</f>
        <v>89.186043429393919</v>
      </c>
      <c r="I24" s="30">
        <f ca="1">110.3*OFFSET(I$108,MATCH($M$1,$C$109:$C$110,0),0)</f>
        <v>102.62201566356244</v>
      </c>
      <c r="J24" s="30">
        <f ca="1">147.4*OFFSET(J$108,MATCH($M$1,$C$109:$C$110,0),0)</f>
        <v>140.05358289457931</v>
      </c>
      <c r="K24" s="30">
        <f ca="1">155.9*OFFSET(K$108,MATCH($M$1,$C$109:$C$110,0),0)</f>
        <v>150.5900445282463</v>
      </c>
      <c r="L24" s="30">
        <f ca="1">125.2*OFFSET(L$108,MATCH($M$1,$C$109:$C$110,0),0)</f>
        <v>123.10039383467124</v>
      </c>
      <c r="M24" s="31">
        <f ca="1">127.9*OFFSET(M$108,MATCH($M$1,$C$109:$C$110,0),0)</f>
        <v>127.89999950308891</v>
      </c>
      <c r="N24" s="32">
        <f t="shared" ca="1" si="0"/>
        <v>0.45369238141604878</v>
      </c>
      <c r="O24" s="32">
        <f t="shared" ca="1" si="1"/>
        <v>0.38026521977204153</v>
      </c>
    </row>
    <row r="25" spans="1:15" s="19" customFormat="1" ht="18" customHeight="1" x14ac:dyDescent="0.2">
      <c r="A25" s="148"/>
      <c r="B25" s="33" t="s">
        <v>33</v>
      </c>
      <c r="C25" s="25"/>
      <c r="D25" s="26">
        <f ca="1">8*OFFSET(D$108,MATCH($M$1,$C$109:$C$110,0),0)</f>
        <v>6.5076799417004603</v>
      </c>
      <c r="E25" s="26">
        <f ca="1">3.8*OFFSET(E$108,MATCH($M$1,$C$109:$C$110,0),0)</f>
        <v>3.1742537584157988</v>
      </c>
      <c r="F25" s="26">
        <f ca="1">2*OFFSET(F$108,MATCH($M$1,$C$109:$C$110,0),0)</f>
        <v>1.7186399555034531</v>
      </c>
      <c r="G25" s="26">
        <f ca="1">0.1*OFFSET(G$108,MATCH($M$1,$C$109:$C$110,0),0)</f>
        <v>8.8427001178466261E-2</v>
      </c>
      <c r="H25" s="26">
        <f ca="1">3.8*OFFSET(H$108,MATCH($M$1,$C$109:$C$110,0),0)</f>
        <v>3.4267640549211009</v>
      </c>
      <c r="I25" s="26">
        <f ca="1">1.4*OFFSET(I$108,MATCH($M$1,$C$109:$C$110,0),0)</f>
        <v>1.3025459830370572</v>
      </c>
      <c r="J25" s="26"/>
      <c r="K25" s="26">
        <f ca="1">3.9*OFFSET(K$108,MATCH($M$1,$C$109:$C$110,0),0)</f>
        <v>3.7671659631825563</v>
      </c>
      <c r="L25" s="26">
        <f ca="1">1.5*OFFSET(L$108,MATCH($M$1,$C$109:$C$110,0),0)</f>
        <v>1.4748449740575627</v>
      </c>
      <c r="M25" s="27">
        <f ca="1">1.5*OFFSET(M$108,MATCH($M$1,$C$109:$C$110,0),0)</f>
        <v>1.4999999941722701</v>
      </c>
      <c r="N25" s="24">
        <f t="shared" ca="1" si="0"/>
        <v>-0.77336854496993213</v>
      </c>
      <c r="O25" s="24">
        <f t="shared" ca="1" si="1"/>
        <v>-0.56961000220030611</v>
      </c>
    </row>
    <row r="26" spans="1:15" s="19" customFormat="1" ht="18" customHeight="1" x14ac:dyDescent="0.2">
      <c r="A26" s="148"/>
      <c r="B26" s="45" t="s">
        <v>34</v>
      </c>
      <c r="C26" s="46"/>
      <c r="D26" s="47">
        <f ca="1">112*OFFSET(D$108,MATCH($M$1,$C$109:$C$110,0),0)</f>
        <v>91.107519183806446</v>
      </c>
      <c r="E26" s="47">
        <f ca="1">137.3*OFFSET(E$108,MATCH($M$1,$C$109:$C$110,0),0)</f>
        <v>114.69080027118137</v>
      </c>
      <c r="F26" s="47">
        <f ca="1">137.8*OFFSET(F$108,MATCH($M$1,$C$109:$C$110,0),0)</f>
        <v>118.41429293418793</v>
      </c>
      <c r="G26" s="47">
        <f ca="1">142.5*OFFSET(G$108,MATCH($M$1,$C$109:$C$110,0),0)</f>
        <v>126.00847667931441</v>
      </c>
      <c r="H26" s="47">
        <f ca="1">102.6*OFFSET(H$108,MATCH($M$1,$C$109:$C$110,0),0)</f>
        <v>92.522629482869718</v>
      </c>
      <c r="I26" s="47">
        <f ca="1">111.8*OFFSET(I$108,MATCH($M$1,$C$109:$C$110,0),0)</f>
        <v>104.01760064538786</v>
      </c>
      <c r="J26" s="47">
        <f ca="1">147.4*OFFSET(J$108,MATCH($M$1,$C$109:$C$110,0),0)</f>
        <v>140.05358289457931</v>
      </c>
      <c r="K26" s="47">
        <f ca="1">159.8*OFFSET(K$108,MATCH($M$1,$C$109:$C$110,0),0)</f>
        <v>154.35721049142887</v>
      </c>
      <c r="L26" s="47">
        <f ca="1">126.7*OFFSET(L$108,MATCH($M$1,$C$109:$C$110,0),0)</f>
        <v>124.5752388087288</v>
      </c>
      <c r="M26" s="48">
        <f ca="1">129.4*OFFSET(M$108,MATCH($M$1,$C$109:$C$110,0),0)</f>
        <v>129.39999949726118</v>
      </c>
      <c r="N26" s="49">
        <f t="shared" ca="1" si="0"/>
        <v>0.36734311201474296</v>
      </c>
      <c r="O26" s="49">
        <f t="shared" ca="1" si="1"/>
        <v>0.34642994373385727</v>
      </c>
    </row>
    <row r="27" spans="1:15" s="19" customFormat="1" ht="18" customHeight="1" x14ac:dyDescent="0.2">
      <c r="A27" s="148"/>
      <c r="B27" s="33" t="s">
        <v>35</v>
      </c>
      <c r="C27" s="25"/>
      <c r="D27" s="26">
        <f ca="1">15.1*OFFSET(D$108,MATCH($M$1,$C$109:$C$110,0),0)</f>
        <v>12.283245889959618</v>
      </c>
      <c r="E27" s="26">
        <f ca="1">17.4*OFFSET(E$108,MATCH($M$1,$C$109:$C$110,0),0)</f>
        <v>14.534740893798658</v>
      </c>
      <c r="F27" s="26">
        <f ca="1">19.9*OFFSET(F$108,MATCH($M$1,$C$109:$C$110,0),0)</f>
        <v>17.100467557259357</v>
      </c>
      <c r="G27" s="26">
        <f ca="1">24.5*OFFSET(G$108,MATCH($M$1,$C$109:$C$110,0),0)</f>
        <v>21.664615288724232</v>
      </c>
      <c r="H27" s="26">
        <f ca="1">16.5*OFFSET(H$108,MATCH($M$1,$C$109:$C$110,0),0)</f>
        <v>14.879370238473202</v>
      </c>
      <c r="I27" s="26">
        <f ca="1">19.4*OFFSET(I$108,MATCH($M$1,$C$109:$C$110,0),0)</f>
        <v>18.049565764942077</v>
      </c>
      <c r="J27" s="26">
        <f ca="1">23.8*OFFSET(J$108,MATCH($M$1,$C$109:$C$110,0),0)</f>
        <v>22.613807821512808</v>
      </c>
      <c r="K27" s="26">
        <f ca="1">24.5*OFFSET(K$108,MATCH($M$1,$C$109:$C$110,0),0)</f>
        <v>23.665529768710933</v>
      </c>
      <c r="L27" s="26">
        <f ca="1">24.1*OFFSET(L$108,MATCH($M$1,$C$109:$C$110,0),0)</f>
        <v>23.69584258319151</v>
      </c>
      <c r="M27" s="27">
        <f ca="1">21.8*OFFSET(M$108,MATCH($M$1,$C$109:$C$110,0),0)</f>
        <v>21.799999915303662</v>
      </c>
      <c r="N27" s="24">
        <f t="shared" ca="1" si="0"/>
        <v>0.92911896378795134</v>
      </c>
      <c r="O27" s="24">
        <f t="shared" ca="1" si="1"/>
        <v>0.59252993933317044</v>
      </c>
    </row>
    <row r="28" spans="1:15" s="19" customFormat="1" ht="18" customHeight="1" x14ac:dyDescent="0.2">
      <c r="A28" s="148"/>
      <c r="B28" s="33" t="s">
        <v>36</v>
      </c>
      <c r="C28" s="25"/>
      <c r="D28" s="26">
        <f ca="1">36.4*OFFSET(D$108,MATCH($M$1,$C$109:$C$110,0),0)</f>
        <v>29.609943734737094</v>
      </c>
      <c r="E28" s="26">
        <f ca="1">33.6*OFFSET(E$108,MATCH($M$1,$C$109:$C$110,0),0)</f>
        <v>28.067085863887065</v>
      </c>
      <c r="F28" s="26">
        <f ca="1">48*OFFSET(F$108,MATCH($M$1,$C$109:$C$110,0),0)</f>
        <v>41.247358932082875</v>
      </c>
      <c r="G28" s="26">
        <f ca="1">49.6*OFFSET(G$108,MATCH($M$1,$C$109:$C$110,0),0)</f>
        <v>43.859792584519262</v>
      </c>
      <c r="H28" s="26">
        <f ca="1">34.7*OFFSET(H$108,MATCH($M$1,$C$109:$C$110,0),0)</f>
        <v>31.291766501516374</v>
      </c>
      <c r="I28" s="26">
        <f ca="1">33.9*OFFSET(I$108,MATCH($M$1,$C$109:$C$110,0),0)</f>
        <v>31.54022058925446</v>
      </c>
      <c r="J28" s="26">
        <f ca="1">45.1*OFFSET(J$108,MATCH($M$1,$C$109:$C$110,0),0)</f>
        <v>42.852215661774267</v>
      </c>
      <c r="K28" s="26">
        <f ca="1">47.7*OFFSET(K$108,MATCH($M$1,$C$109:$C$110,0),0)</f>
        <v>46.075337549694346</v>
      </c>
      <c r="L28" s="26">
        <f ca="1">36*OFFSET(L$108,MATCH($M$1,$C$109:$C$110,0),0)</f>
        <v>35.396279377381504</v>
      </c>
      <c r="M28" s="27">
        <f ca="1">37.9*OFFSET(M$108,MATCH($M$1,$C$109:$C$110,0),0)</f>
        <v>37.899999852752693</v>
      </c>
      <c r="N28" s="24">
        <f t="shared" ca="1" si="0"/>
        <v>0.19541866389486359</v>
      </c>
      <c r="O28" s="24">
        <f t="shared" ca="1" si="1"/>
        <v>0.13116910084530473</v>
      </c>
    </row>
    <row r="29" spans="1:15" s="19" customFormat="1" ht="18" customHeight="1" x14ac:dyDescent="0.2">
      <c r="A29" s="148"/>
      <c r="B29" s="33" t="s">
        <v>37</v>
      </c>
      <c r="C29" s="25"/>
      <c r="D29" s="26">
        <f ca="1">18.8*OFFSET(D$108,MATCH($M$1,$C$109:$C$110,0),0)</f>
        <v>15.293047862996083</v>
      </c>
      <c r="E29" s="26">
        <f ca="1">26.9*OFFSET(E$108,MATCH($M$1,$C$109:$C$110,0),0)</f>
        <v>22.470375289838156</v>
      </c>
      <c r="F29" s="26">
        <f ca="1">16.4*OFFSET(F$108,MATCH($M$1,$C$109:$C$110,0),0)</f>
        <v>14.092847635128313</v>
      </c>
      <c r="G29" s="26">
        <f ca="1">17.9*OFFSET(G$108,MATCH($M$1,$C$109:$C$110,0),0)</f>
        <v>15.828433210945459</v>
      </c>
      <c r="H29" s="26">
        <f ca="1">15*OFFSET(H$108,MATCH($M$1,$C$109:$C$110,0),0)</f>
        <v>13.52670021679382</v>
      </c>
      <c r="I29" s="26">
        <f ca="1">20.5*OFFSET(I$108,MATCH($M$1,$C$109:$C$110,0),0)</f>
        <v>19.072994751614054</v>
      </c>
      <c r="J29" s="26">
        <f ca="1">21*OFFSET(J$108,MATCH($M$1,$C$109:$C$110,0),0)</f>
        <v>19.953359842511301</v>
      </c>
      <c r="K29" s="26">
        <f ca="1">24.1*OFFSET(K$108,MATCH($M$1,$C$109:$C$110,0),0)</f>
        <v>23.279153772487081</v>
      </c>
      <c r="L29" s="26">
        <f ca="1">18.8*OFFSET(L$108,MATCH($M$1,$C$109:$C$110,0),0)</f>
        <v>18.484723674854788</v>
      </c>
      <c r="M29" s="27">
        <f ca="1">19.2*OFFSET(M$108,MATCH($M$1,$C$109:$C$110,0),0)</f>
        <v>19.199999925405059</v>
      </c>
      <c r="N29" s="24">
        <f t="shared" ca="1" si="0"/>
        <v>0.20870109349369545</v>
      </c>
      <c r="O29" s="24">
        <f t="shared" ca="1" si="1"/>
        <v>0.36653606412489476</v>
      </c>
    </row>
    <row r="30" spans="1:15" s="19" customFormat="1" ht="18" customHeight="1" x14ac:dyDescent="0.2">
      <c r="A30" s="148"/>
      <c r="B30" s="33" t="s">
        <v>38</v>
      </c>
      <c r="C30" s="25"/>
      <c r="D30" s="26">
        <f ca="1">70.3*OFFSET(D$108,MATCH($M$1,$C$109:$C$110,0),0)</f>
        <v>57.186237487692793</v>
      </c>
      <c r="E30" s="26">
        <f ca="1">78*OFFSET(E$108,MATCH($M$1,$C$109:$C$110,0),0)</f>
        <v>65.155735041166395</v>
      </c>
      <c r="F30" s="26">
        <f ca="1">84.3*OFFSET(F$108,MATCH($M$1,$C$109:$C$110,0),0)</f>
        <v>72.440674124470547</v>
      </c>
      <c r="G30" s="26">
        <f ca="1">91.9*OFFSET(G$108,MATCH($M$1,$C$109:$C$110,0),0)</f>
        <v>81.264414083010493</v>
      </c>
      <c r="H30" s="26">
        <f ca="1">66.1*OFFSET(H$108,MATCH($M$1,$C$109:$C$110,0),0)</f>
        <v>59.607658955338096</v>
      </c>
      <c r="I30" s="26">
        <f ca="1">73.8*OFFSET(I$108,MATCH($M$1,$C$109:$C$110,0),0)</f>
        <v>68.662781105810595</v>
      </c>
      <c r="J30" s="26">
        <f ca="1">90*OFFSET(J$108,MATCH($M$1,$C$109:$C$110,0),0)</f>
        <v>85.51439932504843</v>
      </c>
      <c r="K30" s="26">
        <f ca="1">96.3*OFFSET(K$108,MATCH($M$1,$C$109:$C$110,0),0)</f>
        <v>93.020021090892357</v>
      </c>
      <c r="L30" s="26">
        <f ca="1">78.9*OFFSET(L$108,MATCH($M$1,$C$109:$C$110,0),0)</f>
        <v>77.576845635427802</v>
      </c>
      <c r="M30" s="27">
        <f ca="1">78.9*OFFSET(M$108,MATCH($M$1,$C$109:$C$110,0),0)</f>
        <v>78.899999693461424</v>
      </c>
      <c r="N30" s="24">
        <f t="shared" ca="1" si="0"/>
        <v>0.35656495414868528</v>
      </c>
      <c r="O30" s="24">
        <f t="shared" ca="1" si="1"/>
        <v>0.30145768169747078</v>
      </c>
    </row>
    <row r="31" spans="1:15" s="19" customFormat="1" ht="18" customHeight="1" x14ac:dyDescent="0.2">
      <c r="A31" s="148"/>
      <c r="B31" s="33" t="s">
        <v>39</v>
      </c>
      <c r="C31" s="25"/>
      <c r="D31" s="26">
        <f ca="1">16*OFFSET(D$108,MATCH($M$1,$C$109:$C$110,0),0)</f>
        <v>13.015359883400921</v>
      </c>
      <c r="E31" s="26">
        <f ca="1">36.7*OFFSET(E$108,MATCH($M$1,$C$109:$C$110,0),0)</f>
        <v>30.656608666805219</v>
      </c>
      <c r="F31" s="26">
        <f ca="1">25.7*OFFSET(F$108,MATCH($M$1,$C$109:$C$110,0),0)</f>
        <v>22.08452342821937</v>
      </c>
      <c r="G31" s="26">
        <f ca="1">20.1*OFFSET(G$108,MATCH($M$1,$C$109:$C$110,0),0)</f>
        <v>17.773827236871718</v>
      </c>
      <c r="H31" s="26">
        <f ca="1">19.3*OFFSET(H$108,MATCH($M$1,$C$109:$C$110,0),0)</f>
        <v>17.404354278941383</v>
      </c>
      <c r="I31" s="26">
        <f ca="1">18.7*OFFSET(I$108,MATCH($M$1,$C$109:$C$110,0),0)</f>
        <v>17.398292773423552</v>
      </c>
      <c r="J31" s="26">
        <f ca="1">21.3*OFFSET(J$108,MATCH($M$1,$C$109:$C$110,0),0)</f>
        <v>20.238407840261463</v>
      </c>
      <c r="K31" s="26">
        <f ca="1">27.4*OFFSET(K$108,MATCH($M$1,$C$109:$C$110,0),0)</f>
        <v>26.466755741333856</v>
      </c>
      <c r="L31" s="26">
        <f ca="1">17*OFFSET(L$108,MATCH($M$1,$C$109:$C$110,0),0)</f>
        <v>16.714909705985711</v>
      </c>
      <c r="M31" s="27">
        <f ca="1">17.4*OFFSET(M$108,MATCH($M$1,$C$109:$C$110,0),0)</f>
        <v>17.399999932398334</v>
      </c>
      <c r="N31" s="24">
        <f t="shared" ca="1" si="0"/>
        <v>0.28424491183705142</v>
      </c>
      <c r="O31" s="24">
        <f t="shared" ca="1" si="1"/>
        <v>-3.9613338243170232E-2</v>
      </c>
    </row>
    <row r="32" spans="1:15" s="19" customFormat="1" ht="18" customHeight="1" x14ac:dyDescent="0.2">
      <c r="A32" s="148"/>
      <c r="B32" s="33" t="s">
        <v>40</v>
      </c>
      <c r="C32" s="25"/>
      <c r="D32" s="26">
        <f ca="1">86.3*OFFSET(D$108,MATCH($M$1,$C$109:$C$110,0),0)</f>
        <v>70.201597371093712</v>
      </c>
      <c r="E32" s="26">
        <f ca="1">114.7*OFFSET(E$108,MATCH($M$1,$C$109:$C$110,0),0)</f>
        <v>95.812343707971621</v>
      </c>
      <c r="F32" s="26">
        <f ca="1">110*OFFSET(F$108,MATCH($M$1,$C$109:$C$110,0),0)</f>
        <v>94.525197552689917</v>
      </c>
      <c r="G32" s="26">
        <f ca="1">112*OFFSET(G$108,MATCH($M$1,$C$109:$C$110,0),0)</f>
        <v>99.038241319882204</v>
      </c>
      <c r="H32" s="26">
        <f ca="1">85.4*OFFSET(H$108,MATCH($M$1,$C$109:$C$110,0),0)</f>
        <v>77.012013234279493</v>
      </c>
      <c r="I32" s="26">
        <f ca="1">92.5*OFFSET(I$108,MATCH($M$1,$C$109:$C$110,0),0)</f>
        <v>86.061073879234144</v>
      </c>
      <c r="J32" s="26">
        <f ca="1">111.3*OFFSET(J$108,MATCH($M$1,$C$109:$C$110,0),0)</f>
        <v>105.75280716530989</v>
      </c>
      <c r="K32" s="26">
        <f ca="1">123.7*OFFSET(K$108,MATCH($M$1,$C$109:$C$110,0),0)</f>
        <v>119.48677683222621</v>
      </c>
      <c r="L32" s="26">
        <f ca="1">95.9*OFFSET(L$108,MATCH($M$1,$C$109:$C$110,0),0)</f>
        <v>94.29175534141352</v>
      </c>
      <c r="M32" s="27">
        <f ca="1">96.3*OFFSET(M$108,MATCH($M$1,$C$109:$C$110,0),0)</f>
        <v>96.299999625859741</v>
      </c>
      <c r="N32" s="24">
        <f t="shared" ca="1" si="0"/>
        <v>0.34315683506425737</v>
      </c>
      <c r="O32" s="24">
        <f t="shared" ca="1" si="1"/>
        <v>0.22437722871322741</v>
      </c>
    </row>
    <row r="33" spans="1:15" s="19" customFormat="1" ht="18" customHeight="1" x14ac:dyDescent="0.2">
      <c r="A33" s="148"/>
      <c r="B33" s="45" t="s">
        <v>41</v>
      </c>
      <c r="C33" s="46"/>
      <c r="D33" s="47">
        <f ca="1">62.1*OFFSET(D$108,MATCH($M$1,$C$109:$C$110,0),0)</f>
        <v>50.515865547449827</v>
      </c>
      <c r="E33" s="47">
        <f ca="1">56.3*OFFSET(E$108,MATCH($M$1,$C$109:$C$110,0),0)</f>
        <v>47.029075420739332</v>
      </c>
      <c r="F33" s="47">
        <f ca="1">75.8*OFFSET(F$108,MATCH($M$1,$C$109:$C$110,0),0)</f>
        <v>65.13645431358087</v>
      </c>
      <c r="G33" s="47">
        <f ca="1">80*OFFSET(G$108,MATCH($M$1,$C$109:$C$110,0),0)</f>
        <v>70.741600942773005</v>
      </c>
      <c r="H33" s="47">
        <f ca="1">51.9*OFFSET(H$108,MATCH($M$1,$C$109:$C$110,0),0)</f>
        <v>46.802382750106617</v>
      </c>
      <c r="I33" s="47">
        <f ca="1">53.1*OFFSET(I$108,MATCH($M$1,$C$109:$C$110,0),0)</f>
        <v>49.403708356619816</v>
      </c>
      <c r="J33" s="47">
        <f ca="1">81.3*OFFSET(J$108,MATCH($M$1,$C$109:$C$110,0),0)</f>
        <v>77.248007390293736</v>
      </c>
      <c r="K33" s="47">
        <f ca="1">83.8*OFFSET(K$108,MATCH($M$1,$C$109:$C$110,0),0)</f>
        <v>80.945771208896986</v>
      </c>
      <c r="L33" s="47">
        <f ca="1">66.8*OFFSET(L$108,MATCH($M$1,$C$109:$C$110,0),0)</f>
        <v>65.679762844696796</v>
      </c>
      <c r="M33" s="48">
        <f ca="1">71*OFFSET(M$108,MATCH($M$1,$C$109:$C$110,0),0)</f>
        <v>70.999999724154122</v>
      </c>
      <c r="N33" s="49">
        <f t="shared" ca="1" si="0"/>
        <v>0.3001808863990153</v>
      </c>
      <c r="O33" s="49">
        <f t="shared" ca="1" si="1"/>
        <v>0.4033422869810443</v>
      </c>
    </row>
    <row r="34" spans="1:15" s="19" customFormat="1" ht="18" customHeight="1" x14ac:dyDescent="0.2">
      <c r="A34" s="148"/>
      <c r="B34" s="45" t="s">
        <v>42</v>
      </c>
      <c r="C34" s="46"/>
      <c r="D34" s="47">
        <f ca="1">25.7*OFFSET(D$108,MATCH($M$1,$C$109:$C$110,0),0)</f>
        <v>20.905921812712727</v>
      </c>
      <c r="E34" s="47">
        <f ca="1">22.7*OFFSET(E$108,MATCH($M$1,$C$109:$C$110,0),0)</f>
        <v>18.961989556852274</v>
      </c>
      <c r="F34" s="47">
        <f ca="1">27.8*OFFSET(F$108,MATCH($M$1,$C$109:$C$110,0),0)</f>
        <v>23.889095381497999</v>
      </c>
      <c r="G34" s="47">
        <f ca="1">30.4*OFFSET(G$108,MATCH($M$1,$C$109:$C$110,0),0)</f>
        <v>26.881808358253743</v>
      </c>
      <c r="H34" s="47">
        <f ca="1">17.2*OFFSET(H$108,MATCH($M$1,$C$109:$C$110,0),0)</f>
        <v>15.510616248590246</v>
      </c>
      <c r="I34" s="47">
        <f ca="1">19.2*OFFSET(I$108,MATCH($M$1,$C$109:$C$110,0),0)</f>
        <v>17.863487767365356</v>
      </c>
      <c r="J34" s="47">
        <f ca="1">36.2*OFFSET(J$108,MATCH($M$1,$C$109:$C$110,0),0)</f>
        <v>34.395791728519484</v>
      </c>
      <c r="K34" s="47">
        <f ca="1">36.1*OFFSET(K$108,MATCH($M$1,$C$109:$C$110,0),0)</f>
        <v>34.870433659202639</v>
      </c>
      <c r="L34" s="47">
        <f ca="1">30.8*OFFSET(L$108,MATCH($M$1,$C$109:$C$110,0),0)</f>
        <v>30.283483467315289</v>
      </c>
      <c r="M34" s="48">
        <f ca="1">33.1*OFFSET(M$108,MATCH($M$1,$C$109:$C$110,0),0)</f>
        <v>33.09999987140143</v>
      </c>
      <c r="N34" s="49">
        <f t="shared" ca="1" si="0"/>
        <v>0.44856006535431225</v>
      </c>
      <c r="O34" s="49">
        <f t="shared" ca="1" si="1"/>
        <v>0.95243586598744867</v>
      </c>
    </row>
    <row r="35" spans="1:15" s="19" customFormat="1" ht="18" customHeight="1" x14ac:dyDescent="0.2">
      <c r="A35" s="148"/>
      <c r="B35" s="33" t="s">
        <v>43</v>
      </c>
      <c r="C35" s="25"/>
      <c r="D35" s="26">
        <f ca="1">5.5*OFFSET(D$108,MATCH($M$1,$C$109:$C$110,0),0)</f>
        <v>4.4740299599190667</v>
      </c>
      <c r="E35" s="26">
        <f ca="1">2.1*OFFSET(E$108,MATCH($M$1,$C$109:$C$110,0),0)</f>
        <v>1.7541928664929416</v>
      </c>
      <c r="F35" s="26">
        <f ca="1">1.9*OFFSET(F$108,MATCH($M$1,$C$109:$C$110,0),0)</f>
        <v>1.6327079577282804</v>
      </c>
      <c r="G35" s="26">
        <f ca="1">2.1*OFFSET(G$108,MATCH($M$1,$C$109:$C$110,0),0)</f>
        <v>1.8569670247477914</v>
      </c>
      <c r="H35" s="26">
        <f ca="1">4.6*OFFSET(H$108,MATCH($M$1,$C$109:$C$110,0),0)</f>
        <v>4.1481880664834376</v>
      </c>
      <c r="I35" s="26">
        <f ca="1">2.4*OFFSET(I$108,MATCH($M$1,$C$109:$C$110,0),0)</f>
        <v>2.2329359709206695</v>
      </c>
      <c r="J35" s="26">
        <f ca="1">2.1*OFFSET(J$108,MATCH($M$1,$C$109:$C$110,0),0)</f>
        <v>1.99533598425113</v>
      </c>
      <c r="K35" s="26">
        <f ca="1">4.5*OFFSET(K$108,MATCH($M$1,$C$109:$C$110,0),0)</f>
        <v>4.3467299575183347</v>
      </c>
      <c r="L35" s="26">
        <f ca="1">3.4*OFFSET(L$108,MATCH($M$1,$C$109:$C$110,0),0)</f>
        <v>3.342981941197142</v>
      </c>
      <c r="M35" s="27"/>
      <c r="N35" s="24">
        <f t="shared" ca="1" si="0"/>
        <v>-0.25280296038571565</v>
      </c>
      <c r="O35" s="24">
        <f t="shared" ca="1" si="1"/>
        <v>-0.19411032296057318</v>
      </c>
    </row>
    <row r="36" spans="1:15" s="19" customFormat="1" ht="18" customHeight="1" x14ac:dyDescent="0.2">
      <c r="A36" s="148"/>
      <c r="B36" s="33" t="s">
        <v>44</v>
      </c>
      <c r="C36" s="25"/>
      <c r="D36" s="26">
        <f ca="1">3.4*OFFSET(D$108,MATCH($M$1,$C$109:$C$110,0),0)</f>
        <v>2.7657639752226957</v>
      </c>
      <c r="E36" s="26">
        <f ca="1">3.2*OFFSET(E$108,MATCH($M$1,$C$109:$C$110,0),0)</f>
        <v>2.6730557965606732</v>
      </c>
      <c r="F36" s="26">
        <f ca="1">3.7*OFFSET(F$108,MATCH($M$1,$C$109:$C$110,0),0)</f>
        <v>3.1794839176813885</v>
      </c>
      <c r="G36" s="26">
        <f ca="1">1*OFFSET(G$108,MATCH($M$1,$C$109:$C$110,0),0)</f>
        <v>0.88427001178466258</v>
      </c>
      <c r="H36" s="26">
        <f ca="1">3.3*OFFSET(H$108,MATCH($M$1,$C$109:$C$110,0),0)</f>
        <v>2.9758740476946404</v>
      </c>
      <c r="I36" s="26">
        <f ca="1">0.7*OFFSET(I$108,MATCH($M$1,$C$109:$C$110,0),0)</f>
        <v>0.65127299151852858</v>
      </c>
      <c r="J36" s="26">
        <f ca="1">0.8*OFFSET(J$108,MATCH($M$1,$C$109:$C$110,0),0)</f>
        <v>0.76012799400043052</v>
      </c>
      <c r="K36" s="26">
        <f ca="1">0.7*OFFSET(K$108,MATCH($M$1,$C$109:$C$110,0),0)</f>
        <v>0.67615799339174087</v>
      </c>
      <c r="L36" s="26">
        <f ca="1">0.2*OFFSET(L$108,MATCH($M$1,$C$109:$C$110,0),0)</f>
        <v>0.19664599654100837</v>
      </c>
      <c r="M36" s="27"/>
      <c r="N36" s="24">
        <f t="shared" ca="1" si="0"/>
        <v>-0.92889993567684137</v>
      </c>
      <c r="O36" s="24">
        <f t="shared" ca="1" si="1"/>
        <v>-0.93391991952974396</v>
      </c>
    </row>
    <row r="37" spans="1:15" s="19" customFormat="1" ht="18" customHeight="1" x14ac:dyDescent="0.2">
      <c r="A37" s="148"/>
      <c r="B37" s="33" t="s">
        <v>45</v>
      </c>
      <c r="C37" s="25"/>
      <c r="D37" s="26"/>
      <c r="E37" s="26"/>
      <c r="F37" s="26"/>
      <c r="G37" s="26"/>
      <c r="H37" s="26">
        <f ca="1">1.3*OFFSET(H$108,MATCH($M$1,$C$109:$C$110,0),0)</f>
        <v>1.1723140187887977</v>
      </c>
      <c r="I37" s="26"/>
      <c r="J37" s="26">
        <f ca="1">0.5*OFFSET(J$108,MATCH($M$1,$C$109:$C$110,0),0)</f>
        <v>0.47507999625026903</v>
      </c>
      <c r="K37" s="26">
        <f ca="1">0.2*OFFSET(K$108,MATCH($M$1,$C$109:$C$110,0),0)</f>
        <v>0.193187998111926</v>
      </c>
      <c r="L37" s="26">
        <f ca="1">0.1*OFFSET(L$108,MATCH($M$1,$C$109:$C$110,0),0)</f>
        <v>9.8322998270504183E-2</v>
      </c>
      <c r="M37" s="27"/>
      <c r="N37" s="24" t="str">
        <f t="shared" ca="1" si="0"/>
        <v/>
      </c>
      <c r="O37" s="24">
        <f t="shared" ca="1" si="1"/>
        <v>-0.91612912863390572</v>
      </c>
    </row>
    <row r="38" spans="1:15" s="19" customFormat="1" ht="18" customHeight="1" thickBot="1" x14ac:dyDescent="0.25">
      <c r="A38" s="149"/>
      <c r="B38" s="50" t="s">
        <v>46</v>
      </c>
      <c r="C38" s="51"/>
      <c r="D38" s="52">
        <f ca="1">16.8*OFFSET(D$108,MATCH($M$1,$C$109:$C$110,0),0)</f>
        <v>13.666127877570966</v>
      </c>
      <c r="E38" s="52">
        <f ca="1">17.3*OFFSET(E$108,MATCH($M$1,$C$109:$C$110,0),0)</f>
        <v>14.451207900156138</v>
      </c>
      <c r="F38" s="52">
        <f ca="1">22.2*OFFSET(F$108,MATCH($M$1,$C$109:$C$110,0),0)</f>
        <v>19.076903506088328</v>
      </c>
      <c r="G38" s="52">
        <f ca="1">27.4*OFFSET(G$108,MATCH($M$1,$C$109:$C$110,0),0)</f>
        <v>24.228998322899752</v>
      </c>
      <c r="H38" s="52">
        <f ca="1">8*OFFSET(H$108,MATCH($M$1,$C$109:$C$110,0),0)</f>
        <v>7.2142401156233706</v>
      </c>
      <c r="I38" s="52">
        <f ca="1">16.1*OFFSET(I$108,MATCH($M$1,$C$109:$C$110,0),0)</f>
        <v>14.97927880492616</v>
      </c>
      <c r="J38" s="52">
        <f ca="1">32.7*OFFSET(J$108,MATCH($M$1,$C$109:$C$110,0),0)</f>
        <v>31.070231754767597</v>
      </c>
      <c r="K38" s="52">
        <f ca="1">30.8*OFFSET(K$108,MATCH($M$1,$C$109:$C$110,0),0)</f>
        <v>29.750951709236599</v>
      </c>
      <c r="L38" s="52">
        <f ca="1">27.2*OFFSET(L$108,MATCH($M$1,$C$109:$C$110,0),0)</f>
        <v>26.743855529577136</v>
      </c>
      <c r="M38" s="53"/>
      <c r="N38" s="54">
        <f t="shared" ca="1" si="0"/>
        <v>0.95694462756122112</v>
      </c>
      <c r="O38" s="54">
        <f t="shared" ca="1" si="1"/>
        <v>2.7070925143813627</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Area VIIA nephrops under 250kW</v>
      </c>
      <c r="C45" s="61"/>
      <c r="D45" s="61"/>
      <c r="E45" s="61"/>
      <c r="F45" s="61" t="str">
        <f>$B21&amp;CHAR(10)&amp;$A$1</f>
        <v>Income per kW day at sea (£)
Area VIIA nephrops under 250kW</v>
      </c>
      <c r="G45" s="61"/>
      <c r="K45" s="61" t="str">
        <f>$B23&amp;CHAR(10)&amp;$A$1</f>
        <v>Operating profit per kW day at sea (£)
Area VIIA nephrops under 250kW</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Area VIIA nephrops under 250kW</v>
      </c>
      <c r="F59" s="61" t="str">
        <f>$B19&amp;CHAR(10)&amp;$A$1</f>
        <v>Average price per tonne landed (£)
Area VIIA nephrops under 250kW</v>
      </c>
      <c r="K59" s="61" t="str">
        <f>"Average annual operating profit per vessel (£'000)"&amp;CHAR(10)&amp;$A$1</f>
        <v>Average annual operating profit per vessel (£'000)
Area VIIA nephrops under 250kW</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Area VIIA nephrops under 250kW</v>
      </c>
      <c r="F73" s="61" t="str">
        <f>"Top 5 landed species by value in "&amp;A74&amp;CHAR(10)&amp;A1</f>
        <v>Top 5 landed species by value in 2013
Area VIIA nephrops under 250kW</v>
      </c>
    </row>
    <row r="74" spans="1:9" s="61" customFormat="1" x14ac:dyDescent="0.2">
      <c r="A74" s="61">
        <v>2013</v>
      </c>
      <c r="B74" s="61" t="s">
        <v>87</v>
      </c>
      <c r="C74" s="62">
        <v>0.79862242682688567</v>
      </c>
      <c r="D74" s="63">
        <v>8211234</v>
      </c>
      <c r="G74" s="61" t="s">
        <v>88</v>
      </c>
      <c r="H74" s="62">
        <v>0.85759624813509749</v>
      </c>
      <c r="I74" s="63">
        <v>8211234</v>
      </c>
    </row>
    <row r="75" spans="1:9" s="61" customFormat="1" x14ac:dyDescent="0.2">
      <c r="B75" s="61" t="s">
        <v>89</v>
      </c>
      <c r="C75" s="62">
        <v>6.3377321798196468E-2</v>
      </c>
      <c r="D75" s="63">
        <v>2171775</v>
      </c>
      <c r="G75" s="61" t="s">
        <v>90</v>
      </c>
      <c r="H75" s="62">
        <v>6.1731168903097947E-2</v>
      </c>
      <c r="I75" s="63">
        <v>2171775</v>
      </c>
    </row>
    <row r="76" spans="1:9" s="61" customFormat="1" x14ac:dyDescent="0.2">
      <c r="B76" s="61" t="s">
        <v>91</v>
      </c>
      <c r="C76" s="62">
        <v>5.3314089419304628E-2</v>
      </c>
      <c r="D76" s="63">
        <v>2783840</v>
      </c>
      <c r="G76" s="61" t="s">
        <v>92</v>
      </c>
      <c r="H76" s="62">
        <v>1.5380737962073546E-2</v>
      </c>
      <c r="I76" s="63">
        <v>2783840</v>
      </c>
    </row>
    <row r="77" spans="1:9" s="61" customFormat="1" x14ac:dyDescent="0.2">
      <c r="B77" s="61" t="s">
        <v>93</v>
      </c>
      <c r="C77" s="62">
        <v>1.6832697962575714E-2</v>
      </c>
      <c r="D77" s="63">
        <v>3511670</v>
      </c>
      <c r="G77" s="61" t="s">
        <v>94</v>
      </c>
      <c r="H77" s="62">
        <v>9.8829355128620833E-3</v>
      </c>
      <c r="I77" s="63">
        <v>6763595</v>
      </c>
    </row>
    <row r="78" spans="1:9" s="61" customFormat="1" x14ac:dyDescent="0.2">
      <c r="B78" s="61" t="s">
        <v>95</v>
      </c>
      <c r="C78" s="62">
        <v>1.1480117080845198E-2</v>
      </c>
      <c r="D78" s="63">
        <v>2764187</v>
      </c>
      <c r="G78" s="61" t="s">
        <v>96</v>
      </c>
      <c r="H78" s="62">
        <v>6.2379416034434483E-3</v>
      </c>
      <c r="I78" s="63">
        <v>2764187</v>
      </c>
    </row>
    <row r="79" spans="1:9" s="61" customFormat="1" x14ac:dyDescent="0.2">
      <c r="B79" s="61" t="s">
        <v>97</v>
      </c>
      <c r="C79" s="62">
        <v>5.6373346912192424E-2</v>
      </c>
      <c r="D79" s="63">
        <v>32768</v>
      </c>
      <c r="G79" s="61" t="s">
        <v>98</v>
      </c>
      <c r="H79" s="62">
        <v>4.9170967883425454E-2</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60</v>
      </c>
      <c r="D88" s="66">
        <v>0.88103199156931022</v>
      </c>
      <c r="E88" s="66">
        <v>0.88341309461426376</v>
      </c>
      <c r="F88" s="66">
        <v>0.86741295409888552</v>
      </c>
      <c r="G88" s="66">
        <v>0.90388368998605584</v>
      </c>
      <c r="H88" s="66">
        <v>0.90193428465643133</v>
      </c>
      <c r="I88" s="66">
        <v>0.89277081928297464</v>
      </c>
      <c r="J88" s="66">
        <v>0.90629760212489141</v>
      </c>
      <c r="K88" s="66">
        <v>0.90843016159671119</v>
      </c>
      <c r="L88" s="66">
        <v>0.87222345513475585</v>
      </c>
      <c r="M88" s="66">
        <v>0.9029712574815173</v>
      </c>
      <c r="N88" s="61"/>
      <c r="O88" s="61">
        <v>8211234</v>
      </c>
    </row>
    <row r="89" spans="1:15" s="65" customFormat="1" hidden="1" x14ac:dyDescent="0.2">
      <c r="A89" s="61"/>
      <c r="B89" s="61">
        <v>2</v>
      </c>
      <c r="C89" s="61" t="s">
        <v>59</v>
      </c>
      <c r="D89" s="66"/>
      <c r="E89" s="66">
        <v>1.1655196047663546E-2</v>
      </c>
      <c r="F89" s="66">
        <v>1.9546029502310082E-2</v>
      </c>
      <c r="G89" s="66">
        <v>1.4872085452803057E-2</v>
      </c>
      <c r="H89" s="66">
        <v>2.1121037827447037E-2</v>
      </c>
      <c r="I89" s="66">
        <v>3.1583961448446503E-2</v>
      </c>
      <c r="J89" s="66">
        <v>4.4444991834629376E-2</v>
      </c>
      <c r="K89" s="66">
        <v>5.2332839360725476E-2</v>
      </c>
      <c r="L89" s="66">
        <v>6.2784058987260541E-2</v>
      </c>
      <c r="M89" s="66">
        <v>6.9512093395608682E-2</v>
      </c>
      <c r="N89" s="61"/>
      <c r="O89" s="61">
        <v>2171775</v>
      </c>
    </row>
    <row r="90" spans="1:15" s="65" customFormat="1" hidden="1" x14ac:dyDescent="0.2">
      <c r="A90" s="61"/>
      <c r="B90" s="61">
        <v>3</v>
      </c>
      <c r="C90" s="61" t="s">
        <v>62</v>
      </c>
      <c r="D90" s="66"/>
      <c r="E90" s="66"/>
      <c r="F90" s="66"/>
      <c r="G90" s="66"/>
      <c r="H90" s="66"/>
      <c r="I90" s="66">
        <v>1.2173529006930793E-2</v>
      </c>
      <c r="J90" s="66"/>
      <c r="K90" s="66"/>
      <c r="L90" s="66">
        <v>1.5643072642837347E-2</v>
      </c>
      <c r="M90" s="66"/>
      <c r="N90" s="61"/>
      <c r="O90" s="61">
        <v>2783840</v>
      </c>
    </row>
    <row r="91" spans="1:15" s="65" customFormat="1" hidden="1" x14ac:dyDescent="0.2">
      <c r="A91" s="61"/>
      <c r="B91" s="61">
        <v>4</v>
      </c>
      <c r="C91" s="61" t="s">
        <v>82</v>
      </c>
      <c r="D91" s="66">
        <v>1.4894995789183922E-2</v>
      </c>
      <c r="E91" s="66">
        <v>1.5334271544665662E-2</v>
      </c>
      <c r="F91" s="66">
        <v>1.637190323581527E-2</v>
      </c>
      <c r="G91" s="66">
        <v>1.2555705562516331E-2</v>
      </c>
      <c r="H91" s="66">
        <v>1.5000379969453536E-2</v>
      </c>
      <c r="I91" s="66">
        <v>9.111250789127676E-3</v>
      </c>
      <c r="J91" s="66">
        <v>8.4884174206319753E-3</v>
      </c>
      <c r="K91" s="66">
        <v>8.7443434392984343E-3</v>
      </c>
      <c r="L91" s="66">
        <v>1.0051499384060523E-2</v>
      </c>
      <c r="M91" s="66">
        <v>6.9957912174171419E-3</v>
      </c>
      <c r="N91" s="61"/>
      <c r="O91" s="61">
        <v>6763595</v>
      </c>
    </row>
    <row r="92" spans="1:15" s="65" customFormat="1" hidden="1" x14ac:dyDescent="0.2">
      <c r="A92" s="61"/>
      <c r="B92" s="61">
        <v>5</v>
      </c>
      <c r="C92" s="61" t="s">
        <v>63</v>
      </c>
      <c r="D92" s="66"/>
      <c r="E92" s="66"/>
      <c r="F92" s="66"/>
      <c r="G92" s="66"/>
      <c r="H92" s="66">
        <v>5.6871905696292474E-3</v>
      </c>
      <c r="I92" s="66">
        <v>9.3610700474328987E-3</v>
      </c>
      <c r="J92" s="66"/>
      <c r="K92" s="66">
        <v>5.783588718472725E-3</v>
      </c>
      <c r="L92" s="66">
        <v>6.3443362655980044E-3</v>
      </c>
      <c r="M92" s="66">
        <v>2.7245766111076695E-3</v>
      </c>
      <c r="N92" s="61"/>
      <c r="O92" s="61">
        <v>2764187</v>
      </c>
    </row>
    <row r="93" spans="1:15" s="65" customFormat="1" hidden="1" x14ac:dyDescent="0.2">
      <c r="A93" s="61"/>
      <c r="B93" s="61">
        <v>6</v>
      </c>
      <c r="C93" s="61" t="s">
        <v>65</v>
      </c>
      <c r="D93" s="66">
        <v>2.2529899673885734E-2</v>
      </c>
      <c r="E93" s="66">
        <v>1.5357150805884427E-2</v>
      </c>
      <c r="F93" s="66">
        <v>1.6296045563746572E-2</v>
      </c>
      <c r="G93" s="66">
        <v>1.4504827572463727E-2</v>
      </c>
      <c r="H93" s="66">
        <v>9.9153184013036303E-3</v>
      </c>
      <c r="I93" s="66"/>
      <c r="J93" s="66"/>
      <c r="K93" s="66"/>
      <c r="L93" s="66"/>
      <c r="M93" s="66">
        <v>3.8025551060702472E-3</v>
      </c>
      <c r="N93" s="61"/>
      <c r="O93" s="61">
        <v>3511670</v>
      </c>
    </row>
    <row r="94" spans="1:15" s="65" customFormat="1" hidden="1" x14ac:dyDescent="0.2">
      <c r="A94" s="61"/>
      <c r="B94" s="61">
        <v>7</v>
      </c>
      <c r="C94" s="61" t="s">
        <v>61</v>
      </c>
      <c r="D94" s="66"/>
      <c r="E94" s="66"/>
      <c r="F94" s="66"/>
      <c r="G94" s="66">
        <v>8.1962614226458747E-3</v>
      </c>
      <c r="H94" s="66"/>
      <c r="I94" s="66"/>
      <c r="J94" s="66"/>
      <c r="K94" s="66">
        <v>3.5079946437815961E-3</v>
      </c>
      <c r="L94" s="66"/>
      <c r="M94" s="66"/>
      <c r="N94" s="61"/>
      <c r="O94" s="61">
        <v>1464488</v>
      </c>
    </row>
    <row r="95" spans="1:15" s="65" customFormat="1" hidden="1" x14ac:dyDescent="0.2">
      <c r="A95" s="61"/>
      <c r="B95" s="61">
        <v>8</v>
      </c>
      <c r="C95" s="61" t="s">
        <v>99</v>
      </c>
      <c r="D95" s="66"/>
      <c r="E95" s="66"/>
      <c r="F95" s="66"/>
      <c r="G95" s="66"/>
      <c r="H95" s="66"/>
      <c r="I95" s="66"/>
      <c r="J95" s="66">
        <v>9.1662807444180591E-3</v>
      </c>
      <c r="K95" s="66"/>
      <c r="L95" s="66"/>
      <c r="M95" s="66"/>
      <c r="N95" s="61"/>
      <c r="O95" s="61">
        <v>8274269</v>
      </c>
    </row>
    <row r="96" spans="1:15" s="65" customFormat="1" hidden="1" x14ac:dyDescent="0.2">
      <c r="A96" s="61"/>
      <c r="B96" s="61">
        <v>9</v>
      </c>
      <c r="C96" s="61" t="s">
        <v>100</v>
      </c>
      <c r="D96" s="66"/>
      <c r="E96" s="66"/>
      <c r="F96" s="66"/>
      <c r="G96" s="66"/>
      <c r="H96" s="66"/>
      <c r="I96" s="66"/>
      <c r="J96" s="66">
        <v>3.8505220309578E-3</v>
      </c>
      <c r="K96" s="66"/>
      <c r="L96" s="66"/>
      <c r="M96" s="66"/>
      <c r="N96" s="61"/>
      <c r="O96" s="61">
        <v>10520359</v>
      </c>
    </row>
    <row r="97" spans="1:15" s="65" customFormat="1" hidden="1" x14ac:dyDescent="0.2">
      <c r="A97" s="61"/>
      <c r="B97" s="61">
        <v>10</v>
      </c>
      <c r="C97" s="61" t="s">
        <v>85</v>
      </c>
      <c r="D97" s="66">
        <v>1.1006499555092872E-2</v>
      </c>
      <c r="E97" s="66">
        <v>1.196784157243609E-2</v>
      </c>
      <c r="F97" s="66">
        <v>1.160953719977296E-2</v>
      </c>
      <c r="G97" s="66"/>
      <c r="H97" s="66"/>
      <c r="I97" s="66"/>
      <c r="J97" s="66"/>
      <c r="K97" s="66"/>
      <c r="L97" s="66"/>
      <c r="M97" s="66"/>
      <c r="N97" s="61"/>
      <c r="O97" s="61">
        <v>1928395</v>
      </c>
    </row>
    <row r="98" spans="1:15" s="65" customFormat="1" hidden="1" x14ac:dyDescent="0.2">
      <c r="A98" s="61"/>
      <c r="B98" s="61">
        <v>11</v>
      </c>
      <c r="C98" s="61" t="s">
        <v>101</v>
      </c>
      <c r="D98" s="66">
        <v>8.8161961799224503E-3</v>
      </c>
      <c r="E98" s="66"/>
      <c r="F98" s="66"/>
      <c r="G98" s="66"/>
      <c r="H98" s="66"/>
      <c r="I98" s="66"/>
      <c r="J98" s="66"/>
      <c r="K98" s="66"/>
      <c r="L98" s="66"/>
      <c r="M98" s="66"/>
      <c r="N98" s="61"/>
      <c r="O98" s="61">
        <v>10782840</v>
      </c>
    </row>
    <row r="99" spans="1:15" s="65" customFormat="1" hidden="1" x14ac:dyDescent="0.2">
      <c r="A99" s="61"/>
      <c r="B99" s="61">
        <v>12</v>
      </c>
      <c r="C99" s="61" t="s">
        <v>68</v>
      </c>
      <c r="D99" s="66">
        <v>6.172041723260481E-2</v>
      </c>
      <c r="E99" s="66">
        <v>6.2272445415086558E-2</v>
      </c>
      <c r="F99" s="66">
        <v>6.8763530399469613E-2</v>
      </c>
      <c r="G99" s="66">
        <v>4.5987430003515205E-2</v>
      </c>
      <c r="H99" s="66">
        <v>4.6341788575735232E-2</v>
      </c>
      <c r="I99" s="66">
        <v>4.4999369425087511E-2</v>
      </c>
      <c r="J99" s="66">
        <v>2.7752185844471429E-2</v>
      </c>
      <c r="K99" s="66">
        <v>2.1201072241010588E-2</v>
      </c>
      <c r="L99" s="66">
        <v>3.2953577585487719E-2</v>
      </c>
      <c r="M99" s="66">
        <v>1.399372618827901E-2</v>
      </c>
      <c r="N99" s="61"/>
      <c r="O99" s="61">
        <v>32768</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13</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'Area VIIa nephrops u250kW'!D3:L3</xm:f>
              <xm:sqref>C3</xm:sqref>
            </x14:sparkline>
            <x14:sparkline>
              <xm:f>'Area VIIa nephrops u250kW'!D4:L4</xm:f>
              <xm:sqref>C4</xm:sqref>
            </x14:sparkline>
            <x14:sparkline>
              <xm:f>'Area VIIa nephrops u250kW'!D5:L5</xm:f>
              <xm:sqref>C5</xm:sqref>
            </x14:sparkline>
            <x14:sparkline>
              <xm:f>'Area VIIa nephrops u250kW'!D6:L6</xm:f>
              <xm:sqref>C6</xm:sqref>
            </x14:sparkline>
            <x14:sparkline>
              <xm:f>'Area VIIa nephrops u250kW'!D7:L7</xm:f>
              <xm:sqref>C7</xm:sqref>
            </x14:sparkline>
            <x14:sparkline>
              <xm:f>'Area VIIa nephrops u250kW'!D8:L8</xm:f>
              <xm:sqref>C8</xm:sqref>
            </x14:sparkline>
            <x14:sparkline>
              <xm:f>'Area VIIa nephrops u250kW'!D9:L9</xm:f>
              <xm:sqref>C9</xm:sqref>
            </x14:sparkline>
            <x14:sparkline>
              <xm:f>'Area VIIa nephrops u250kW'!D10:L10</xm:f>
              <xm:sqref>C10</xm:sqref>
            </x14:sparkline>
            <x14:sparkline>
              <xm:f>'Area VIIa nephrops u250kW'!D11:L11</xm:f>
              <xm:sqref>C11</xm:sqref>
            </x14:sparkline>
            <x14:sparkline>
              <xm:f>'Area VIIa nephrops u250kW'!D12:L12</xm:f>
              <xm:sqref>C12</xm:sqref>
            </x14:sparkline>
            <x14:sparkline>
              <xm:f>'Area VIIa nephrops u250kW'!D13:L13</xm:f>
              <xm:sqref>C13</xm:sqref>
            </x14:sparkline>
            <x14:sparkline>
              <xm:f>'Area VIIa nephrops u250kW'!D14:L14</xm:f>
              <xm:sqref>C14</xm:sqref>
            </x14:sparkline>
            <x14:sparkline>
              <xm:f>'Area VIIa nephrops u250kW'!D15:L15</xm:f>
              <xm:sqref>C15</xm:sqref>
            </x14:sparkline>
            <x14:sparkline>
              <xm:f>'Area VIIa nephrops u250kW'!D16:L16</xm:f>
              <xm:sqref>C16</xm:sqref>
            </x14:sparkline>
            <x14:sparkline>
              <xm:f>'Area VIIa nephrops u250kW'!D17:L17</xm:f>
              <xm:sqref>C17</xm:sqref>
            </x14:sparkline>
            <x14:sparkline>
              <xm:f>'Area VIIa nephrops u250kW'!D18:L18</xm:f>
              <xm:sqref>C18</xm:sqref>
            </x14:sparkline>
            <x14:sparkline>
              <xm:f>'Area VIIa nephrops u250kW'!D19:L19</xm:f>
              <xm:sqref>C19</xm:sqref>
            </x14:sparkline>
            <x14:sparkline>
              <xm:f>'Area VIIa nephrops u250kW'!D20:L20</xm:f>
              <xm:sqref>C20</xm:sqref>
            </x14:sparkline>
            <x14:sparkline>
              <xm:f>'Area VIIa nephrops u250kW'!D21:L21</xm:f>
              <xm:sqref>C21</xm:sqref>
            </x14:sparkline>
            <x14:sparkline>
              <xm:f>'Area VIIa nephrops u250kW'!D22:L22</xm:f>
              <xm:sqref>C22</xm:sqref>
            </x14:sparkline>
            <x14:sparkline>
              <xm:f>'Area VIIa nephrops u250kW'!D23:L23</xm:f>
              <xm:sqref>C23</xm:sqref>
            </x14:sparkline>
            <x14:sparkline>
              <xm:f>'Area VIIa nephrops u250kW'!D24:L24</xm:f>
              <xm:sqref>C24</xm:sqref>
            </x14:sparkline>
            <x14:sparkline>
              <xm:f>'Area VIIa nephrops u250kW'!D25:L25</xm:f>
              <xm:sqref>C25</xm:sqref>
            </x14:sparkline>
            <x14:sparkline>
              <xm:f>'Area VIIa nephrops u250kW'!D26:L26</xm:f>
              <xm:sqref>C26</xm:sqref>
            </x14:sparkline>
            <x14:sparkline>
              <xm:f>'Area VIIa nephrops u250kW'!D27:L27</xm:f>
              <xm:sqref>C27</xm:sqref>
            </x14:sparkline>
            <x14:sparkline>
              <xm:f>'Area VIIa nephrops u250kW'!D28:L28</xm:f>
              <xm:sqref>C28</xm:sqref>
            </x14:sparkline>
            <x14:sparkline>
              <xm:f>'Area VIIa nephrops u250kW'!D29:L29</xm:f>
              <xm:sqref>C29</xm:sqref>
            </x14:sparkline>
            <x14:sparkline>
              <xm:f>'Area VIIa nephrops u250kW'!D30:L30</xm:f>
              <xm:sqref>C30</xm:sqref>
            </x14:sparkline>
            <x14:sparkline>
              <xm:f>'Area VIIa nephrops u250kW'!D31:L31</xm:f>
              <xm:sqref>C31</xm:sqref>
            </x14:sparkline>
            <x14:sparkline>
              <xm:f>'Area VIIa nephrops u250kW'!D32:L32</xm:f>
              <xm:sqref>C32</xm:sqref>
            </x14:sparkline>
            <x14:sparkline>
              <xm:f>'Area VIIa nephrops u250kW'!D33:L33</xm:f>
              <xm:sqref>C33</xm:sqref>
            </x14:sparkline>
            <x14:sparkline>
              <xm:f>'Area VIIa nephrops u250kW'!D34:L34</xm:f>
              <xm:sqref>C34</xm:sqref>
            </x14:sparkline>
            <x14:sparkline>
              <xm:f>'Area VIIa nephrops u250kW'!D35:L35</xm:f>
              <xm:sqref>C35</xm:sqref>
            </x14:sparkline>
            <x14:sparkline>
              <xm:f>'Area VIIa nephrops u250kW'!D36:L36</xm:f>
              <xm:sqref>C36</xm:sqref>
            </x14:sparkline>
            <x14:sparkline>
              <xm:f>'Area VIIa nephrops u250kW'!D37:L37</xm:f>
              <xm:sqref>C37</xm:sqref>
            </x14:sparkline>
            <x14:sparkline>
              <xm:f>'Area VIIa nephrops u250kW'!D38:L38</xm:f>
              <xm:sqref>C38</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102</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16</v>
      </c>
      <c r="E3" s="16">
        <v>17</v>
      </c>
      <c r="F3" s="16">
        <v>16</v>
      </c>
      <c r="G3" s="16">
        <v>15</v>
      </c>
      <c r="H3" s="16">
        <v>14</v>
      </c>
      <c r="I3" s="16">
        <v>15</v>
      </c>
      <c r="J3" s="16">
        <v>15</v>
      </c>
      <c r="K3" s="16">
        <v>15</v>
      </c>
      <c r="L3" s="16">
        <v>13</v>
      </c>
      <c r="M3" s="17">
        <v>13</v>
      </c>
      <c r="N3" s="18">
        <f t="shared" ref="N3:N38" si="0">IF(L3=0,"",IFERROR(IF(AND(L3&gt;0,D3&lt;0),"na",IF(AND(L3&lt;0,D3&lt;0),-1,1)*(L3-D3)/D3),""))</f>
        <v>-0.1875</v>
      </c>
      <c r="O3" s="18">
        <f t="shared" ref="O3:O38" si="1">IF(L3=0,"",IFERROR(IF(AND(L3&gt;0,H3&lt;0),"na",IF(AND(L3&lt;0,H3&lt;0),-1,1)*(L3-H3)/H3),""))</f>
        <v>-7.1428571428571425E-2</v>
      </c>
    </row>
    <row r="4" spans="1:15" s="19" customFormat="1" ht="18" customHeight="1" x14ac:dyDescent="0.2">
      <c r="A4" s="141"/>
      <c r="B4" s="20" t="s">
        <v>20</v>
      </c>
      <c r="C4" s="21"/>
      <c r="D4" s="22">
        <v>11396</v>
      </c>
      <c r="E4" s="22">
        <v>12333</v>
      </c>
      <c r="F4" s="22">
        <v>11030</v>
      </c>
      <c r="G4" s="22">
        <v>10491</v>
      </c>
      <c r="H4" s="22">
        <v>9730</v>
      </c>
      <c r="I4" s="22">
        <v>10458</v>
      </c>
      <c r="J4" s="22">
        <v>10011</v>
      </c>
      <c r="K4" s="22">
        <v>9622</v>
      </c>
      <c r="L4" s="22">
        <v>8015</v>
      </c>
      <c r="M4" s="23">
        <v>8022</v>
      </c>
      <c r="N4" s="24">
        <f t="shared" si="0"/>
        <v>-0.29668304668304668</v>
      </c>
      <c r="O4" s="24">
        <f t="shared" si="1"/>
        <v>-0.17625899280575538</v>
      </c>
    </row>
    <row r="5" spans="1:15" s="19" customFormat="1" ht="18" customHeight="1" x14ac:dyDescent="0.2">
      <c r="A5" s="141"/>
      <c r="B5" s="20" t="s">
        <v>21</v>
      </c>
      <c r="C5" s="21"/>
      <c r="D5" s="22">
        <v>5084</v>
      </c>
      <c r="E5" s="22">
        <v>5543</v>
      </c>
      <c r="F5" s="22">
        <v>5004</v>
      </c>
      <c r="G5" s="22">
        <v>4640</v>
      </c>
      <c r="H5" s="22">
        <v>4530</v>
      </c>
      <c r="I5" s="22">
        <v>5011</v>
      </c>
      <c r="J5" s="22">
        <v>4971</v>
      </c>
      <c r="K5" s="22">
        <v>4765</v>
      </c>
      <c r="L5" s="22">
        <v>4068</v>
      </c>
      <c r="M5" s="23">
        <v>4266</v>
      </c>
      <c r="N5" s="24">
        <f t="shared" si="0"/>
        <v>-0.19984264358772619</v>
      </c>
      <c r="O5" s="24">
        <f t="shared" si="1"/>
        <v>-0.10198675496688742</v>
      </c>
    </row>
    <row r="6" spans="1:15" s="19" customFormat="1" ht="18" customHeight="1" x14ac:dyDescent="0.2">
      <c r="A6" s="141"/>
      <c r="B6" s="20" t="s">
        <v>22</v>
      </c>
      <c r="C6" s="21"/>
      <c r="D6" s="22">
        <v>9259.31640625</v>
      </c>
      <c r="E6" s="22">
        <v>10474.1953125</v>
      </c>
      <c r="F6" s="22">
        <v>8604.015625</v>
      </c>
      <c r="G6" s="22">
        <v>8918.5126953125</v>
      </c>
      <c r="H6" s="22">
        <v>8462.68359375</v>
      </c>
      <c r="I6" s="22">
        <v>9120.5693359375</v>
      </c>
      <c r="J6" s="22">
        <v>8752.7666015625</v>
      </c>
      <c r="K6" s="22">
        <v>8372.9365234375</v>
      </c>
      <c r="L6" s="22">
        <v>7120.54638671875</v>
      </c>
      <c r="M6" s="23">
        <v>7197.1845703125</v>
      </c>
      <c r="N6" s="24">
        <f t="shared" si="0"/>
        <v>-0.23098573649428258</v>
      </c>
      <c r="O6" s="24">
        <f t="shared" si="1"/>
        <v>-0.15859475214487131</v>
      </c>
    </row>
    <row r="7" spans="1:15" s="19" customFormat="1" ht="18" customHeight="1" x14ac:dyDescent="0.2">
      <c r="A7" s="141"/>
      <c r="B7" s="20" t="s">
        <v>23</v>
      </c>
      <c r="C7" s="21"/>
      <c r="D7" s="22">
        <v>4281.7978515625</v>
      </c>
      <c r="E7" s="22">
        <v>4720.7939453125</v>
      </c>
      <c r="F7" s="22">
        <v>4295.35546875</v>
      </c>
      <c r="G7" s="22">
        <v>4513.2001953125</v>
      </c>
      <c r="H7" s="22">
        <v>5423.42822265625</v>
      </c>
      <c r="I7" s="22">
        <v>6938.4384765625</v>
      </c>
      <c r="J7" s="22">
        <v>7708.53515625</v>
      </c>
      <c r="K7" s="22">
        <v>8910.078125</v>
      </c>
      <c r="L7" s="22">
        <v>6941.7958984375</v>
      </c>
      <c r="M7" s="23">
        <v>8619.7861328125</v>
      </c>
      <c r="N7" s="24">
        <f t="shared" si="0"/>
        <v>0.62123391600664235</v>
      </c>
      <c r="O7" s="24">
        <f t="shared" si="1"/>
        <v>0.27996455626319583</v>
      </c>
    </row>
    <row r="8" spans="1:15" s="19" customFormat="1" ht="18" customHeight="1" x14ac:dyDescent="0.2">
      <c r="A8" s="141"/>
      <c r="B8" s="20" t="s">
        <v>24</v>
      </c>
      <c r="C8" s="25"/>
      <c r="D8" s="26">
        <f ca="1">12.832919*OFFSET(D$108,MATCH($M$1,$C$109:$C$110,0),0)</f>
        <v>10.439066196220841</v>
      </c>
      <c r="E8" s="26">
        <f ca="1">11.922213*OFFSET(E$108,MATCH($M$1,$C$109:$C$110,0),0)</f>
        <v>9.9589814273378146</v>
      </c>
      <c r="F8" s="26">
        <f ca="1">10.847672*OFFSET(F$108,MATCH($M$1,$C$109:$C$110,0),0)</f>
        <v>9.3216212616980254</v>
      </c>
      <c r="G8" s="26">
        <f ca="1">11.24212*OFFSET(G$108,MATCH($M$1,$C$109:$C$110,0),0)</f>
        <v>9.9410695848845911</v>
      </c>
      <c r="H8" s="26">
        <f ca="1">15.079333*OFFSET(H$108,MATCH($M$1,$C$109:$C$110,0),0)</f>
        <v>13.598241130680414</v>
      </c>
      <c r="I8" s="26">
        <f ca="1">20.335468*OFFSET(I$108,MATCH($M$1,$C$109:$C$110,0),0)</f>
        <v>18.919915826127585</v>
      </c>
      <c r="J8" s="26">
        <f ca="1">20.355684*OFFSET(J$108,MATCH($M$1,$C$109:$C$110,0),0)</f>
        <v>19.341156556783321</v>
      </c>
      <c r="K8" s="26">
        <f ca="1">24.03199*OFFSET(K$108,MATCH($M$1,$C$109:$C$110,0),0)</f>
        <v>23.213460193729119</v>
      </c>
      <c r="L8" s="26">
        <f ca="1">17.540996*OFFSET(L$108,MATCH($M$1,$C$109:$C$110,0),0)</f>
        <v>17.246833193709207</v>
      </c>
      <c r="M8" s="27">
        <f ca="1">22.171108*OFFSET(M$108,MATCH($M$1,$C$109:$C$110,0),0)</f>
        <v>22.171107913861849</v>
      </c>
      <c r="N8" s="24">
        <f t="shared" ca="1" si="0"/>
        <v>0.65214329227578993</v>
      </c>
      <c r="O8" s="24">
        <f t="shared" ca="1" si="1"/>
        <v>0.26831352878401482</v>
      </c>
    </row>
    <row r="9" spans="1:15" s="19" customFormat="1" ht="18" customHeight="1" x14ac:dyDescent="0.2">
      <c r="A9" s="141"/>
      <c r="B9" s="20" t="s">
        <v>25</v>
      </c>
      <c r="C9" s="25"/>
      <c r="D9" s="22">
        <v>4420</v>
      </c>
      <c r="E9" s="22">
        <v>4654</v>
      </c>
      <c r="F9" s="22">
        <v>4414</v>
      </c>
      <c r="G9" s="22">
        <v>3719</v>
      </c>
      <c r="H9" s="22">
        <v>3595</v>
      </c>
      <c r="I9" s="22">
        <v>3958</v>
      </c>
      <c r="J9" s="22">
        <v>3997</v>
      </c>
      <c r="K9" s="22">
        <v>4081.75</v>
      </c>
      <c r="L9" s="22">
        <v>3305.83984375</v>
      </c>
      <c r="M9" s="23">
        <v>3290.41015625</v>
      </c>
      <c r="N9" s="24">
        <f t="shared" si="0"/>
        <v>-0.25207243354072401</v>
      </c>
      <c r="O9" s="24">
        <f t="shared" si="1"/>
        <v>-8.0433979485396379E-2</v>
      </c>
    </row>
    <row r="10" spans="1:15" s="19" customFormat="1" ht="18" customHeight="1" x14ac:dyDescent="0.2">
      <c r="A10" s="142" t="s">
        <v>7</v>
      </c>
      <c r="B10" s="28" t="s">
        <v>26</v>
      </c>
      <c r="C10" s="29"/>
      <c r="D10" s="30">
        <v>36.409374237060547</v>
      </c>
      <c r="E10" s="30">
        <v>36.472942352294922</v>
      </c>
      <c r="F10" s="30">
        <v>35.713748931884766</v>
      </c>
      <c r="G10" s="30">
        <v>35.282001495361328</v>
      </c>
      <c r="H10" s="30">
        <v>35.093570709228516</v>
      </c>
      <c r="I10" s="30">
        <v>35.066665649414063</v>
      </c>
      <c r="J10" s="30">
        <v>35.060001373291016</v>
      </c>
      <c r="K10" s="30">
        <v>33.471332550048828</v>
      </c>
      <c r="L10" s="30">
        <v>33.782306671142578</v>
      </c>
      <c r="M10" s="31">
        <v>34.060768127441406</v>
      </c>
      <c r="N10" s="32">
        <f t="shared" si="0"/>
        <v>-7.2153603871717098E-2</v>
      </c>
      <c r="O10" s="32">
        <f t="shared" si="1"/>
        <v>-3.7364793937629037E-2</v>
      </c>
    </row>
    <row r="11" spans="1:15" s="19" customFormat="1" ht="18" customHeight="1" x14ac:dyDescent="0.2">
      <c r="A11" s="143"/>
      <c r="B11" s="33" t="s">
        <v>20</v>
      </c>
      <c r="C11" s="21"/>
      <c r="D11" s="22">
        <v>712.25</v>
      </c>
      <c r="E11" s="22">
        <v>725.4705810546875</v>
      </c>
      <c r="F11" s="22">
        <v>689.375</v>
      </c>
      <c r="G11" s="22">
        <v>699.4000244140625</v>
      </c>
      <c r="H11" s="22">
        <v>695</v>
      </c>
      <c r="I11" s="22">
        <v>697.20001220703125</v>
      </c>
      <c r="J11" s="22">
        <v>667.4000244140625</v>
      </c>
      <c r="K11" s="22">
        <v>641.4666748046875</v>
      </c>
      <c r="L11" s="22">
        <v>616.5384521484375</v>
      </c>
      <c r="M11" s="23">
        <v>617.076904296875</v>
      </c>
      <c r="N11" s="24">
        <f t="shared" si="0"/>
        <v>-0.1343791475627413</v>
      </c>
      <c r="O11" s="24">
        <f t="shared" si="1"/>
        <v>-0.11289431345548562</v>
      </c>
    </row>
    <row r="12" spans="1:15" s="19" customFormat="1" ht="18" customHeight="1" x14ac:dyDescent="0.2">
      <c r="A12" s="143"/>
      <c r="B12" s="33" t="s">
        <v>21</v>
      </c>
      <c r="C12" s="21"/>
      <c r="D12" s="22">
        <v>317.75</v>
      </c>
      <c r="E12" s="22">
        <v>326.058837890625</v>
      </c>
      <c r="F12" s="22">
        <v>312.75</v>
      </c>
      <c r="G12" s="22">
        <v>309.33334350585937</v>
      </c>
      <c r="H12" s="22">
        <v>323.57144165039062</v>
      </c>
      <c r="I12" s="22">
        <v>334.06668090820312</v>
      </c>
      <c r="J12" s="22">
        <v>331.39999389648437</v>
      </c>
      <c r="K12" s="22">
        <v>317.66665649414062</v>
      </c>
      <c r="L12" s="22">
        <v>312.92306518554687</v>
      </c>
      <c r="M12" s="23">
        <v>328.15383911132812</v>
      </c>
      <c r="N12" s="24">
        <f t="shared" si="0"/>
        <v>-1.5190982893636899E-2</v>
      </c>
      <c r="O12" s="24">
        <f t="shared" si="1"/>
        <v>-3.2908888406625841E-2</v>
      </c>
    </row>
    <row r="13" spans="1:15" s="19" customFormat="1" ht="18" customHeight="1" x14ac:dyDescent="0.2">
      <c r="A13" s="143"/>
      <c r="B13" s="33" t="s">
        <v>22</v>
      </c>
      <c r="C13" s="21"/>
      <c r="D13" s="22">
        <v>578.707275390625</v>
      </c>
      <c r="E13" s="22">
        <v>616.129150390625</v>
      </c>
      <c r="F13" s="22">
        <v>537.7509765625</v>
      </c>
      <c r="G13" s="22">
        <v>594.5675048828125</v>
      </c>
      <c r="H13" s="22">
        <v>604.4774169921875</v>
      </c>
      <c r="I13" s="22">
        <v>608.03790283203125</v>
      </c>
      <c r="J13" s="22">
        <v>583.517822265625</v>
      </c>
      <c r="K13" s="22">
        <v>558.19580078125</v>
      </c>
      <c r="L13" s="22">
        <v>547.73431396484375</v>
      </c>
      <c r="M13" s="23">
        <v>553.62957763671875</v>
      </c>
      <c r="N13" s="24">
        <f t="shared" si="0"/>
        <v>-5.3520947019155114E-2</v>
      </c>
      <c r="O13" s="24">
        <f t="shared" si="1"/>
        <v>-9.3871336516906004E-2</v>
      </c>
    </row>
    <row r="14" spans="1:15" s="19" customFormat="1" ht="18" customHeight="1" x14ac:dyDescent="0.2">
      <c r="A14" s="143"/>
      <c r="B14" s="33" t="s">
        <v>23</v>
      </c>
      <c r="C14" s="25"/>
      <c r="D14" s="26">
        <v>267.61236572265625</v>
      </c>
      <c r="E14" s="26">
        <v>277.69375610351562</v>
      </c>
      <c r="F14" s="26">
        <v>268.459716796875</v>
      </c>
      <c r="G14" s="26">
        <v>300.8800048828125</v>
      </c>
      <c r="H14" s="26">
        <v>387.38772583007812</v>
      </c>
      <c r="I14" s="26">
        <v>462.56256103515625</v>
      </c>
      <c r="J14" s="26">
        <v>513.90234375</v>
      </c>
      <c r="K14" s="26">
        <v>594.00518798828125</v>
      </c>
      <c r="L14" s="26">
        <v>533.98431396484375</v>
      </c>
      <c r="M14" s="27">
        <v>663.0604248046875</v>
      </c>
      <c r="N14" s="24">
        <f t="shared" si="0"/>
        <v>0.99536487233271476</v>
      </c>
      <c r="O14" s="24">
        <f t="shared" si="1"/>
        <v>0.37842342015520658</v>
      </c>
    </row>
    <row r="15" spans="1:15" s="19" customFormat="1" ht="18" customHeight="1" x14ac:dyDescent="0.2">
      <c r="A15" s="143"/>
      <c r="B15" s="33" t="s">
        <v>27</v>
      </c>
      <c r="C15" s="25"/>
      <c r="D15" s="26">
        <f ca="1">802.0574375*OFFSET(D$108,MATCH($M$1,$C$109:$C$110,0),0)</f>
        <v>652.44163726380259</v>
      </c>
      <c r="E15" s="26">
        <f ca="1">701.3066875*OFFSET(E$108,MATCH($M$1,$C$109:$C$110,0),0)</f>
        <v>585.82247068394975</v>
      </c>
      <c r="F15" s="26">
        <f ca="1">677.9795*OFFSET(F$108,MATCH($M$1,$C$109:$C$110,0),0)</f>
        <v>582.60132885612666</v>
      </c>
      <c r="G15" s="26">
        <f ca="1">749.474625*OFFSET(G$108,MATCH($M$1,$C$109:$C$110,0),0)</f>
        <v>662.7379354810555</v>
      </c>
      <c r="H15" s="26">
        <f ca="1">1077.09525*OFFSET(H$108,MATCH($M$1,$C$109:$C$110,0),0)</f>
        <v>971.30297011217294</v>
      </c>
      <c r="I15" s="26">
        <f ca="1">1355.697875*OFFSET(I$108,MATCH($M$1,$C$109:$C$110,0),0)</f>
        <v>1261.3277294950892</v>
      </c>
      <c r="J15" s="26">
        <f ca="1">1357.045625*OFFSET(J$108,MATCH($M$1,$C$109:$C$110,0),0)</f>
        <v>1289.4104608728881</v>
      </c>
      <c r="K15" s="26">
        <f ca="1">1602.132625*OFFSET(K$108,MATCH($M$1,$C$109:$C$110,0),0)</f>
        <v>1547.563972667775</v>
      </c>
      <c r="L15" s="26">
        <f ca="1">1349.307375*OFFSET(L$108,MATCH($M$1,$C$109:$C$110,0),0)</f>
        <v>1326.6794669850356</v>
      </c>
      <c r="M15" s="27">
        <f ca="1">1705.469875*OFFSET(M$108,MATCH($M$1,$C$109:$C$110,0),0)</f>
        <v>1705.4698683739882</v>
      </c>
      <c r="N15" s="24">
        <f t="shared" ca="1" si="0"/>
        <v>1.0334071144644275</v>
      </c>
      <c r="O15" s="24">
        <f t="shared" ca="1" si="1"/>
        <v>0.36587605289812014</v>
      </c>
    </row>
    <row r="16" spans="1:15" s="19" customFormat="1" ht="18" customHeight="1" x14ac:dyDescent="0.2">
      <c r="A16" s="143"/>
      <c r="B16" s="33" t="s">
        <v>25</v>
      </c>
      <c r="C16" s="21"/>
      <c r="D16" s="22">
        <v>276.25</v>
      </c>
      <c r="E16" s="22">
        <v>273.76470947265625</v>
      </c>
      <c r="F16" s="22">
        <v>275.875</v>
      </c>
      <c r="G16" s="22">
        <v>247.93333435058594</v>
      </c>
      <c r="H16" s="22">
        <v>256.78570556640625</v>
      </c>
      <c r="I16" s="22">
        <v>263.86666870117187</v>
      </c>
      <c r="J16" s="22">
        <v>266.4666748046875</v>
      </c>
      <c r="K16" s="22">
        <v>272.11666870117187</v>
      </c>
      <c r="L16" s="22">
        <v>254.29536437988281</v>
      </c>
      <c r="M16" s="23">
        <v>253.10847473144531</v>
      </c>
      <c r="N16" s="24">
        <f t="shared" si="0"/>
        <v>-7.9473794099971726E-2</v>
      </c>
      <c r="O16" s="24">
        <f t="shared" si="1"/>
        <v>-9.6981301238336301E-3</v>
      </c>
    </row>
    <row r="17" spans="1:15" s="19" customFormat="1" ht="18" customHeight="1" x14ac:dyDescent="0.2">
      <c r="A17" s="143"/>
      <c r="B17" s="33" t="s">
        <v>28</v>
      </c>
      <c r="C17" s="21"/>
      <c r="D17" s="22">
        <v>27.25</v>
      </c>
      <c r="E17" s="22">
        <v>27.352941513061523</v>
      </c>
      <c r="F17" s="22">
        <v>25.9375</v>
      </c>
      <c r="G17" s="22">
        <v>23.333333969116211</v>
      </c>
      <c r="H17" s="22">
        <v>21</v>
      </c>
      <c r="I17" s="22">
        <v>16.866666793823242</v>
      </c>
      <c r="J17" s="22">
        <v>18.866666793823242</v>
      </c>
      <c r="K17" s="22">
        <v>16.733333587646484</v>
      </c>
      <c r="L17" s="22">
        <v>18.230770111083984</v>
      </c>
      <c r="M17" s="23">
        <v>17.846153259277344</v>
      </c>
      <c r="N17" s="24">
        <f t="shared" si="0"/>
        <v>-0.33098091335471619</v>
      </c>
      <c r="O17" s="24">
        <f t="shared" si="1"/>
        <v>-0.1318680899483817</v>
      </c>
    </row>
    <row r="18" spans="1:15" s="19" customFormat="1" ht="18" customHeight="1" x14ac:dyDescent="0.2">
      <c r="A18" s="143"/>
      <c r="B18" s="33" t="s">
        <v>29</v>
      </c>
      <c r="C18" s="21"/>
      <c r="D18" s="34">
        <v>0.96873253583908081</v>
      </c>
      <c r="E18" s="34">
        <v>1.0143519639968872</v>
      </c>
      <c r="F18" s="34">
        <v>0.97312086820602417</v>
      </c>
      <c r="G18" s="34">
        <v>1.2135519981384277</v>
      </c>
      <c r="H18" s="34">
        <v>1.5086032152175903</v>
      </c>
      <c r="I18" s="34">
        <v>1.7530162334442139</v>
      </c>
      <c r="J18" s="34">
        <v>1.9285801649093628</v>
      </c>
      <c r="K18" s="34">
        <v>2.1829063892364502</v>
      </c>
      <c r="L18" s="34">
        <v>2.0998585224151611</v>
      </c>
      <c r="M18" s="35">
        <v>2.6196689605712891</v>
      </c>
      <c r="N18" s="24">
        <f t="shared" si="0"/>
        <v>1.1676349711908254</v>
      </c>
      <c r="O18" s="24">
        <f t="shared" si="1"/>
        <v>0.39192234328646336</v>
      </c>
    </row>
    <row r="19" spans="1:15" s="19" customFormat="1" ht="18" customHeight="1" x14ac:dyDescent="0.2">
      <c r="A19" s="144"/>
      <c r="B19" s="36" t="s">
        <v>8</v>
      </c>
      <c r="C19" s="37"/>
      <c r="D19" s="38">
        <f ca="1">2997.0866082146*OFFSET(D$108,MATCH($M$1,$C$109:$C$110,0),0)</f>
        <v>2438.0100504771522</v>
      </c>
      <c r="E19" s="38">
        <f ca="1">2525.46777896081*OFFSET(E$108,MATCH($M$1,$C$109:$C$110,0),0)</f>
        <v>2109.5988392432505</v>
      </c>
      <c r="F19" s="38">
        <f ca="1">2525.44220819908*OFFSET(F$108,MATCH($M$1,$C$109:$C$110,0),0)</f>
        <v>2170.1629421629045</v>
      </c>
      <c r="G19" s="38">
        <f ca="1">2490.94201752368*OFFSET(G$108,MATCH($M$1,$C$109:$C$110,0),0)</f>
        <v>2202.6653271905757</v>
      </c>
      <c r="H19" s="38">
        <f ca="1">2780.40611600729*OFFSET(H$108,MATCH($M$1,$C$109:$C$110,0),0)</f>
        <v>2507.3146674780451</v>
      </c>
      <c r="I19" s="38">
        <f ca="1">2930.84215831727*OFFSET(I$108,MATCH($M$1,$C$109:$C$110,0),0)</f>
        <v>2726.8262001655849</v>
      </c>
      <c r="J19" s="38">
        <f ca="1">2640.66824466589*OFFSET(J$108,MATCH($M$1,$C$109:$C$110,0),0)</f>
        <v>2509.0573195481511</v>
      </c>
      <c r="K19" s="38">
        <f ca="1">2697.16939210339*OFFSET(K$108,MATCH($M$1,$C$109:$C$110,0),0)</f>
        <v>2605.3037771460708</v>
      </c>
      <c r="L19" s="38">
        <f ca="1">2526.86714744065*OFFSET(L$108,MATCH($M$1,$C$109:$C$110,0),0)</f>
        <v>2484.4915416760086</v>
      </c>
      <c r="M19" s="39">
        <f ca="1">2572.11810808187*OFFSET(M$108,MATCH($M$1,$C$109:$C$110,0),0)</f>
        <v>2572.1180980887971</v>
      </c>
      <c r="N19" s="40">
        <f ca="1">IF(L19=0,"",IFERROR(IF(AND(L19&gt;0,D19&lt;0),"na",IF(AND(L19&lt;0,D19&lt;0),-1,1)*(L19-D19)/D19),""))</f>
        <v>1.9065340271980997E-2</v>
      </c>
      <c r="O19" s="40">
        <f ca="1">IF(L19=0,"",IFERROR(IF(AND(L19&gt;0,H19&lt;0),"na",IF(AND(L19&lt;0,H19&lt;0),-1,1)*(L19-H19)/H19),""))</f>
        <v>-9.1026172734006375E-3</v>
      </c>
    </row>
    <row r="20" spans="1:15" s="19" customFormat="1" ht="18" customHeight="1" x14ac:dyDescent="0.2">
      <c r="A20" s="145" t="s">
        <v>9</v>
      </c>
      <c r="B20" s="28" t="s">
        <v>30</v>
      </c>
      <c r="C20" s="41"/>
      <c r="D20" s="42">
        <v>1.3594998669845015</v>
      </c>
      <c r="E20" s="42">
        <v>1.4158581132629902</v>
      </c>
      <c r="F20" s="42">
        <v>1.40793612620816</v>
      </c>
      <c r="G20" s="42">
        <v>1.7646942131162728</v>
      </c>
      <c r="H20" s="42">
        <v>2.1512457286372317</v>
      </c>
      <c r="I20" s="42">
        <v>2.5906129328002758</v>
      </c>
      <c r="J20" s="42">
        <v>2.9098992268315098</v>
      </c>
      <c r="K20" s="42">
        <v>3.4354772856396929</v>
      </c>
      <c r="L20" s="42">
        <v>3.5957669473224025</v>
      </c>
      <c r="M20" s="43">
        <v>4.2497637503611498</v>
      </c>
      <c r="N20" s="32">
        <f t="shared" si="0"/>
        <v>1.6449189401527133</v>
      </c>
      <c r="O20" s="32">
        <f t="shared" si="1"/>
        <v>0.67148127220233655</v>
      </c>
    </row>
    <row r="21" spans="1:15" s="19" customFormat="1" ht="18" customHeight="1" x14ac:dyDescent="0.2">
      <c r="A21" s="145"/>
      <c r="B21" s="33" t="s">
        <v>31</v>
      </c>
      <c r="C21" s="21"/>
      <c r="D21" s="34">
        <f ca="1">4.07453884520878*OFFSET(D$108,MATCH($M$1,$C$109:$C$110,0),0)</f>
        <v>3.3144743393305665</v>
      </c>
      <c r="E21" s="34">
        <f ca="1">3.57570432016601*OFFSET(E$108,MATCH($M$1,$C$109:$C$110,0),0)</f>
        <v>2.9868928624396229</v>
      </c>
      <c r="F21" s="34">
        <f ca="1">3.5556613195744*OFFSET(F$108,MATCH($M$1,$C$109:$C$110,0),0)</f>
        <v>3.0554508060293482</v>
      </c>
      <c r="G21" s="34">
        <f ca="1">4.39575083804627*OFFSET(G$108,MATCH($M$1,$C$109:$C$110,0),0)</f>
        <v>3.8870306453616159</v>
      </c>
      <c r="H21" s="34">
        <f ca="1">5.98133704658033*OFFSET(H$108,MATCH($M$1,$C$109:$C$110,0),0)</f>
        <v>5.3938502083130038</v>
      </c>
      <c r="I21" s="34">
        <f ca="1">7.59267771279466*OFFSET(I$108,MATCH($M$1,$C$109:$C$110,0),0)</f>
        <v>7.0641513252111974</v>
      </c>
      <c r="J21" s="34">
        <f ca="1">7.68407862503076*OFFSET(J$108,MATCH($M$1,$C$109:$C$110,0),0)</f>
        <v>7.3011040887327718</v>
      </c>
      <c r="K21" s="34">
        <f ca="1">9.26606425847982*OFFSET(K$108,MATCH($M$1,$C$109:$C$110,0),0)</f>
        <v>8.9504620223609219</v>
      </c>
      <c r="L21" s="34">
        <f ca="1">9.08602506462912*OFFSET(L$108,MATCH($M$1,$C$109:$C$110,0),0)</f>
        <v>8.9336522671528655</v>
      </c>
      <c r="M21" s="35">
        <f ca="1">10.930895256255*OFFSET(M$108,MATCH($M$1,$C$109:$C$110,0),0)</f>
        <v>10.930895213786798</v>
      </c>
      <c r="N21" s="24">
        <f t="shared" ca="1" si="0"/>
        <v>1.6953451294352819</v>
      </c>
      <c r="O21" s="24">
        <f t="shared" ca="1" si="1"/>
        <v>0.65626628885324212</v>
      </c>
    </row>
    <row r="22" spans="1:15" s="19" customFormat="1" ht="18" customHeight="1" x14ac:dyDescent="0.2">
      <c r="A22" s="145"/>
      <c r="B22" s="33" t="s">
        <v>10</v>
      </c>
      <c r="C22" s="21"/>
      <c r="D22" s="34">
        <f ca="1">4.30978652748863*OFFSET(D$108,MATCH($M$1,$C$109:$C$110,0),0)</f>
        <v>3.5058389172435791</v>
      </c>
      <c r="E22" s="34">
        <f ca="1">4.54660372193721*OFFSET(E$108,MATCH($M$1,$C$109:$C$110,0),0)</f>
        <v>3.7979141979964339</v>
      </c>
      <c r="F22" s="34">
        <f ca="1">4.11935093943688*OFFSET(F$108,MATCH($M$1,$C$109:$C$110,0),0)</f>
        <v>3.5398405576284535</v>
      </c>
      <c r="G22" s="34">
        <f ca="1">5.15232569466954*OFFSET(G$108,MATCH($M$1,$C$109:$C$110,0),0)</f>
        <v>4.5560471027438538</v>
      </c>
      <c r="H22" s="34">
        <f ca="1">6.0260784639194*OFFSET(H$108,MATCH($M$1,$C$109:$C$110,0),0)</f>
        <v>5.4341971242876745</v>
      </c>
      <c r="I22" s="34">
        <f ca="1">5.59707765878419*OFFSET(I$108,MATCH($M$1,$C$109:$C$110,0),0)</f>
        <v>5.20746501513986</v>
      </c>
      <c r="J22" s="34">
        <f ca="1">6.03318548974666*OFFSET(J$108,MATCH($M$1,$C$109:$C$110,0),0)</f>
        <v>5.7324914796920412</v>
      </c>
      <c r="K22" s="34">
        <f ca="1">9.34989035595051*OFFSET(K$108,MATCH($M$1,$C$109:$C$110,0),0)</f>
        <v>9.0314330021604103</v>
      </c>
      <c r="L22" s="34">
        <f ca="1">9.16586682982209*OFFSET(L$108,MATCH($M$1,$C$109:$C$110,0),0)</f>
        <v>9.0121550845626892</v>
      </c>
      <c r="M22" s="35">
        <f ca="1">10.6822634449172*OFFSET(M$108,MATCH($M$1,$C$109:$C$110,0),0)</f>
        <v>10.682263403414971</v>
      </c>
      <c r="N22" s="24">
        <f t="shared" ca="1" si="0"/>
        <v>1.5706129965744062</v>
      </c>
      <c r="O22" s="24">
        <f t="shared" ca="1" si="1"/>
        <v>0.65841519518746217</v>
      </c>
    </row>
    <row r="23" spans="1:15" s="19" customFormat="1" ht="18" customHeight="1" x14ac:dyDescent="0.2">
      <c r="A23" s="146"/>
      <c r="B23" s="33" t="s">
        <v>32</v>
      </c>
      <c r="C23" s="44"/>
      <c r="D23" s="34">
        <f ca="1">-0.235247682279851*OFFSET(D$108,MATCH($M$1,$C$109:$C$110,0),0)</f>
        <v>-0.19136457791301364</v>
      </c>
      <c r="E23" s="34">
        <f ca="1">-0.970899401771201*OFFSET(E$108,MATCH($M$1,$C$109:$C$110,0),0)</f>
        <v>-0.811021335556812</v>
      </c>
      <c r="F23" s="34">
        <f ca="1">-0.563689619862483*OFFSET(F$108,MATCH($M$1,$C$109:$C$110,0),0)</f>
        <v>-0.48438975159910808</v>
      </c>
      <c r="G23" s="34">
        <f ca="1">-0.756574856623271*OFFSET(G$108,MATCH($M$1,$C$109:$C$110,0),0)</f>
        <v>-0.66901645738223925</v>
      </c>
      <c r="H23" s="34">
        <f ca="1">-0.0447414173390679*OFFSET(H$108,MATCH($M$1,$C$109:$C$110,0),0)</f>
        <v>-4.0346915974668836E-2</v>
      </c>
      <c r="I23" s="34">
        <f ca="1">1.99560005401047*OFFSET(I$108,MATCH($M$1,$C$109:$C$110,0),0)</f>
        <v>1.8566863100713373</v>
      </c>
      <c r="J23" s="34">
        <f ca="1">1.65089313528409*OFFSET(J$108,MATCH($M$1,$C$109:$C$110,0),0)</f>
        <v>1.5686126090407209</v>
      </c>
      <c r="K23" s="34">
        <f ca="1">-0.0838260974706953*OFFSET(K$108,MATCH($M$1,$C$109:$C$110,0),0)</f>
        <v>-8.0970979799494039E-2</v>
      </c>
      <c r="L23" s="34">
        <f ca="1">-0.079841765192972*OFFSET(L$108,MATCH($M$1,$C$109:$C$110,0),0)</f>
        <v>-7.8502817409825856E-2</v>
      </c>
      <c r="M23" s="35">
        <f ca="1">0.248631811337779*OFFSET(M$108,MATCH($M$1,$C$109:$C$110,0),0)</f>
        <v>0.24863181037180632</v>
      </c>
      <c r="N23" s="24">
        <f t="shared" ca="1" si="0"/>
        <v>0.58977351887186791</v>
      </c>
      <c r="O23" s="24">
        <f t="shared" ca="1" si="1"/>
        <v>-0.94569561299586291</v>
      </c>
    </row>
    <row r="24" spans="1:15" s="19" customFormat="1" ht="18" customHeight="1" x14ac:dyDescent="0.2">
      <c r="A24" s="147" t="s">
        <v>11</v>
      </c>
      <c r="B24" s="28" t="s">
        <v>27</v>
      </c>
      <c r="C24" s="29"/>
      <c r="D24" s="30">
        <f ca="1">802.1*OFFSET(D$108,MATCH($M$1,$C$109:$C$110,0),0)</f>
        <v>652.47626015474236</v>
      </c>
      <c r="E24" s="30">
        <f ca="1">701.3*OFFSET(E$108,MATCH($M$1,$C$109:$C$110,0),0)</f>
        <v>585.81688441499989</v>
      </c>
      <c r="F24" s="30">
        <f ca="1">678*OFFSET(F$108,MATCH($M$1,$C$109:$C$110,0),0)</f>
        <v>582.61894491567057</v>
      </c>
      <c r="G24" s="30">
        <f ca="1">749.5*OFFSET(G$108,MATCH($M$1,$C$109:$C$110,0),0)</f>
        <v>662.76037383260461</v>
      </c>
      <c r="H24" s="30">
        <f ca="1">1077.1*OFFSET(H$108,MATCH($M$1,$C$109:$C$110,0),0)</f>
        <v>971.30725356724145</v>
      </c>
      <c r="I24" s="30">
        <f ca="1">1355.7*OFFSET(I$108,MATCH($M$1,$C$109:$C$110,0),0)</f>
        <v>1261.3297065738134</v>
      </c>
      <c r="J24" s="30">
        <f ca="1">1357*OFFSET(J$108,MATCH($M$1,$C$109:$C$110,0),0)</f>
        <v>1289.3671098232301</v>
      </c>
      <c r="K24" s="30">
        <f ca="1">1602.1*OFFSET(K$108,MATCH($M$1,$C$109:$C$110,0),0)</f>
        <v>1547.532458875583</v>
      </c>
      <c r="L24" s="30">
        <f ca="1">1349.3*OFFSET(L$108,MATCH($M$1,$C$109:$C$110,0),0)</f>
        <v>1326.6722156639128</v>
      </c>
      <c r="M24" s="31">
        <f ca="1">1705.5*OFFSET(M$108,MATCH($M$1,$C$109:$C$110,0),0)</f>
        <v>1705.4999933738711</v>
      </c>
      <c r="N24" s="32">
        <f t="shared" ca="1" si="0"/>
        <v>1.0332881005498606</v>
      </c>
      <c r="O24" s="32">
        <f t="shared" ca="1" si="1"/>
        <v>0.36586256387106264</v>
      </c>
    </row>
    <row r="25" spans="1:15" s="19" customFormat="1" ht="18" customHeight="1" x14ac:dyDescent="0.2">
      <c r="A25" s="148"/>
      <c r="B25" s="33" t="s">
        <v>33</v>
      </c>
      <c r="C25" s="25"/>
      <c r="D25" s="26">
        <f ca="1">2.4*OFFSET(D$108,MATCH($M$1,$C$109:$C$110,0),0)</f>
        <v>1.952303982510138</v>
      </c>
      <c r="E25" s="26">
        <f ca="1">3.6*OFFSET(E$108,MATCH($M$1,$C$109:$C$110,0),0)</f>
        <v>3.0071877711307571</v>
      </c>
      <c r="F25" s="26">
        <f ca="1">3.5*OFFSET(F$108,MATCH($M$1,$C$109:$C$110,0),0)</f>
        <v>3.0076199221310427</v>
      </c>
      <c r="G25" s="26">
        <f ca="1">3.9*OFFSET(G$108,MATCH($M$1,$C$109:$C$110,0),0)</f>
        <v>3.4486530459601838</v>
      </c>
      <c r="H25" s="26">
        <f ca="1">3*OFFSET(H$108,MATCH($M$1,$C$109:$C$110,0),0)</f>
        <v>2.7053400433587642</v>
      </c>
      <c r="I25" s="26">
        <f ca="1">3.8*OFFSET(I$108,MATCH($M$1,$C$109:$C$110,0),0)</f>
        <v>3.5354819539577269</v>
      </c>
      <c r="J25" s="26">
        <f ca="1">3.8*OFFSET(J$108,MATCH($M$1,$C$109:$C$110,0),0)</f>
        <v>3.6106079715020445</v>
      </c>
      <c r="K25" s="26">
        <f ca="1">4.5*OFFSET(K$108,MATCH($M$1,$C$109:$C$110,0),0)</f>
        <v>4.3467299575183347</v>
      </c>
      <c r="L25" s="26">
        <f ca="1">3.8*OFFSET(L$108,MATCH($M$1,$C$109:$C$110,0),0)</f>
        <v>3.7362739342791587</v>
      </c>
      <c r="M25" s="27">
        <f ca="1">4.8*OFFSET(M$108,MATCH($M$1,$C$109:$C$110,0),0)</f>
        <v>4.7999999813512648</v>
      </c>
      <c r="N25" s="24">
        <f t="shared" ca="1" si="0"/>
        <v>0.91377673136501769</v>
      </c>
      <c r="O25" s="24">
        <f t="shared" ca="1" si="1"/>
        <v>0.38107368182835077</v>
      </c>
    </row>
    <row r="26" spans="1:15" s="19" customFormat="1" ht="18" customHeight="1" x14ac:dyDescent="0.2">
      <c r="A26" s="148"/>
      <c r="B26" s="45" t="s">
        <v>34</v>
      </c>
      <c r="C26" s="46"/>
      <c r="D26" s="47">
        <f ca="1">804.4*OFFSET(D$108,MATCH($M$1,$C$109:$C$110,0),0)</f>
        <v>654.34721813798126</v>
      </c>
      <c r="E26" s="47">
        <f ca="1">704.9*OFFSET(E$108,MATCH($M$1,$C$109:$C$110,0),0)</f>
        <v>588.82407218613071</v>
      </c>
      <c r="F26" s="47">
        <f ca="1">681.5*OFFSET(F$108,MATCH($M$1,$C$109:$C$110,0),0)</f>
        <v>585.62656483780165</v>
      </c>
      <c r="G26" s="47">
        <f ca="1">753.4*OFFSET(G$108,MATCH($M$1,$C$109:$C$110,0),0)</f>
        <v>666.20902687856471</v>
      </c>
      <c r="H26" s="47">
        <f ca="1">1080.1*OFFSET(H$108,MATCH($M$1,$C$109:$C$110,0),0)</f>
        <v>974.01259361060022</v>
      </c>
      <c r="I26" s="47">
        <f ca="1">1359.5*OFFSET(I$108,MATCH($M$1,$C$109:$C$110,0),0)</f>
        <v>1264.8651885277711</v>
      </c>
      <c r="J26" s="47">
        <f ca="1">1360.9*OFFSET(J$108,MATCH($M$1,$C$109:$C$110,0),0)</f>
        <v>1293.0727337939823</v>
      </c>
      <c r="K26" s="47">
        <f ca="1">1606.7*OFFSET(K$108,MATCH($M$1,$C$109:$C$110,0),0)</f>
        <v>1551.9757828321574</v>
      </c>
      <c r="L26" s="47">
        <f ca="1">1353.1*OFFSET(L$108,MATCH($M$1,$C$109:$C$110,0),0)</f>
        <v>1330.4084895981919</v>
      </c>
      <c r="M26" s="48">
        <f ca="1">1710.3*OFFSET(M$108,MATCH($M$1,$C$109:$C$110,0),0)</f>
        <v>1710.2999933552223</v>
      </c>
      <c r="N26" s="49">
        <f t="shared" ca="1" si="0"/>
        <v>1.0331842983668811</v>
      </c>
      <c r="O26" s="49">
        <f t="shared" ca="1" si="1"/>
        <v>0.36590481306453715</v>
      </c>
    </row>
    <row r="27" spans="1:15" s="19" customFormat="1" ht="18" customHeight="1" x14ac:dyDescent="0.2">
      <c r="A27" s="148"/>
      <c r="B27" s="33" t="s">
        <v>35</v>
      </c>
      <c r="C27" s="25"/>
      <c r="D27" s="26">
        <f ca="1">244.6*OFFSET(D$108,MATCH($M$1,$C$109:$C$110,0),0)</f>
        <v>198.97231421749157</v>
      </c>
      <c r="E27" s="26">
        <f ca="1">265.2*OFFSET(E$108,MATCH($M$1,$C$109:$C$110,0),0)</f>
        <v>221.52949913996574</v>
      </c>
      <c r="F27" s="26">
        <f ca="1">299.8*OFFSET(F$108,MATCH($M$1,$C$109:$C$110,0),0)</f>
        <v>257.62412932996762</v>
      </c>
      <c r="G27" s="26">
        <f ca="1">325.6*OFFSET(G$108,MATCH($M$1,$C$109:$C$110,0),0)</f>
        <v>287.91831583708614</v>
      </c>
      <c r="H27" s="26">
        <f ca="1">265.7*OFFSET(H$108,MATCH($M$1,$C$109:$C$110,0),0)</f>
        <v>239.60294984014118</v>
      </c>
      <c r="I27" s="26">
        <f ca="1">302.7*OFFSET(I$108,MATCH($M$1,$C$109:$C$110,0),0)</f>
        <v>281.62904933236945</v>
      </c>
      <c r="J27" s="26">
        <f ca="1">399.7*OFFSET(J$108,MATCH($M$1,$C$109:$C$110,0),0)</f>
        <v>379.77894900246503</v>
      </c>
      <c r="K27" s="26">
        <f ca="1">400.2*OFFSET(K$108,MATCH($M$1,$C$109:$C$110,0),0)</f>
        <v>386.56918422196384</v>
      </c>
      <c r="L27" s="26">
        <f ca="1">336.3*OFFSET(L$108,MATCH($M$1,$C$109:$C$110,0),0)</f>
        <v>330.66024318370557</v>
      </c>
      <c r="M27" s="27">
        <f ca="1">319.6*OFFSET(M$108,MATCH($M$1,$C$109:$C$110,0),0)</f>
        <v>319.59999875830505</v>
      </c>
      <c r="N27" s="24">
        <f t="shared" ca="1" si="0"/>
        <v>0.66184046501197791</v>
      </c>
      <c r="O27" s="24">
        <f t="shared" ca="1" si="1"/>
        <v>0.38003410811225907</v>
      </c>
    </row>
    <row r="28" spans="1:15" s="19" customFormat="1" ht="18" customHeight="1" x14ac:dyDescent="0.2">
      <c r="A28" s="148"/>
      <c r="B28" s="33" t="s">
        <v>36</v>
      </c>
      <c r="C28" s="25"/>
      <c r="D28" s="26">
        <f ca="1">144.1*OFFSET(D$108,MATCH($M$1,$C$109:$C$110,0),0)</f>
        <v>117.21958494987953</v>
      </c>
      <c r="E28" s="26">
        <f ca="1">152.8*OFFSET(E$108,MATCH($M$1,$C$109:$C$110,0),0)</f>
        <v>127.63841428577214</v>
      </c>
      <c r="F28" s="26">
        <f ca="1">27.7*OFFSET(F$108,MATCH($M$1,$C$109:$C$110,0),0)</f>
        <v>23.803163383722826</v>
      </c>
      <c r="G28" s="26">
        <f ca="1">46.6*OFFSET(G$108,MATCH($M$1,$C$109:$C$110,0),0)</f>
        <v>41.206982549165275</v>
      </c>
      <c r="H28" s="26">
        <f ca="1">208.8*OFFSET(H$108,MATCH($M$1,$C$109:$C$110,0),0)</f>
        <v>188.29166701776998</v>
      </c>
      <c r="I28" s="26">
        <f ca="1">185.5*OFFSET(I$108,MATCH($M$1,$C$109:$C$110,0),0)</f>
        <v>172.58734275241011</v>
      </c>
      <c r="J28" s="26">
        <f ca="1">154.1*OFFSET(J$108,MATCH($M$1,$C$109:$C$110,0),0)</f>
        <v>146.41965484433291</v>
      </c>
      <c r="K28" s="26">
        <f ca="1">308.1*OFFSET(K$108,MATCH($M$1,$C$109:$C$110,0),0)</f>
        <v>297.60611109142201</v>
      </c>
      <c r="L28" s="26">
        <f ca="1">259.8*OFFSET(L$108,MATCH($M$1,$C$109:$C$110,0),0)</f>
        <v>255.44314950676988</v>
      </c>
      <c r="M28" s="27">
        <f ca="1">380.1*OFFSET(M$108,MATCH($M$1,$C$109:$C$110,0),0)</f>
        <v>380.0999985232533</v>
      </c>
      <c r="N28" s="24">
        <f t="shared" ca="1" si="0"/>
        <v>1.1791848999976553</v>
      </c>
      <c r="O28" s="24">
        <f t="shared" ca="1" si="1"/>
        <v>0.35663544517167878</v>
      </c>
    </row>
    <row r="29" spans="1:15" s="19" customFormat="1" ht="18" customHeight="1" x14ac:dyDescent="0.2">
      <c r="A29" s="148"/>
      <c r="B29" s="33" t="s">
        <v>37</v>
      </c>
      <c r="C29" s="25"/>
      <c r="D29" s="26">
        <f ca="1">295.4*OFFSET(D$108,MATCH($M$1,$C$109:$C$110,0),0)</f>
        <v>240.29608184728949</v>
      </c>
      <c r="E29" s="26">
        <f ca="1">380.9*OFFSET(E$108,MATCH($M$1,$C$109:$C$110,0),0)</f>
        <v>318.17717278436254</v>
      </c>
      <c r="F29" s="26">
        <f ca="1">368.2*OFFSET(F$108,MATCH($M$1,$C$109:$C$110,0),0)</f>
        <v>316.40161580818568</v>
      </c>
      <c r="G29" s="26">
        <f ca="1">407*OFFSET(G$108,MATCH($M$1,$C$109:$C$110,0),0)</f>
        <v>359.89789479635766</v>
      </c>
      <c r="H29" s="26">
        <f ca="1">385.4*OFFSET(H$108,MATCH($M$1,$C$109:$C$110,0),0)</f>
        <v>347.54601757015587</v>
      </c>
      <c r="I29" s="26">
        <f ca="1">323.4*OFFSET(I$108,MATCH($M$1,$C$109:$C$110,0),0)</f>
        <v>300.8881220815602</v>
      </c>
      <c r="J29" s="26">
        <f ca="1">323.7*OFFSET(J$108,MATCH($M$1,$C$109:$C$110,0),0)</f>
        <v>307.56678957242417</v>
      </c>
      <c r="K29" s="26">
        <f ca="1">573.3*OFFSET(K$108,MATCH($M$1,$C$109:$C$110,0),0)</f>
        <v>553.7733965878358</v>
      </c>
      <c r="L29" s="26">
        <f ca="1">482.8*OFFSET(L$108,MATCH($M$1,$C$109:$C$110,0),0)</f>
        <v>474.70343564999422</v>
      </c>
      <c r="M29" s="27">
        <f ca="1">610.3*OFFSET(M$108,MATCH($M$1,$C$109:$C$110,0),0)</f>
        <v>610.29999762889099</v>
      </c>
      <c r="N29" s="24">
        <f t="shared" ca="1" si="0"/>
        <v>0.97549386573715713</v>
      </c>
      <c r="O29" s="24">
        <f t="shared" ca="1" si="1"/>
        <v>0.36587217706837993</v>
      </c>
    </row>
    <row r="30" spans="1:15" s="19" customFormat="1" ht="18" customHeight="1" x14ac:dyDescent="0.2">
      <c r="A30" s="148"/>
      <c r="B30" s="33" t="s">
        <v>38</v>
      </c>
      <c r="C30" s="25"/>
      <c r="D30" s="26">
        <f ca="1">684.1*OFFSET(D$108,MATCH($M$1,$C$109:$C$110,0),0)</f>
        <v>556.48798101466059</v>
      </c>
      <c r="E30" s="26">
        <f ca="1">798.8*OFFSET(E$108,MATCH($M$1,$C$109:$C$110,0),0)</f>
        <v>667.26155321645786</v>
      </c>
      <c r="F30" s="26">
        <f ca="1">695.7*OFFSET(F$108,MATCH($M$1,$C$109:$C$110,0),0)</f>
        <v>597.8289085218762</v>
      </c>
      <c r="G30" s="26">
        <f ca="1">779.2*OFFSET(G$108,MATCH($M$1,$C$109:$C$110,0),0)</f>
        <v>689.02319318260913</v>
      </c>
      <c r="H30" s="26">
        <f ca="1">859.9*OFFSET(H$108,MATCH($M$1,$C$109:$C$110,0),0)</f>
        <v>775.44063442806703</v>
      </c>
      <c r="I30" s="26">
        <f ca="1">811.6*OFFSET(I$108,MATCH($M$1,$C$109:$C$110,0),0)</f>
        <v>755.10451416633987</v>
      </c>
      <c r="J30" s="26">
        <f ca="1">877.6*OFFSET(J$108,MATCH($M$1,$C$109:$C$110,0),0)</f>
        <v>833.86040941847227</v>
      </c>
      <c r="K30" s="26">
        <f ca="1">1281.6*OFFSET(K$108,MATCH($M$1,$C$109:$C$110,0),0)</f>
        <v>1237.9486919012215</v>
      </c>
      <c r="L30" s="26">
        <f ca="1">1079*OFFSET(L$108,MATCH($M$1,$C$109:$C$110,0),0)</f>
        <v>1060.9051513387401</v>
      </c>
      <c r="M30" s="27">
        <f ca="1">1310*OFFSET(M$108,MATCH($M$1,$C$109:$C$110,0),0)</f>
        <v>1309.9999949104492</v>
      </c>
      <c r="N30" s="24">
        <f t="shared" ca="1" si="0"/>
        <v>0.90642958614193447</v>
      </c>
      <c r="O30" s="24">
        <f t="shared" ca="1" si="1"/>
        <v>0.36813200680567881</v>
      </c>
    </row>
    <row r="31" spans="1:15" s="19" customFormat="1" ht="18" customHeight="1" x14ac:dyDescent="0.2">
      <c r="A31" s="148"/>
      <c r="B31" s="33" t="s">
        <v>39</v>
      </c>
      <c r="C31" s="25"/>
      <c r="D31" s="26">
        <f ca="1">166.6*OFFSET(D$108,MATCH($M$1,$C$109:$C$110,0),0)</f>
        <v>135.52243478591208</v>
      </c>
      <c r="E31" s="26">
        <f ca="1">96.5*OFFSET(E$108,MATCH($M$1,$C$109:$C$110,0),0)</f>
        <v>80.609338865032782</v>
      </c>
      <c r="F31" s="26">
        <f ca="1">93.3*OFFSET(F$108,MATCH($M$1,$C$109:$C$110,0),0)</f>
        <v>80.174553924236079</v>
      </c>
      <c r="G31" s="26">
        <f ca="1">103.2*OFFSET(G$108,MATCH($M$1,$C$109:$C$110,0),0)</f>
        <v>91.256665216177183</v>
      </c>
      <c r="H31" s="26">
        <f ca="1">228.3*OFFSET(H$108,MATCH($M$1,$C$109:$C$110,0),0)</f>
        <v>205.87637729960196</v>
      </c>
      <c r="I31" s="26">
        <f ca="1">191.6*OFFSET(I$108,MATCH($M$1,$C$109:$C$110,0),0)</f>
        <v>178.26272167850013</v>
      </c>
      <c r="J31" s="26">
        <f ca="1">191.8*OFFSET(J$108,MATCH($M$1,$C$109:$C$110,0),0)</f>
        <v>182.24068656160321</v>
      </c>
      <c r="K31" s="26">
        <f ca="1">339.6*OFFSET(K$108,MATCH($M$1,$C$109:$C$110,0),0)</f>
        <v>328.03322079405035</v>
      </c>
      <c r="L31" s="26">
        <f ca="1">286*OFFSET(L$108,MATCH($M$1,$C$109:$C$110,0),0)</f>
        <v>281.20377505364195</v>
      </c>
      <c r="M31" s="27">
        <f ca="1">361.5*OFFSET(M$108,MATCH($M$1,$C$109:$C$110,0),0)</f>
        <v>361.49999859551713</v>
      </c>
      <c r="N31" s="24">
        <f t="shared" ca="1" si="0"/>
        <v>1.0749610608595253</v>
      </c>
      <c r="O31" s="24">
        <f t="shared" ca="1" si="1"/>
        <v>0.36588655163880052</v>
      </c>
    </row>
    <row r="32" spans="1:15" s="19" customFormat="1" ht="18" customHeight="1" x14ac:dyDescent="0.2">
      <c r="A32" s="148"/>
      <c r="B32" s="33" t="s">
        <v>40</v>
      </c>
      <c r="C32" s="25"/>
      <c r="D32" s="26">
        <f ca="1">850.7*OFFSET(D$108,MATCH($M$1,$C$109:$C$110,0),0)</f>
        <v>692.01041580057279</v>
      </c>
      <c r="E32" s="26">
        <f ca="1">895.4*OFFSET(E$108,MATCH($M$1,$C$109:$C$110,0),0)</f>
        <v>747.95442507513326</v>
      </c>
      <c r="F32" s="26">
        <f ca="1">789*OFFSET(F$108,MATCH($M$1,$C$109:$C$110,0),0)</f>
        <v>678.00346244611228</v>
      </c>
      <c r="G32" s="26">
        <f ca="1">882.4*OFFSET(G$108,MATCH($M$1,$C$109:$C$110,0),0)</f>
        <v>780.27985839878625</v>
      </c>
      <c r="H32" s="26">
        <f ca="1">1088.2*OFFSET(H$108,MATCH($M$1,$C$109:$C$110,0),0)</f>
        <v>981.31701172766907</v>
      </c>
      <c r="I32" s="26">
        <f ca="1">1003.2*OFFSET(I$108,MATCH($M$1,$C$109:$C$110,0),0)</f>
        <v>933.36723584484002</v>
      </c>
      <c r="J32" s="26">
        <f ca="1">1069.3*OFFSET(J$108,MATCH($M$1,$C$109:$C$110,0),0)</f>
        <v>1016.0060799808253</v>
      </c>
      <c r="K32" s="26">
        <f ca="1">1621.2*OFFSET(K$108,MATCH($M$1,$C$109:$C$110,0),0)</f>
        <v>1565.9819126952721</v>
      </c>
      <c r="L32" s="26">
        <f ca="1">1365*OFFSET(L$108,MATCH($M$1,$C$109:$C$110,0),0)</f>
        <v>1342.108926392382</v>
      </c>
      <c r="M32" s="27">
        <f ca="1">1671.5*OFFSET(M$108,MATCH($M$1,$C$109:$C$110,0),0)</f>
        <v>1671.4999935059664</v>
      </c>
      <c r="N32" s="24">
        <f t="shared" ca="1" si="0"/>
        <v>0.9394345746078453</v>
      </c>
      <c r="O32" s="24">
        <f t="shared" ca="1" si="1"/>
        <v>0.36766091930834521</v>
      </c>
    </row>
    <row r="33" spans="1:15" s="19" customFormat="1" ht="18" customHeight="1" x14ac:dyDescent="0.2">
      <c r="A33" s="148"/>
      <c r="B33" s="45" t="s">
        <v>41</v>
      </c>
      <c r="C33" s="46"/>
      <c r="D33" s="47">
        <f ca="1">97.8*OFFSET(D$108,MATCH($M$1,$C$109:$C$110,0),0)</f>
        <v>79.556387287288118</v>
      </c>
      <c r="E33" s="47">
        <f ca="1">-37.6*OFFSET(E$108,MATCH($M$1,$C$109:$C$110,0),0)</f>
        <v>-31.408405609587906</v>
      </c>
      <c r="F33" s="47">
        <f ca="1">-79.8*OFFSET(F$108,MATCH($M$1,$C$109:$C$110,0),0)</f>
        <v>-68.573734224587781</v>
      </c>
      <c r="G33" s="47">
        <f ca="1">-82.4*OFFSET(G$108,MATCH($M$1,$C$109:$C$110,0),0)</f>
        <v>-72.8638489710562</v>
      </c>
      <c r="H33" s="47">
        <f ca="1">200.7*OFFSET(H$108,MATCH($M$1,$C$109:$C$110,0),0)</f>
        <v>180.9872489007013</v>
      </c>
      <c r="I33" s="47">
        <f ca="1">541.8*OFFSET(I$108,MATCH($M$1,$C$109:$C$110,0),0)</f>
        <v>504.08529543534115</v>
      </c>
      <c r="J33" s="47">
        <f ca="1">445.7*OFFSET(J$108,MATCH($M$1,$C$109:$C$110,0),0)</f>
        <v>423.48630865748981</v>
      </c>
      <c r="K33" s="47">
        <f ca="1">293.6*OFFSET(K$108,MATCH($M$1,$C$109:$C$110,0),0)</f>
        <v>283.59998122830734</v>
      </c>
      <c r="L33" s="47">
        <f ca="1">247.9*OFFSET(L$108,MATCH($M$1,$C$109:$C$110,0),0)</f>
        <v>243.74271271257987</v>
      </c>
      <c r="M33" s="48">
        <f ca="1">418.9*OFFSET(M$108,MATCH($M$1,$C$109:$C$110,0),0)</f>
        <v>418.89999837250929</v>
      </c>
      <c r="N33" s="49">
        <f t="shared" ca="1" si="0"/>
        <v>2.0637730171481303</v>
      </c>
      <c r="O33" s="49">
        <f t="shared" ca="1" si="1"/>
        <v>0.34673969681869338</v>
      </c>
    </row>
    <row r="34" spans="1:15" s="19" customFormat="1" ht="18" customHeight="1" x14ac:dyDescent="0.2">
      <c r="A34" s="148"/>
      <c r="B34" s="45" t="s">
        <v>42</v>
      </c>
      <c r="C34" s="46"/>
      <c r="D34" s="47">
        <f ca="1">-46.3*OFFSET(D$108,MATCH($M$1,$C$109:$C$110,0),0)</f>
        <v>-37.663197662591415</v>
      </c>
      <c r="E34" s="47">
        <f ca="1">-190.4*OFFSET(E$108,MATCH($M$1,$C$109:$C$110,0),0)</f>
        <v>-159.04681989536004</v>
      </c>
      <c r="F34" s="47">
        <f ca="1">-107.5*OFFSET(F$108,MATCH($M$1,$C$109:$C$110,0),0)</f>
        <v>-92.3768976083106</v>
      </c>
      <c r="G34" s="47">
        <f ca="1">-129*OFFSET(G$108,MATCH($M$1,$C$109:$C$110,0),0)</f>
        <v>-114.07083152022147</v>
      </c>
      <c r="H34" s="47">
        <f ca="1">-8.1*OFFSET(H$108,MATCH($M$1,$C$109:$C$110,0),0)</f>
        <v>-7.3044181170686624</v>
      </c>
      <c r="I34" s="47">
        <f ca="1">356.3*OFFSET(I$108,MATCH($M$1,$C$109:$C$110,0),0)</f>
        <v>331.4979526829311</v>
      </c>
      <c r="J34" s="47">
        <f ca="1">291.6*OFFSET(J$108,MATCH($M$1,$C$109:$C$110,0),0)</f>
        <v>277.0666538131569</v>
      </c>
      <c r="K34" s="47">
        <f ca="1">-14.5*OFFSET(K$108,MATCH($M$1,$C$109:$C$110,0),0)</f>
        <v>-14.006129863114634</v>
      </c>
      <c r="L34" s="47">
        <f ca="1">-11.9*OFFSET(L$108,MATCH($M$1,$C$109:$C$110,0),0)</f>
        <v>-11.700436794189997</v>
      </c>
      <c r="M34" s="48">
        <f ca="1">38.8*OFFSET(M$108,MATCH($M$1,$C$109:$C$110,0),0)</f>
        <v>38.799999849256054</v>
      </c>
      <c r="N34" s="49">
        <f t="shared" ca="1" si="0"/>
        <v>0.68934032370248433</v>
      </c>
      <c r="O34" s="49">
        <f t="shared" ca="1" si="1"/>
        <v>-0.60183009880676186</v>
      </c>
    </row>
    <row r="35" spans="1:15" s="19" customFormat="1" ht="18" customHeight="1" x14ac:dyDescent="0.2">
      <c r="A35" s="148"/>
      <c r="B35" s="33" t="s">
        <v>43</v>
      </c>
      <c r="C35" s="25"/>
      <c r="D35" s="26"/>
      <c r="E35" s="26">
        <f ca="1">34.4*OFFSET(E$108,MATCH($M$1,$C$109:$C$110,0),0)</f>
        <v>28.735349813027231</v>
      </c>
      <c r="F35" s="26"/>
      <c r="G35" s="26"/>
      <c r="H35" s="26">
        <f ca="1">136*OFFSET(H$108,MATCH($M$1,$C$109:$C$110,0),0)</f>
        <v>122.6420819655973</v>
      </c>
      <c r="I35" s="26">
        <f ca="1">187.8*OFFSET(I$108,MATCH($M$1,$C$109:$C$110,0),0)</f>
        <v>174.72723972454241</v>
      </c>
      <c r="J35" s="26">
        <f ca="1">154.2*OFFSET(J$108,MATCH($M$1,$C$109:$C$110,0),0)</f>
        <v>146.51467084358296</v>
      </c>
      <c r="K35" s="26"/>
      <c r="L35" s="26"/>
      <c r="M35" s="27"/>
      <c r="N35" s="24" t="str">
        <f t="shared" si="0"/>
        <v/>
      </c>
      <c r="O35" s="24" t="str">
        <f t="shared" si="1"/>
        <v/>
      </c>
    </row>
    <row r="36" spans="1:15" s="19" customFormat="1" ht="18" customHeight="1" x14ac:dyDescent="0.2">
      <c r="A36" s="148"/>
      <c r="B36" s="33" t="s">
        <v>44</v>
      </c>
      <c r="C36" s="25"/>
      <c r="D36" s="26"/>
      <c r="E36" s="26"/>
      <c r="F36" s="26"/>
      <c r="G36" s="26"/>
      <c r="H36" s="26">
        <f ca="1">46*OFFSET(H$108,MATCH($M$1,$C$109:$C$110,0),0)</f>
        <v>41.481880664834378</v>
      </c>
      <c r="I36" s="26">
        <f ca="1">66.9*OFFSET(I$108,MATCH($M$1,$C$109:$C$110,0),0)</f>
        <v>62.243090189413671</v>
      </c>
      <c r="J36" s="26">
        <f ca="1">64.5*OFFSET(J$108,MATCH($M$1,$C$109:$C$110,0),0)</f>
        <v>61.285319516284709</v>
      </c>
      <c r="K36" s="26"/>
      <c r="L36" s="26"/>
      <c r="M36" s="27"/>
      <c r="N36" s="24" t="str">
        <f t="shared" si="0"/>
        <v/>
      </c>
      <c r="O36" s="24" t="str">
        <f t="shared" si="1"/>
        <v/>
      </c>
    </row>
    <row r="37" spans="1:15" s="19" customFormat="1" ht="18" customHeight="1" x14ac:dyDescent="0.2">
      <c r="A37" s="148"/>
      <c r="B37" s="33" t="s">
        <v>45</v>
      </c>
      <c r="C37" s="25"/>
      <c r="D37" s="26"/>
      <c r="E37" s="26"/>
      <c r="F37" s="26"/>
      <c r="G37" s="26"/>
      <c r="H37" s="26"/>
      <c r="I37" s="26"/>
      <c r="J37" s="26"/>
      <c r="K37" s="26"/>
      <c r="L37" s="26"/>
      <c r="M37" s="27"/>
      <c r="N37" s="24" t="str">
        <f t="shared" si="0"/>
        <v/>
      </c>
      <c r="O37" s="24" t="str">
        <f t="shared" si="1"/>
        <v/>
      </c>
    </row>
    <row r="38" spans="1:15" s="19" customFormat="1" ht="18" customHeight="1" thickBot="1" x14ac:dyDescent="0.25">
      <c r="A38" s="149"/>
      <c r="B38" s="50" t="s">
        <v>46</v>
      </c>
      <c r="C38" s="51"/>
      <c r="D38" s="52"/>
      <c r="E38" s="52">
        <f ca="1">-224.8*OFFSET(E$108,MATCH($M$1,$C$109:$C$110,0),0)</f>
        <v>-187.78216970838727</v>
      </c>
      <c r="F38" s="52"/>
      <c r="G38" s="52"/>
      <c r="H38" s="52">
        <f ca="1">-190*OFFSET(H$108,MATCH($M$1,$C$109:$C$110,0),0)</f>
        <v>-171.33820274605506</v>
      </c>
      <c r="I38" s="52">
        <f ca="1">101.7*OFFSET(I$108,MATCH($M$1,$C$109:$C$110,0),0)</f>
        <v>94.62066176776338</v>
      </c>
      <c r="J38" s="52">
        <f ca="1">72.9*OFFSET(J$108,MATCH($M$1,$C$109:$C$110,0),0)</f>
        <v>69.266663453289226</v>
      </c>
      <c r="K38" s="52"/>
      <c r="L38" s="52"/>
      <c r="M38" s="53"/>
      <c r="N38" s="54" t="str">
        <f t="shared" si="0"/>
        <v/>
      </c>
      <c r="O38" s="54" t="str">
        <f t="shared" si="1"/>
        <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Area VIIBCDEFGHK 24-40m</v>
      </c>
      <c r="C45" s="61"/>
      <c r="D45" s="61"/>
      <c r="E45" s="61"/>
      <c r="F45" s="61" t="str">
        <f>$B21&amp;CHAR(10)&amp;$A$1</f>
        <v>Income per kW day at sea (£)
Area VIIBCDEFGHK 24-40m</v>
      </c>
      <c r="G45" s="61"/>
      <c r="K45" s="61" t="str">
        <f>$B23&amp;CHAR(10)&amp;$A$1</f>
        <v>Operating profit per kW day at sea (£)
Area VIIBCDEFGHK 24-40m</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Area VIIBCDEFGHK 24-40m</v>
      </c>
      <c r="F59" s="61" t="str">
        <f>$B19&amp;CHAR(10)&amp;$A$1</f>
        <v>Average price per tonne landed (£)
Area VIIBCDEFGHK 24-40m</v>
      </c>
      <c r="K59" s="61" t="str">
        <f>"Average annual operating profit per vessel (£'000)"&amp;CHAR(10)&amp;$A$1</f>
        <v>Average annual operating profit per vessel (£'000)
Area VIIBCDEFGHK 24-40m</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Area VIIBCDEFGHK 24-40m</v>
      </c>
      <c r="F73" s="61" t="str">
        <f>"Top 5 landed species by value in "&amp;A74&amp;CHAR(10)&amp;A1</f>
        <v>Top 5 landed species by value in 2013
Area VIIBCDEFGHK 24-40m</v>
      </c>
    </row>
    <row r="74" spans="1:9" s="61" customFormat="1" x14ac:dyDescent="0.2">
      <c r="A74" s="61">
        <v>2013</v>
      </c>
      <c r="B74" s="61" t="s">
        <v>103</v>
      </c>
      <c r="C74" s="62">
        <v>0.28566001641157174</v>
      </c>
      <c r="D74" s="63">
        <v>8211234</v>
      </c>
      <c r="G74" s="61" t="s">
        <v>104</v>
      </c>
      <c r="H74" s="62">
        <v>0.39192275626766004</v>
      </c>
      <c r="I74" s="63">
        <v>8211234</v>
      </c>
    </row>
    <row r="75" spans="1:9" s="61" customFormat="1" x14ac:dyDescent="0.2">
      <c r="B75" s="61" t="s">
        <v>105</v>
      </c>
      <c r="C75" s="62">
        <v>0.27319731208110293</v>
      </c>
      <c r="D75" s="63">
        <v>2171775</v>
      </c>
      <c r="G75" s="61" t="s">
        <v>106</v>
      </c>
      <c r="H75" s="62">
        <v>0.31402646691214114</v>
      </c>
      <c r="I75" s="63">
        <v>2171775</v>
      </c>
    </row>
    <row r="76" spans="1:9" s="61" customFormat="1" x14ac:dyDescent="0.2">
      <c r="B76" s="61" t="s">
        <v>107</v>
      </c>
      <c r="C76" s="62">
        <v>0.14289287397907743</v>
      </c>
      <c r="D76" s="63">
        <v>2783840</v>
      </c>
      <c r="G76" s="61" t="s">
        <v>108</v>
      </c>
      <c r="H76" s="62">
        <v>5.4168157697544655E-2</v>
      </c>
      <c r="I76" s="63">
        <v>2783840</v>
      </c>
    </row>
    <row r="77" spans="1:9" s="61" customFormat="1" x14ac:dyDescent="0.2">
      <c r="B77" s="61" t="s">
        <v>109</v>
      </c>
      <c r="C77" s="62">
        <v>4.9715752625872578E-2</v>
      </c>
      <c r="D77" s="63">
        <v>2764187</v>
      </c>
      <c r="G77" s="61" t="s">
        <v>110</v>
      </c>
      <c r="H77" s="62">
        <v>3.7881472066922536E-2</v>
      </c>
      <c r="I77" s="63">
        <v>6763595</v>
      </c>
    </row>
    <row r="78" spans="1:9" s="61" customFormat="1" x14ac:dyDescent="0.2">
      <c r="B78" s="61" t="s">
        <v>111</v>
      </c>
      <c r="C78" s="62">
        <v>3.5591020126332244E-2</v>
      </c>
      <c r="D78" s="63">
        <v>3511670</v>
      </c>
      <c r="G78" s="61" t="s">
        <v>112</v>
      </c>
      <c r="H78" s="62">
        <v>3.1092347891761678E-2</v>
      </c>
      <c r="I78" s="63">
        <v>2764187</v>
      </c>
    </row>
    <row r="79" spans="1:9" s="61" customFormat="1" x14ac:dyDescent="0.2">
      <c r="B79" s="61" t="s">
        <v>113</v>
      </c>
      <c r="C79" s="62">
        <v>0.2129430247760431</v>
      </c>
      <c r="D79" s="63">
        <v>32768</v>
      </c>
      <c r="G79" s="61" t="s">
        <v>114</v>
      </c>
      <c r="H79" s="62">
        <v>0.17090879916396995</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82</v>
      </c>
      <c r="D88" s="66">
        <v>0.24331149453408954</v>
      </c>
      <c r="E88" s="66">
        <v>0.22636909575697597</v>
      </c>
      <c r="F88" s="66">
        <v>0.32497824144534521</v>
      </c>
      <c r="G88" s="66">
        <v>0.32453081756096852</v>
      </c>
      <c r="H88" s="66">
        <v>0.30897088086613556</v>
      </c>
      <c r="I88" s="66">
        <v>0.315220294846975</v>
      </c>
      <c r="J88" s="66">
        <v>0.30252951271371786</v>
      </c>
      <c r="K88" s="66">
        <v>0.29925758590059387</v>
      </c>
      <c r="L88" s="66">
        <v>0.39860739078256335</v>
      </c>
      <c r="M88" s="66">
        <v>0.38932736243944144</v>
      </c>
      <c r="N88" s="61"/>
      <c r="O88" s="61">
        <v>8211234</v>
      </c>
    </row>
    <row r="89" spans="1:15" s="65" customFormat="1" hidden="1" x14ac:dyDescent="0.2">
      <c r="A89" s="61"/>
      <c r="B89" s="61">
        <v>2</v>
      </c>
      <c r="C89" s="61" t="s">
        <v>115</v>
      </c>
      <c r="D89" s="66">
        <v>0.24229729939440942</v>
      </c>
      <c r="E89" s="66">
        <v>0.21068021811867921</v>
      </c>
      <c r="F89" s="66">
        <v>0.24450575709954309</v>
      </c>
      <c r="G89" s="66">
        <v>0.30276328934041197</v>
      </c>
      <c r="H89" s="66">
        <v>0.30337523066402483</v>
      </c>
      <c r="I89" s="66">
        <v>0.26389192214172619</v>
      </c>
      <c r="J89" s="66">
        <v>0.2654701197798105</v>
      </c>
      <c r="K89" s="66">
        <v>0.24726077026001295</v>
      </c>
      <c r="L89" s="66">
        <v>0.31938250231897636</v>
      </c>
      <c r="M89" s="66">
        <v>0.3066788768518019</v>
      </c>
      <c r="N89" s="61"/>
      <c r="O89" s="61">
        <v>2171775</v>
      </c>
    </row>
    <row r="90" spans="1:15" s="65" customFormat="1" hidden="1" x14ac:dyDescent="0.2">
      <c r="A90" s="61"/>
      <c r="B90" s="61">
        <v>3</v>
      </c>
      <c r="C90" s="61" t="s">
        <v>64</v>
      </c>
      <c r="D90" s="66"/>
      <c r="E90" s="66"/>
      <c r="F90" s="66"/>
      <c r="G90" s="66"/>
      <c r="H90" s="66"/>
      <c r="I90" s="66"/>
      <c r="J90" s="66"/>
      <c r="K90" s="66"/>
      <c r="L90" s="66">
        <v>5.5092049793022881E-2</v>
      </c>
      <c r="M90" s="66"/>
      <c r="N90" s="61"/>
      <c r="O90" s="61">
        <v>2783840</v>
      </c>
    </row>
    <row r="91" spans="1:15" s="65" customFormat="1" hidden="1" x14ac:dyDescent="0.2">
      <c r="A91" s="61"/>
      <c r="B91" s="61">
        <v>4</v>
      </c>
      <c r="C91" s="61" t="s">
        <v>100</v>
      </c>
      <c r="D91" s="66">
        <v>5.1688753811883169E-2</v>
      </c>
      <c r="E91" s="66">
        <v>4.4574375799655022E-2</v>
      </c>
      <c r="F91" s="66"/>
      <c r="G91" s="66"/>
      <c r="H91" s="66"/>
      <c r="I91" s="66"/>
      <c r="J91" s="66"/>
      <c r="K91" s="66">
        <v>4.9516180483219652E-2</v>
      </c>
      <c r="L91" s="66">
        <v>3.8527578452949685E-2</v>
      </c>
      <c r="M91" s="66">
        <v>5.6596094565954935E-2</v>
      </c>
      <c r="N91" s="61"/>
      <c r="O91" s="61">
        <v>6763595</v>
      </c>
    </row>
    <row r="92" spans="1:15" s="65" customFormat="1" hidden="1" x14ac:dyDescent="0.2">
      <c r="A92" s="61"/>
      <c r="B92" s="61">
        <v>5</v>
      </c>
      <c r="C92" s="61" t="s">
        <v>66</v>
      </c>
      <c r="D92" s="66">
        <v>0.1818682820857728</v>
      </c>
      <c r="E92" s="66">
        <v>0.15650433698946339</v>
      </c>
      <c r="F92" s="66">
        <v>0.12344595162150446</v>
      </c>
      <c r="G92" s="66">
        <v>7.8140338830763573E-2</v>
      </c>
      <c r="H92" s="66">
        <v>8.2145615377753639E-2</v>
      </c>
      <c r="I92" s="66">
        <v>4.6048608910314398E-2</v>
      </c>
      <c r="J92" s="66">
        <v>5.0994201820201437E-2</v>
      </c>
      <c r="K92" s="66"/>
      <c r="L92" s="66">
        <v>3.16226589761344E-2</v>
      </c>
      <c r="M92" s="66">
        <v>3.9709971305899552E-2</v>
      </c>
      <c r="N92" s="61"/>
      <c r="O92" s="61">
        <v>2764187</v>
      </c>
    </row>
    <row r="93" spans="1:15" s="65" customFormat="1" hidden="1" x14ac:dyDescent="0.2">
      <c r="A93" s="61"/>
      <c r="B93" s="61">
        <v>6</v>
      </c>
      <c r="C93" s="61" t="s">
        <v>85</v>
      </c>
      <c r="D93" s="66"/>
      <c r="E93" s="66"/>
      <c r="F93" s="66"/>
      <c r="G93" s="66"/>
      <c r="H93" s="66"/>
      <c r="I93" s="66"/>
      <c r="J93" s="66">
        <v>7.7722054203998969E-2</v>
      </c>
      <c r="K93" s="66">
        <v>6.7396410315394603E-2</v>
      </c>
      <c r="L93" s="66"/>
      <c r="M93" s="66">
        <v>4.4591780776134418E-2</v>
      </c>
      <c r="N93" s="61"/>
      <c r="O93" s="61">
        <v>3511670</v>
      </c>
    </row>
    <row r="94" spans="1:15" s="65" customFormat="1" hidden="1" x14ac:dyDescent="0.2">
      <c r="A94" s="61"/>
      <c r="B94" s="61">
        <v>7</v>
      </c>
      <c r="C94" s="61" t="s">
        <v>116</v>
      </c>
      <c r="D94" s="66"/>
      <c r="E94" s="66"/>
      <c r="F94" s="66"/>
      <c r="G94" s="66"/>
      <c r="H94" s="66">
        <v>3.7477967738621491E-2</v>
      </c>
      <c r="I94" s="66"/>
      <c r="J94" s="66"/>
      <c r="K94" s="66">
        <v>4.0243028721267747E-2</v>
      </c>
      <c r="L94" s="66"/>
      <c r="M94" s="66"/>
      <c r="N94" s="61"/>
      <c r="O94" s="61">
        <v>1464488</v>
      </c>
    </row>
    <row r="95" spans="1:15" s="65" customFormat="1" hidden="1" x14ac:dyDescent="0.2">
      <c r="A95" s="61"/>
      <c r="B95" s="61">
        <v>8</v>
      </c>
      <c r="C95" s="61" t="s">
        <v>117</v>
      </c>
      <c r="D95" s="66"/>
      <c r="E95" s="66"/>
      <c r="F95" s="66"/>
      <c r="G95" s="66"/>
      <c r="H95" s="66">
        <v>4.3086418309544593E-2</v>
      </c>
      <c r="I95" s="66">
        <v>5.6981621905720932E-2</v>
      </c>
      <c r="J95" s="66">
        <v>4.2164113018890906E-2</v>
      </c>
      <c r="K95" s="66"/>
      <c r="L95" s="66"/>
      <c r="M95" s="66"/>
      <c r="N95" s="61"/>
      <c r="O95" s="61">
        <v>8274269</v>
      </c>
    </row>
    <row r="96" spans="1:15" s="65" customFormat="1" hidden="1" x14ac:dyDescent="0.2">
      <c r="A96" s="61"/>
      <c r="B96" s="61">
        <v>9</v>
      </c>
      <c r="C96" s="61" t="s">
        <v>118</v>
      </c>
      <c r="D96" s="66"/>
      <c r="E96" s="66"/>
      <c r="F96" s="66"/>
      <c r="G96" s="66">
        <v>4.5432365598709758E-2</v>
      </c>
      <c r="H96" s="66"/>
      <c r="I96" s="66">
        <v>4.0722762722625198E-2</v>
      </c>
      <c r="J96" s="66"/>
      <c r="K96" s="66"/>
      <c r="L96" s="66"/>
      <c r="M96" s="66"/>
      <c r="N96" s="61"/>
      <c r="O96" s="61">
        <v>10520359</v>
      </c>
    </row>
    <row r="97" spans="1:15" s="65" customFormat="1" hidden="1" x14ac:dyDescent="0.2">
      <c r="A97" s="61"/>
      <c r="B97" s="61">
        <v>10</v>
      </c>
      <c r="C97" s="61" t="s">
        <v>60</v>
      </c>
      <c r="D97" s="66">
        <v>8.2321397335738664E-2</v>
      </c>
      <c r="E97" s="66">
        <v>9.3493761460759744E-2</v>
      </c>
      <c r="F97" s="66">
        <v>0.10015481078881024</v>
      </c>
      <c r="G97" s="66">
        <v>5.3066696096767861E-2</v>
      </c>
      <c r="H97" s="66"/>
      <c r="I97" s="66"/>
      <c r="J97" s="66"/>
      <c r="K97" s="66"/>
      <c r="L97" s="66"/>
      <c r="M97" s="66"/>
      <c r="N97" s="61"/>
      <c r="O97" s="61">
        <v>1928395</v>
      </c>
    </row>
    <row r="98" spans="1:15" s="65" customFormat="1" hidden="1" x14ac:dyDescent="0.2">
      <c r="A98" s="61"/>
      <c r="B98" s="61">
        <v>11</v>
      </c>
      <c r="C98" s="61" t="s">
        <v>67</v>
      </c>
      <c r="D98" s="66"/>
      <c r="E98" s="66"/>
      <c r="F98" s="66">
        <v>4.1538798616678363E-2</v>
      </c>
      <c r="G98" s="66"/>
      <c r="H98" s="66"/>
      <c r="I98" s="66"/>
      <c r="J98" s="66"/>
      <c r="K98" s="66"/>
      <c r="L98" s="66"/>
      <c r="M98" s="66"/>
      <c r="N98" s="61"/>
      <c r="O98" s="61">
        <v>10782840</v>
      </c>
    </row>
    <row r="99" spans="1:15" s="65" customFormat="1" hidden="1" x14ac:dyDescent="0.2">
      <c r="A99" s="61"/>
      <c r="B99" s="61">
        <v>12</v>
      </c>
      <c r="C99" s="61" t="s">
        <v>68</v>
      </c>
      <c r="D99" s="66">
        <v>0.19851277283810639</v>
      </c>
      <c r="E99" s="66">
        <v>0.2683782118744667</v>
      </c>
      <c r="F99" s="66">
        <v>0.16537644042811867</v>
      </c>
      <c r="G99" s="66">
        <v>0.19606649257237829</v>
      </c>
      <c r="H99" s="66">
        <v>0.22494388704391988</v>
      </c>
      <c r="I99" s="66">
        <v>0.27713478947263825</v>
      </c>
      <c r="J99" s="66">
        <v>0.26111999846338035</v>
      </c>
      <c r="K99" s="66">
        <v>0.29632602431951116</v>
      </c>
      <c r="L99" s="66">
        <v>0.15676781967635336</v>
      </c>
      <c r="M99" s="66">
        <v>0.16309591406076773</v>
      </c>
      <c r="N99" s="61"/>
      <c r="O99" s="61">
        <v>32768</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13</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'Area VIIb-k trawlers 24-40m'!D3:L3</xm:f>
              <xm:sqref>C3</xm:sqref>
            </x14:sparkline>
            <x14:sparkline>
              <xm:f>'Area VIIb-k trawlers 24-40m'!D4:L4</xm:f>
              <xm:sqref>C4</xm:sqref>
            </x14:sparkline>
            <x14:sparkline>
              <xm:f>'Area VIIb-k trawlers 24-40m'!D5:L5</xm:f>
              <xm:sqref>C5</xm:sqref>
            </x14:sparkline>
            <x14:sparkline>
              <xm:f>'Area VIIb-k trawlers 24-40m'!D6:L6</xm:f>
              <xm:sqref>C6</xm:sqref>
            </x14:sparkline>
            <x14:sparkline>
              <xm:f>'Area VIIb-k trawlers 24-40m'!D7:L7</xm:f>
              <xm:sqref>C7</xm:sqref>
            </x14:sparkline>
            <x14:sparkline>
              <xm:f>'Area VIIb-k trawlers 24-40m'!D8:L8</xm:f>
              <xm:sqref>C8</xm:sqref>
            </x14:sparkline>
            <x14:sparkline>
              <xm:f>'Area VIIb-k trawlers 24-40m'!D9:L9</xm:f>
              <xm:sqref>C9</xm:sqref>
            </x14:sparkline>
            <x14:sparkline>
              <xm:f>'Area VIIb-k trawlers 24-40m'!D10:L10</xm:f>
              <xm:sqref>C10</xm:sqref>
            </x14:sparkline>
            <x14:sparkline>
              <xm:f>'Area VIIb-k trawlers 24-40m'!D11:L11</xm:f>
              <xm:sqref>C11</xm:sqref>
            </x14:sparkline>
            <x14:sparkline>
              <xm:f>'Area VIIb-k trawlers 24-40m'!D12:L12</xm:f>
              <xm:sqref>C12</xm:sqref>
            </x14:sparkline>
            <x14:sparkline>
              <xm:f>'Area VIIb-k trawlers 24-40m'!D13:L13</xm:f>
              <xm:sqref>C13</xm:sqref>
            </x14:sparkline>
            <x14:sparkline>
              <xm:f>'Area VIIb-k trawlers 24-40m'!D14:L14</xm:f>
              <xm:sqref>C14</xm:sqref>
            </x14:sparkline>
            <x14:sparkline>
              <xm:f>'Area VIIb-k trawlers 24-40m'!D15:L15</xm:f>
              <xm:sqref>C15</xm:sqref>
            </x14:sparkline>
            <x14:sparkline>
              <xm:f>'Area VIIb-k trawlers 24-40m'!D16:L16</xm:f>
              <xm:sqref>C16</xm:sqref>
            </x14:sparkline>
            <x14:sparkline>
              <xm:f>'Area VIIb-k trawlers 24-40m'!D17:L17</xm:f>
              <xm:sqref>C17</xm:sqref>
            </x14:sparkline>
            <x14:sparkline>
              <xm:f>'Area VIIb-k trawlers 24-40m'!D18:L18</xm:f>
              <xm:sqref>C18</xm:sqref>
            </x14:sparkline>
            <x14:sparkline>
              <xm:f>'Area VIIb-k trawlers 24-40m'!D19:L19</xm:f>
              <xm:sqref>C19</xm:sqref>
            </x14:sparkline>
            <x14:sparkline>
              <xm:f>'Area VIIb-k trawlers 24-40m'!D20:L20</xm:f>
              <xm:sqref>C20</xm:sqref>
            </x14:sparkline>
            <x14:sparkline>
              <xm:f>'Area VIIb-k trawlers 24-40m'!D21:L21</xm:f>
              <xm:sqref>C21</xm:sqref>
            </x14:sparkline>
            <x14:sparkline>
              <xm:f>'Area VIIb-k trawlers 24-40m'!D22:L22</xm:f>
              <xm:sqref>C22</xm:sqref>
            </x14:sparkline>
            <x14:sparkline>
              <xm:f>'Area VIIb-k trawlers 24-40m'!D23:L23</xm:f>
              <xm:sqref>C23</xm:sqref>
            </x14:sparkline>
            <x14:sparkline>
              <xm:f>'Area VIIb-k trawlers 24-40m'!D24:L24</xm:f>
              <xm:sqref>C24</xm:sqref>
            </x14:sparkline>
            <x14:sparkline>
              <xm:f>'Area VIIb-k trawlers 24-40m'!D25:L25</xm:f>
              <xm:sqref>C25</xm:sqref>
            </x14:sparkline>
            <x14:sparkline>
              <xm:f>'Area VIIb-k trawlers 24-40m'!D26:L26</xm:f>
              <xm:sqref>C26</xm:sqref>
            </x14:sparkline>
            <x14:sparkline>
              <xm:f>'Area VIIb-k trawlers 24-40m'!D27:L27</xm:f>
              <xm:sqref>C27</xm:sqref>
            </x14:sparkline>
            <x14:sparkline>
              <xm:f>'Area VIIb-k trawlers 24-40m'!D28:L28</xm:f>
              <xm:sqref>C28</xm:sqref>
            </x14:sparkline>
            <x14:sparkline>
              <xm:f>'Area VIIb-k trawlers 24-40m'!D29:L29</xm:f>
              <xm:sqref>C29</xm:sqref>
            </x14:sparkline>
            <x14:sparkline>
              <xm:f>'Area VIIb-k trawlers 24-40m'!D30:L30</xm:f>
              <xm:sqref>C30</xm:sqref>
            </x14:sparkline>
            <x14:sparkline>
              <xm:f>'Area VIIb-k trawlers 24-40m'!D31:L31</xm:f>
              <xm:sqref>C31</xm:sqref>
            </x14:sparkline>
            <x14:sparkline>
              <xm:f>'Area VIIb-k trawlers 24-40m'!D32:L32</xm:f>
              <xm:sqref>C32</xm:sqref>
            </x14:sparkline>
            <x14:sparkline>
              <xm:f>'Area VIIb-k trawlers 24-40m'!D33:L33</xm:f>
              <xm:sqref>C33</xm:sqref>
            </x14:sparkline>
            <x14:sparkline>
              <xm:f>'Area VIIb-k trawlers 24-40m'!D34:L34</xm:f>
              <xm:sqref>C34</xm:sqref>
            </x14:sparkline>
            <x14:sparkline>
              <xm:f>'Area VIIb-k trawlers 24-40m'!D35:L35</xm:f>
              <xm:sqref>C35</xm:sqref>
            </x14:sparkline>
            <x14:sparkline>
              <xm:f>'Area VIIb-k trawlers 24-40m'!D36:L36</xm:f>
              <xm:sqref>C36</xm:sqref>
            </x14:sparkline>
            <x14:sparkline>
              <xm:f>'Area VIIb-k trawlers 24-40m'!D37:L37</xm:f>
              <xm:sqref>C37</xm:sqref>
            </x14:sparkline>
            <x14:sparkline>
              <xm:f>'Area VIIb-k trawlers 24-40m'!D38:L38</xm:f>
              <xm:sqref>C38</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O300"/>
  <sheetViews>
    <sheetView topLeftCell="A34" zoomScale="90" zoomScaleNormal="90" zoomScalePageLayoutView="75" workbookViewId="0"/>
  </sheetViews>
  <sheetFormatPr defaultColWidth="9" defaultRowHeight="15" x14ac:dyDescent="0.2"/>
  <cols>
    <col min="1" max="1" width="6" style="6" customWidth="1"/>
    <col min="2" max="2" width="30.5" style="6" customWidth="1"/>
    <col min="3" max="3" width="9.125" style="6" customWidth="1"/>
    <col min="4" max="15" width="10.375" style="6" customWidth="1"/>
    <col min="16" max="16384" width="9" style="6"/>
  </cols>
  <sheetData>
    <row r="1" spans="1:15" s="58" customFormat="1" ht="34.5" customHeight="1" thickBot="1" x14ac:dyDescent="0.25">
      <c r="A1" s="56" t="s">
        <v>119</v>
      </c>
      <c r="B1" s="57"/>
      <c r="M1" s="7" t="s">
        <v>2</v>
      </c>
      <c r="O1" s="69" t="s">
        <v>3</v>
      </c>
    </row>
    <row r="2" spans="1:15" s="13" customFormat="1" ht="26.25" thickBot="1" x14ac:dyDescent="0.25">
      <c r="A2" s="8"/>
      <c r="B2" s="9" t="s">
        <v>4</v>
      </c>
      <c r="C2" s="10" t="s">
        <v>5</v>
      </c>
      <c r="D2" s="11">
        <v>2005</v>
      </c>
      <c r="E2" s="11">
        <v>2006</v>
      </c>
      <c r="F2" s="11">
        <v>2007</v>
      </c>
      <c r="G2" s="11">
        <v>2008</v>
      </c>
      <c r="H2" s="11">
        <v>2009</v>
      </c>
      <c r="I2" s="11">
        <v>2010</v>
      </c>
      <c r="J2" s="11">
        <v>2011</v>
      </c>
      <c r="K2" s="11">
        <v>2012</v>
      </c>
      <c r="L2" s="11">
        <v>2013</v>
      </c>
      <c r="M2" s="12">
        <v>2014</v>
      </c>
      <c r="N2" s="10" t="str">
        <f>"%∆
"&amp;D2&amp;"-"&amp;L2</f>
        <v>%∆
2005-2013</v>
      </c>
      <c r="O2" s="10" t="str">
        <f>"%∆
"&amp;H2&amp;"-"&amp;L2</f>
        <v>%∆
2009-2013</v>
      </c>
    </row>
    <row r="3" spans="1:15" s="19" customFormat="1" ht="18" customHeight="1" x14ac:dyDescent="0.2">
      <c r="A3" s="140" t="s">
        <v>6</v>
      </c>
      <c r="B3" s="14" t="s">
        <v>19</v>
      </c>
      <c r="C3" s="15"/>
      <c r="D3" s="16">
        <v>65</v>
      </c>
      <c r="E3" s="16">
        <v>66</v>
      </c>
      <c r="F3" s="16">
        <v>64</v>
      </c>
      <c r="G3" s="16">
        <v>67</v>
      </c>
      <c r="H3" s="16">
        <v>60</v>
      </c>
      <c r="I3" s="16">
        <v>64</v>
      </c>
      <c r="J3" s="16">
        <v>63</v>
      </c>
      <c r="K3" s="16">
        <v>61</v>
      </c>
      <c r="L3" s="16">
        <v>61</v>
      </c>
      <c r="M3" s="17">
        <v>60</v>
      </c>
      <c r="N3" s="18">
        <f t="shared" ref="N3:N38" si="0">IF(L3=0,"",IFERROR(IF(AND(L3&gt;0,D3&lt;0),"na",IF(AND(L3&lt;0,D3&lt;0),-1,1)*(L3-D3)/D3),""))</f>
        <v>-6.1538461538461542E-2</v>
      </c>
      <c r="O3" s="18">
        <f t="shared" ref="O3:O38" si="1">IF(L3=0,"",IFERROR(IF(AND(L3&gt;0,H3&lt;0),"na",IF(AND(L3&lt;0,H3&lt;0),-1,1)*(L3-H3)/H3),""))</f>
        <v>1.6666666666666666E-2</v>
      </c>
    </row>
    <row r="4" spans="1:15" s="19" customFormat="1" ht="18" customHeight="1" x14ac:dyDescent="0.2">
      <c r="A4" s="141"/>
      <c r="B4" s="20" t="s">
        <v>20</v>
      </c>
      <c r="C4" s="21"/>
      <c r="D4" s="22">
        <v>11749.33984375</v>
      </c>
      <c r="E4" s="22">
        <v>11725.7900390625</v>
      </c>
      <c r="F4" s="22">
        <v>11455.0498046875</v>
      </c>
      <c r="G4" s="22">
        <v>12014.2197265625</v>
      </c>
      <c r="H4" s="22">
        <v>11174.75</v>
      </c>
      <c r="I4" s="22">
        <v>12122.5498046875</v>
      </c>
      <c r="J4" s="22">
        <v>11692.33984375</v>
      </c>
      <c r="K4" s="22">
        <v>12039.6103515625</v>
      </c>
      <c r="L4" s="22">
        <v>11770.8603515625</v>
      </c>
      <c r="M4" s="23">
        <v>11589.4501953125</v>
      </c>
      <c r="N4" s="24">
        <f t="shared" si="0"/>
        <v>1.8316354874991314E-3</v>
      </c>
      <c r="O4" s="24">
        <f t="shared" si="1"/>
        <v>5.334440158057227E-2</v>
      </c>
    </row>
    <row r="5" spans="1:15" s="19" customFormat="1" ht="18" customHeight="1" x14ac:dyDescent="0.2">
      <c r="A5" s="141"/>
      <c r="B5" s="20" t="s">
        <v>21</v>
      </c>
      <c r="C5" s="21"/>
      <c r="D5" s="22">
        <v>1979.7900390625</v>
      </c>
      <c r="E5" s="22">
        <v>2061.06005859375</v>
      </c>
      <c r="F5" s="22">
        <v>2010.6400146484375</v>
      </c>
      <c r="G5" s="22">
        <v>2129.639892578125</v>
      </c>
      <c r="H5" s="22">
        <v>2046.989990234375</v>
      </c>
      <c r="I5" s="22">
        <v>2243.239990234375</v>
      </c>
      <c r="J5" s="22">
        <v>2173.8798828125</v>
      </c>
      <c r="K5" s="22">
        <v>2321.260009765625</v>
      </c>
      <c r="L5" s="22">
        <v>2332.280029296875</v>
      </c>
      <c r="M5" s="23">
        <v>2064.219970703125</v>
      </c>
      <c r="N5" s="24">
        <f t="shared" si="0"/>
        <v>0.17804412754864216</v>
      </c>
      <c r="O5" s="24">
        <f t="shared" si="1"/>
        <v>0.13937051007749923</v>
      </c>
    </row>
    <row r="6" spans="1:15" s="19" customFormat="1" ht="18" customHeight="1" x14ac:dyDescent="0.2">
      <c r="A6" s="141"/>
      <c r="B6" s="20" t="s">
        <v>22</v>
      </c>
      <c r="C6" s="21"/>
      <c r="D6" s="22">
        <v>9295.859375</v>
      </c>
      <c r="E6" s="22">
        <v>9575.330078125</v>
      </c>
      <c r="F6" s="22">
        <v>9144.634765625</v>
      </c>
      <c r="G6" s="22">
        <v>9930.34765625</v>
      </c>
      <c r="H6" s="22">
        <v>9148.2138671875</v>
      </c>
      <c r="I6" s="22">
        <v>9864.681640625</v>
      </c>
      <c r="J6" s="22">
        <v>9649.14453125</v>
      </c>
      <c r="K6" s="22">
        <v>9683.5244140625</v>
      </c>
      <c r="L6" s="22">
        <v>9643.7099609375</v>
      </c>
      <c r="M6" s="23">
        <v>9256.9287109375</v>
      </c>
      <c r="N6" s="24">
        <f t="shared" si="0"/>
        <v>3.7419949238152068E-2</v>
      </c>
      <c r="O6" s="24">
        <f t="shared" si="1"/>
        <v>5.4163151511709667E-2</v>
      </c>
    </row>
    <row r="7" spans="1:15" s="19" customFormat="1" ht="18" customHeight="1" x14ac:dyDescent="0.2">
      <c r="A7" s="141"/>
      <c r="B7" s="20" t="s">
        <v>23</v>
      </c>
      <c r="C7" s="21"/>
      <c r="D7" s="22">
        <v>5253.974609375</v>
      </c>
      <c r="E7" s="22">
        <v>5514.66943359375</v>
      </c>
      <c r="F7" s="22">
        <v>7568.25341796875</v>
      </c>
      <c r="G7" s="22">
        <v>7696.25390625</v>
      </c>
      <c r="H7" s="22">
        <v>7311.06103515625</v>
      </c>
      <c r="I7" s="22">
        <v>10380.015625</v>
      </c>
      <c r="J7" s="22">
        <v>9430.669921875</v>
      </c>
      <c r="K7" s="22">
        <v>11268.7333984375</v>
      </c>
      <c r="L7" s="22">
        <v>9952.7265625</v>
      </c>
      <c r="M7" s="23">
        <v>9591.04296875</v>
      </c>
      <c r="N7" s="24">
        <f t="shared" si="0"/>
        <v>0.89432330806104754</v>
      </c>
      <c r="O7" s="24">
        <f t="shared" si="1"/>
        <v>0.36132450743345396</v>
      </c>
    </row>
    <row r="8" spans="1:15" s="19" customFormat="1" ht="18" customHeight="1" x14ac:dyDescent="0.2">
      <c r="A8" s="141"/>
      <c r="B8" s="20" t="s">
        <v>24</v>
      </c>
      <c r="C8" s="25"/>
      <c r="D8" s="26">
        <f ca="1">10.81983*OFFSET(D$108,MATCH($M$1,$C$109:$C$110,0),0)</f>
        <v>8.8014988329511112</v>
      </c>
      <c r="E8" s="26">
        <f ca="1">11.055966*OFFSET(E$108,MATCH($M$1,$C$109:$C$110,0),0)</f>
        <v>9.235379375899285</v>
      </c>
      <c r="F8" s="26">
        <f ca="1">12.477009*OFFSET(F$108,MATCH($M$1,$C$109:$C$110,0),0)</f>
        <v>10.721743096288092</v>
      </c>
      <c r="G8" s="26">
        <f ca="1">10.694189*OFFSET(G$108,MATCH($M$1,$C$109:$C$110,0),0)</f>
        <v>9.4565506330574092</v>
      </c>
      <c r="H8" s="26">
        <f ca="1">11.08718*OFFSET(H$108,MATCH($M$1,$C$109:$C$110,0),0)</f>
        <v>9.9981973406421396</v>
      </c>
      <c r="I8" s="26">
        <f ca="1">14.103587*OFFSET(I$108,MATCH($M$1,$C$109:$C$110,0),0)</f>
        <v>13.121836138045472</v>
      </c>
      <c r="J8" s="26">
        <f ca="1">15.101889*OFFSET(J$108,MATCH($M$1,$C$109:$C$110,0),0)</f>
        <v>14.349210738983958</v>
      </c>
      <c r="K8" s="26">
        <f ca="1">15.466168*OFFSET(K$108,MATCH($M$1,$C$109:$C$110,0),0)</f>
        <v>14.939390171913649</v>
      </c>
      <c r="L8" s="26">
        <f ca="1">14.708553*OFFSET(L$108,MATCH($M$1,$C$109:$C$110,0),0)</f>
        <v>14.46189031180619</v>
      </c>
      <c r="M8" s="27">
        <f ca="1">14.688555*OFFSET(M$108,MATCH($M$1,$C$109:$C$110,0),0)</f>
        <v>14.688554942932713</v>
      </c>
      <c r="N8" s="24">
        <f t="shared" ca="1" si="0"/>
        <v>0.64311676752869262</v>
      </c>
      <c r="O8" s="24">
        <f t="shared" ca="1" si="1"/>
        <v>0.44644977680320197</v>
      </c>
    </row>
    <row r="9" spans="1:15" s="19" customFormat="1" ht="18" customHeight="1" x14ac:dyDescent="0.2">
      <c r="A9" s="141"/>
      <c r="B9" s="20" t="s">
        <v>25</v>
      </c>
      <c r="C9" s="25"/>
      <c r="D9" s="22">
        <v>11019</v>
      </c>
      <c r="E9" s="22">
        <v>10530</v>
      </c>
      <c r="F9" s="22">
        <v>10764.5</v>
      </c>
      <c r="G9" s="22">
        <v>10559</v>
      </c>
      <c r="H9" s="22">
        <v>10416</v>
      </c>
      <c r="I9" s="22">
        <v>11359</v>
      </c>
      <c r="J9" s="22">
        <v>10489</v>
      </c>
      <c r="K9" s="22">
        <v>9867</v>
      </c>
      <c r="L9" s="22">
        <v>10079</v>
      </c>
      <c r="M9" s="23">
        <v>10015</v>
      </c>
      <c r="N9" s="24">
        <f t="shared" si="0"/>
        <v>-8.5307196660314E-2</v>
      </c>
      <c r="O9" s="24">
        <f t="shared" si="1"/>
        <v>-3.2354070660522274E-2</v>
      </c>
    </row>
    <row r="10" spans="1:15" s="19" customFormat="1" ht="18" customHeight="1" x14ac:dyDescent="0.2">
      <c r="A10" s="142" t="s">
        <v>7</v>
      </c>
      <c r="B10" s="28" t="s">
        <v>26</v>
      </c>
      <c r="C10" s="29"/>
      <c r="D10" s="30">
        <v>13.097999572753906</v>
      </c>
      <c r="E10" s="30">
        <v>13.116363525390625</v>
      </c>
      <c r="F10" s="30">
        <v>13.178593635559082</v>
      </c>
      <c r="G10" s="30">
        <v>13.112537384033203</v>
      </c>
      <c r="H10" s="30">
        <v>13.187000274658203</v>
      </c>
      <c r="I10" s="30">
        <v>13.341094017028809</v>
      </c>
      <c r="J10" s="30">
        <v>13.291904449462891</v>
      </c>
      <c r="K10" s="30">
        <v>13.556065559387207</v>
      </c>
      <c r="L10" s="30">
        <v>13.623114585876465</v>
      </c>
      <c r="M10" s="31">
        <v>13.283166885375977</v>
      </c>
      <c r="N10" s="32">
        <f t="shared" si="0"/>
        <v>4.0091237612718218E-2</v>
      </c>
      <c r="O10" s="32">
        <f t="shared" si="1"/>
        <v>3.3071532731849089E-2</v>
      </c>
    </row>
    <row r="11" spans="1:15" s="19" customFormat="1" ht="18" customHeight="1" x14ac:dyDescent="0.2">
      <c r="A11" s="143"/>
      <c r="B11" s="33" t="s">
        <v>20</v>
      </c>
      <c r="C11" s="21"/>
      <c r="D11" s="22">
        <v>180.75907897949219</v>
      </c>
      <c r="E11" s="22">
        <v>177.66348266601562</v>
      </c>
      <c r="F11" s="22">
        <v>178.98515319824219</v>
      </c>
      <c r="G11" s="22">
        <v>179.31671142578125</v>
      </c>
      <c r="H11" s="22">
        <v>186.24583435058594</v>
      </c>
      <c r="I11" s="22">
        <v>189.41484069824219</v>
      </c>
      <c r="J11" s="22">
        <v>185.59269714355469</v>
      </c>
      <c r="K11" s="22">
        <v>197.37065124511719</v>
      </c>
      <c r="L11" s="22">
        <v>192.96492004394531</v>
      </c>
      <c r="M11" s="23">
        <v>193.15750122070312</v>
      </c>
      <c r="N11" s="24">
        <f t="shared" si="0"/>
        <v>6.7525466125205935E-2</v>
      </c>
      <c r="O11" s="24">
        <f t="shared" si="1"/>
        <v>3.6076434765845468E-2</v>
      </c>
    </row>
    <row r="12" spans="1:15" s="19" customFormat="1" ht="18" customHeight="1" x14ac:dyDescent="0.2">
      <c r="A12" s="143"/>
      <c r="B12" s="33" t="s">
        <v>21</v>
      </c>
      <c r="C12" s="21"/>
      <c r="D12" s="22">
        <v>30.458307266235352</v>
      </c>
      <c r="E12" s="22">
        <v>31.228181838989258</v>
      </c>
      <c r="F12" s="22">
        <v>31.416250228881836</v>
      </c>
      <c r="G12" s="22">
        <v>31.785671234130859</v>
      </c>
      <c r="H12" s="22">
        <v>34.116500854492188</v>
      </c>
      <c r="I12" s="22">
        <v>35.050624847412109</v>
      </c>
      <c r="J12" s="22">
        <v>34.506031036376953</v>
      </c>
      <c r="K12" s="22">
        <v>38.053443908691406</v>
      </c>
      <c r="L12" s="22">
        <v>38.234096527099609</v>
      </c>
      <c r="M12" s="23">
        <v>34.403667449951172</v>
      </c>
      <c r="N12" s="24">
        <f t="shared" si="0"/>
        <v>0.25529288915816184</v>
      </c>
      <c r="O12" s="24">
        <f t="shared" si="1"/>
        <v>0.12069220375703477</v>
      </c>
    </row>
    <row r="13" spans="1:15" s="19" customFormat="1" ht="18" customHeight="1" x14ac:dyDescent="0.2">
      <c r="A13" s="143"/>
      <c r="B13" s="33" t="s">
        <v>22</v>
      </c>
      <c r="C13" s="21"/>
      <c r="D13" s="22">
        <v>143.01321411132812</v>
      </c>
      <c r="E13" s="22">
        <v>145.08074951171875</v>
      </c>
      <c r="F13" s="22">
        <v>142.88491821289062</v>
      </c>
      <c r="G13" s="22">
        <v>148.21414184570312</v>
      </c>
      <c r="H13" s="22">
        <v>152.47023010253906</v>
      </c>
      <c r="I13" s="22">
        <v>154.13565063476562</v>
      </c>
      <c r="J13" s="22">
        <v>153.16102600097656</v>
      </c>
      <c r="K13" s="22">
        <v>158.74630737304687</v>
      </c>
      <c r="L13" s="22">
        <v>158.09361267089844</v>
      </c>
      <c r="M13" s="23">
        <v>154.28215026855469</v>
      </c>
      <c r="N13" s="24">
        <f t="shared" si="0"/>
        <v>0.10544758855521581</v>
      </c>
      <c r="O13" s="24">
        <f t="shared" si="1"/>
        <v>3.6881839586505157E-2</v>
      </c>
    </row>
    <row r="14" spans="1:15" s="19" customFormat="1" ht="18" customHeight="1" x14ac:dyDescent="0.2">
      <c r="A14" s="143"/>
      <c r="B14" s="33" t="s">
        <v>23</v>
      </c>
      <c r="C14" s="25"/>
      <c r="D14" s="26">
        <v>80.83038330078125</v>
      </c>
      <c r="E14" s="26">
        <v>83.555595397949219</v>
      </c>
      <c r="F14" s="26">
        <v>118.25395965576172</v>
      </c>
      <c r="G14" s="26">
        <v>114.86946105957031</v>
      </c>
      <c r="H14" s="26">
        <v>121.85101318359375</v>
      </c>
      <c r="I14" s="26">
        <v>162.187744140625</v>
      </c>
      <c r="J14" s="26">
        <v>149.69317626953125</v>
      </c>
      <c r="K14" s="26">
        <v>184.73333740234375</v>
      </c>
      <c r="L14" s="26">
        <v>163.15943908691406</v>
      </c>
      <c r="M14" s="27">
        <v>159.8507080078125</v>
      </c>
      <c r="N14" s="24">
        <f t="shared" si="0"/>
        <v>1.0185409548260436</v>
      </c>
      <c r="O14" s="24">
        <f t="shared" si="1"/>
        <v>0.3390076522472622</v>
      </c>
    </row>
    <row r="15" spans="1:15" s="19" customFormat="1" ht="18" customHeight="1" x14ac:dyDescent="0.2">
      <c r="A15" s="143"/>
      <c r="B15" s="33" t="s">
        <v>27</v>
      </c>
      <c r="C15" s="25"/>
      <c r="D15" s="26">
        <f ca="1">166.458921875*OFFSET(D$108,MATCH($M$1,$C$109:$C$110,0),0)</f>
        <v>135.40767337537767</v>
      </c>
      <c r="E15" s="26">
        <f ca="1">167.514625*OFFSET(E$108,MATCH($M$1,$C$109:$C$110,0),0)</f>
        <v>139.92998105154294</v>
      </c>
      <c r="F15" s="26">
        <f ca="1">194.953265625*OFFSET(F$108,MATCH($M$1,$C$109:$C$110,0),0)</f>
        <v>167.52723587950143</v>
      </c>
      <c r="G15" s="26">
        <f ca="1">159.614765625*OFFSET(G$108,MATCH($M$1,$C$109:$C$110,0),0)</f>
        <v>141.1425506802249</v>
      </c>
      <c r="H15" s="26">
        <f ca="1">184.78634375*OFFSET(H$108,MATCH($M$1,$C$109:$C$110,0),0)</f>
        <v>166.63663173757749</v>
      </c>
      <c r="I15" s="26">
        <f ca="1">220.368546875*OFFSET(I$108,MATCH($M$1,$C$109:$C$110,0),0)</f>
        <v>205.02868965696052</v>
      </c>
      <c r="J15" s="26">
        <f ca="1">239.712515625*OFFSET(J$108,MATCH($M$1,$C$109:$C$110,0),0)</f>
        <v>227.76524204853513</v>
      </c>
      <c r="K15" s="26">
        <f ca="1">253.543734375*OFFSET(K$108,MATCH($M$1,$C$109:$C$110,0),0)</f>
        <v>244.90803238864081</v>
      </c>
      <c r="L15" s="26">
        <f ca="1">241.1238125*OFFSET(L$108,MATCH($M$1,$C$109:$C$110,0),0)</f>
        <v>237.08016199414877</v>
      </c>
      <c r="M15" s="27">
        <f ca="1">244.80925*OFFSET(M$108,MATCH($M$1,$C$109:$C$110,0),0)</f>
        <v>244.80924904887854</v>
      </c>
      <c r="N15" s="24">
        <f t="shared" ca="1" si="0"/>
        <v>0.75086208989732983</v>
      </c>
      <c r="O15" s="24">
        <f t="shared" ca="1" si="1"/>
        <v>0.42273736285972868</v>
      </c>
    </row>
    <row r="16" spans="1:15" s="19" customFormat="1" ht="18" customHeight="1" x14ac:dyDescent="0.2">
      <c r="A16" s="143"/>
      <c r="B16" s="33" t="s">
        <v>25</v>
      </c>
      <c r="C16" s="21"/>
      <c r="D16" s="22">
        <v>169.5230712890625</v>
      </c>
      <c r="E16" s="22">
        <v>159.54545593261719</v>
      </c>
      <c r="F16" s="22">
        <v>168.1953125</v>
      </c>
      <c r="G16" s="22">
        <v>157.59701538085937</v>
      </c>
      <c r="H16" s="22">
        <v>173.60000610351562</v>
      </c>
      <c r="I16" s="22">
        <v>177.484375</v>
      </c>
      <c r="J16" s="22">
        <v>166.4920654296875</v>
      </c>
      <c r="K16" s="22">
        <v>161.75410461425781</v>
      </c>
      <c r="L16" s="22">
        <v>165.22950744628906</v>
      </c>
      <c r="M16" s="23">
        <v>166.91667175292969</v>
      </c>
      <c r="N16" s="24">
        <f t="shared" si="0"/>
        <v>-2.5327312737581667E-2</v>
      </c>
      <c r="O16" s="24">
        <f t="shared" si="1"/>
        <v>-4.8217156468504579E-2</v>
      </c>
    </row>
    <row r="17" spans="1:15" s="19" customFormat="1" ht="18" customHeight="1" x14ac:dyDescent="0.2">
      <c r="A17" s="143"/>
      <c r="B17" s="33" t="s">
        <v>28</v>
      </c>
      <c r="C17" s="21"/>
      <c r="D17" s="22">
        <v>19.076923370361328</v>
      </c>
      <c r="E17" s="22">
        <v>21.166666030883789</v>
      </c>
      <c r="F17" s="22">
        <v>21.96875</v>
      </c>
      <c r="G17" s="22">
        <v>21.343282699584961</v>
      </c>
      <c r="H17" s="22">
        <v>21.933332443237305</v>
      </c>
      <c r="I17" s="22">
        <v>23.109375</v>
      </c>
      <c r="J17" s="22">
        <v>25.238094329833984</v>
      </c>
      <c r="K17" s="22">
        <v>25.918033599853516</v>
      </c>
      <c r="L17" s="22">
        <v>26.377048492431641</v>
      </c>
      <c r="M17" s="23">
        <v>26.966667175292969</v>
      </c>
      <c r="N17" s="24">
        <f t="shared" si="0"/>
        <v>0.38266784325464553</v>
      </c>
      <c r="O17" s="24">
        <f t="shared" si="1"/>
        <v>0.20260104389948574</v>
      </c>
    </row>
    <row r="18" spans="1:15" s="19" customFormat="1" ht="18" customHeight="1" x14ac:dyDescent="0.2">
      <c r="A18" s="143"/>
      <c r="B18" s="33" t="s">
        <v>29</v>
      </c>
      <c r="C18" s="21"/>
      <c r="D18" s="34">
        <v>0.4768105149269104</v>
      </c>
      <c r="E18" s="34">
        <v>0.52371025085449219</v>
      </c>
      <c r="F18" s="34">
        <v>0.70307523012161255</v>
      </c>
      <c r="G18" s="34">
        <v>0.72888094186782837</v>
      </c>
      <c r="H18" s="34">
        <v>0.70190674066543579</v>
      </c>
      <c r="I18" s="34">
        <v>0.91381418704986572</v>
      </c>
      <c r="J18" s="34">
        <v>0.89910095930099487</v>
      </c>
      <c r="K18" s="34">
        <v>1.142062783241272</v>
      </c>
      <c r="L18" s="34">
        <v>0.98747158050537109</v>
      </c>
      <c r="M18" s="35">
        <v>0.95766770839691162</v>
      </c>
      <c r="N18" s="24">
        <f t="shared" si="0"/>
        <v>1.0709937167739247</v>
      </c>
      <c r="O18" s="24">
        <f t="shared" si="1"/>
        <v>0.40684156925065051</v>
      </c>
    </row>
    <row r="19" spans="1:15" s="19" customFormat="1" ht="18" customHeight="1" x14ac:dyDescent="0.2">
      <c r="A19" s="144"/>
      <c r="B19" s="36" t="s">
        <v>8</v>
      </c>
      <c r="C19" s="37"/>
      <c r="D19" s="38">
        <f ca="1">2059.36092281327*OFFSET(D$108,MATCH($M$1,$C$109:$C$110,0),0)</f>
        <v>1675.2077212642084</v>
      </c>
      <c r="E19" s="38">
        <f ca="1">2004.82841866283*OFFSET(E$108,MATCH($M$1,$C$109:$C$110,0),0)</f>
        <v>1674.6931955050766</v>
      </c>
      <c r="F19" s="38">
        <f ca="1">1648.59820502003*OFFSET(F$108,MATCH($M$1,$C$109:$C$110,0),0)</f>
        <v>1416.6733728593485</v>
      </c>
      <c r="G19" s="38">
        <f ca="1">1389.53172936712*OFFSET(G$108,MATCH($M$1,$C$109:$C$110,0),0)</f>
        <v>1228.7212387026259</v>
      </c>
      <c r="H19" s="38">
        <f ca="1">1516.49397354033*OFFSET(H$108,MATCH($M$1,$C$109:$C$110,0),0)</f>
        <v>1367.5439573769668</v>
      </c>
      <c r="I19" s="38">
        <f ca="1">1358.725026004*OFFSET(I$108,MATCH($M$1,$C$109:$C$110,0),0)</f>
        <v>1264.1441604810225</v>
      </c>
      <c r="J19" s="38">
        <f ca="1">1601.35908955633*OFFSET(J$108,MATCH($M$1,$C$109:$C$110,0),0)</f>
        <v>1521.5473405235109</v>
      </c>
      <c r="K19" s="38">
        <f ca="1">1372.48503919212*OFFSET(K$108,MATCH($M$1,$C$109:$C$110,0),0)</f>
        <v>1325.7381858004696</v>
      </c>
      <c r="L19" s="38">
        <f ca="1">1477.8415650862*OFFSET(L$108,MATCH($M$1,$C$109:$C$110,0),0)</f>
        <v>1453.0581364804964</v>
      </c>
      <c r="M19" s="39">
        <f ca="1">1531.48672650711*OFFSET(M$108,MATCH($M$1,$C$109:$C$110,0),0)</f>
        <v>1531.4867205570495</v>
      </c>
      <c r="N19" s="40">
        <f ca="1">IF(L19=0,"",IFERROR(IF(AND(L19&gt;0,D19&lt;0),"na",IF(AND(L19&lt;0,D19&lt;0),-1,1)*(L19-D19)/D19),""))</f>
        <v>-0.13261017243644577</v>
      </c>
      <c r="O19" s="40">
        <f ca="1">IF(L19=0,"",IFERROR(IF(AND(L19&gt;0,H19&lt;0),"na",IF(AND(L19&lt;0,H19&lt;0),-1,1)*(L19-H19)/H19),""))</f>
        <v>6.2531210526900402E-2</v>
      </c>
    </row>
    <row r="20" spans="1:15" s="19" customFormat="1" ht="18" customHeight="1" x14ac:dyDescent="0.2">
      <c r="A20" s="145" t="s">
        <v>9</v>
      </c>
      <c r="B20" s="28" t="s">
        <v>30</v>
      </c>
      <c r="C20" s="41"/>
      <c r="D20" s="42">
        <v>2.5635544308348379</v>
      </c>
      <c r="E20" s="42">
        <v>2.7977699206345781</v>
      </c>
      <c r="F20" s="42">
        <v>3.7231176095801395</v>
      </c>
      <c r="G20" s="42">
        <v>3.8241115214066874</v>
      </c>
      <c r="H20" s="42">
        <v>3.5292552953776211</v>
      </c>
      <c r="I20" s="42">
        <v>4.576100984874202</v>
      </c>
      <c r="J20" s="42">
        <v>4.5011366495382514</v>
      </c>
      <c r="K20" s="42">
        <v>5.3901890275322675</v>
      </c>
      <c r="L20" s="42">
        <v>4.8511266333527949</v>
      </c>
      <c r="M20" s="43">
        <v>4.6979166989548276</v>
      </c>
      <c r="N20" s="32">
        <f t="shared" si="0"/>
        <v>0.89234391710301797</v>
      </c>
      <c r="O20" s="32">
        <f t="shared" si="1"/>
        <v>0.37454681720148475</v>
      </c>
    </row>
    <row r="21" spans="1:15" s="19" customFormat="1" ht="18" customHeight="1" x14ac:dyDescent="0.2">
      <c r="A21" s="145"/>
      <c r="B21" s="33" t="s">
        <v>31</v>
      </c>
      <c r="C21" s="21"/>
      <c r="D21" s="34">
        <f ca="1">5.27928347360097*OFFSET(D$108,MATCH($M$1,$C$109:$C$110,0),0)</f>
        <v>4.2944858959629704</v>
      </c>
      <c r="E21" s="34">
        <f ca="1">5.6090484049484*OFFSET(E$108,MATCH($M$1,$C$109:$C$110,0),0)</f>
        <v>4.6854060475114734</v>
      </c>
      <c r="F21" s="34">
        <f ca="1">6.13792500823229*OFFSET(F$108,MATCH($M$1,$C$109:$C$110,0),0)</f>
        <v>5.2744415815159371</v>
      </c>
      <c r="G21" s="34">
        <f ca="1">5.31372445367921*OFFSET(G$108,MATCH($M$1,$C$109:$C$110,0),0)</f>
        <v>4.698767185275365</v>
      </c>
      <c r="H21" s="34">
        <f ca="1">5.35209486695483*OFFSET(H$108,MATCH($M$1,$C$109:$C$110,0),0)</f>
        <v>4.8264121864759328</v>
      </c>
      <c r="I21" s="34">
        <f ca="1">6.21766292967011*OFFSET(I$108,MATCH($M$1,$C$109:$C$110,0),0)</f>
        <v>5.7848513378001591</v>
      </c>
      <c r="J21" s="34">
        <f ca="1">7.2079357010231*OFFSET(J$108,MATCH($M$1,$C$109:$C$110,0),0)</f>
        <v>6.8486921316284697</v>
      </c>
      <c r="K21" s="34">
        <f ca="1">7.39795358133524*OFFSET(K$108,MATCH($M$1,$C$109:$C$110,0),0)</f>
        <v>7.1459792125155417</v>
      </c>
      <c r="L21" s="34">
        <f ca="1">7.16919692357616*OFFSET(L$108,MATCH($M$1,$C$109:$C$110,0),0)</f>
        <v>7.0489693671768263</v>
      </c>
      <c r="M21" s="35">
        <f ca="1">7.19479743297351*OFFSET(M$108,MATCH($M$1,$C$109:$C$110,0),0)</f>
        <v>7.1947974050206192</v>
      </c>
      <c r="N21" s="24">
        <f t="shared" ca="1" si="0"/>
        <v>0.64140005065640271</v>
      </c>
      <c r="O21" s="24">
        <f t="shared" ca="1" si="1"/>
        <v>0.46049883325935376</v>
      </c>
    </row>
    <row r="22" spans="1:15" s="19" customFormat="1" ht="18" customHeight="1" x14ac:dyDescent="0.2">
      <c r="A22" s="145"/>
      <c r="B22" s="33" t="s">
        <v>10</v>
      </c>
      <c r="C22" s="21"/>
      <c r="D22" s="34">
        <f ca="1">3.92792465550877*OFFSET(D$108,MATCH($M$1,$C$109:$C$110,0),0)</f>
        <v>3.1952095616456391</v>
      </c>
      <c r="E22" s="34">
        <f ca="1">4.25950270081923*OFFSET(E$108,MATCH($M$1,$C$109:$C$110,0),0)</f>
        <v>3.5580901202783384</v>
      </c>
      <c r="F22" s="34">
        <f ca="1">3.77138767023005*OFFSET(F$108,MATCH($M$1,$C$109:$C$110,0),0)</f>
        <v>3.2408287688752222</v>
      </c>
      <c r="G22" s="34">
        <f ca="1">4.37659561588323*OFFSET(G$108,MATCH($M$1,$C$109:$C$110,0),0)</f>
        <v>3.8700922568337663</v>
      </c>
      <c r="H22" s="34">
        <f ca="1">4.43382871053188*OFFSET(H$108,MATCH($M$1,$C$109:$C$110,0),0)</f>
        <v>3.9983381186652158</v>
      </c>
      <c r="I22" s="34">
        <f ca="1">4.73298909761012*OFFSET(I$108,MATCH($M$1,$C$109:$C$110,0),0)</f>
        <v>4.403525669178749</v>
      </c>
      <c r="J22" s="34">
        <f ca="1">6.90860105584769*OFFSET(J$108,MATCH($M$1,$C$109:$C$110,0),0)</f>
        <v>6.5642763274134506</v>
      </c>
      <c r="K22" s="34">
        <f ca="1">5.92359479255486*OFFSET(K$108,MATCH($M$1,$C$109:$C$110,0),0)</f>
        <v>5.7218370979995141</v>
      </c>
      <c r="L22" s="34">
        <f ca="1">6.1202845207742*OFFSET(L$108,MATCH($M$1,$C$109:$C$110,0),0)</f>
        <v>6.0176472435107513</v>
      </c>
      <c r="M22" s="35">
        <f ca="1">6.07036924913407*OFFSET(M$108,MATCH($M$1,$C$109:$C$110,0),0)</f>
        <v>6.0703692255497552</v>
      </c>
      <c r="N22" s="24">
        <f t="shared" ca="1" si="0"/>
        <v>0.88333413737390765</v>
      </c>
      <c r="O22" s="24">
        <f t="shared" ca="1" si="1"/>
        <v>0.50503710914765032</v>
      </c>
    </row>
    <row r="23" spans="1:15" s="19" customFormat="1" ht="18" customHeight="1" x14ac:dyDescent="0.2">
      <c r="A23" s="146"/>
      <c r="B23" s="33" t="s">
        <v>32</v>
      </c>
      <c r="C23" s="44"/>
      <c r="D23" s="34">
        <f ca="1">1.3513588180922*OFFSET(D$108,MATCH($M$1,$C$109:$C$110,0),0)</f>
        <v>1.0992763343173315</v>
      </c>
      <c r="E23" s="34">
        <f ca="1">1.34954570412917*OFFSET(E$108,MATCH($M$1,$C$109:$C$110,0),0)</f>
        <v>1.1273159272331352</v>
      </c>
      <c r="F23" s="34">
        <f ca="1">2.36653733800224*OFFSET(F$108,MATCH($M$1,$C$109:$C$110,0),0)</f>
        <v>2.0336128126407149</v>
      </c>
      <c r="G23" s="34">
        <f ca="1">0.937128837795976*OFFSET(G$108,MATCH($M$1,$C$109:$C$110,0),0)</f>
        <v>0.82867492844159485</v>
      </c>
      <c r="H23" s="34">
        <f ca="1">0.918266156422948*OFFSET(H$108,MATCH($M$1,$C$109:$C$110,0),0)</f>
        <v>0.82807406781071458</v>
      </c>
      <c r="I23" s="34">
        <f ca="1">1.48467383205999*OFFSET(I$108,MATCH($M$1,$C$109:$C$110,0),0)</f>
        <v>1.3813256686214104</v>
      </c>
      <c r="J23" s="34">
        <f ca="1">0.299334645175416*OFFSET(J$108,MATCH($M$1,$C$109:$C$110,0),0)</f>
        <v>0.28441580421502449</v>
      </c>
      <c r="K23" s="34">
        <f ca="1">1.47435878878038*OFFSET(K$108,MATCH($M$1,$C$109:$C$110,0),0)</f>
        <v>1.4241421145160276</v>
      </c>
      <c r="L23" s="34">
        <f ca="1">1.04891240280196*OFFSET(L$108,MATCH($M$1,$C$109:$C$110,0),0)</f>
        <v>1.031322123666075</v>
      </c>
      <c r="M23" s="35">
        <f ca="1">1.12442818383943*OFFSET(M$108,MATCH($M$1,$C$109:$C$110,0),0)</f>
        <v>1.1244281794708544</v>
      </c>
      <c r="N23" s="24">
        <f t="shared" ca="1" si="0"/>
        <v>-6.1817223322156917E-2</v>
      </c>
      <c r="O23" s="24">
        <f t="shared" ca="1" si="1"/>
        <v>0.24544671033197954</v>
      </c>
    </row>
    <row r="24" spans="1:15" s="19" customFormat="1" ht="18" customHeight="1" x14ac:dyDescent="0.2">
      <c r="A24" s="147" t="s">
        <v>11</v>
      </c>
      <c r="B24" s="28" t="s">
        <v>27</v>
      </c>
      <c r="C24" s="29"/>
      <c r="D24" s="30">
        <f ca="1">166.5*OFFSET(D$108,MATCH($M$1,$C$109:$C$110,0),0)</f>
        <v>135.44108878664082</v>
      </c>
      <c r="E24" s="30">
        <f ca="1">167.5*OFFSET(E$108,MATCH($M$1,$C$109:$C$110,0),0)</f>
        <v>139.91776435122273</v>
      </c>
      <c r="F24" s="30">
        <f ca="1">195*OFFSET(F$108,MATCH($M$1,$C$109:$C$110,0),0)</f>
        <v>167.56739566158666</v>
      </c>
      <c r="G24" s="30">
        <f ca="1">159.6*OFFSET(G$108,MATCH($M$1,$C$109:$C$110,0),0)</f>
        <v>141.12949388083214</v>
      </c>
      <c r="H24" s="30">
        <f ca="1">184.8*OFFSET(H$108,MATCH($M$1,$C$109:$C$110,0),0)</f>
        <v>166.64894667089987</v>
      </c>
      <c r="I24" s="30">
        <f ca="1">220.4*OFFSET(I$108,MATCH($M$1,$C$109:$C$110,0),0)</f>
        <v>205.05795332954818</v>
      </c>
      <c r="J24" s="30">
        <f ca="1">239.7*OFFSET(J$108,MATCH($M$1,$C$109:$C$110,0),0)</f>
        <v>227.75335020237895</v>
      </c>
      <c r="K24" s="30">
        <f ca="1">253.5*OFFSET(K$108,MATCH($M$1,$C$109:$C$110,0),0)</f>
        <v>244.86578760686618</v>
      </c>
      <c r="L24" s="30">
        <f ca="1">241.1*OFFSET(L$108,MATCH($M$1,$C$109:$C$110,0),0)</f>
        <v>237.05674883018557</v>
      </c>
      <c r="M24" s="31">
        <f ca="1">244.8*OFFSET(M$108,MATCH($M$1,$C$109:$C$110,0),0)</f>
        <v>244.79999904891451</v>
      </c>
      <c r="N24" s="32">
        <f t="shared" ca="1" si="0"/>
        <v>0.75025725910708696</v>
      </c>
      <c r="O24" s="32">
        <f t="shared" ca="1" si="1"/>
        <v>0.42249173226595771</v>
      </c>
    </row>
    <row r="25" spans="1:15" s="19" customFormat="1" ht="18" customHeight="1" x14ac:dyDescent="0.2">
      <c r="A25" s="148"/>
      <c r="B25" s="33" t="s">
        <v>33</v>
      </c>
      <c r="C25" s="25"/>
      <c r="D25" s="26"/>
      <c r="E25" s="26">
        <f ca="1">7.1*OFFSET(E$108,MATCH($M$1,$C$109:$C$110,0),0)</f>
        <v>5.9308425486189922</v>
      </c>
      <c r="F25" s="26">
        <f ca="1">12.9*OFFSET(F$108,MATCH($M$1,$C$109:$C$110,0),0)</f>
        <v>11.085227712997273</v>
      </c>
      <c r="G25" s="26">
        <f ca="1">1.3*OFFSET(G$108,MATCH($M$1,$C$109:$C$110,0),0)</f>
        <v>1.1495510153200614</v>
      </c>
      <c r="H25" s="26">
        <f ca="1">1.1*OFFSET(H$108,MATCH($M$1,$C$109:$C$110,0),0)</f>
        <v>0.99195801589821353</v>
      </c>
      <c r="I25" s="26">
        <f ca="1">8.1*OFFSET(I$108,MATCH($M$1,$C$109:$C$110,0),0)</f>
        <v>7.5361589018572603</v>
      </c>
      <c r="J25" s="26"/>
      <c r="K25" s="26">
        <f ca="1">11.7*OFFSET(K$108,MATCH($M$1,$C$109:$C$110,0),0)</f>
        <v>11.301497889547669</v>
      </c>
      <c r="L25" s="26">
        <f ca="1">3.5*OFFSET(L$108,MATCH($M$1,$C$109:$C$110,0),0)</f>
        <v>3.4413049394676465</v>
      </c>
      <c r="M25" s="27">
        <f ca="1">3.5*OFFSET(M$108,MATCH($M$1,$C$109:$C$110,0),0)</f>
        <v>3.499999986401964</v>
      </c>
      <c r="N25" s="24" t="str">
        <f t="shared" ca="1" si="0"/>
        <v/>
      </c>
      <c r="O25" s="24">
        <f t="shared" ca="1" si="1"/>
        <v>2.4692042246884411</v>
      </c>
    </row>
    <row r="26" spans="1:15" s="19" customFormat="1" ht="18" customHeight="1" x14ac:dyDescent="0.2">
      <c r="A26" s="148"/>
      <c r="B26" s="45" t="s">
        <v>34</v>
      </c>
      <c r="C26" s="46"/>
      <c r="D26" s="47">
        <f ca="1">166.5*OFFSET(D$108,MATCH($M$1,$C$109:$C$110,0),0)</f>
        <v>135.44108878664082</v>
      </c>
      <c r="E26" s="47">
        <f ca="1">174.6*OFFSET(E$108,MATCH($M$1,$C$109:$C$110,0),0)</f>
        <v>145.84860689984171</v>
      </c>
      <c r="F26" s="47">
        <f ca="1">207.8*OFFSET(F$108,MATCH($M$1,$C$109:$C$110,0),0)</f>
        <v>178.56669137680879</v>
      </c>
      <c r="G26" s="47">
        <f ca="1">160.9*OFFSET(G$108,MATCH($M$1,$C$109:$C$110,0),0)</f>
        <v>142.27904489615221</v>
      </c>
      <c r="H26" s="47">
        <f ca="1">185.9*OFFSET(H$108,MATCH($M$1,$C$109:$C$110,0),0)</f>
        <v>167.64090468679808</v>
      </c>
      <c r="I26" s="47">
        <f ca="1">228.5*OFFSET(I$108,MATCH($M$1,$C$109:$C$110,0),0)</f>
        <v>212.59411223140543</v>
      </c>
      <c r="J26" s="47">
        <f ca="1">239.7*OFFSET(J$108,MATCH($M$1,$C$109:$C$110,0),0)</f>
        <v>227.75335020237895</v>
      </c>
      <c r="K26" s="47">
        <f ca="1">265.2*OFFSET(K$108,MATCH($M$1,$C$109:$C$110,0),0)</f>
        <v>256.16728549641385</v>
      </c>
      <c r="L26" s="47">
        <f ca="1">244.6*OFFSET(L$108,MATCH($M$1,$C$109:$C$110,0),0)</f>
        <v>240.49805376965321</v>
      </c>
      <c r="M26" s="48">
        <f ca="1">248.3*OFFSET(M$108,MATCH($M$1,$C$109:$C$110,0),0)</f>
        <v>248.29999903531646</v>
      </c>
      <c r="N26" s="49">
        <f t="shared" ca="1" si="0"/>
        <v>0.77566539020154901</v>
      </c>
      <c r="O26" s="49">
        <f t="shared" ca="1" si="1"/>
        <v>0.43460245707319139</v>
      </c>
    </row>
    <row r="27" spans="1:15" s="19" customFormat="1" ht="18" customHeight="1" x14ac:dyDescent="0.2">
      <c r="A27" s="148"/>
      <c r="B27" s="33" t="s">
        <v>35</v>
      </c>
      <c r="C27" s="25"/>
      <c r="D27" s="26">
        <f ca="1">23*OFFSET(D$108,MATCH($M$1,$C$109:$C$110,0),0)</f>
        <v>18.709579832388822</v>
      </c>
      <c r="E27" s="26">
        <f ca="1">24.6*OFFSET(E$108,MATCH($M$1,$C$109:$C$110,0),0)</f>
        <v>20.549116436060174</v>
      </c>
      <c r="F27" s="26">
        <f ca="1">30.4*OFFSET(F$108,MATCH($M$1,$C$109:$C$110,0),0)</f>
        <v>26.123327323652486</v>
      </c>
      <c r="G27" s="26">
        <f ca="1">35.7*OFFSET(G$108,MATCH($M$1,$C$109:$C$110,0),0)</f>
        <v>31.568439420712458</v>
      </c>
      <c r="H27" s="26">
        <f ca="1">30.4*OFFSET(H$108,MATCH($M$1,$C$109:$C$110,0),0)</f>
        <v>27.414112439368807</v>
      </c>
      <c r="I27" s="26">
        <f ca="1">34.6*OFFSET(I$108,MATCH($M$1,$C$109:$C$110,0),0)</f>
        <v>32.191493580772992</v>
      </c>
      <c r="J27" s="26">
        <f ca="1">43*OFFSET(J$108,MATCH($M$1,$C$109:$C$110,0),0)</f>
        <v>40.856879677523139</v>
      </c>
      <c r="K27" s="26">
        <f ca="1">42.2*OFFSET(K$108,MATCH($M$1,$C$109:$C$110,0),0)</f>
        <v>40.762667601616386</v>
      </c>
      <c r="L27" s="26">
        <f ca="1">42*OFFSET(L$108,MATCH($M$1,$C$109:$C$110,0),0)</f>
        <v>41.295659273611754</v>
      </c>
      <c r="M27" s="27">
        <f ca="1">38*OFFSET(M$108,MATCH($M$1,$C$109:$C$110,0),0)</f>
        <v>37.999999852364176</v>
      </c>
      <c r="N27" s="24">
        <f t="shared" ca="1" si="0"/>
        <v>1.2071933011624003</v>
      </c>
      <c r="O27" s="24">
        <f t="shared" ca="1" si="1"/>
        <v>0.50636499229892851</v>
      </c>
    </row>
    <row r="28" spans="1:15" s="19" customFormat="1" ht="18" customHeight="1" x14ac:dyDescent="0.2">
      <c r="A28" s="148"/>
      <c r="B28" s="33" t="s">
        <v>36</v>
      </c>
      <c r="C28" s="25"/>
      <c r="D28" s="26">
        <f ca="1">28.8*OFFSET(D$108,MATCH($M$1,$C$109:$C$110,0),0)</f>
        <v>23.427647790121657</v>
      </c>
      <c r="E28" s="26">
        <f ca="1">47.5*OFFSET(E$108,MATCH($M$1,$C$109:$C$110,0),0)</f>
        <v>39.67817198019749</v>
      </c>
      <c r="F28" s="26">
        <f ca="1">43.5*OFFSET(F$108,MATCH($M$1,$C$109:$C$110,0),0)</f>
        <v>37.380419032200102</v>
      </c>
      <c r="G28" s="26">
        <f ca="1">33.5*OFFSET(G$108,MATCH($M$1,$C$109:$C$110,0),0)</f>
        <v>29.623045394786196</v>
      </c>
      <c r="H28" s="26">
        <f ca="1">48.3*OFFSET(H$108,MATCH($M$1,$C$109:$C$110,0),0)</f>
        <v>43.555974698076099</v>
      </c>
      <c r="I28" s="26">
        <f ca="1">50.8*OFFSET(I$108,MATCH($M$1,$C$109:$C$110,0),0)</f>
        <v>47.263811384487504</v>
      </c>
      <c r="J28" s="26">
        <f ca="1">72.3*OFFSET(J$108,MATCH($M$1,$C$109:$C$110,0),0)</f>
        <v>68.696567457788902</v>
      </c>
      <c r="K28" s="26">
        <f ca="1">64.3*OFFSET(K$108,MATCH($M$1,$C$109:$C$110,0),0)</f>
        <v>62.109941392984197</v>
      </c>
      <c r="L28" s="26">
        <f ca="1">59*OFFSET(L$108,MATCH($M$1,$C$109:$C$110,0),0)</f>
        <v>58.010568979597465</v>
      </c>
      <c r="M28" s="27">
        <f ca="1">62.1*OFFSET(M$108,MATCH($M$1,$C$109:$C$110,0),0)</f>
        <v>62.09999975873199</v>
      </c>
      <c r="N28" s="24">
        <f t="shared" ca="1" si="0"/>
        <v>1.4761584901433344</v>
      </c>
      <c r="O28" s="24">
        <f t="shared" ca="1" si="1"/>
        <v>0.33186249146571933</v>
      </c>
    </row>
    <row r="29" spans="1:15" s="19" customFormat="1" ht="18" customHeight="1" x14ac:dyDescent="0.2">
      <c r="A29" s="148"/>
      <c r="B29" s="33" t="s">
        <v>37</v>
      </c>
      <c r="C29" s="25"/>
      <c r="D29" s="26">
        <f ca="1">21.1*OFFSET(D$108,MATCH($M$1,$C$109:$C$110,0),0)</f>
        <v>17.164005846234964</v>
      </c>
      <c r="E29" s="26">
        <f ca="1">22.2*OFFSET(E$108,MATCH($M$1,$C$109:$C$110,0),0)</f>
        <v>18.544324588639668</v>
      </c>
      <c r="F29" s="26">
        <f ca="1">22.4*OFFSET(F$108,MATCH($M$1,$C$109:$C$110,0),0)</f>
        <v>19.248767501638675</v>
      </c>
      <c r="G29" s="26">
        <f ca="1">19.7*OFFSET(G$108,MATCH($M$1,$C$109:$C$110,0),0)</f>
        <v>17.420119232157852</v>
      </c>
      <c r="H29" s="26">
        <f ca="1">27.3*OFFSET(H$108,MATCH($M$1,$C$109:$C$110,0),0)</f>
        <v>24.618594394564752</v>
      </c>
      <c r="I29" s="26">
        <f ca="1">41.6*OFFSET(I$108,MATCH($M$1,$C$109:$C$110,0),0)</f>
        <v>38.704223495958274</v>
      </c>
      <c r="J29" s="26">
        <f ca="1">79.4*OFFSET(J$108,MATCH($M$1,$C$109:$C$110,0),0)</f>
        <v>75.442703404542726</v>
      </c>
      <c r="K29" s="26">
        <f ca="1">46.3*OFFSET(K$108,MATCH($M$1,$C$109:$C$110,0),0)</f>
        <v>44.723021562910859</v>
      </c>
      <c r="L29" s="26">
        <f ca="1">73.9*OFFSET(L$108,MATCH($M$1,$C$109:$C$110,0),0)</f>
        <v>72.660695721902599</v>
      </c>
      <c r="M29" s="27">
        <f ca="1">75*OFFSET(M$108,MATCH($M$1,$C$109:$C$110,0),0)</f>
        <v>74.999999708613515</v>
      </c>
      <c r="N29" s="24">
        <f t="shared" ca="1" si="0"/>
        <v>3.2333180478286305</v>
      </c>
      <c r="O29" s="24">
        <f t="shared" ca="1" si="1"/>
        <v>1.9514559018830293</v>
      </c>
    </row>
    <row r="30" spans="1:15" s="19" customFormat="1" ht="18" customHeight="1" x14ac:dyDescent="0.2">
      <c r="A30" s="148"/>
      <c r="B30" s="33" t="s">
        <v>38</v>
      </c>
      <c r="C30" s="25"/>
      <c r="D30" s="26">
        <f ca="1">72.9*OFFSET(D$108,MATCH($M$1,$C$109:$C$110,0),0)</f>
        <v>59.301233468745451</v>
      </c>
      <c r="E30" s="26">
        <f ca="1">94.3*OFFSET(E$108,MATCH($M$1,$C$109:$C$110,0),0)</f>
        <v>78.771613004897318</v>
      </c>
      <c r="F30" s="26">
        <f ca="1">96.3*OFFSET(F$108,MATCH($M$1,$C$109:$C$110,0),0)</f>
        <v>82.752513857491266</v>
      </c>
      <c r="G30" s="26">
        <f ca="1">89*OFFSET(G$108,MATCH($M$1,$C$109:$C$110,0),0)</f>
        <v>78.700031048834973</v>
      </c>
      <c r="H30" s="26">
        <f ca="1">106*OFFSET(H$108,MATCH($M$1,$C$109:$C$110,0),0)</f>
        <v>95.588681532009659</v>
      </c>
      <c r="I30" s="26">
        <f ca="1">127*OFFSET(I$108,MATCH($M$1,$C$109:$C$110,0),0)</f>
        <v>118.15952846121877</v>
      </c>
      <c r="J30" s="26">
        <f ca="1">194.7*OFFSET(J$108,MATCH($M$1,$C$109:$C$110,0),0)</f>
        <v>184.99615053985474</v>
      </c>
      <c r="K30" s="26">
        <f ca="1">152.8*OFFSET(K$108,MATCH($M$1,$C$109:$C$110,0),0)</f>
        <v>147.59563055751144</v>
      </c>
      <c r="L30" s="26">
        <f ca="1">174.9*OFFSET(L$108,MATCH($M$1,$C$109:$C$110,0),0)</f>
        <v>171.96692397511183</v>
      </c>
      <c r="M30" s="27">
        <f ca="1">175.2*OFFSET(M$108,MATCH($M$1,$C$109:$C$110,0),0)</f>
        <v>175.19999931932114</v>
      </c>
      <c r="N30" s="24">
        <f t="shared" ca="1" si="0"/>
        <v>1.8998878086700592</v>
      </c>
      <c r="O30" s="24">
        <f t="shared" ca="1" si="1"/>
        <v>0.79903019080272053</v>
      </c>
    </row>
    <row r="31" spans="1:15" s="19" customFormat="1" ht="18" customHeight="1" x14ac:dyDescent="0.2">
      <c r="A31" s="148"/>
      <c r="B31" s="33" t="s">
        <v>39</v>
      </c>
      <c r="C31" s="25"/>
      <c r="D31" s="26">
        <f ca="1">51*OFFSET(D$108,MATCH($M$1,$C$109:$C$110,0),0)</f>
        <v>41.486459628340434</v>
      </c>
      <c r="E31" s="26">
        <f ca="1">40*OFFSET(E$108,MATCH($M$1,$C$109:$C$110,0),0)</f>
        <v>33.413197457008408</v>
      </c>
      <c r="F31" s="26">
        <f ca="1">36.3*OFFSET(F$108,MATCH($M$1,$C$109:$C$110,0),0)</f>
        <v>31.193315192387672</v>
      </c>
      <c r="G31" s="26">
        <f ca="1">43.8*OFFSET(G$108,MATCH($M$1,$C$109:$C$110,0),0)</f>
        <v>38.731026516168221</v>
      </c>
      <c r="H31" s="26">
        <f ca="1">48.1*OFFSET(H$108,MATCH($M$1,$C$109:$C$110,0),0)</f>
        <v>43.375618695185516</v>
      </c>
      <c r="I31" s="26">
        <f ca="1">48.9*OFFSET(I$108,MATCH($M$1,$C$109:$C$110,0),0)</f>
        <v>45.496070407508647</v>
      </c>
      <c r="J31" s="26">
        <f ca="1">35.1*OFFSET(J$108,MATCH($M$1,$C$109:$C$110,0),0)</f>
        <v>33.350615736768887</v>
      </c>
      <c r="K31" s="26">
        <f ca="1">61.8*OFFSET(K$108,MATCH($M$1,$C$109:$C$110,0),0)</f>
        <v>59.695091416585122</v>
      </c>
      <c r="L31" s="26">
        <f ca="1">34.4*OFFSET(L$108,MATCH($M$1,$C$109:$C$110,0),0)</f>
        <v>33.823111405053439</v>
      </c>
      <c r="M31" s="27">
        <f ca="1">34.9*OFFSET(M$108,MATCH($M$1,$C$109:$C$110,0),0)</f>
        <v>34.899999864408151</v>
      </c>
      <c r="N31" s="24">
        <f t="shared" ca="1" si="0"/>
        <v>-0.18471926242778189</v>
      </c>
      <c r="O31" s="24">
        <f t="shared" ca="1" si="1"/>
        <v>-0.2202275743260432</v>
      </c>
    </row>
    <row r="32" spans="1:15" s="19" customFormat="1" ht="18" customHeight="1" x14ac:dyDescent="0.2">
      <c r="A32" s="148"/>
      <c r="B32" s="33" t="s">
        <v>40</v>
      </c>
      <c r="C32" s="25"/>
      <c r="D32" s="26">
        <f ca="1">123.8*OFFSET(D$108,MATCH($M$1,$C$109:$C$110,0),0)</f>
        <v>100.70634709781461</v>
      </c>
      <c r="E32" s="26">
        <f ca="1">134.3*OFFSET(E$108,MATCH($M$1,$C$109:$C$110,0),0)</f>
        <v>112.18481046190574</v>
      </c>
      <c r="F32" s="26">
        <f ca="1">132.7*OFFSET(F$108,MATCH($M$1,$C$109:$C$110,0),0)</f>
        <v>114.0317610476541</v>
      </c>
      <c r="G32" s="26">
        <f ca="1">132.8*OFFSET(G$108,MATCH($M$1,$C$109:$C$110,0),0)</f>
        <v>117.4310575650032</v>
      </c>
      <c r="H32" s="26">
        <f ca="1">154.1*OFFSET(H$108,MATCH($M$1,$C$109:$C$110,0),0)</f>
        <v>138.96430022719517</v>
      </c>
      <c r="I32" s="26">
        <f ca="1">175.9*OFFSET(I$108,MATCH($M$1,$C$109:$C$110,0),0)</f>
        <v>163.65559886872742</v>
      </c>
      <c r="J32" s="26">
        <f ca="1">229.8*OFFSET(J$108,MATCH($M$1,$C$109:$C$110,0),0)</f>
        <v>218.34676627662367</v>
      </c>
      <c r="K32" s="26">
        <f ca="1">214.7*OFFSET(K$108,MATCH($M$1,$C$109:$C$110,0),0)</f>
        <v>207.38731597315251</v>
      </c>
      <c r="L32" s="26">
        <f ca="1">209.3*OFFSET(L$108,MATCH($M$1,$C$109:$C$110,0),0)</f>
        <v>205.79003538016525</v>
      </c>
      <c r="M32" s="27">
        <f ca="1">210.1*OFFSET(M$108,MATCH($M$1,$C$109:$C$110,0),0)</f>
        <v>210.0999991837293</v>
      </c>
      <c r="N32" s="24">
        <f t="shared" ca="1" si="0"/>
        <v>1.0434663882732671</v>
      </c>
      <c r="O32" s="24">
        <f t="shared" ca="1" si="1"/>
        <v>0.48088419143417066</v>
      </c>
    </row>
    <row r="33" spans="1:15" s="19" customFormat="1" ht="18" customHeight="1" x14ac:dyDescent="0.2">
      <c r="A33" s="148"/>
      <c r="B33" s="45" t="s">
        <v>41</v>
      </c>
      <c r="C33" s="46"/>
      <c r="D33" s="47">
        <f ca="1">71.4*OFFSET(D$108,MATCH($M$1,$C$109:$C$110,0),0)</f>
        <v>58.081043479676616</v>
      </c>
      <c r="E33" s="47">
        <f ca="1">87.8*OFFSET(E$108,MATCH($M$1,$C$109:$C$110,0),0)</f>
        <v>73.341968418133462</v>
      </c>
      <c r="F33" s="47">
        <f ca="1">118.7*OFFSET(F$108,MATCH($M$1,$C$109:$C$110,0),0)</f>
        <v>102.00128135912995</v>
      </c>
      <c r="G33" s="47">
        <f ca="1">61.6*OFFSET(G$108,MATCH($M$1,$C$109:$C$110,0),0)</f>
        <v>54.471032725935217</v>
      </c>
      <c r="H33" s="47">
        <f ca="1">80*OFFSET(H$108,MATCH($M$1,$C$109:$C$110,0),0)</f>
        <v>72.142401156233703</v>
      </c>
      <c r="I33" s="47">
        <f ca="1">103.4*OFFSET(I$108,MATCH($M$1,$C$109:$C$110,0),0)</f>
        <v>96.20232474716552</v>
      </c>
      <c r="J33" s="47">
        <f ca="1">82.3*OFFSET(J$108,MATCH($M$1,$C$109:$C$110,0),0)</f>
        <v>78.198167382794281</v>
      </c>
      <c r="K33" s="47">
        <f ca="1">114.8*OFFSET(K$108,MATCH($M$1,$C$109:$C$110,0),0)</f>
        <v>110.88991091624551</v>
      </c>
      <c r="L33" s="47">
        <f ca="1">94.3*OFFSET(L$108,MATCH($M$1,$C$109:$C$110,0),0)</f>
        <v>92.718587369085441</v>
      </c>
      <c r="M33" s="48">
        <f ca="1">100.4*OFFSET(M$108,MATCH($M$1,$C$109:$C$110,0),0)</f>
        <v>100.39999960993063</v>
      </c>
      <c r="N33" s="49">
        <f t="shared" ca="1" si="0"/>
        <v>0.59636572992234538</v>
      </c>
      <c r="O33" s="49">
        <f t="shared" ca="1" si="1"/>
        <v>0.28521626509618586</v>
      </c>
    </row>
    <row r="34" spans="1:15" s="19" customFormat="1" ht="18" customHeight="1" x14ac:dyDescent="0.2">
      <c r="A34" s="148"/>
      <c r="B34" s="45" t="s">
        <v>42</v>
      </c>
      <c r="C34" s="46"/>
      <c r="D34" s="47">
        <f ca="1">42.6*OFFSET(D$108,MATCH($M$1,$C$109:$C$110,0),0)</f>
        <v>34.653395689554955</v>
      </c>
      <c r="E34" s="47">
        <f ca="1">40.3*OFFSET(E$108,MATCH($M$1,$C$109:$C$110,0),0)</f>
        <v>33.663796437935972</v>
      </c>
      <c r="F34" s="47">
        <f ca="1">75.2*OFFSET(F$108,MATCH($M$1,$C$109:$C$110,0),0)</f>
        <v>64.620862326929839</v>
      </c>
      <c r="G34" s="47">
        <f ca="1">28.1*OFFSET(G$108,MATCH($M$1,$C$109:$C$110,0),0)</f>
        <v>24.847987331149021</v>
      </c>
      <c r="H34" s="47">
        <f ca="1">31.7*OFFSET(H$108,MATCH($M$1,$C$109:$C$110,0),0)</f>
        <v>28.586426458157607</v>
      </c>
      <c r="I34" s="47">
        <f ca="1">52.6*OFFSET(I$108,MATCH($M$1,$C$109:$C$110,0),0)</f>
        <v>48.938513362678016</v>
      </c>
      <c r="J34" s="47">
        <f ca="1">10*OFFSET(J$108,MATCH($M$1,$C$109:$C$110,0),0)</f>
        <v>9.5015999250053813</v>
      </c>
      <c r="K34" s="47">
        <f ca="1">50.5*OFFSET(K$108,MATCH($M$1,$C$109:$C$110,0),0)</f>
        <v>48.779969523261308</v>
      </c>
      <c r="L34" s="47">
        <f ca="1">35.3*OFFSET(L$108,MATCH($M$1,$C$109:$C$110,0),0)</f>
        <v>34.708018389487975</v>
      </c>
      <c r="M34" s="48">
        <f ca="1">38.3*OFFSET(M$108,MATCH($M$1,$C$109:$C$110,0),0)</f>
        <v>38.299999851198628</v>
      </c>
      <c r="N34" s="49">
        <f t="shared" ca="1" si="0"/>
        <v>1.5762582236488946E-3</v>
      </c>
      <c r="O34" s="49">
        <f t="shared" ca="1" si="1"/>
        <v>0.21414330819875776</v>
      </c>
    </row>
    <row r="35" spans="1:15" s="19" customFormat="1" ht="18" customHeight="1" x14ac:dyDescent="0.2">
      <c r="A35" s="148"/>
      <c r="B35" s="33" t="s">
        <v>43</v>
      </c>
      <c r="C35" s="25"/>
      <c r="D35" s="26">
        <f ca="1">3.1*OFFSET(D$108,MATCH($M$1,$C$109:$C$110,0),0)</f>
        <v>2.5217259774089285</v>
      </c>
      <c r="E35" s="26">
        <f ca="1">3.8*OFFSET(E$108,MATCH($M$1,$C$109:$C$110,0),0)</f>
        <v>3.1742537584157988</v>
      </c>
      <c r="F35" s="26">
        <f ca="1">5*OFFSET(F$108,MATCH($M$1,$C$109:$C$110,0),0)</f>
        <v>4.2965998887586325</v>
      </c>
      <c r="G35" s="26">
        <f ca="1">2.1*OFFSET(G$108,MATCH($M$1,$C$109:$C$110,0),0)</f>
        <v>1.8569670247477914</v>
      </c>
      <c r="H35" s="26">
        <f ca="1">3.4*OFFSET(H$108,MATCH($M$1,$C$109:$C$110,0),0)</f>
        <v>3.0660520491399326</v>
      </c>
      <c r="I35" s="26">
        <f ca="1">5.5*OFFSET(I$108,MATCH($M$1,$C$109:$C$110,0),0)</f>
        <v>5.1171449333598682</v>
      </c>
      <c r="J35" s="26">
        <f ca="1">4.4*OFFSET(J$108,MATCH($M$1,$C$109:$C$110,0),0)</f>
        <v>4.1807039670023682</v>
      </c>
      <c r="K35" s="26">
        <f ca="1">10.2*OFFSET(K$108,MATCH($M$1,$C$109:$C$110,0),0)</f>
        <v>9.8525879037082245</v>
      </c>
      <c r="L35" s="26">
        <f ca="1">11.5*OFFSET(L$108,MATCH($M$1,$C$109:$C$110,0),0)</f>
        <v>11.307144801107981</v>
      </c>
      <c r="M35" s="27"/>
      <c r="N35" s="24">
        <f t="shared" ca="1" si="0"/>
        <v>3.4838911532830634</v>
      </c>
      <c r="O35" s="24">
        <f t="shared" ca="1" si="1"/>
        <v>2.6878515497738475</v>
      </c>
    </row>
    <row r="36" spans="1:15" s="19" customFormat="1" ht="18" customHeight="1" x14ac:dyDescent="0.2">
      <c r="A36" s="148"/>
      <c r="B36" s="33" t="s">
        <v>44</v>
      </c>
      <c r="C36" s="25"/>
      <c r="D36" s="26">
        <f ca="1">6*OFFSET(D$108,MATCH($M$1,$C$109:$C$110,0),0)</f>
        <v>4.8807599562753454</v>
      </c>
      <c r="E36" s="26">
        <f ca="1">7.2*OFFSET(E$108,MATCH($M$1,$C$109:$C$110,0),0)</f>
        <v>6.0143755422615142</v>
      </c>
      <c r="F36" s="26">
        <f ca="1">7.6*OFFSET(F$108,MATCH($M$1,$C$109:$C$110,0),0)</f>
        <v>6.5308318309131215</v>
      </c>
      <c r="G36" s="26">
        <f ca="1">6.4*OFFSET(G$108,MATCH($M$1,$C$109:$C$110,0),0)</f>
        <v>5.6593280754218407</v>
      </c>
      <c r="H36" s="26">
        <f ca="1">2.8*OFFSET(H$108,MATCH($M$1,$C$109:$C$110,0),0)</f>
        <v>2.5249840404681794</v>
      </c>
      <c r="I36" s="26">
        <f ca="1">1.4*OFFSET(I$108,MATCH($M$1,$C$109:$C$110,0),0)</f>
        <v>1.3025459830370572</v>
      </c>
      <c r="J36" s="26">
        <f ca="1">1*OFFSET(J$108,MATCH($M$1,$C$109:$C$110,0),0)</f>
        <v>0.95015999250053806</v>
      </c>
      <c r="K36" s="26">
        <f ca="1">3.4*OFFSET(K$108,MATCH($M$1,$C$109:$C$110,0),0)</f>
        <v>3.2841959679027415</v>
      </c>
      <c r="L36" s="26">
        <f ca="1">1.1*OFFSET(L$108,MATCH($M$1,$C$109:$C$110,0),0)</f>
        <v>1.081552980975546</v>
      </c>
      <c r="M36" s="27"/>
      <c r="N36" s="24">
        <f t="shared" ca="1" si="0"/>
        <v>-0.77840479952615582</v>
      </c>
      <c r="O36" s="24">
        <f t="shared" ca="1" si="1"/>
        <v>-0.57165947838030462</v>
      </c>
    </row>
    <row r="37" spans="1:15" s="19" customFormat="1" ht="18" customHeight="1" x14ac:dyDescent="0.2">
      <c r="A37" s="148"/>
      <c r="B37" s="33" t="s">
        <v>45</v>
      </c>
      <c r="C37" s="25"/>
      <c r="D37" s="26"/>
      <c r="E37" s="26"/>
      <c r="F37" s="26"/>
      <c r="G37" s="26"/>
      <c r="H37" s="26">
        <f ca="1">0.5*OFFSET(H$108,MATCH($M$1,$C$109:$C$110,0),0)</f>
        <v>0.45089000722646067</v>
      </c>
      <c r="I37" s="26">
        <f ca="1">1.9*OFFSET(I$108,MATCH($M$1,$C$109:$C$110,0),0)</f>
        <v>1.7677409769788635</v>
      </c>
      <c r="J37" s="26">
        <f ca="1">0.7*OFFSET(J$108,MATCH($M$1,$C$109:$C$110,0),0)</f>
        <v>0.66511199475037663</v>
      </c>
      <c r="K37" s="26">
        <f ca="1">0.8*OFFSET(K$108,MATCH($M$1,$C$109:$C$110,0),0)</f>
        <v>0.77275199244770398</v>
      </c>
      <c r="L37" s="26">
        <f ca="1">0.6*OFFSET(L$108,MATCH($M$1,$C$109:$C$110,0),0)</f>
        <v>0.58993798962302502</v>
      </c>
      <c r="M37" s="27"/>
      <c r="N37" s="24" t="str">
        <f t="shared" ca="1" si="0"/>
        <v/>
      </c>
      <c r="O37" s="24">
        <f t="shared" ca="1" si="1"/>
        <v>0.30838559331106918</v>
      </c>
    </row>
    <row r="38" spans="1:15" s="19" customFormat="1" ht="18" customHeight="1" thickBot="1" x14ac:dyDescent="0.25">
      <c r="A38" s="149"/>
      <c r="B38" s="50" t="s">
        <v>46</v>
      </c>
      <c r="C38" s="51"/>
      <c r="D38" s="52">
        <f ca="1">33.5*OFFSET(D$108,MATCH($M$1,$C$109:$C$110,0),0)</f>
        <v>27.250909755870676</v>
      </c>
      <c r="E38" s="52">
        <f ca="1">29.3*OFFSET(E$108,MATCH($M$1,$C$109:$C$110,0),0)</f>
        <v>24.475167137258662</v>
      </c>
      <c r="F38" s="52">
        <f ca="1">62.6*OFFSET(F$108,MATCH($M$1,$C$109:$C$110,0),0)</f>
        <v>53.793430607258081</v>
      </c>
      <c r="G38" s="52">
        <f ca="1">19.6*OFFSET(G$108,MATCH($M$1,$C$109:$C$110,0),0)</f>
        <v>17.331692230979389</v>
      </c>
      <c r="H38" s="52">
        <f ca="1">25*OFFSET(H$108,MATCH($M$1,$C$109:$C$110,0),0)</f>
        <v>22.544500361323035</v>
      </c>
      <c r="I38" s="52">
        <f ca="1">43.7*OFFSET(I$108,MATCH($M$1,$C$109:$C$110,0),0)</f>
        <v>40.658042470513863</v>
      </c>
      <c r="J38" s="52">
        <f ca="1">3.8*OFFSET(J$108,MATCH($M$1,$C$109:$C$110,0),0)</f>
        <v>3.6106079715020445</v>
      </c>
      <c r="K38" s="52">
        <f ca="1">36.1*OFFSET(K$108,MATCH($M$1,$C$109:$C$110,0),0)</f>
        <v>34.870433659202639</v>
      </c>
      <c r="L38" s="52">
        <f ca="1">22*OFFSET(L$108,MATCH($M$1,$C$109:$C$110,0),0)</f>
        <v>21.631059619510921</v>
      </c>
      <c r="M38" s="53"/>
      <c r="N38" s="54">
        <f t="shared" ca="1" si="0"/>
        <v>-0.20622614755637902</v>
      </c>
      <c r="O38" s="54">
        <f t="shared" ca="1" si="1"/>
        <v>-4.0517231571882473E-2</v>
      </c>
    </row>
    <row r="39" spans="1:15" s="59" customFormat="1" x14ac:dyDescent="0.2">
      <c r="A39" s="57" t="s">
        <v>12</v>
      </c>
      <c r="B39" s="57" t="str">
        <f ca="1">"All values are "&amp;OFFSET($A$108,MATCH($M$1,$C$109:$C$110,0),0)&amp;". 2014 fishing income based on provisionnal data from MMO. 2014 costs and profits are projections."</f>
        <v>All values are nominal values. 2014 fishing income based on provisionnal data from MMO. 2014 costs and profits are projections.</v>
      </c>
    </row>
    <row r="40" spans="1:15" s="59" customFormat="1" x14ac:dyDescent="0.2">
      <c r="B40" s="57" t="s">
        <v>13</v>
      </c>
    </row>
    <row r="41" spans="1:15" s="59" customFormat="1" ht="12" x14ac:dyDescent="0.2"/>
    <row r="42" spans="1:15" s="59" customFormat="1" ht="12" x14ac:dyDescent="0.2"/>
    <row r="43" spans="1:15" s="59" customFormat="1" ht="15.75" x14ac:dyDescent="0.2">
      <c r="A43" s="60" t="s">
        <v>14</v>
      </c>
    </row>
    <row r="44" spans="1:15" s="59" customFormat="1" ht="12" x14ac:dyDescent="0.2"/>
    <row r="45" spans="1:15" s="58" customFormat="1" x14ac:dyDescent="0.2">
      <c r="A45" s="61" t="str">
        <f>$B20&amp;CHAR(10)&amp;$A$1</f>
        <v>Landings per kW day at sea (kg)
Area VIIBCDEFGHK trawlers 10-24m</v>
      </c>
      <c r="C45" s="61"/>
      <c r="D45" s="61"/>
      <c r="E45" s="61"/>
      <c r="F45" s="61" t="str">
        <f>$B21&amp;CHAR(10)&amp;$A$1</f>
        <v>Income per kW day at sea (£)
Area VIIBCDEFGHK trawlers 10-24m</v>
      </c>
      <c r="G45" s="61"/>
      <c r="K45" s="61" t="str">
        <f>$B23&amp;CHAR(10)&amp;$A$1</f>
        <v>Operating profit per kW day at sea (£)
Area VIIBCDEFGHK trawlers 10-24m</v>
      </c>
    </row>
    <row r="46" spans="1:15" s="58" customFormat="1" x14ac:dyDescent="0.2"/>
    <row r="47" spans="1:15" s="58" customFormat="1" x14ac:dyDescent="0.2"/>
    <row r="48" spans="1:15" s="58" customFormat="1" x14ac:dyDescent="0.2"/>
    <row r="49" spans="1:11" s="58" customFormat="1" x14ac:dyDescent="0.2"/>
    <row r="50" spans="1:11" s="58" customFormat="1" x14ac:dyDescent="0.2"/>
    <row r="51" spans="1:11" s="58" customFormat="1" x14ac:dyDescent="0.2"/>
    <row r="52" spans="1:11" s="58" customFormat="1" x14ac:dyDescent="0.2"/>
    <row r="53" spans="1:11" s="58" customFormat="1" x14ac:dyDescent="0.2"/>
    <row r="54" spans="1:11" s="58" customFormat="1" x14ac:dyDescent="0.2"/>
    <row r="55" spans="1:11" s="58" customFormat="1" x14ac:dyDescent="0.2"/>
    <row r="56" spans="1:11" s="58" customFormat="1" x14ac:dyDescent="0.2"/>
    <row r="57" spans="1:11" s="58" customFormat="1" x14ac:dyDescent="0.2"/>
    <row r="58" spans="1:11" s="58" customFormat="1" x14ac:dyDescent="0.2">
      <c r="A58" s="61"/>
      <c r="C58" s="61"/>
      <c r="D58" s="61"/>
      <c r="E58" s="61"/>
    </row>
    <row r="59" spans="1:11" s="58" customFormat="1" x14ac:dyDescent="0.2">
      <c r="B59" s="61" t="str">
        <f>$B22&amp;CHAR(10)&amp;$A$1</f>
        <v>Total cost per kW day at sea (£)
Area VIIBCDEFGHK trawlers 10-24m</v>
      </c>
      <c r="F59" s="61" t="str">
        <f>$B19&amp;CHAR(10)&amp;$A$1</f>
        <v>Average price per tonne landed (£)
Area VIIBCDEFGHK trawlers 10-24m</v>
      </c>
      <c r="K59" s="61" t="str">
        <f>"Average annual operating profit per vessel (£'000)"&amp;CHAR(10)&amp;$A$1</f>
        <v>Average annual operating profit per vessel (£'000)
Area VIIBCDEFGHK trawlers 10-24m</v>
      </c>
    </row>
    <row r="60" spans="1:11" s="58" customFormat="1" x14ac:dyDescent="0.2"/>
    <row r="61" spans="1:11" s="58" customFormat="1" x14ac:dyDescent="0.2"/>
    <row r="62" spans="1:11" s="58" customFormat="1" x14ac:dyDescent="0.2"/>
    <row r="63" spans="1:11" s="58" customFormat="1" x14ac:dyDescent="0.2"/>
    <row r="64" spans="1:11" s="58" customFormat="1" x14ac:dyDescent="0.2"/>
    <row r="65" spans="1:9" s="58" customFormat="1" x14ac:dyDescent="0.2"/>
    <row r="66" spans="1:9" s="58" customFormat="1" x14ac:dyDescent="0.2"/>
    <row r="67" spans="1:9" s="58" customFormat="1" x14ac:dyDescent="0.2"/>
    <row r="68" spans="1:9" s="58" customFormat="1" x14ac:dyDescent="0.2"/>
    <row r="69" spans="1:9" s="58" customFormat="1" x14ac:dyDescent="0.2"/>
    <row r="70" spans="1:9" s="58" customFormat="1" x14ac:dyDescent="0.2"/>
    <row r="71" spans="1:9" s="61" customFormat="1" x14ac:dyDescent="0.2"/>
    <row r="72" spans="1:9" s="61" customFormat="1" x14ac:dyDescent="0.2"/>
    <row r="73" spans="1:9" s="61" customFormat="1" x14ac:dyDescent="0.2">
      <c r="A73" s="61" t="str">
        <f>"Top 5 landed species by volume in "&amp;A74&amp;CHAR(10)&amp;A1</f>
        <v>Top 5 landed species by volume in 2013
Area VIIBCDEFGHK trawlers 10-24m</v>
      </c>
      <c r="F73" s="61" t="str">
        <f>"Top 5 landed species by value in "&amp;A74&amp;CHAR(10)&amp;A1</f>
        <v>Top 5 landed species by value in 2013
Area VIIBCDEFGHK trawlers 10-24m</v>
      </c>
    </row>
    <row r="74" spans="1:9" s="61" customFormat="1" x14ac:dyDescent="0.2">
      <c r="A74" s="61">
        <v>2013</v>
      </c>
      <c r="B74" s="61" t="s">
        <v>120</v>
      </c>
      <c r="C74" s="62">
        <v>0.38083483424375703</v>
      </c>
      <c r="D74" s="63">
        <v>3511670</v>
      </c>
      <c r="G74" s="61" t="s">
        <v>121</v>
      </c>
      <c r="H74" s="62">
        <v>0.22451897545598129</v>
      </c>
      <c r="I74" s="63">
        <v>8211234</v>
      </c>
    </row>
    <row r="75" spans="1:9" s="61" customFormat="1" x14ac:dyDescent="0.2">
      <c r="B75" s="61" t="s">
        <v>122</v>
      </c>
      <c r="C75" s="62">
        <v>0.10273471014145778</v>
      </c>
      <c r="D75" s="63">
        <v>8211234</v>
      </c>
      <c r="G75" s="61" t="s">
        <v>123</v>
      </c>
      <c r="H75" s="62">
        <v>0.11113988405249653</v>
      </c>
      <c r="I75" s="63">
        <v>2171775</v>
      </c>
    </row>
    <row r="76" spans="1:9" s="61" customFormat="1" x14ac:dyDescent="0.2">
      <c r="B76" s="61" t="s">
        <v>124</v>
      </c>
      <c r="C76" s="62">
        <v>7.3695380466564986E-2</v>
      </c>
      <c r="D76" s="63">
        <v>2783840</v>
      </c>
      <c r="G76" s="61" t="s">
        <v>125</v>
      </c>
      <c r="H76" s="62">
        <v>7.8347909206296501E-2</v>
      </c>
      <c r="I76" s="63">
        <v>2783840</v>
      </c>
    </row>
    <row r="77" spans="1:9" s="61" customFormat="1" x14ac:dyDescent="0.2">
      <c r="B77" s="61" t="s">
        <v>126</v>
      </c>
      <c r="C77" s="62">
        <v>5.2386890340586634E-2</v>
      </c>
      <c r="D77" s="63">
        <v>2764187</v>
      </c>
      <c r="G77" s="61" t="s">
        <v>127</v>
      </c>
      <c r="H77" s="62">
        <v>6.8438751249018173E-2</v>
      </c>
      <c r="I77" s="63">
        <v>6763595</v>
      </c>
    </row>
    <row r="78" spans="1:9" s="61" customFormat="1" x14ac:dyDescent="0.2">
      <c r="B78" s="61" t="s">
        <v>128</v>
      </c>
      <c r="C78" s="62">
        <v>4.6868925752718518E-2</v>
      </c>
      <c r="D78" s="63">
        <v>1464488</v>
      </c>
      <c r="G78" s="61" t="s">
        <v>129</v>
      </c>
      <c r="H78" s="62">
        <v>6.0636747374129871E-2</v>
      </c>
      <c r="I78" s="63">
        <v>2764187</v>
      </c>
    </row>
    <row r="79" spans="1:9" s="61" customFormat="1" x14ac:dyDescent="0.2">
      <c r="B79" s="61" t="s">
        <v>130</v>
      </c>
      <c r="C79" s="62">
        <v>0.34347925905491505</v>
      </c>
      <c r="D79" s="63">
        <v>32768</v>
      </c>
      <c r="G79" s="61" t="s">
        <v>131</v>
      </c>
      <c r="H79" s="62">
        <v>0.45691773266207758</v>
      </c>
      <c r="I79" s="63">
        <v>32768</v>
      </c>
    </row>
    <row r="80" spans="1:9" s="61" customFormat="1" x14ac:dyDescent="0.2"/>
    <row r="81" spans="1:15" s="61" customFormat="1" x14ac:dyDescent="0.2"/>
    <row r="82" spans="1:15" s="61" customFormat="1" x14ac:dyDescent="0.2"/>
    <row r="83" spans="1:15" s="61" customFormat="1" x14ac:dyDescent="0.2"/>
    <row r="84" spans="1:15" s="61" customFormat="1" x14ac:dyDescent="0.2"/>
    <row r="85" spans="1:15" s="61" customFormat="1" x14ac:dyDescent="0.2"/>
    <row r="86" spans="1:15" s="61" customFormat="1" x14ac:dyDescent="0.2">
      <c r="A86" s="64" t="s">
        <v>12</v>
      </c>
      <c r="B86" s="64" t="str">
        <f ca="1">B39</f>
        <v>All values are nominal values. 2014 fishing income based on provisionnal data from MMO. 2014 costs and profits are projections.</v>
      </c>
    </row>
    <row r="87" spans="1:15" s="65" customFormat="1" hidden="1" x14ac:dyDescent="0.2">
      <c r="A87" s="61"/>
      <c r="B87" s="61"/>
      <c r="C87" s="61"/>
      <c r="D87" s="61">
        <v>2005</v>
      </c>
      <c r="E87" s="61">
        <v>2006</v>
      </c>
      <c r="F87" s="61">
        <v>2007</v>
      </c>
      <c r="G87" s="61">
        <v>2008</v>
      </c>
      <c r="H87" s="61">
        <v>2009</v>
      </c>
      <c r="I87" s="61">
        <v>2010</v>
      </c>
      <c r="J87" s="61">
        <v>2011</v>
      </c>
      <c r="K87" s="61">
        <v>2012</v>
      </c>
      <c r="L87" s="61">
        <v>2013</v>
      </c>
      <c r="M87" s="61">
        <v>2014</v>
      </c>
      <c r="N87" s="61"/>
      <c r="O87" s="61"/>
    </row>
    <row r="88" spans="1:15" s="65" customFormat="1" hidden="1" x14ac:dyDescent="0.2">
      <c r="A88" s="61"/>
      <c r="B88" s="61">
        <v>1</v>
      </c>
      <c r="C88" s="61" t="s">
        <v>132</v>
      </c>
      <c r="D88" s="66">
        <v>0.18024553260757059</v>
      </c>
      <c r="E88" s="66">
        <v>0.17086781170539941</v>
      </c>
      <c r="F88" s="66">
        <v>0.12978477473298886</v>
      </c>
      <c r="G88" s="66">
        <v>0.11418371507751611</v>
      </c>
      <c r="H88" s="66">
        <v>0.19295211997201897</v>
      </c>
      <c r="I88" s="66">
        <v>0.21385797307632864</v>
      </c>
      <c r="J88" s="66">
        <v>0.13368310868681968</v>
      </c>
      <c r="K88" s="66">
        <v>0.18833782704648583</v>
      </c>
      <c r="L88" s="66">
        <v>0.22834838669081289</v>
      </c>
      <c r="M88" s="66">
        <v>0.21173187219573333</v>
      </c>
      <c r="N88" s="61"/>
      <c r="O88" s="61">
        <v>8211234</v>
      </c>
    </row>
    <row r="89" spans="1:15" s="65" customFormat="1" hidden="1" x14ac:dyDescent="0.2">
      <c r="A89" s="61"/>
      <c r="B89" s="61">
        <v>2</v>
      </c>
      <c r="C89" s="61" t="s">
        <v>100</v>
      </c>
      <c r="D89" s="66">
        <v>0.14539862755196586</v>
      </c>
      <c r="E89" s="66">
        <v>9.9442541827465883E-2</v>
      </c>
      <c r="F89" s="66">
        <v>0.1480996723200696</v>
      </c>
      <c r="G89" s="66">
        <v>0.1093266588421085</v>
      </c>
      <c r="H89" s="66">
        <v>0.11343185291989616</v>
      </c>
      <c r="I89" s="66">
        <v>7.3782500787237401E-2</v>
      </c>
      <c r="J89" s="66">
        <v>0.11740472123552446</v>
      </c>
      <c r="K89" s="66">
        <v>7.6605604378759781E-2</v>
      </c>
      <c r="L89" s="66">
        <v>0.11303549363188352</v>
      </c>
      <c r="M89" s="66">
        <v>0.1192304654882662</v>
      </c>
      <c r="N89" s="61"/>
      <c r="O89" s="61">
        <v>2171775</v>
      </c>
    </row>
    <row r="90" spans="1:15" s="65" customFormat="1" hidden="1" x14ac:dyDescent="0.2">
      <c r="A90" s="61"/>
      <c r="B90" s="61">
        <v>3</v>
      </c>
      <c r="C90" s="61" t="s">
        <v>64</v>
      </c>
      <c r="D90" s="66"/>
      <c r="E90" s="66"/>
      <c r="F90" s="66"/>
      <c r="G90" s="66"/>
      <c r="H90" s="66"/>
      <c r="I90" s="66"/>
      <c r="J90" s="66">
        <v>7.7770500954407948E-2</v>
      </c>
      <c r="K90" s="66">
        <v>0.10237979930907487</v>
      </c>
      <c r="L90" s="66">
        <v>7.9684216585798953E-2</v>
      </c>
      <c r="M90" s="66"/>
      <c r="N90" s="61"/>
      <c r="O90" s="61">
        <v>2783840</v>
      </c>
    </row>
    <row r="91" spans="1:15" s="65" customFormat="1" hidden="1" x14ac:dyDescent="0.2">
      <c r="A91" s="61"/>
      <c r="B91" s="61">
        <v>4</v>
      </c>
      <c r="C91" s="61" t="s">
        <v>82</v>
      </c>
      <c r="D91" s="66"/>
      <c r="E91" s="66"/>
      <c r="F91" s="66"/>
      <c r="G91" s="66">
        <v>7.2154497712749607E-2</v>
      </c>
      <c r="H91" s="66">
        <v>7.5092331638161203E-2</v>
      </c>
      <c r="I91" s="66">
        <v>9.0184835795844423E-2</v>
      </c>
      <c r="J91" s="66">
        <v>9.8238518009005377E-2</v>
      </c>
      <c r="K91" s="66">
        <v>8.4661246208847879E-2</v>
      </c>
      <c r="L91" s="66">
        <v>6.9606047342359811E-2</v>
      </c>
      <c r="M91" s="66">
        <v>7.1089931923187813E-2</v>
      </c>
      <c r="N91" s="61"/>
      <c r="O91" s="61">
        <v>6763595</v>
      </c>
    </row>
    <row r="92" spans="1:15" s="65" customFormat="1" hidden="1" x14ac:dyDescent="0.2">
      <c r="A92" s="61"/>
      <c r="B92" s="61">
        <v>5</v>
      </c>
      <c r="C92" s="61" t="s">
        <v>59</v>
      </c>
      <c r="D92" s="66">
        <v>9.4006579163390239E-2</v>
      </c>
      <c r="E92" s="66"/>
      <c r="F92" s="66"/>
      <c r="G92" s="66"/>
      <c r="H92" s="66"/>
      <c r="I92" s="66">
        <v>5.9065476812848447E-2</v>
      </c>
      <c r="J92" s="66">
        <v>7.0952416544186062E-2</v>
      </c>
      <c r="K92" s="66"/>
      <c r="L92" s="66">
        <v>6.1670971947649998E-2</v>
      </c>
      <c r="M92" s="66"/>
      <c r="N92" s="61"/>
      <c r="O92" s="61">
        <v>2764187</v>
      </c>
    </row>
    <row r="93" spans="1:15" s="65" customFormat="1" hidden="1" x14ac:dyDescent="0.2">
      <c r="A93" s="61"/>
      <c r="B93" s="61">
        <v>6</v>
      </c>
      <c r="C93" s="61" t="s">
        <v>133</v>
      </c>
      <c r="D93" s="66"/>
      <c r="E93" s="66">
        <v>0.13232905763802438</v>
      </c>
      <c r="F93" s="66">
        <v>9.8117279065539992E-2</v>
      </c>
      <c r="G93" s="66">
        <v>8.2427858740464682E-2</v>
      </c>
      <c r="H93" s="66"/>
      <c r="I93" s="66">
        <v>9.9833876143551867E-2</v>
      </c>
      <c r="J93" s="66"/>
      <c r="K93" s="66">
        <v>9.410316452010424E-2</v>
      </c>
      <c r="L93" s="66"/>
      <c r="M93" s="66">
        <v>0.10747393974424305</v>
      </c>
      <c r="N93" s="61"/>
      <c r="O93" s="61">
        <v>3511670</v>
      </c>
    </row>
    <row r="94" spans="1:15" s="65" customFormat="1" hidden="1" x14ac:dyDescent="0.2">
      <c r="A94" s="61"/>
      <c r="B94" s="61">
        <v>7</v>
      </c>
      <c r="C94" s="61" t="s">
        <v>134</v>
      </c>
      <c r="D94" s="66"/>
      <c r="E94" s="66"/>
      <c r="F94" s="66"/>
      <c r="G94" s="66"/>
      <c r="H94" s="66">
        <v>6.0181494705345902E-2</v>
      </c>
      <c r="I94" s="66"/>
      <c r="J94" s="66"/>
      <c r="K94" s="66"/>
      <c r="L94" s="66"/>
      <c r="M94" s="66">
        <v>4.7135984445032204E-2</v>
      </c>
      <c r="N94" s="61"/>
      <c r="O94" s="61">
        <v>1464488</v>
      </c>
    </row>
    <row r="95" spans="1:15" s="65" customFormat="1" hidden="1" x14ac:dyDescent="0.2">
      <c r="A95" s="61"/>
      <c r="B95" s="61">
        <v>8</v>
      </c>
      <c r="C95" s="61" t="s">
        <v>135</v>
      </c>
      <c r="D95" s="66">
        <v>8.9633481751233507E-2</v>
      </c>
      <c r="E95" s="66">
        <v>9.239839399119408E-2</v>
      </c>
      <c r="F95" s="66">
        <v>8.6479537422226971E-2</v>
      </c>
      <c r="G95" s="66">
        <v>7.8332529745781518E-2</v>
      </c>
      <c r="H95" s="66">
        <v>6.4214358927478732E-2</v>
      </c>
      <c r="I95" s="66"/>
      <c r="J95" s="66"/>
      <c r="K95" s="66"/>
      <c r="L95" s="66"/>
      <c r="M95" s="66"/>
      <c r="N95" s="61"/>
      <c r="O95" s="61">
        <v>8274269</v>
      </c>
    </row>
    <row r="96" spans="1:15" s="65" customFormat="1" hidden="1" x14ac:dyDescent="0.2">
      <c r="A96" s="61"/>
      <c r="B96" s="61">
        <v>9</v>
      </c>
      <c r="C96" s="61" t="s">
        <v>136</v>
      </c>
      <c r="D96" s="66"/>
      <c r="E96" s="66"/>
      <c r="F96" s="66">
        <v>7.7636968634670692E-2</v>
      </c>
      <c r="G96" s="66"/>
      <c r="H96" s="66"/>
      <c r="I96" s="66"/>
      <c r="J96" s="66"/>
      <c r="K96" s="66"/>
      <c r="L96" s="66"/>
      <c r="M96" s="66"/>
      <c r="N96" s="61"/>
      <c r="O96" s="61">
        <v>10520359</v>
      </c>
    </row>
    <row r="97" spans="1:15" s="65" customFormat="1" hidden="1" x14ac:dyDescent="0.2">
      <c r="A97" s="61"/>
      <c r="B97" s="61">
        <v>10</v>
      </c>
      <c r="C97" s="61" t="s">
        <v>67</v>
      </c>
      <c r="D97" s="66">
        <v>7.8917807069000409E-2</v>
      </c>
      <c r="E97" s="66">
        <v>9.3528457251185901E-2</v>
      </c>
      <c r="F97" s="66"/>
      <c r="G97" s="66"/>
      <c r="H97" s="66"/>
      <c r="I97" s="66"/>
      <c r="J97" s="66"/>
      <c r="K97" s="66"/>
      <c r="L97" s="66"/>
      <c r="M97" s="66"/>
      <c r="N97" s="61"/>
      <c r="O97" s="61">
        <v>1928395</v>
      </c>
    </row>
    <row r="98" spans="1:15" s="65" customFormat="1" hidden="1" x14ac:dyDescent="0.2">
      <c r="A98" s="61"/>
      <c r="B98" s="61">
        <v>11</v>
      </c>
      <c r="C98" s="61" t="s">
        <v>68</v>
      </c>
      <c r="D98" s="66">
        <v>0.41179797185683936</v>
      </c>
      <c r="E98" s="66">
        <v>0.41143373758673035</v>
      </c>
      <c r="F98" s="66">
        <v>0.45988176782450391</v>
      </c>
      <c r="G98" s="66">
        <v>0.54357473988137961</v>
      </c>
      <c r="H98" s="66">
        <v>0.49412784183709907</v>
      </c>
      <c r="I98" s="66">
        <v>0.46327533738418925</v>
      </c>
      <c r="J98" s="66">
        <v>0.50195073457005646</v>
      </c>
      <c r="K98" s="66">
        <v>0.4539123585367274</v>
      </c>
      <c r="L98" s="66">
        <v>0.44765488380149482</v>
      </c>
      <c r="M98" s="66">
        <v>0.44333780620353735</v>
      </c>
      <c r="N98" s="61"/>
      <c r="O98" s="61">
        <v>32768</v>
      </c>
    </row>
    <row r="99" spans="1:15" s="65" customFormat="1" hidden="1" x14ac:dyDescent="0.2">
      <c r="A99" s="61"/>
      <c r="B99" s="61">
        <v>12</v>
      </c>
      <c r="C99" s="61"/>
      <c r="D99" s="66"/>
      <c r="E99" s="66"/>
      <c r="F99" s="66"/>
      <c r="G99" s="66"/>
      <c r="H99" s="66"/>
      <c r="I99" s="66"/>
      <c r="J99" s="66"/>
      <c r="K99" s="66"/>
      <c r="L99" s="66"/>
      <c r="M99" s="66"/>
      <c r="N99" s="61"/>
      <c r="O99" s="61">
        <v>7829670</v>
      </c>
    </row>
    <row r="100" spans="1:15" s="65" customFormat="1" hidden="1" x14ac:dyDescent="0.2">
      <c r="A100" s="61"/>
      <c r="B100" s="61">
        <v>13</v>
      </c>
      <c r="C100" s="61"/>
      <c r="D100" s="66"/>
      <c r="E100" s="66"/>
      <c r="F100" s="66"/>
      <c r="G100" s="66"/>
      <c r="H100" s="66"/>
      <c r="I100" s="66"/>
      <c r="J100" s="66"/>
      <c r="K100" s="66"/>
      <c r="L100" s="66"/>
      <c r="M100" s="66"/>
      <c r="N100" s="61"/>
      <c r="O100" s="61">
        <v>8037267</v>
      </c>
    </row>
    <row r="101" spans="1:15" s="65" customFormat="1" hidden="1" x14ac:dyDescent="0.2">
      <c r="A101" s="61"/>
      <c r="B101" s="61">
        <v>14</v>
      </c>
      <c r="C101" s="61"/>
      <c r="D101" s="66"/>
      <c r="E101" s="66"/>
      <c r="F101" s="66"/>
      <c r="G101" s="66"/>
      <c r="H101" s="66"/>
      <c r="I101" s="66"/>
      <c r="J101" s="66"/>
      <c r="K101" s="66"/>
      <c r="L101" s="66"/>
      <c r="M101" s="66"/>
      <c r="N101" s="61"/>
      <c r="O101" s="61">
        <v>9928328</v>
      </c>
    </row>
    <row r="102" spans="1:15" s="65" customFormat="1" hidden="1" x14ac:dyDescent="0.2">
      <c r="A102" s="61"/>
      <c r="B102" s="61">
        <v>15</v>
      </c>
      <c r="C102" s="61"/>
      <c r="D102" s="66"/>
      <c r="E102" s="66"/>
      <c r="F102" s="66"/>
      <c r="G102" s="66"/>
      <c r="H102" s="66"/>
      <c r="I102" s="66"/>
      <c r="J102" s="66"/>
      <c r="K102" s="66"/>
      <c r="L102" s="66"/>
      <c r="M102" s="66"/>
      <c r="N102" s="61"/>
      <c r="O102" s="61">
        <v>9985324</v>
      </c>
    </row>
    <row r="103" spans="1:15" s="65" customFormat="1" hidden="1" x14ac:dyDescent="0.2">
      <c r="A103" s="61"/>
      <c r="B103" s="61">
        <v>16</v>
      </c>
      <c r="C103" s="61"/>
      <c r="D103" s="66"/>
      <c r="E103" s="66"/>
      <c r="F103" s="66"/>
      <c r="G103" s="66"/>
      <c r="H103" s="66"/>
      <c r="I103" s="66"/>
      <c r="J103" s="66"/>
      <c r="K103" s="66"/>
      <c r="L103" s="66"/>
      <c r="M103" s="66"/>
      <c r="N103" s="61"/>
      <c r="O103" s="61">
        <v>32768</v>
      </c>
    </row>
    <row r="104" spans="1:15" s="65" customFormat="1" hidden="1" x14ac:dyDescent="0.2">
      <c r="A104" s="61"/>
      <c r="B104" s="61">
        <v>17</v>
      </c>
      <c r="C104" s="61"/>
      <c r="D104" s="66"/>
      <c r="E104" s="66"/>
      <c r="F104" s="66"/>
      <c r="G104" s="66"/>
      <c r="H104" s="66"/>
      <c r="I104" s="66"/>
      <c r="J104" s="66"/>
      <c r="K104" s="66"/>
      <c r="L104" s="66"/>
      <c r="M104" s="66"/>
      <c r="N104" s="61"/>
      <c r="O104" s="61">
        <v>0</v>
      </c>
    </row>
    <row r="105" spans="1:15" s="65" customFormat="1" hidden="1" x14ac:dyDescent="0.2">
      <c r="A105" s="61"/>
      <c r="B105" s="61">
        <v>18</v>
      </c>
      <c r="C105" s="61"/>
      <c r="D105" s="66"/>
      <c r="E105" s="66"/>
      <c r="F105" s="66"/>
      <c r="G105" s="66"/>
      <c r="H105" s="66"/>
      <c r="I105" s="66"/>
      <c r="J105" s="66"/>
      <c r="K105" s="66"/>
      <c r="L105" s="66"/>
      <c r="M105" s="66"/>
      <c r="N105" s="61"/>
      <c r="O105" s="61">
        <v>0</v>
      </c>
    </row>
    <row r="106" spans="1:15" s="65" customFormat="1" hidden="1" x14ac:dyDescent="0.2">
      <c r="A106" s="61"/>
      <c r="B106" s="61">
        <v>19</v>
      </c>
      <c r="C106" s="61"/>
      <c r="D106" s="66"/>
      <c r="E106" s="66"/>
      <c r="F106" s="66"/>
      <c r="G106" s="66"/>
      <c r="H106" s="66"/>
      <c r="I106" s="66"/>
      <c r="J106" s="66"/>
      <c r="K106" s="66"/>
      <c r="L106" s="66"/>
      <c r="M106" s="66"/>
      <c r="N106" s="61"/>
      <c r="O106" s="61">
        <v>0</v>
      </c>
    </row>
    <row r="107" spans="1:15" s="65" customFormat="1" hidden="1" x14ac:dyDescent="0.2">
      <c r="A107" s="61">
        <v>12</v>
      </c>
      <c r="B107" s="61">
        <v>20</v>
      </c>
      <c r="C107" s="61"/>
      <c r="D107" s="66"/>
      <c r="E107" s="66"/>
      <c r="F107" s="66"/>
      <c r="G107" s="66"/>
      <c r="H107" s="66"/>
      <c r="I107" s="66"/>
      <c r="J107" s="66"/>
      <c r="K107" s="66"/>
      <c r="L107" s="66"/>
      <c r="M107" s="66"/>
      <c r="N107" s="61"/>
      <c r="O107" s="61">
        <v>0</v>
      </c>
    </row>
    <row r="108" spans="1:15" s="61" customFormat="1" x14ac:dyDescent="0.2">
      <c r="B108" s="57" t="s">
        <v>13</v>
      </c>
    </row>
    <row r="109" spans="1:15" s="61" customFormat="1" x14ac:dyDescent="0.2">
      <c r="A109" s="61" t="s">
        <v>15</v>
      </c>
      <c r="C109" s="67" t="s">
        <v>16</v>
      </c>
      <c r="D109" s="68">
        <v>1</v>
      </c>
      <c r="E109" s="68">
        <v>1</v>
      </c>
      <c r="F109" s="68">
        <v>1</v>
      </c>
      <c r="G109" s="68">
        <v>1</v>
      </c>
      <c r="H109" s="68">
        <v>1</v>
      </c>
      <c r="I109" s="68">
        <v>1</v>
      </c>
      <c r="J109" s="68">
        <v>1</v>
      </c>
      <c r="K109" s="68">
        <v>1</v>
      </c>
      <c r="L109" s="68">
        <v>1</v>
      </c>
      <c r="M109" s="68">
        <v>1</v>
      </c>
    </row>
    <row r="110" spans="1:15" s="61" customFormat="1" x14ac:dyDescent="0.2">
      <c r="A110" s="61" t="s">
        <v>17</v>
      </c>
      <c r="C110" s="67" t="s">
        <v>2</v>
      </c>
      <c r="D110" s="68">
        <v>0.81345999271255753</v>
      </c>
      <c r="E110" s="68">
        <v>0.83532993642521025</v>
      </c>
      <c r="F110" s="68">
        <v>0.85931997775172653</v>
      </c>
      <c r="G110" s="68">
        <v>0.88427001178466258</v>
      </c>
      <c r="H110" s="68">
        <v>0.90178001445292133</v>
      </c>
      <c r="I110" s="68">
        <v>0.93038998788361238</v>
      </c>
      <c r="J110" s="68">
        <v>0.95015999250053806</v>
      </c>
      <c r="K110" s="68">
        <v>0.96593999055962987</v>
      </c>
      <c r="L110" s="68">
        <v>0.98322998270504181</v>
      </c>
      <c r="M110" s="68">
        <v>0.9999999961148468</v>
      </c>
    </row>
    <row r="111" spans="1:15" s="58" customFormat="1" x14ac:dyDescent="0.2"/>
    <row r="112" spans="1:15" s="58" customFormat="1" x14ac:dyDescent="0.2"/>
    <row r="113" s="58" customFormat="1" x14ac:dyDescent="0.2"/>
    <row r="114" s="58" customFormat="1" x14ac:dyDescent="0.2"/>
    <row r="115" s="58" customFormat="1" x14ac:dyDescent="0.2"/>
    <row r="116" s="58" customFormat="1" x14ac:dyDescent="0.2"/>
    <row r="117" s="58" customFormat="1" x14ac:dyDescent="0.2"/>
    <row r="118" s="58" customFormat="1" x14ac:dyDescent="0.2"/>
    <row r="119" s="58" customFormat="1" x14ac:dyDescent="0.2"/>
    <row r="120" s="58" customFormat="1" x14ac:dyDescent="0.2"/>
    <row r="121" s="58" customFormat="1" x14ac:dyDescent="0.2"/>
    <row r="122" s="58" customFormat="1" x14ac:dyDescent="0.2"/>
    <row r="123" s="58" customFormat="1" x14ac:dyDescent="0.2"/>
    <row r="124" s="58" customFormat="1" x14ac:dyDescent="0.2"/>
    <row r="125" s="58" customFormat="1" x14ac:dyDescent="0.2"/>
    <row r="126" s="58" customFormat="1" x14ac:dyDescent="0.2"/>
    <row r="127" s="58" customFormat="1" x14ac:dyDescent="0.2"/>
    <row r="128" s="58" customFormat="1" x14ac:dyDescent="0.2"/>
    <row r="129" s="58" customFormat="1" x14ac:dyDescent="0.2"/>
    <row r="130" s="58" customFormat="1" x14ac:dyDescent="0.2"/>
    <row r="131" s="58" customFormat="1" x14ac:dyDescent="0.2"/>
    <row r="132" s="58" customFormat="1" x14ac:dyDescent="0.2"/>
    <row r="133" s="58" customFormat="1" x14ac:dyDescent="0.2"/>
    <row r="134" s="58" customFormat="1" x14ac:dyDescent="0.2"/>
    <row r="135" s="58" customFormat="1" x14ac:dyDescent="0.2"/>
    <row r="136" s="58" customFormat="1" x14ac:dyDescent="0.2"/>
    <row r="137" s="58" customFormat="1" x14ac:dyDescent="0.2"/>
    <row r="138" s="58" customFormat="1" x14ac:dyDescent="0.2"/>
    <row r="139" s="58" customFormat="1" x14ac:dyDescent="0.2"/>
    <row r="140" s="58" customFormat="1" x14ac:dyDescent="0.2"/>
    <row r="141" s="58" customFormat="1" x14ac:dyDescent="0.2"/>
    <row r="142" s="58" customFormat="1" x14ac:dyDescent="0.2"/>
    <row r="143" s="58" customFormat="1" x14ac:dyDescent="0.2"/>
    <row r="144" s="58" customFormat="1" x14ac:dyDescent="0.2"/>
    <row r="145" s="58" customFormat="1" x14ac:dyDescent="0.2"/>
    <row r="146" s="58" customFormat="1" x14ac:dyDescent="0.2"/>
    <row r="147" s="58" customFormat="1" x14ac:dyDescent="0.2"/>
    <row r="148" s="58" customFormat="1" x14ac:dyDescent="0.2"/>
    <row r="149" s="58" customFormat="1" x14ac:dyDescent="0.2"/>
    <row r="150" s="58" customFormat="1" x14ac:dyDescent="0.2"/>
    <row r="151" s="58" customFormat="1" x14ac:dyDescent="0.2"/>
    <row r="152" s="58" customFormat="1" x14ac:dyDescent="0.2"/>
    <row r="153" s="58" customFormat="1" x14ac:dyDescent="0.2"/>
    <row r="154" s="58" customFormat="1" x14ac:dyDescent="0.2"/>
    <row r="155" s="58" customFormat="1" x14ac:dyDescent="0.2"/>
    <row r="156" s="58" customFormat="1" x14ac:dyDescent="0.2"/>
    <row r="157" s="58" customFormat="1" x14ac:dyDescent="0.2"/>
    <row r="158" s="58" customFormat="1" x14ac:dyDescent="0.2"/>
    <row r="159" s="58" customFormat="1" x14ac:dyDescent="0.2"/>
    <row r="160" s="58" customFormat="1" x14ac:dyDescent="0.2"/>
    <row r="161" s="58" customFormat="1" x14ac:dyDescent="0.2"/>
    <row r="162" s="58" customFormat="1" x14ac:dyDescent="0.2"/>
    <row r="163" s="58" customFormat="1" x14ac:dyDescent="0.2"/>
    <row r="164" s="58" customFormat="1" x14ac:dyDescent="0.2"/>
    <row r="165" s="58" customFormat="1" x14ac:dyDescent="0.2"/>
    <row r="166" s="58" customFormat="1" x14ac:dyDescent="0.2"/>
    <row r="167" s="58" customFormat="1" x14ac:dyDescent="0.2"/>
    <row r="168" s="58" customFormat="1" x14ac:dyDescent="0.2"/>
    <row r="169" s="58" customFormat="1" x14ac:dyDescent="0.2"/>
    <row r="170" s="58" customFormat="1" x14ac:dyDescent="0.2"/>
    <row r="171" s="58" customFormat="1" x14ac:dyDescent="0.2"/>
    <row r="172" s="58" customFormat="1" x14ac:dyDescent="0.2"/>
    <row r="173" s="58" customFormat="1" x14ac:dyDescent="0.2"/>
    <row r="174" s="58" customFormat="1" x14ac:dyDescent="0.2"/>
    <row r="175" s="58" customFormat="1" x14ac:dyDescent="0.2"/>
    <row r="176" s="58" customFormat="1" x14ac:dyDescent="0.2"/>
    <row r="177" s="58" customFormat="1" x14ac:dyDescent="0.2"/>
    <row r="178" s="58" customFormat="1" x14ac:dyDescent="0.2"/>
    <row r="179" s="58" customFormat="1" x14ac:dyDescent="0.2"/>
    <row r="180" s="58" customFormat="1" x14ac:dyDescent="0.2"/>
    <row r="181" s="58" customFormat="1" x14ac:dyDescent="0.2"/>
    <row r="182" s="58" customFormat="1" x14ac:dyDescent="0.2"/>
    <row r="183" s="58" customFormat="1" x14ac:dyDescent="0.2"/>
    <row r="184" s="58" customFormat="1" x14ac:dyDescent="0.2"/>
    <row r="185" s="58" customFormat="1" x14ac:dyDescent="0.2"/>
    <row r="186" s="58" customFormat="1" x14ac:dyDescent="0.2"/>
    <row r="187" s="58" customFormat="1" x14ac:dyDescent="0.2"/>
    <row r="188" s="58" customFormat="1" x14ac:dyDescent="0.2"/>
    <row r="189" s="58" customFormat="1" x14ac:dyDescent="0.2"/>
    <row r="190" s="58" customFormat="1" x14ac:dyDescent="0.2"/>
    <row r="191" s="58" customFormat="1" x14ac:dyDescent="0.2"/>
    <row r="192" s="58" customFormat="1" x14ac:dyDescent="0.2"/>
    <row r="193" s="58" customFormat="1" x14ac:dyDescent="0.2"/>
    <row r="194" s="58" customFormat="1" x14ac:dyDescent="0.2"/>
    <row r="195" s="58" customFormat="1" x14ac:dyDescent="0.2"/>
    <row r="196" s="58" customFormat="1" x14ac:dyDescent="0.2"/>
    <row r="197" s="58" customFormat="1" x14ac:dyDescent="0.2"/>
    <row r="198" s="58" customFormat="1" x14ac:dyDescent="0.2"/>
    <row r="199" s="58" customFormat="1" x14ac:dyDescent="0.2"/>
    <row r="200" s="58" customFormat="1" x14ac:dyDescent="0.2"/>
    <row r="201" s="58" customFormat="1" x14ac:dyDescent="0.2"/>
    <row r="202" s="58" customFormat="1" x14ac:dyDescent="0.2"/>
    <row r="203" s="58" customFormat="1" x14ac:dyDescent="0.2"/>
    <row r="204" s="58" customFormat="1" x14ac:dyDescent="0.2"/>
    <row r="205" s="58" customFormat="1" x14ac:dyDescent="0.2"/>
    <row r="206" s="58" customFormat="1" x14ac:dyDescent="0.2"/>
    <row r="207" s="58" customFormat="1" x14ac:dyDescent="0.2"/>
    <row r="208" s="58" customFormat="1" x14ac:dyDescent="0.2"/>
    <row r="209" s="58" customFormat="1" x14ac:dyDescent="0.2"/>
    <row r="210" s="58" customFormat="1" x14ac:dyDescent="0.2"/>
    <row r="211" s="58" customFormat="1" x14ac:dyDescent="0.2"/>
    <row r="212" s="58" customFormat="1" x14ac:dyDescent="0.2"/>
    <row r="213" s="58" customFormat="1" x14ac:dyDescent="0.2"/>
    <row r="214" s="58" customFormat="1" x14ac:dyDescent="0.2"/>
    <row r="215" s="58" customFormat="1" x14ac:dyDescent="0.2"/>
    <row r="216" s="58" customFormat="1" x14ac:dyDescent="0.2"/>
    <row r="217" s="58" customFormat="1" x14ac:dyDescent="0.2"/>
    <row r="218" s="58" customFormat="1" x14ac:dyDescent="0.2"/>
    <row r="219" s="58" customFormat="1" x14ac:dyDescent="0.2"/>
    <row r="220" s="58" customFormat="1" x14ac:dyDescent="0.2"/>
    <row r="221" s="58" customFormat="1" x14ac:dyDescent="0.2"/>
    <row r="222" s="58" customFormat="1" x14ac:dyDescent="0.2"/>
    <row r="223" s="58" customFormat="1" x14ac:dyDescent="0.2"/>
    <row r="224" s="58" customFormat="1" x14ac:dyDescent="0.2"/>
    <row r="225" s="58" customFormat="1" x14ac:dyDescent="0.2"/>
    <row r="226" s="58" customFormat="1" x14ac:dyDescent="0.2"/>
    <row r="227" s="58" customFormat="1" x14ac:dyDescent="0.2"/>
    <row r="228" s="58" customFormat="1" x14ac:dyDescent="0.2"/>
    <row r="229" s="58" customFormat="1" x14ac:dyDescent="0.2"/>
    <row r="230" s="58" customFormat="1" x14ac:dyDescent="0.2"/>
    <row r="231" s="58" customFormat="1" x14ac:dyDescent="0.2"/>
    <row r="232" s="58" customFormat="1" x14ac:dyDescent="0.2"/>
    <row r="233" s="58" customFormat="1" x14ac:dyDescent="0.2"/>
    <row r="234" s="58" customFormat="1" x14ac:dyDescent="0.2"/>
    <row r="235" s="58" customFormat="1" x14ac:dyDescent="0.2"/>
    <row r="236" s="58" customFormat="1" x14ac:dyDescent="0.2"/>
    <row r="237" s="58" customFormat="1" x14ac:dyDescent="0.2"/>
    <row r="238" s="58" customFormat="1" x14ac:dyDescent="0.2"/>
    <row r="239" s="58" customFormat="1" x14ac:dyDescent="0.2"/>
    <row r="240" s="58" customFormat="1" x14ac:dyDescent="0.2"/>
    <row r="241" s="58" customFormat="1" x14ac:dyDescent="0.2"/>
    <row r="242" s="58" customFormat="1" x14ac:dyDescent="0.2"/>
    <row r="243" s="58" customFormat="1" x14ac:dyDescent="0.2"/>
    <row r="244" s="58" customFormat="1" x14ac:dyDescent="0.2"/>
    <row r="245" s="58" customFormat="1" x14ac:dyDescent="0.2"/>
    <row r="246" s="58" customFormat="1" x14ac:dyDescent="0.2"/>
    <row r="247" s="58" customFormat="1" x14ac:dyDescent="0.2"/>
    <row r="248" s="58" customFormat="1" x14ac:dyDescent="0.2"/>
    <row r="249" s="58" customFormat="1" x14ac:dyDescent="0.2"/>
    <row r="250" s="58" customFormat="1" x14ac:dyDescent="0.2"/>
    <row r="251" s="58" customFormat="1" x14ac:dyDescent="0.2"/>
    <row r="252" s="58" customFormat="1" x14ac:dyDescent="0.2"/>
    <row r="253" s="58" customFormat="1" x14ac:dyDescent="0.2"/>
    <row r="254" s="58" customFormat="1" x14ac:dyDescent="0.2"/>
    <row r="255" s="58" customFormat="1" x14ac:dyDescent="0.2"/>
    <row r="256" s="58" customFormat="1" x14ac:dyDescent="0.2"/>
    <row r="257" s="58" customFormat="1" x14ac:dyDescent="0.2"/>
    <row r="258" s="58" customFormat="1" x14ac:dyDescent="0.2"/>
    <row r="259" s="58" customFormat="1" x14ac:dyDescent="0.2"/>
    <row r="260" s="58" customFormat="1" x14ac:dyDescent="0.2"/>
    <row r="261" s="58" customFormat="1" x14ac:dyDescent="0.2"/>
    <row r="262" s="58" customFormat="1" x14ac:dyDescent="0.2"/>
    <row r="263" s="58" customFormat="1" x14ac:dyDescent="0.2"/>
    <row r="264" s="58" customFormat="1" x14ac:dyDescent="0.2"/>
    <row r="265" s="58" customFormat="1" x14ac:dyDescent="0.2"/>
    <row r="266" s="58" customFormat="1" x14ac:dyDescent="0.2"/>
    <row r="267" s="58" customFormat="1" x14ac:dyDescent="0.2"/>
    <row r="268" s="58" customFormat="1" x14ac:dyDescent="0.2"/>
    <row r="269" s="58" customFormat="1" x14ac:dyDescent="0.2"/>
    <row r="270" s="58" customFormat="1" x14ac:dyDescent="0.2"/>
    <row r="271" s="58" customFormat="1" x14ac:dyDescent="0.2"/>
    <row r="272" s="58" customFormat="1" x14ac:dyDescent="0.2"/>
    <row r="273" s="58" customFormat="1" x14ac:dyDescent="0.2"/>
    <row r="274" s="58" customFormat="1" x14ac:dyDescent="0.2"/>
    <row r="275" s="58" customFormat="1" x14ac:dyDescent="0.2"/>
    <row r="276" s="58" customFormat="1" x14ac:dyDescent="0.2"/>
    <row r="277" s="58" customFormat="1" x14ac:dyDescent="0.2"/>
    <row r="278" s="58" customFormat="1" x14ac:dyDescent="0.2"/>
    <row r="279" s="58" customFormat="1" x14ac:dyDescent="0.2"/>
    <row r="280" s="58" customFormat="1" x14ac:dyDescent="0.2"/>
    <row r="281" s="58" customFormat="1" x14ac:dyDescent="0.2"/>
    <row r="282" s="58" customFormat="1" x14ac:dyDescent="0.2"/>
    <row r="283" s="58" customFormat="1" x14ac:dyDescent="0.2"/>
    <row r="284" s="58" customFormat="1" x14ac:dyDescent="0.2"/>
    <row r="285" s="58" customFormat="1" x14ac:dyDescent="0.2"/>
    <row r="286" s="58" customFormat="1" x14ac:dyDescent="0.2"/>
    <row r="287" s="58" customFormat="1" x14ac:dyDescent="0.2"/>
    <row r="288" s="58" customFormat="1" x14ac:dyDescent="0.2"/>
    <row r="289" s="58" customFormat="1" x14ac:dyDescent="0.2"/>
    <row r="290" s="58" customFormat="1" x14ac:dyDescent="0.2"/>
    <row r="291" s="58" customFormat="1" x14ac:dyDescent="0.2"/>
    <row r="292" s="58" customFormat="1" x14ac:dyDescent="0.2"/>
    <row r="293" s="58" customFormat="1" x14ac:dyDescent="0.2"/>
    <row r="294" s="58" customFormat="1" x14ac:dyDescent="0.2"/>
    <row r="295" s="58" customFormat="1" x14ac:dyDescent="0.2"/>
    <row r="296" s="58" customFormat="1" x14ac:dyDescent="0.2"/>
    <row r="297" s="58" customFormat="1" x14ac:dyDescent="0.2"/>
    <row r="298" s="58" customFormat="1" x14ac:dyDescent="0.2"/>
    <row r="299" s="58" customFormat="1" x14ac:dyDescent="0.2"/>
    <row r="300" s="58" customFormat="1" x14ac:dyDescent="0.2"/>
  </sheetData>
  <mergeCells count="4">
    <mergeCell ref="A3:A9"/>
    <mergeCell ref="A10:A19"/>
    <mergeCell ref="A20:A23"/>
    <mergeCell ref="A24:A38"/>
  </mergeCells>
  <dataValidations count="1">
    <dataValidation type="list" allowBlank="1" showInputMessage="1" showErrorMessage="1" sqref="M1">
      <formula1>$C$109:$C$110</formula1>
    </dataValidation>
  </dataValidations>
  <hyperlinks>
    <hyperlink ref="O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70" fitToHeight="2" orientation="landscape" r:id="rId1"/>
  <headerFooter>
    <oddHeader>&amp;C&amp;F  |  &amp;A</oddHeader>
    <oddFooter>&amp;C&amp;D -- &amp;T</oddFooter>
  </headerFooter>
  <drawing r:id="rId2"/>
  <extLst>
    <ext xmlns:x14="http://schemas.microsoft.com/office/spreadsheetml/2009/9/main" uri="{05C60535-1F16-4fd2-B633-F4F36F0B64E0}">
      <x14:sparklineGroups xmlns:xm="http://schemas.microsoft.com/office/excel/2006/main">
        <x14:sparklineGroup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'Area VIIb-k trawlers 10-24m'!D3:L3</xm:f>
              <xm:sqref>C3</xm:sqref>
            </x14:sparkline>
            <x14:sparkline>
              <xm:f>'Area VIIb-k trawlers 10-24m'!D4:L4</xm:f>
              <xm:sqref>C4</xm:sqref>
            </x14:sparkline>
            <x14:sparkline>
              <xm:f>'Area VIIb-k trawlers 10-24m'!D5:L5</xm:f>
              <xm:sqref>C5</xm:sqref>
            </x14:sparkline>
            <x14:sparkline>
              <xm:f>'Area VIIb-k trawlers 10-24m'!D6:L6</xm:f>
              <xm:sqref>C6</xm:sqref>
            </x14:sparkline>
            <x14:sparkline>
              <xm:f>'Area VIIb-k trawlers 10-24m'!D7:L7</xm:f>
              <xm:sqref>C7</xm:sqref>
            </x14:sparkline>
            <x14:sparkline>
              <xm:f>'Area VIIb-k trawlers 10-24m'!D8:L8</xm:f>
              <xm:sqref>C8</xm:sqref>
            </x14:sparkline>
            <x14:sparkline>
              <xm:f>'Area VIIb-k trawlers 10-24m'!D9:L9</xm:f>
              <xm:sqref>C9</xm:sqref>
            </x14:sparkline>
            <x14:sparkline>
              <xm:f>'Area VIIb-k trawlers 10-24m'!D10:L10</xm:f>
              <xm:sqref>C10</xm:sqref>
            </x14:sparkline>
            <x14:sparkline>
              <xm:f>'Area VIIb-k trawlers 10-24m'!D11:L11</xm:f>
              <xm:sqref>C11</xm:sqref>
            </x14:sparkline>
            <x14:sparkline>
              <xm:f>'Area VIIb-k trawlers 10-24m'!D12:L12</xm:f>
              <xm:sqref>C12</xm:sqref>
            </x14:sparkline>
            <x14:sparkline>
              <xm:f>'Area VIIb-k trawlers 10-24m'!D13:L13</xm:f>
              <xm:sqref>C13</xm:sqref>
            </x14:sparkline>
            <x14:sparkline>
              <xm:f>'Area VIIb-k trawlers 10-24m'!D14:L14</xm:f>
              <xm:sqref>C14</xm:sqref>
            </x14:sparkline>
            <x14:sparkline>
              <xm:f>'Area VIIb-k trawlers 10-24m'!D15:L15</xm:f>
              <xm:sqref>C15</xm:sqref>
            </x14:sparkline>
            <x14:sparkline>
              <xm:f>'Area VIIb-k trawlers 10-24m'!D16:L16</xm:f>
              <xm:sqref>C16</xm:sqref>
            </x14:sparkline>
            <x14:sparkline>
              <xm:f>'Area VIIb-k trawlers 10-24m'!D17:L17</xm:f>
              <xm:sqref>C17</xm:sqref>
            </x14:sparkline>
            <x14:sparkline>
              <xm:f>'Area VIIb-k trawlers 10-24m'!D18:L18</xm:f>
              <xm:sqref>C18</xm:sqref>
            </x14:sparkline>
            <x14:sparkline>
              <xm:f>'Area VIIb-k trawlers 10-24m'!D19:L19</xm:f>
              <xm:sqref>C19</xm:sqref>
            </x14:sparkline>
            <x14:sparkline>
              <xm:f>'Area VIIb-k trawlers 10-24m'!D20:L20</xm:f>
              <xm:sqref>C20</xm:sqref>
            </x14:sparkline>
            <x14:sparkline>
              <xm:f>'Area VIIb-k trawlers 10-24m'!D21:L21</xm:f>
              <xm:sqref>C21</xm:sqref>
            </x14:sparkline>
            <x14:sparkline>
              <xm:f>'Area VIIb-k trawlers 10-24m'!D22:L22</xm:f>
              <xm:sqref>C22</xm:sqref>
            </x14:sparkline>
            <x14:sparkline>
              <xm:f>'Area VIIb-k trawlers 10-24m'!D23:L23</xm:f>
              <xm:sqref>C23</xm:sqref>
            </x14:sparkline>
            <x14:sparkline>
              <xm:f>'Area VIIb-k trawlers 10-24m'!D24:L24</xm:f>
              <xm:sqref>C24</xm:sqref>
            </x14:sparkline>
            <x14:sparkline>
              <xm:f>'Area VIIb-k trawlers 10-24m'!D25:L25</xm:f>
              <xm:sqref>C25</xm:sqref>
            </x14:sparkline>
            <x14:sparkline>
              <xm:f>'Area VIIb-k trawlers 10-24m'!D26:L26</xm:f>
              <xm:sqref>C26</xm:sqref>
            </x14:sparkline>
            <x14:sparkline>
              <xm:f>'Area VIIb-k trawlers 10-24m'!D27:L27</xm:f>
              <xm:sqref>C27</xm:sqref>
            </x14:sparkline>
            <x14:sparkline>
              <xm:f>'Area VIIb-k trawlers 10-24m'!D28:L28</xm:f>
              <xm:sqref>C28</xm:sqref>
            </x14:sparkline>
            <x14:sparkline>
              <xm:f>'Area VIIb-k trawlers 10-24m'!D29:L29</xm:f>
              <xm:sqref>C29</xm:sqref>
            </x14:sparkline>
            <x14:sparkline>
              <xm:f>'Area VIIb-k trawlers 10-24m'!D30:L30</xm:f>
              <xm:sqref>C30</xm:sqref>
            </x14:sparkline>
            <x14:sparkline>
              <xm:f>'Area VIIb-k trawlers 10-24m'!D31:L31</xm:f>
              <xm:sqref>C31</xm:sqref>
            </x14:sparkline>
            <x14:sparkline>
              <xm:f>'Area VIIb-k trawlers 10-24m'!D32:L32</xm:f>
              <xm:sqref>C32</xm:sqref>
            </x14:sparkline>
            <x14:sparkline>
              <xm:f>'Area VIIb-k trawlers 10-24m'!D33:L33</xm:f>
              <xm:sqref>C33</xm:sqref>
            </x14:sparkline>
            <x14:sparkline>
              <xm:f>'Area VIIb-k trawlers 10-24m'!D34:L34</xm:f>
              <xm:sqref>C34</xm:sqref>
            </x14:sparkline>
            <x14:sparkline>
              <xm:f>'Area VIIb-k trawlers 10-24m'!D35:L35</xm:f>
              <xm:sqref>C35</xm:sqref>
            </x14:sparkline>
            <x14:sparkline>
              <xm:f>'Area VIIb-k trawlers 10-24m'!D36:L36</xm:f>
              <xm:sqref>C36</xm:sqref>
            </x14:sparkline>
            <x14:sparkline>
              <xm:f>'Area VIIb-k trawlers 10-24m'!D37:L37</xm:f>
              <xm:sqref>C37</xm:sqref>
            </x14:sparkline>
            <x14:sparkline>
              <xm:f>'Area VIIb-k trawlers 10-24m'!D38:L38</xm:f>
              <xm:sqref>C38</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eafish Open Document" ma:contentTypeID="0x010100FBC0F8BFD01A91498CA7837A71EEDFDB0100D8D74AD133DD5E4C9488BA264812959E" ma:contentTypeVersion="30" ma:contentTypeDescription="Seafish Open Document Content Type" ma:contentTypeScope="" ma:versionID="6cf6eeec6f8d0b88530e7c73574e6803">
  <xsd:schema xmlns:xsd="http://www.w3.org/2001/XMLSchema" xmlns:xs="http://www.w3.org/2001/XMLSchema" xmlns:p="http://schemas.microsoft.com/office/2006/metadata/properties" xmlns:ns2="cebd32e3-9ab6-41ee-b1af-b8405a8d4e68" xmlns:ns3="d4c1e97c-7a75-4aca-9712-5efb9ef450ab" targetNamespace="http://schemas.microsoft.com/office/2006/metadata/properties" ma:root="true" ma:fieldsID="c7adf362057f3fbfeab303a81cf00593" ns2:_="" ns3:_="">
    <xsd:import namespace="cebd32e3-9ab6-41ee-b1af-b8405a8d4e68"/>
    <xsd:import namespace="d4c1e97c-7a75-4aca-9712-5efb9ef450ab"/>
    <xsd:element name="properties">
      <xsd:complexType>
        <xsd:sequence>
          <xsd:element name="documentManagement">
            <xsd:complexType>
              <xsd:all>
                <xsd:element ref="ns2:PublicationDate"/>
                <xsd:element ref="ns2:DocumentSummary"/>
                <xsd:element ref="ns2:DocumentTopic" minOccurs="0"/>
                <xsd:element ref="ns2:DocumentAuthors" minOccurs="0"/>
                <xsd:element ref="ns2:MediaFormatOld" minOccurs="0"/>
                <xsd:element ref="ns2:PublicationRefNo" minOccurs="0"/>
                <xsd:element ref="ns2:ISBN" minOccurs="0"/>
                <xsd:element ref="ns2:LegacyId" minOccurs="0"/>
                <xsd:element ref="ns2:PubMonth" minOccurs="0"/>
                <xsd:element ref="ns2:PubYear" minOccurs="0"/>
                <xsd:element ref="ns2:MediaFormat" minOccurs="0"/>
                <xsd:element ref="ns2:DocumentAdded"/>
                <xsd:element ref="ns2:DocumentStatus"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AutoTags" minOccurs="0"/>
                <xsd:element ref="ns3:MediaServiceOCR" minOccurs="0"/>
                <xsd:element ref="ns3:MediaServiceGenerationTime" minOccurs="0"/>
                <xsd:element ref="ns3:MediaServiceEventHashCod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bd32e3-9ab6-41ee-b1af-b8405a8d4e68" elementFormDefault="qualified">
    <xsd:import namespace="http://schemas.microsoft.com/office/2006/documentManagement/types"/>
    <xsd:import namespace="http://schemas.microsoft.com/office/infopath/2007/PartnerControls"/>
    <xsd:element name="PublicationDate" ma:index="2" ma:displayName="Publication Date" ma:format="DateOnly" ma:internalName="PublicationDate">
      <xsd:simpleType>
        <xsd:restriction base="dms:DateTime"/>
      </xsd:simpleType>
    </xsd:element>
    <xsd:element name="DocumentSummary" ma:index="3" ma:displayName="Summary" ma:internalName="DocumentSummary" ma:readOnly="false">
      <xsd:simpleType>
        <xsd:restriction base="dms:Note">
          <xsd:maxLength value="255"/>
        </xsd:restriction>
      </xsd:simpleType>
    </xsd:element>
    <xsd:element name="DocumentTopic" ma:index="5" nillable="true" ma:displayName="Topic" ma:default="" ma:internalName="DocumentTopic">
      <xsd:complexType>
        <xsd:complexContent>
          <xsd:extension base="dms:MultiChoice">
            <xsd:sequence>
              <xsd:element name="Value" maxOccurs="unbounded" minOccurs="0" nillable="true">
                <xsd:simpleType>
                  <xsd:restriction base="dms:Choice">
                    <xsd:enumeration value="Technical Report"/>
                    <xsd:enumeration value="Factsheet/Datasheet"/>
                    <xsd:enumeration value="Corporate Document"/>
                    <xsd:enumeration value="Guidelines"/>
                    <xsd:enumeration value="Marine Survey"/>
                    <xsd:enumeration value="Training Material"/>
                    <xsd:enumeration value="Careers"/>
                    <xsd:enumeration value="Economics and Business"/>
                    <xsd:enumeration value="Aquaculture"/>
                    <xsd:enumeration value="IPF Final Reports"/>
                    <xsd:enumeration value="Other"/>
                    <xsd:enumeration value="Not known"/>
                    <xsd:enumeration value="Internal Seafish Report"/>
                    <xsd:enumeration value="Confidential Seafish Report"/>
                    <xsd:enumeration value="Seafood Guide"/>
                    <xsd:enumeration value=".Web-About Seafish"/>
                    <xsd:enumeration value=".Web-Changing Landscapes"/>
                    <xsd:enumeration value=".Web-Promoting Seafood"/>
                    <xsd:enumeration value=".Web-Responsible Sourcing"/>
                    <xsd:enumeration value=".Web-Safety and Training"/>
                    <xsd:enumeration value=".Web-Insight and Research"/>
                  </xsd:restriction>
                </xsd:simpleType>
              </xsd:element>
            </xsd:sequence>
          </xsd:extension>
        </xsd:complexContent>
      </xsd:complexType>
    </xsd:element>
    <xsd:element name="DocumentAuthors" ma:index="6" nillable="true" ma:displayName="Authors" ma:internalName="DocumentAuthors">
      <xsd:complexType>
        <xsd:complexContent>
          <xsd:extension base="dms:MultiChoice">
            <xsd:sequence>
              <xsd:element name="Value" maxOccurs="unbounded" minOccurs="0" nillable="true">
                <xsd:simpleType>
                  <xsd:restriction base="dms:Choice">
                    <xsd:enumeration value="A. Justel-Rubio"/>
                    <xsd:enumeration value="A. Lucchetti"/>
                    <xsd:enumeration value="A. Sala"/>
                    <xsd:enumeration value="A.Adams"/>
                    <xsd:enumeration value="A.B"/>
                    <xsd:enumeration value="A.Bent"/>
                    <xsd:enumeration value="A.Brown"/>
                    <xsd:enumeration value="A.C.C"/>
                    <xsd:enumeration value="A.Campbell"/>
                    <xsd:enumeration value="A.Chau"/>
                    <xsd:enumeration value="A.Copeland"/>
                    <xsd:enumeration value="A.Corcoran"/>
                    <xsd:enumeration value="A.Coutts"/>
                    <xsd:enumeration value="A.Dean"/>
                    <xsd:enumeration value="A.G.Hopper"/>
                    <xsd:enumeration value="A.Garthwaite"/>
                    <xsd:enumeration value="A.Grant"/>
                    <xsd:enumeration value="A.Hewer"/>
                    <xsd:enumeration value="A.J.Courtney"/>
                    <xsd:enumeration value="A.J.Dean"/>
                    <xsd:enumeration value="A.Kenny"/>
                    <xsd:enumeration value="A.Martin"/>
                    <xsd:enumeration value="A.Mills"/>
                    <xsd:enumeration value="A.Moody"/>
                    <xsd:enumeration value="A.Nicholson"/>
                    <xsd:enumeration value="A.P.Woolmer"/>
                    <xsd:enumeration value="A.R"/>
                    <xsd:enumeration value="A.Revill"/>
                    <xsd:enumeration value="A.S"/>
                    <xsd:enumeration value="A.Santos"/>
                    <xsd:enumeration value="A.Searle"/>
                    <xsd:enumeration value="A.Smith"/>
                    <xsd:enumeration value="A.Steel"/>
                    <xsd:enumeration value="A.Strickland"/>
                    <xsd:enumeration value="A.Thompson"/>
                    <xsd:enumeration value="A.Wilson"/>
                    <xsd:enumeration value="A.Woolmer"/>
                    <xsd:enumeration value="A.Younger"/>
                    <xsd:enumeration value="A.Younger"/>
                    <xsd:enumeration value="Acoura"/>
                    <xsd:enumeration value="Adam Brown"/>
                    <xsd:enumeration value="ADAS"/>
                    <xsd:enumeration value="ADAS Environment"/>
                    <xsd:enumeration value="AFBI"/>
                    <xsd:enumeration value="AGH"/>
                    <xsd:enumeration value="Agri Food and Biosciences Institute"/>
                    <xsd:enumeration value="Alan Dean"/>
                    <xsd:enumeration value="Alan Hayes"/>
                    <xsd:enumeration value="Alex Caveen"/>
                    <xsd:enumeration value="Alexander Schofield"/>
                    <xsd:enumeration value="Alison Austin"/>
                    <xsd:enumeration value="Ana Justel-Rubio"/>
                    <xsd:enumeration value="Ana Witteveen"/>
                    <xsd:enumeration value="Andrew FitzGerald"/>
                    <xsd:enumeration value="ANIFOP"/>
                    <xsd:enumeration value="Anne Cameron"/>
                    <xsd:enumeration value="Anne Wallace"/>
                    <xsd:enumeration value="Anne-Margaret Stewart"/>
                    <xsd:enumeration value="Aquafish Solutions Ltd."/>
                    <xsd:enumeration value="Aquatic Water Services Ltd."/>
                    <xsd:enumeration value="Ardtoe"/>
                    <xsd:enumeration value="Arina Motova"/>
                    <xsd:enumeration value="ASSG"/>
                    <xsd:enumeration value="Association of Port Health Authorities"/>
                    <xsd:enumeration value="Association of Public Analy"/>
                    <xsd:enumeration value="ATM"/>
                    <xsd:enumeration value="B.A"/>
                    <xsd:enumeration value="B.Ashcroft"/>
                    <xsd:enumeration value="B.Greenwood"/>
                    <xsd:enumeration value="B.H"/>
                    <xsd:enumeration value="B.Hughes"/>
                    <xsd:enumeration value="B.Mounce"/>
                    <xsd:enumeration value="B.Scannell"/>
                    <xsd:enumeration value="B.Thain"/>
                    <xsd:enumeration value="B.van Marlen"/>
                    <xsd:enumeration value="B.Wilson"/>
                    <xsd:enumeration value="BFFF"/>
                    <xsd:enumeration value="BHA"/>
                    <xsd:enumeration value="BIM Irish Sea Fisheries Board"/>
                    <xsd:enumeration value="Brahm Insight"/>
                    <xsd:enumeration value="BRC"/>
                    <xsd:enumeration value="British Marine Finfish Association"/>
                    <xsd:enumeration value="Bryony Townhill (Marine Climate Change Impacts Partnership)"/>
                    <xsd:enumeration value="C. Burton"/>
                    <xsd:enumeration value="C.A.Burton"/>
                    <xsd:enumeration value="C.A.Goudey"/>
                    <xsd:enumeration value="C.B"/>
                    <xsd:enumeration value="C.Baker"/>
                    <xsd:enumeration value="C.Brady"/>
                    <xsd:enumeration value="C.C"/>
                    <xsd:enumeration value="C.Carlton"/>
                    <xsd:enumeration value="C.Curr"/>
                    <xsd:enumeration value="C.Cutts"/>
                    <xsd:enumeration value="C.Daniels"/>
                    <xsd:enumeration value="C.E.P.Watson"/>
                    <xsd:enumeration value="C.E.Tucker"/>
                    <xsd:enumeration value="C.F.Jackson"/>
                    <xsd:enumeration value="C.Filippopoulos"/>
                    <xsd:enumeration value="C.Ford"/>
                    <xsd:enumeration value="C.G.S.W"/>
                    <xsd:enumeration value="C.H.Davies"/>
                    <xsd:enumeration value="C.J Cutts"/>
                    <xsd:enumeration value="C.J. Chapman"/>
                    <xsd:enumeration value="C.J.Ellis"/>
                    <xsd:enumeration value="C.Jackson"/>
                    <xsd:enumeration value="C.Knight"/>
                    <xsd:enumeration value="C.Lacamara"/>
                    <xsd:enumeration value="C.Leadley"/>
                    <xsd:enumeration value="C.M. Fortuna"/>
                    <xsd:enumeration value="C.Mazorra de Quero"/>
                    <xsd:enumeration value="C.Nevin"/>
                    <xsd:enumeration value="C.P.Baker"/>
                    <xsd:enumeration value="C.Roberts"/>
                    <xsd:enumeration value="C.Saurel"/>
                    <xsd:enumeration value="C.T.O"/>
                    <xsd:enumeration value="C.T.W.C"/>
                    <xsd:enumeration value="C.T.W.Curr"/>
                    <xsd:enumeration value="C.Tucker"/>
                    <xsd:enumeration value="C.W"/>
                    <xsd:enumeration value="C.Wells"/>
                    <xsd:enumeration value="C.Young"/>
                    <xsd:enumeration value="CA Burton"/>
                    <xsd:enumeration value="Camborne School of Mines"/>
                    <xsd:enumeration value="Campden BRI"/>
                    <xsd:enumeration value="Candida Barbato"/>
                    <xsd:enumeration value="Cardiff Economic Research Associates Ltd"/>
                    <xsd:enumeration value="Catriona Power"/>
                    <xsd:enumeration value="CC"/>
                    <xsd:enumeration value="CCFRA"/>
                    <xsd:enumeration value="Cefas"/>
                    <xsd:enumeration value="Centre for Aquaculture and Fisheries"/>
                    <xsd:enumeration value="CEPW"/>
                    <xsd:enumeration value="CEPW"/>
                    <xsd:enumeration value="CFPO"/>
                    <xsd:enumeration value="Chao Lu"/>
                    <xsd:enumeration value="Chelonia"/>
                    <xsd:enumeration value="China Ministry of Health"/>
                    <xsd:enumeration value="Chris Barbour"/>
                    <xsd:enumeration value="Chris Kirkland"/>
                    <xsd:enumeration value="Clifford A.Goudey"/>
                    <xsd:enumeration value="Clive Monk"/>
                    <xsd:enumeration value="Colin Brodie"/>
                    <xsd:enumeration value="Craig Burton"/>
                    <xsd:enumeration value="Crick Carlton"/>
                    <xsd:enumeration value="Cristina Fernandez"/>
                    <xsd:enumeration value="Cristina Pita"/>
                    <xsd:enumeration value="D. Itano"/>
                    <xsd:enumeration value="D.A"/>
                    <xsd:enumeration value="D.A.Masson"/>
                    <xsd:enumeration value="D.Amos"/>
                    <xsd:enumeration value="D.Amos"/>
                    <xsd:enumeration value="D.Boothroyd"/>
                    <xsd:enumeration value="D.Burdon"/>
                    <xsd:enumeration value="D.Cashmore"/>
                    <xsd:enumeration value="D.Cole"/>
                    <xsd:enumeration value="D.Cook"/>
                    <xsd:enumeration value="D.E.Ballam"/>
                    <xsd:enumeration value="D.Edwards"/>
                    <xsd:enumeration value="D.Elliot"/>
                    <xsd:enumeration value="D.G"/>
                    <xsd:enumeration value="D.Gowland"/>
                    <xsd:enumeration value="D.H"/>
                    <xsd:enumeration value="D.Harrison"/>
                    <xsd:enumeration value="D.Homer"/>
                    <xsd:enumeration value="D.Hornerm"/>
                    <xsd:enumeration value="D.J.Wood"/>
                    <xsd:enumeration value="D.L"/>
                    <xsd:enumeration value="D.Marshall"/>
                    <xsd:enumeration value="D.Miles"/>
                    <xsd:enumeration value="D.Miller"/>
                    <xsd:enumeration value="D.Oakes"/>
                    <xsd:enumeration value="D.P"/>
                    <xsd:enumeration value="D.Patterson"/>
                    <xsd:enumeration value="D.Pirie"/>
                    <xsd:enumeration value="D.Robertson"/>
                    <xsd:enumeration value="D.S"/>
                    <xsd:enumeration value="D.Steel"/>
                    <xsd:enumeration value="D.Sykes"/>
                    <xsd:enumeration value="D.Symes"/>
                    <xsd:enumeration value="D.Taylor"/>
                    <xsd:enumeration value="D.Tocher"/>
                    <xsd:enumeration value="D.W"/>
                    <xsd:enumeration value="D.Wood"/>
                    <xsd:enumeration value="D.Woods"/>
                    <xsd:enumeration value="Daniel Lee"/>
                    <xsd:enumeration value="Daniel McDonald"/>
                    <xsd:enumeration value="Daragh Browne"/>
                    <xsd:enumeration value="Darren Stevenson, Legal Director at Wiggin LLP"/>
                    <xsd:enumeration value="Dave Dewick"/>
                    <xsd:enumeration value="Dave Price"/>
                    <xsd:enumeration value="David Parish"/>
                    <xsd:enumeration value="David Parker"/>
                    <xsd:enumeration value="David Russell"/>
                    <xsd:enumeration value="David Sterling"/>
                    <xsd:enumeration value="Dawby"/>
                    <xsd:enumeration value="Dawn Sneddon"/>
                    <xsd:enumeration value="Dean Millar"/>
                    <xsd:enumeration value="Defra"/>
                    <xsd:enumeration value="DIFRES"/>
                    <xsd:enumeration value="DIFTA"/>
                    <xsd:enumeration value="DIFTA Denmark"/>
                    <xsd:enumeration value="DoH"/>
                    <xsd:enumeration value="Doug McLeod"/>
                    <xsd:enumeration value="Dr B. McAdam (Stirling University)"/>
                    <xsd:enumeration value="Dr J. Harman"/>
                    <xsd:enumeration value="Dr J. Pinnegar (CEFAS"/>
                    <xsd:enumeration value="Dr L. Falconer"/>
                    <xsd:enumeration value="Dr Stewart Brown (Stewart Brown Associates Ltd)"/>
                    <xsd:enumeration value="Dr T. Telfer"/>
                    <xsd:enumeration value="Dr Tom Pickerell (Tomolamola Consulting Ltd)"/>
                    <xsd:enumeration value="Dr. A.R.Hearn"/>
                    <xsd:enumeration value="Dr. Alan Heyworth"/>
                    <xsd:enumeration value="Dr. Alex Caveen"/>
                    <xsd:enumeration value="Dr. Andrew Jackson"/>
                    <xsd:enumeration value="Dr. Andrew Woolmer"/>
                    <xsd:enumeration value="Dr. Andy Revill"/>
                    <xsd:enumeration value="Dr. Angus Garrett"/>
                    <xsd:enumeration value="Dr. Annika Clements"/>
                    <xsd:enumeration value="Dr. Bill Roy"/>
                    <xsd:enumeration value="Dr. D.Robertson"/>
                    <xsd:enumeration value="Dr. E.Fossey"/>
                    <xsd:enumeration value="Dr. Edwards"/>
                    <xsd:enumeration value="Dr. Eric Edwards"/>
                    <xsd:enumeration value="Dr. Francis Murray"/>
                    <xsd:enumeration value="Dr. Hilmar Hinz"/>
                    <xsd:enumeration value="Dr. I.T.Mentjes"/>
                    <xsd:enumeration value="Dr. J.Sheperd"/>
                    <xsd:enumeration value="Dr. James Bron"/>
                    <xsd:enumeration value="Dr. James Treasurer"/>
                    <xsd:enumeration value="Dr. Jan G.Hiddink"/>
                    <xsd:enumeration value="Dr. Jim Treasurer, Dr T Atack"/>
                    <xsd:enumeration value="Dr. John Pinnegar"/>
                    <xsd:enumeration value="Dr. Jon Harman"/>
                    <xsd:enumeration value="Dr. M.Mühling"/>
                    <xsd:enumeration value="Dr. Matt Service"/>
                    <xsd:enumeration value="Dr. N.Lake"/>
                    <xsd:enumeration value="Dr. Rachel Burch"/>
                    <xsd:enumeration value="Dr. S.Davies"/>
                    <xsd:enumeration value="Dr. S.E.Taylor"/>
                    <xsd:enumeration value="E.Allison"/>
                    <xsd:enumeration value="E.Cochrane"/>
                    <xsd:enumeration value="E.Edwards"/>
                    <xsd:enumeration value="E.Fossey"/>
                    <xsd:enumeration value="E.Maxwell"/>
                    <xsd:enumeration value="E.Nicholls"/>
                    <xsd:enumeration value="E.W.Taylor"/>
                    <xsd:enumeration value="EA"/>
                    <xsd:enumeration value="Emi Katoh"/>
                    <xsd:enumeration value="Emma Bradshaw"/>
                    <xsd:enumeration value="Emma Brown"/>
                    <xsd:enumeration value="Emma White"/>
                    <xsd:enumeration value="Enrico Longoni"/>
                    <xsd:enumeration value="Epsom"/>
                    <xsd:enumeration value="Erik Lindebo"/>
                    <xsd:enumeration value="Eunice Pinn"/>
                    <xsd:enumeration value="Eurographic Ltd"/>
                    <xsd:enumeration value="European Food Safety Authority"/>
                    <xsd:enumeration value="F. De Carlo"/>
                    <xsd:enumeration value="F. Forget"/>
                    <xsd:enumeration value="F.Chopin"/>
                    <xsd:enumeration value="F.Dixon"/>
                    <xsd:enumeration value="F.Nimmo"/>
                    <xsd:enumeration value="Fanming Kong"/>
                    <xsd:enumeration value="FERU"/>
                    <xsd:enumeration value="FHF"/>
                    <xsd:enumeration value="Fiona Birch"/>
                    <xsd:enumeration value="Fiona Wright"/>
                    <xsd:enumeration value="Fisheries Research Services"/>
                    <xsd:enumeration value="Fishing News"/>
                    <xsd:enumeration value="FISHupdate"/>
                    <xsd:enumeration value="FPKTN"/>
                    <xsd:enumeration value="Francis Murray"/>
                    <xsd:enumeration value="Francisco Areal"/>
                    <xsd:enumeration value="Frank Armstrong"/>
                    <xsd:enumeration value="FRM Ltd."/>
                    <xsd:enumeration value="G McAllister"/>
                    <xsd:enumeration value="G. Moreno"/>
                    <xsd:enumeration value="G.A.Garthwaite"/>
                    <xsd:enumeration value="G.A.Webb"/>
                    <xsd:enumeration value="G.Bell"/>
                    <xsd:enumeration value="G.C"/>
                    <xsd:enumeration value="G.C.E"/>
                    <xsd:enumeration value="G.Cartwright"/>
                    <xsd:enumeration value="G.Course"/>
                    <xsd:enumeration value="G.Dunlin"/>
                    <xsd:enumeration value="G.Eveillard"/>
                    <xsd:enumeration value="G.F.Jackson"/>
                    <xsd:enumeration value="G.Gough"/>
                    <xsd:enumeration value="G.Mack"/>
                    <xsd:enumeration value="G.McKay"/>
                    <xsd:enumeration value="G.McLeod"/>
                    <xsd:enumeration value="G.P.Arnold"/>
                    <xsd:enumeration value="G.P.Course"/>
                    <xsd:enumeration value="G.Ritchie"/>
                    <xsd:enumeration value="G.Salze"/>
                    <xsd:enumeration value="G.Ward"/>
                    <xsd:enumeration value="Gang Wang"/>
                    <xsd:enumeration value="Gary Dunlin"/>
                    <xsd:enumeration value="Gary Hooper"/>
                    <xsd:enumeration value="Gavin Hatton"/>
                    <xsd:enumeration value="GC"/>
                    <xsd:enumeration value="GDCL"/>
                    <xsd:enumeration value="GMAV"/>
                    <xsd:enumeration value="Gordon Goldsworthy"/>
                    <xsd:enumeration value="Gorkana Group"/>
                    <xsd:enumeration value="Graham Pierce"/>
                    <xsd:enumeration value="GREAT"/>
                    <xsd:enumeration value="Gunnar Þórðarson"/>
                    <xsd:enumeration value="H.E.Bullock"/>
                    <xsd:enumeration value="H.English"/>
                    <xsd:enumeration value="H.McDiarmid"/>
                    <xsd:enumeration value="H.Q"/>
                    <xsd:enumeration value="H.R. Day"/>
                    <xsd:enumeration value="H.R.English"/>
                    <xsd:enumeration value="H.Ritchings"/>
                    <xsd:enumeration value="H.Teepsoo"/>
                    <xsd:enumeration value="H.W"/>
                    <xsd:enumeration value="Hannah Fawcett"/>
                    <xsd:enumeration value="Hannah Shaw"/>
                    <xsd:enumeration value="Hannah Thompson"/>
                    <xsd:enumeration value="Hazel Curtis"/>
                    <xsd:enumeration value="Hazel McShane"/>
                    <xsd:enumeration value="Heat &amp; Power Ltd."/>
                    <xsd:enumeration value="Heather Forbes"/>
                    <xsd:enumeration value="Heather Middleton"/>
                    <xsd:enumeration value="Helen Duggan"/>
                    <xsd:enumeration value="Hepples"/>
                    <xsd:enumeration value="Hilmar Hinz"/>
                    <xsd:enumeration value="HQ"/>
                    <xsd:enumeration value="HRE"/>
                    <xsd:enumeration value="Humber Seafood Institute"/>
                    <xsd:enumeration value="Humberside College of Higher Education"/>
                    <xsd:enumeration value="Hunterston"/>
                    <xsd:enumeration value="I. Berrill"/>
                    <xsd:enumeration value="I.F"/>
                    <xsd:enumeration value="I.Finley"/>
                    <xsd:enumeration value="I.Graham"/>
                    <xsd:enumeration value="I.Milligan"/>
                    <xsd:enumeration value="I.Tatterson"/>
                    <xsd:enumeration value="Iain Berrill (Scottish Salmon Producers Organisation)"/>
                    <xsd:enumeration value="Ian Laing"/>
                    <xsd:enumeration value="ICF"/>
                    <xsd:enumeration value="IFREMER France"/>
                    <xsd:enumeration value="Institute of Aquaculture, University of Stirling"/>
                    <xsd:enumeration value="Institute of Estuarine &amp; Coastal Studies, University of Hull"/>
                    <xsd:enumeration value="International Council for the Exploration of the Sea"/>
                    <xsd:enumeration value="International Society for the Study of Fatty Acids and Lipids"/>
                    <xsd:enumeration value="Ivan Bartolo"/>
                    <xsd:enumeration value="J.A"/>
                    <xsd:enumeration value="J.A.Shalliker"/>
                    <xsd:enumeration value="J.A.Upfield"/>
                    <xsd:enumeration value="J.Anderson"/>
                    <xsd:enumeration value="J.B.R"/>
                    <xsd:enumeration value="J.C"/>
                    <xsd:enumeration value="J.Carrick"/>
                    <xsd:enumeration value="J.Combes"/>
                    <xsd:enumeration value="J.D. Paul"/>
                    <xsd:enumeration value="J.D. Wood"/>
                    <xsd:enumeration value="J.D.Paul"/>
                    <xsd:enumeration value="J.D.Wood"/>
                    <xsd:enumeration value="J.Dunlop"/>
                    <xsd:enumeration value="J.E.B"/>
                    <xsd:enumeration value="J.E.D"/>
                    <xsd:enumeration value="J.E.Dye"/>
                    <xsd:enumeration value="J.E.Tumilty"/>
                    <xsd:enumeration value="J.Early"/>
                    <xsd:enumeration value="J.Eddom"/>
                    <xsd:enumeration value="J.Evans"/>
                    <xsd:enumeration value="J.Foster"/>
                    <xsd:enumeration value="J.Frederickson"/>
                    <xsd:enumeration value="J.Gascoigne"/>
                    <xsd:enumeration value="J.Grant"/>
                    <xsd:enumeration value="J.Grant"/>
                    <xsd:enumeration value="J.H.Brown"/>
                    <xsd:enumeration value="J.Harman"/>
                    <xsd:enumeration value="J.Hatchard"/>
                    <xsd:enumeration value="J.L.R"/>
                    <xsd:enumeration value="J.L.Robertson"/>
                    <xsd:enumeration value="J.Lansley"/>
                    <xsd:enumeration value="J.Lart"/>
                    <xsd:enumeration value="J.Lewis"/>
                    <xsd:enumeration value="J.M"/>
                    <xsd:enumeration value="J.M.Tower"/>
                    <xsd:enumeration value="J.M.Watson"/>
                    <xsd:enumeration value="J.MacMillan"/>
                    <xsd:enumeration value="J.MacNamara"/>
                    <xsd:enumeration value="J.May"/>
                    <xsd:enumeration value="J.McMillan"/>
                    <xsd:enumeration value="J.McNamara"/>
                    <xsd:enumeration value="J.Mikolajunas"/>
                    <xsd:enumeration value="J.Moore"/>
                    <xsd:enumeration value="J.Morris"/>
                    <xsd:enumeration value="J.N.Ward"/>
                    <xsd:enumeration value="J.NcNamara"/>
                    <xsd:enumeration value="J.Paul"/>
                    <xsd:enumeration value="J.R.Dye"/>
                    <xsd:enumeration value="J.R.Gifford"/>
                    <xsd:enumeration value="J.Rice"/>
                    <xsd:enumeration value="J.Rycroft"/>
                    <xsd:enumeration value="J.S"/>
                    <xsd:enumeration value="J.S.S"/>
                    <xsd:enumeration value="J.S.Saether"/>
                    <xsd:enumeration value="J.Shalliker"/>
                    <xsd:enumeration value="J.Sherwood"/>
                    <xsd:enumeration value="J.Slater"/>
                    <xsd:enumeration value="J.Smith"/>
                    <xsd:enumeration value="J.Swarbrick"/>
                    <xsd:enumeration value="J.T"/>
                    <xsd:enumeration value="J.T.Bryson"/>
                    <xsd:enumeration value="J.T.MacMillan"/>
                    <xsd:enumeration value="J.Tower"/>
                    <xsd:enumeration value="J.Treasurer"/>
                    <xsd:enumeration value="J.Tumilty"/>
                    <xsd:enumeration value="J.Upfield"/>
                    <xsd:enumeration value="J.W"/>
                    <xsd:enumeration value="J.W"/>
                    <xsd:enumeration value="J.W.Denton"/>
                    <xsd:enumeration value="J.Waterman"/>
                    <xsd:enumeration value="J.Watson"/>
                    <xsd:enumeration value="Jack Sewell"/>
                    <xsd:enumeration value="James Warwick"/>
                    <xsd:enumeration value="Jason Combes"/>
                    <xsd:enumeration value="Jennifer Russell"/>
                    <xsd:enumeration value="Jennifer Smith"/>
                    <xsd:enumeration value="Jeremy Sparks"/>
                    <xsd:enumeration value="Jim Ellis"/>
                    <xsd:enumeration value="Jim Hyam"/>
                    <xsd:enumeration value="Joe Cooper"/>
                    <xsd:enumeration value="John Anderson"/>
                    <xsd:enumeration value="John Barrington"/>
                    <xsd:enumeration value="John Cotter"/>
                    <xsd:enumeration value="John Foster"/>
                    <xsd:enumeration value="John Hambrey"/>
                    <xsd:enumeration value="John Hingley"/>
                    <xsd:enumeration value="John Lancaster"/>
                    <xsd:enumeration value="John O.S. Kennedy"/>
                    <xsd:enumeration value="John Richardson"/>
                    <xsd:enumeration value="John Wakeford"/>
                    <xsd:enumeration value="Jonas R.Vidarsson"/>
                    <xsd:enumeration value="José L. González Vecino"/>
                    <xsd:enumeration value="JSS"/>
                    <xsd:enumeration value="Julia Brooks"/>
                    <xsd:enumeration value="Julian Swarbrick"/>
                    <xsd:enumeration value="Julie Snowden"/>
                    <xsd:enumeration value="K.Adamson"/>
                    <xsd:enumeration value="K.Anderson"/>
                    <xsd:enumeration value="K.Arkley"/>
                    <xsd:enumeration value="K.C"/>
                    <xsd:enumeration value="K.C.Munday"/>
                    <xsd:enumeration value="K.D.Thompson"/>
                    <xsd:enumeration value="K.Day"/>
                    <xsd:enumeration value="K.Dye"/>
                    <xsd:enumeration value="K.Galloway"/>
                    <xsd:enumeration value="K.Graham"/>
                    <xsd:enumeration value="K.H"/>
                    <xsd:enumeration value="K.H.Haywood"/>
                    <xsd:enumeration value="K.Hairsine"/>
                    <xsd:enumeration value="K.Knox"/>
                    <xsd:enumeration value="K.Mazik"/>
                    <xsd:enumeration value="K.Singh"/>
                    <xsd:enumeration value="K.T.H"/>
                    <xsd:enumeration value="K.T.Howard"/>
                    <xsd:enumeration value="K.Tsontos"/>
                    <xsd:enumeration value="K.Waind"/>
                    <xsd:enumeration value="Karen Galloway"/>
                    <xsd:enumeration value="Karen Green"/>
                    <xsd:enumeration value="Karin Lüdemann/Wissenschaftsbüro"/>
                    <xsd:enumeration value="Kasia Kazimierczak"/>
                    <xsd:enumeration value="Kath Floater"/>
                    <xsd:enumeration value="Keith Hiscock"/>
                    <xsd:enumeration value="Keith Jeffrey"/>
                    <xsd:enumeration value="Ken Arkley"/>
                    <xsd:enumeration value="Kieran Westbrook"/>
                    <xsd:enumeration value="Kimberly Cullen"/>
                    <xsd:enumeration value="Kingfisher Information Services"/>
                    <xsd:enumeration value="Kirsten Milliken"/>
                    <xsd:enumeration value="KPMG AS"/>
                    <xsd:enumeration value="L Ridley"/>
                    <xsd:enumeration value="L. Dagorn"/>
                    <xsd:enumeration value="L.C.Ford"/>
                    <xsd:enumeration value="L.E.Hull"/>
                    <xsd:enumeration value="L.Ford"/>
                    <xsd:enumeration value="L.Hinchliff"/>
                    <xsd:enumeration value="L.Oxley"/>
                    <xsd:enumeration value="L.Pell"/>
                    <xsd:enumeration value="L.Readdy"/>
                    <xsd:enumeration value="L.Rooney"/>
                    <xsd:enumeration value="L.Webb"/>
                    <xsd:enumeration value="LACOTS"/>
                    <xsd:enumeration value="Laurence Rooney"/>
                    <xsd:enumeration value="Leatherhead Food Research"/>
                    <xsd:enumeration value="Lee Cocker"/>
                    <xsd:enumeration value="Lee Cooper"/>
                    <xsd:enumeration value="Lee Hastie"/>
                    <xsd:enumeration value="LEH"/>
                    <xsd:enumeration value="Leslsie Tait"/>
                    <xsd:enumeration value="Lewis Cowie"/>
                    <xsd:enumeration value="Lina-Lotta Lahdenkauppi"/>
                    <xsd:enumeration value="Liu Liping Sang Yanhua"/>
                    <xsd:enumeration value="Llyn Aquaculture Ltd."/>
                    <xsd:enumeration value="Loch Fyne Seafarms"/>
                    <xsd:enumeration value="LOCTS"/>
                    <xsd:enumeration value="Lorena Recio"/>
                    <xsd:enumeration value="Louise Jones"/>
                    <xsd:enumeration value="Louise Vaughan"/>
                    <xsd:enumeration value="Luis Cocas"/>
                    <xsd:enumeration value="Lynn Gilmore"/>
                    <xsd:enumeration value="M. Virgili"/>
                    <xsd:enumeration value="M.A.James"/>
                    <xsd:enumeration value="M.Anyadiegwu"/>
                    <xsd:enumeration value="M.Boulter"/>
                    <xsd:enumeration value="M.C.Platt"/>
                    <xsd:enumeration value="M.D"/>
                    <xsd:enumeration value="M.Daniels"/>
                    <xsd:enumeration value="M.Ellis"/>
                    <xsd:enumeration value="M.Emberton"/>
                    <xsd:enumeration value="M.George"/>
                    <xsd:enumeration value="M.Gillespie"/>
                    <xsd:enumeration value="M.Gray"/>
                    <xsd:enumeration value="M.H"/>
                    <xsd:enumeration value="M.Hamilton"/>
                    <xsd:enumeration value="M.Hatfield"/>
                    <xsd:enumeration value="M.Hayward"/>
                    <xsd:enumeration value="M.Humphrey"/>
                    <xsd:enumeration value="M.J.Campbell"/>
                    <xsd:enumeration value="M.J.Kaiser"/>
                    <xsd:enumeration value="M.J.S.G"/>
                    <xsd:enumeration value="M.James"/>
                    <xsd:enumeration value="M.Large"/>
                    <xsd:enumeration value="M.Lawton"/>
                    <xsd:enumeration value="M.Learmouth"/>
                    <xsd:enumeration value="M.M"/>
                    <xsd:enumeration value="M.Moore"/>
                    <xsd:enumeration value="M.Myers"/>
                    <xsd:enumeration value="M.Platt"/>
                    <xsd:enumeration value="M.Sturges"/>
                    <xsd:enumeration value="M.Syvret"/>
                    <xsd:enumeration value="M.Urch"/>
                    <xsd:enumeration value="M.Whitworth"/>
                    <xsd:enumeration value="MacMullen"/>
                    <xsd:enumeration value="Mafalda Viana"/>
                    <xsd:enumeration value="MAFF"/>
                    <xsd:enumeration value="Magnus L. Johnson"/>
                    <xsd:enumeration value="Malcolm Large"/>
                    <xsd:enumeration value="Mandy Pyke"/>
                    <xsd:enumeration value="Mao Hong"/>
                    <xsd:enumeration value="Marcus Jacklin"/>
                    <xsd:enumeration value="Marine and Coastguard Agency"/>
                    <xsd:enumeration value="Marine Stewardship Council"/>
                    <xsd:enumeration value="Marine Survey"/>
                    <xsd:enumeration value="MARITEK WORLDWIDE LTD"/>
                    <xsd:enumeration value="Mark Edmonds"/>
                    <xsd:enumeration value="Mark Gray"/>
                    <xsd:enumeration value="Mark O’Brien"/>
                    <xsd:enumeration value="Market Insight Team"/>
                    <xsd:enumeration value="Marta Moran Quintana"/>
                    <xsd:enumeration value="Martin Bowes"/>
                    <xsd:enumeration value="Martin Jaffa"/>
                    <xsd:enumeration value="Martin Syvret"/>
                    <xsd:enumeration value="Matthew Service"/>
                    <xsd:enumeration value="Melissa Pritchard"/>
                    <xsd:enumeration value="MH"/>
                    <xsd:enumeration value="Michael Bacon"/>
                    <xsd:enumeration value="Michael Humphrey"/>
                    <xsd:enumeration value="Michael Keatinge"/>
                    <xsd:enumeration value="Michaela Archer"/>
                    <xsd:enumeration value="Michel J.Kaiser"/>
                    <xsd:enumeration value="Mike Mitchell"/>
                    <xsd:enumeration value="Mike Montgomerie"/>
                    <xsd:enumeration value="Mike Park"/>
                    <xsd:enumeration value="Mike Smith"/>
                    <xsd:enumeration value="MRAG"/>
                    <xsd:enumeration value="Ms Amy Ridgeway"/>
                    <xsd:enumeration value="MTS"/>
                    <xsd:enumeration value="N Bailey"/>
                    <xsd:enumeration value="N.A.G"/>
                    <xsd:enumeration value="N.C.H.Lake"/>
                    <xsd:enumeration value="N.Downing"/>
                    <xsd:enumeration value="N.Garbutt"/>
                    <xsd:enumeration value="N.Graham"/>
                    <xsd:enumeration value="N.Hatfield"/>
                    <xsd:enumeration value="N.Kelly"/>
                    <xsd:enumeration value="N.M.K"/>
                    <xsd:enumeration value="N.M.Kerr"/>
                    <xsd:enumeration value="N.McEwan"/>
                    <xsd:enumeration value="N.McKeller"/>
                    <xsd:enumeration value="N.R.Halford"/>
                    <xsd:enumeration value="N.Ward"/>
                    <xsd:enumeration value="N.Whiteley"/>
                    <xsd:enumeration value="N.Wood"/>
                    <xsd:enumeration value="NAFC Marine Centre"/>
                    <xsd:enumeration value="Naomi McCann"/>
                    <xsd:enumeration value="Nathan de Rozarieux"/>
                    <xsd:enumeration value="National Health and Family Planning Commission"/>
                    <xsd:enumeration value="Nautilus Consultants"/>
                    <xsd:enumeration value="NFFO Services Ltd."/>
                    <xsd:enumeration value="NI Seafood Ind"/>
                    <xsd:enumeration value="Nia Whiteley"/>
                    <xsd:enumeration value="Nick Connelly"/>
                    <xsd:enumeration value="Nick Patience"/>
                    <xsd:enumeration value="Nofima"/>
                    <xsd:enumeration value="Norge"/>
                    <xsd:enumeration value="Norman"/>
                    <xsd:enumeration value="North Bay Shellfish Ltd"/>
                    <xsd:enumeration value="Northern Ireland Seafood"/>
                    <xsd:enumeration value="Not known"/>
                    <xsd:enumeration value="NSL"/>
                    <xsd:enumeration value="OceanWatch Australia"/>
                    <xsd:enumeration value="Oliver Tulley"/>
                    <xsd:enumeration value="Omnimas"/>
                    <xsd:enumeration value="Oscar Wilkie"/>
                    <xsd:enumeration value="Othniel Shellfish"/>
                    <xsd:enumeration value="P Gibson"/>
                    <xsd:enumeration value="P. Tyedmers (Dalhousie University)"/>
                    <xsd:enumeration value="P.B.Gallacher"/>
                    <xsd:enumeration value="P.Baird"/>
                    <xsd:enumeration value="P.Brown"/>
                    <xsd:enumeration value="P.C.Smith"/>
                    <xsd:enumeration value="P.D.Chaplin"/>
                    <xsd:enumeration value="P.G"/>
                    <xsd:enumeration value="P.G.W"/>
                    <xsd:enumeration value="P.Gatland"/>
                    <xsd:enumeration value="P.H.B"/>
                    <xsd:enumeration value="P.H.MacMullen"/>
                    <xsd:enumeration value="P.J.G"/>
                    <xsd:enumeration value="P.J.Hearn"/>
                    <xsd:enumeration value="P.Johnson"/>
                    <xsd:enumeration value="P.L. Newland"/>
                    <xsd:enumeration value="P.L.S"/>
                    <xsd:enumeration value="P.L.Smith"/>
                    <xsd:enumeration value="P.MacMullen"/>
                    <xsd:enumeration value="P.Math's"/>
                    <xsd:enumeration value="P.N"/>
                    <xsd:enumeration value="P.Neve"/>
                    <xsd:enumeration value="P.Posen"/>
                    <xsd:enumeration value="P.Prout"/>
                    <xsd:enumeration value="P.S"/>
                    <xsd:enumeration value="P.Smith"/>
                    <xsd:enumeration value="P.T.Franklin"/>
                    <xsd:enumeration value="P.Tiffney"/>
                    <xsd:enumeration value="P.Townend"/>
                    <xsd:enumeration value="P.V"/>
                    <xsd:enumeration value="P.W"/>
                    <xsd:enumeration value="P.Watson"/>
                    <xsd:enumeration value="P.Watts"/>
                    <xsd:enumeration value="P.White"/>
                    <xsd:enumeration value="P.Wilson"/>
                    <xsd:enumeration value="P.Wood"/>
                    <xsd:enumeration value="Paul Buckley (Marine Climate Change Impacts Partnership)"/>
                    <xsd:enumeration value="Paul Butler"/>
                    <xsd:enumeration value="Paul Medley"/>
                    <xsd:enumeration value="Paul Neve"/>
                    <xsd:enumeration value="Peter Tarrant"/>
                    <xsd:enumeration value="Peter Tyndall"/>
                    <xsd:enumeration value="Peter Walker"/>
                    <xsd:enumeration value="Peter Warren"/>
                    <xsd:enumeration value="Peter Wilson"/>
                    <xsd:enumeration value="Phil MacMullen"/>
                    <xsd:enumeration value="Phil Prout"/>
                    <xsd:enumeration value="Phillip Quirie"/>
                    <xsd:enumeration value="Pingguo He"/>
                    <xsd:enumeration value="PIRA"/>
                    <xsd:enumeration value="PIRA International"/>
                    <xsd:enumeration value="PJH"/>
                    <xsd:enumeration value="Platt"/>
                    <xsd:enumeration value="Plymouth Poly"/>
                    <xsd:enumeration value="Porter"/>
                    <xsd:enumeration value="Poseidon Aquatic Resource Management Ltd."/>
                    <xsd:enumeration value="Poseidon ARM and BTS"/>
                    <xsd:enumeration value="Prof. Michel J.Kaiser"/>
                    <xsd:enumeration value="Professor Laurence Mee"/>
                    <xsd:enumeration value="PT"/>
                    <xsd:enumeration value="Pyke and Deane Aquaculture Consultants"/>
                    <xsd:enumeration value="Qiang Weiguo"/>
                    <xsd:enumeration value="Qing Lv"/>
                    <xsd:enumeration value="Quality Assurance Department"/>
                    <xsd:enumeration value="R J Fryer"/>
                    <xsd:enumeration value="R J Kynoch"/>
                    <xsd:enumeration value="R Johnson"/>
                    <xsd:enumeration value="R S T Ferro"/>
                    <xsd:enumeration value="R. Land"/>
                    <xsd:enumeration value="R. Parker (Dalhousie University)"/>
                    <xsd:enumeration value="R.A.Reese"/>
                    <xsd:enumeration value="R.B.Watt"/>
                    <xsd:enumeration value="R.Bennett"/>
                    <xsd:enumeration value="R.Boyle"/>
                    <xsd:enumeration value="R.Bricknell"/>
                    <xsd:enumeration value="R.C"/>
                    <xsd:enumeration value="R.C"/>
                    <xsd:enumeration value="R.Campbell"/>
                    <xsd:enumeration value="R.Cappell"/>
                    <xsd:enumeration value="R.Curtis"/>
                    <xsd:enumeration value="R.D.E"/>
                    <xsd:enumeration value="R.E"/>
                    <xsd:enumeration value="R.Ellis"/>
                    <xsd:enumeration value="R.Enever"/>
                    <xsd:enumeration value="R.F"/>
                    <xsd:enumeration value="R.F.V"/>
                    <xsd:enumeration value="R.Finbow"/>
                    <xsd:enumeration value="R.Forster"/>
                    <xsd:enumeration value="R.Gara"/>
                    <xsd:enumeration value="R.H"/>
                    <xsd:enumeration value="R.Hill"/>
                    <xsd:enumeration value="R.Horton"/>
                    <xsd:enumeration value="R.J"/>
                    <xsd:enumeration value="R.J.A. Nichol"/>
                    <xsd:enumeration value="R.J.A.N"/>
                    <xsd:enumeration value="R.J.A.Nicholson"/>
                    <xsd:enumeration value="R.J.Shields"/>
                    <xsd:enumeration value="R.J.Slaski"/>
                    <xsd:enumeration value="R.Johnson"/>
                    <xsd:enumeration value="R.L"/>
                    <xsd:enumeration value="R.Leach"/>
                    <xsd:enumeration value="R.Lee"/>
                    <xsd:enumeration value="R.McCormack"/>
                    <xsd:enumeration value="R.McK"/>
                    <xsd:enumeration value="R.McM"/>
                    <xsd:enumeration value="R.Mounce"/>
                    <xsd:enumeration value="R.N"/>
                    <xsd:enumeration value="R.Nicholson"/>
                    <xsd:enumeration value="R.Pryor"/>
                    <xsd:enumeration value="R.S Batty"/>
                    <xsd:enumeration value="R.S.Horton"/>
                    <xsd:enumeration value="R.S.Mounce"/>
                    <xsd:enumeration value="R.S.T.Ferro"/>
                    <xsd:enumeration value="R.S.Walker"/>
                    <xsd:enumeration value="R.Seidel"/>
                    <xsd:enumeration value="R.Slaski"/>
                    <xsd:enumeration value="R.Uglow"/>
                    <xsd:enumeration value="R.W.Ellis"/>
                    <xsd:enumeration value="R.White"/>
                    <xsd:enumeration value="R.Whiteley"/>
                    <xsd:enumeration value="Rannva Danielsen"/>
                    <xsd:enumeration value="RB"/>
                    <xsd:enumeration value="Rebecca Harris"/>
                    <xsd:enumeration value="Richard Briggs"/>
                    <xsd:enumeration value="Richard Caslake"/>
                    <xsd:enumeration value="Richard Curtin"/>
                    <xsd:enumeration value="Richard L Shelmerdine"/>
                    <xsd:enumeration value="Richard Wardell"/>
                    <xsd:enumeration value="Richard Watson"/>
                    <xsd:enumeration value="RJA"/>
                    <xsd:enumeration value="Rjan"/>
                    <xsd:enumeration value="Rjan"/>
                    <xsd:enumeration value="RML Gratacap"/>
                    <xsd:enumeration value="Rob Tinch"/>
                    <xsd:enumeration value="Robert Clark"/>
                    <xsd:enumeration value="Robert Dawe"/>
                    <xsd:enumeration value="Robert Gillett"/>
                    <xsd:enumeration value="Robert Young"/>
                    <xsd:enumeration value="Rod Cappell"/>
                    <xsd:enumeration value="Roger B. Larsen"/>
                    <xsd:enumeration value="Roger Plant"/>
                    <xsd:enumeration value="Ronán Cosgrove"/>
                    <xsd:enumeration value="Roy Sutherland"/>
                    <xsd:enumeration value="RvZ"/>
                    <xsd:enumeration value="S M Anton"/>
                    <xsd:enumeration value="S. Anton (Seafish)"/>
                    <xsd:enumeration value="S.A.Horsfall"/>
                    <xsd:enumeration value="S.Antezana"/>
                    <xsd:enumeration value="S.Anton"/>
                    <xsd:enumeration value="S.Bark"/>
                    <xsd:enumeration value="S.D.Utting"/>
                    <xsd:enumeration value="S.Fiddy"/>
                    <xsd:enumeration value="S.H"/>
                    <xsd:enumeration value="S.Hepples"/>
                    <xsd:enumeration value="S.Hookam"/>
                    <xsd:enumeration value="S.Horsfall"/>
                    <xsd:enumeration value="S.K"/>
                    <xsd:enumeration value="S.Kingwell"/>
                    <xsd:enumeration value="S.Macinko"/>
                    <xsd:enumeration value="S.Metz"/>
                    <xsd:enumeration value="S.Millar"/>
                    <xsd:enumeration value="S.R"/>
                    <xsd:enumeration value="S.Ross-Smith"/>
                    <xsd:enumeration value="S.Shepherd"/>
                    <xsd:enumeration value="S.Sheppard Fidler"/>
                    <xsd:enumeration value="S.T.H"/>
                    <xsd:enumeration value="S.Walmsley"/>
                    <xsd:enumeration value="S.Wyman"/>
                    <xsd:enumeration value="S.Xu"/>
                    <xsd:enumeration value="SAGB"/>
                    <xsd:enumeration value="Sam Rush"/>
                    <xsd:enumeration value="Samuel Shephard"/>
                    <xsd:enumeration value="Sansanee Wangvoralak"/>
                    <xsd:enumeration value="Sarah Horsfall"/>
                    <xsd:enumeration value="SC Mangi"/>
                    <xsd:enumeration value="Scottish Association for Marine Science"/>
                    <xsd:enumeration value="Sea Fish Industrial Development Unit"/>
                    <xsd:enumeration value="Sea Fish Industry Authority"/>
                    <xsd:enumeration value="Seafish"/>
                    <xsd:enumeration value="Seafish Aquaculture"/>
                    <xsd:enumeration value="Seafish Corporate Comms"/>
                    <xsd:enumeration value="Seafish Economics"/>
                    <xsd:enumeration value="Seafish Gear Technology"/>
                    <xsd:enumeration value="Seafish Industrial Development Unit"/>
                    <xsd:enumeration value="Seafish Legislation"/>
                    <xsd:enumeration value="Seafish Marine Services"/>
                    <xsd:enumeration value="Seafish Market Insight"/>
                    <xsd:enumeration value="Seafish Marketing"/>
                    <xsd:enumeration value="Seafish Marketing and Reynier Research Ltd."/>
                    <xsd:enumeration value="Seafish Marketing Communications"/>
                    <xsd:enumeration value="Seafish R &amp; D"/>
                    <xsd:enumeration value="Seafish Technology"/>
                    <xsd:enumeration value="Seafish Training"/>
                    <xsd:enumeration value="Seafood 2040"/>
                    <xsd:enumeration value="Seafood Scotland"/>
                    <xsd:enumeration value="Sébastien Metz"/>
                    <xsd:enumeration value="SFIA"/>
                    <xsd:enumeration value="SFIA Hull"/>
                    <xsd:enumeration value="SFIA Industrial Development Unit"/>
                    <xsd:enumeration value="Shaoping Gu"/>
                    <xsd:enumeration value="Sharon Burke"/>
                    <xsd:enumeration value="Shaun Doran"/>
                    <xsd:enumeration value="Shellfish Association of Great Britain"/>
                    <xsd:enumeration value="Shellfish Committee"/>
                    <xsd:enumeration value="Shipowner Ltd."/>
                    <xsd:enumeration value="Simon Mardle"/>
                    <xsd:enumeration value="Simon Potten"/>
                    <xsd:enumeration value="Simon Wadsworth"/>
                    <xsd:enumeration value="SINTEF Fisheries and Aquaculture"/>
                    <xsd:enumeration value="SK"/>
                    <xsd:enumeration value="SMillar"/>
                    <xsd:enumeration value="SMRU"/>
                    <xsd:enumeration value="SOAEFD"/>
                    <xsd:enumeration value="SOAFD"/>
                    <xsd:enumeration value="Solway Marine Oysters"/>
                    <xsd:enumeration value="Sophie des Clers"/>
                    <xsd:enumeration value="Sophy McCully"/>
                    <xsd:enumeration value="Stephen Lockwood"/>
                    <xsd:enumeration value="Steve Eayrs"/>
                    <xsd:enumeration value="Steve Lawrence"/>
                    <xsd:enumeration value="Steven Votier"/>
                    <xsd:enumeration value="Stirling University"/>
                    <xsd:enumeration value="Struan Noble"/>
                    <xsd:enumeration value="Stuart Masson"/>
                    <xsd:enumeration value="Sue Evans"/>
                    <xsd:enumeration value="Sue Utting"/>
                    <xsd:enumeration value="Susan Anton"/>
                    <xsd:enumeration value="Sussex Sea Fisheries District Committee"/>
                    <xsd:enumeration value="Suzi Pegg"/>
                    <xsd:enumeration value="Suzi Pegg-Darlison"/>
                    <xsd:enumeration value="Sven Koschinski/Meereszoologie"/>
                    <xsd:enumeration value="T.Abram"/>
                    <xsd:enumeration value="T.E.White"/>
                    <xsd:enumeration value="T.Eggett"/>
                    <xsd:enumeration value="T.Goodwin"/>
                    <xsd:enumeration value="T.Gross"/>
                    <xsd:enumeration value="T.H.Birkbeck"/>
                    <xsd:enumeration value="T.H.Porter"/>
                    <xsd:enumeration value="T.L Catchpole"/>
                    <xsd:enumeration value="T.Misson"/>
                    <xsd:enumeration value="T.O"/>
                    <xsd:enumeration value="T.Raylor"/>
                    <xsd:enumeration value="T.Rossiter"/>
                    <xsd:enumeration value="T.S.O"/>
                    <xsd:enumeration value="T.W"/>
                    <xsd:enumeration value="T.Wieland"/>
                    <xsd:enumeration value="T.Wray"/>
                    <xsd:enumeration value="Tara McCarthy"/>
                    <xsd:enumeration value="Tegen Mor Fisheries Consultants"/>
                    <xsd:enumeration value="The Fraser of Allander Institute for Research on the Scottish Economy"/>
                    <xsd:enumeration value="The National Health and Family Planning Commission of the People’s Republic of China"/>
                    <xsd:enumeration value="The Sea Fish Industry Authority"/>
                    <xsd:enumeration value="The Shellfish Association of Great Britain"/>
                    <xsd:enumeration value="Thomas Breithaupt"/>
                    <xsd:enumeration value="Thomas Clifford"/>
                    <xsd:enumeration value="Tim Huntingdon"/>
                    <xsd:enumeration value="Tom Catchpole"/>
                    <xsd:enumeration value="Tom Pickerell"/>
                    <xsd:enumeration value="Tom Rossiter"/>
                    <xsd:enumeration value="Tony Garthwaite"/>
                    <xsd:enumeration value="Tony Legg CIBiol MIBiol MIFM"/>
                    <xsd:enumeration value="Tristan Southall"/>
                    <xsd:enumeration value="Tsvetina Yordanova"/>
                    <xsd:enumeration value="UK Association of Frozen Food Producers"/>
                    <xsd:enumeration value="Ulrik Jes Hansen"/>
                    <xsd:enumeration value="University of Aberdeen, School of Biological Sciences"/>
                    <xsd:enumeration value="University of Hull"/>
                    <xsd:enumeration value="Unknown"/>
                    <xsd:enumeration value="V. Restrepo"/>
                    <xsd:enumeration value="Vericatch"/>
                    <xsd:enumeration value="Víctor Restrepo"/>
                    <xsd:enumeration value="W R Turrell"/>
                    <xsd:enumeration value="W.Brugge"/>
                    <xsd:enumeration value="W.D"/>
                    <xsd:enumeration value="W.Denton"/>
                    <xsd:enumeration value="W.E.Taylor"/>
                    <xsd:enumeration value="W.M.Broncke"/>
                    <xsd:enumeration value="W.O.C"/>
                    <xsd:enumeration value="W.Phillips"/>
                    <xsd:enumeration value="W.Roy"/>
                    <xsd:enumeration value="W.Siddle"/>
                    <xsd:enumeration value="W.Smith"/>
                    <xsd:enumeration value="W.Yu"/>
                    <xsd:enumeration value="Wade Whitelaw"/>
                    <xsd:enumeration value="Walter Crozier"/>
                    <xsd:enumeration value="WD"/>
                    <xsd:enumeration value="Welsh Fishing Safety Committee in collaboration with Seafish (EMFF funding via Welsh Government)"/>
                    <xsd:enumeration value="WFA Industrial Development Unit"/>
                    <xsd:enumeration value="Wilber R. Seidel"/>
                    <xsd:enumeration value="William Lart"/>
                    <xsd:enumeration value="WS"/>
                    <xsd:enumeration value="Xiao Chen"/>
                    <xsd:enumeration value="Xiaowei Shi"/>
                    <xsd:enumeration value="Yang Huifen"/>
                    <xsd:enumeration value="Yolanda Corripio Miyar"/>
                    <xsd:enumeration value="Youngs Sea Foods"/>
                    <xsd:enumeration value="Yuan Aiping"/>
                    <xsd:enumeration value="Z.Wu"/>
                    <xsd:enumeration value="Zoe Healey"/>
                  </xsd:restriction>
                </xsd:simpleType>
              </xsd:element>
            </xsd:sequence>
          </xsd:extension>
        </xsd:complexContent>
      </xsd:complexType>
    </xsd:element>
    <xsd:element name="MediaFormatOld" ma:index="7" nillable="true" ma:displayName="Media Format Old" ma:internalName="MediaFormatOld">
      <xsd:simpleType>
        <xsd:restriction base="dms:Text"/>
      </xsd:simpleType>
    </xsd:element>
    <xsd:element name="PublicationRefNo" ma:index="8" nillable="true" ma:displayName="Publication Reference Number" ma:internalName="PublicationRefNo">
      <xsd:simpleType>
        <xsd:restriction base="dms:Text"/>
      </xsd:simpleType>
    </xsd:element>
    <xsd:element name="ISBN" ma:index="9" nillable="true" ma:displayName="ISBN" ma:internalName="ISBN">
      <xsd:simpleType>
        <xsd:restriction base="dms:Text"/>
      </xsd:simpleType>
    </xsd:element>
    <xsd:element name="LegacyId" ma:index="10" nillable="true" ma:displayName="Legacy Id" ma:hidden="true" ma:internalName="LegacyId" ma:readOnly="false">
      <xsd:simpleType>
        <xsd:restriction base="dms:Text"/>
      </xsd:simpleType>
    </xsd:element>
    <xsd:element name="PubMonth" ma:index="11" nillable="true" ma:displayName="Publication Month" ma:hidden="true" ma:internalName="PubMonth" ma:readOnly="false">
      <xsd:simpleType>
        <xsd:restriction base="dms:Text"/>
      </xsd:simpleType>
    </xsd:element>
    <xsd:element name="PubYear" ma:index="12" nillable="true" ma:displayName="Publication Year" ma:hidden="true" ma:indexed="true" ma:internalName="PubYear">
      <xsd:simpleType>
        <xsd:restriction base="dms:Text"/>
      </xsd:simpleType>
    </xsd:element>
    <xsd:element name="MediaFormat" ma:index="13" nillable="true" ma:displayName="Media Format" ma:default="" ma:format="Dropdown" ma:internalName="MediaFormat">
      <xsd:simpleType>
        <xsd:restriction base="dms:Choice">
          <xsd:enumeration value="Download"/>
          <xsd:enumeration value="CD"/>
          <xsd:enumeration value="Web Page"/>
          <xsd:enumeration value="Paper"/>
          <xsd:enumeration value="Booklet or leaflet"/>
          <xsd:enumeration value="Other"/>
          <xsd:enumeration value="Not known"/>
          <xsd:enumeration value="Book"/>
          <xsd:enumeration value="Video"/>
          <xsd:enumeration value="Manual"/>
          <xsd:enumeration value="Open learning module"/>
          <xsd:enumeration value="Distance learning pack"/>
          <xsd:enumeration value="OLM with video"/>
          <xsd:enumeration value="DVD"/>
        </xsd:restriction>
      </xsd:simpleType>
    </xsd:element>
    <xsd:element name="DocumentAdded" ma:index="14" ma:displayName="Added" ma:format="DateOnly" ma:indexed="true" ma:internalName="DocumentAdded">
      <xsd:simpleType>
        <xsd:restriction base="dms:DateTime"/>
      </xsd:simpleType>
    </xsd:element>
    <xsd:element name="DocumentStatus" ma:index="15" nillable="true" ma:displayName="Document Status" ma:default="Unpublished" ma:format="Dropdown" ma:indexed="true" ma:internalName="DocumentStatus">
      <xsd:simpleType>
        <xsd:restriction base="dms:Choice">
          <xsd:enumeration value="Deleted"/>
          <xsd:enumeration value="Unpublished"/>
          <xsd:enumeration value="Published"/>
          <xsd:enumeration value="Archived"/>
        </xsd:restrictio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c1e97c-7a75-4aca-9712-5efb9ef450ab"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ObjectDetectorVersions" ma:index="3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Year xmlns="cebd32e3-9ab6-41ee-b1af-b8405a8d4e68">2015</PubYear>
    <MediaFormatOld xmlns="cebd32e3-9ab6-41ee-b1af-b8405a8d4e68">Other</MediaFormatOld>
    <DocumentTopic xmlns="cebd32e3-9ab6-41ee-b1af-b8405a8d4e68" xsi:nil="true"/>
    <DocumentStatus xmlns="cebd32e3-9ab6-41ee-b1af-b8405a8d4e68">Published</DocumentStatus>
    <ISBN xmlns="cebd32e3-9ab6-41ee-b1af-b8405a8d4e68" xsi:nil="true"/>
    <PublicationDate xmlns="cebd32e3-9ab6-41ee-b1af-b8405a8d4e68">2015-12-01T00:00:00+00:00</PublicationDate>
    <PubMonth xmlns="cebd32e3-9ab6-41ee-b1af-b8405a8d4e68">12</PubMonth>
    <DocumentAdded xmlns="cebd32e3-9ab6-41ee-b1af-b8405a8d4e68">2015-10-30T00:00:00+00:00</DocumentAdded>
    <PublicationRefNo xmlns="cebd32e3-9ab6-41ee-b1af-b8405a8d4e68" xsi:nil="true"/>
    <LegacyId xmlns="cebd32e3-9ab6-41ee-b1af-b8405a8d4e68">3524</LegacyId>
    <DocumentAuthors xmlns="cebd32e3-9ab6-41ee-b1af-b8405a8d4e68">
      <Value>Steven Lawrence</Value>
      <Value>Sebastien Metz</Value>
    </DocumentAuthors>
    <DocumentSummary xmlns="cebd32e3-9ab6-41ee-b1af-b8405a8d4e68">The Seafish fleet economic performance dataset contains financial, economic and operation performance indicators for the period 2005-14.   The dataset includes data for approximately 30 UK fleet segments, and has been produced by combining costs and earnings information from vessel accounts (collected as a result of our annual Fleet Survey of vessel owners) with  official effort, landings and capacity data for all active UK fishing vessels, which was provided by the UK Marine Management Organisation (MMO). It contains estimates for the years 2005-2013 and an early estimate for 2014 based on official data, 2014 fuel prices and 2013 cost structures.</DocumentSummary>
    <MediaFormat xmlns="cebd32e3-9ab6-41ee-b1af-b8405a8d4e68" xsi:nil="true"/>
  </documentManagement>
</p:properties>
</file>

<file path=customXml/itemProps1.xml><?xml version="1.0" encoding="utf-8"?>
<ds:datastoreItem xmlns:ds="http://schemas.openxmlformats.org/officeDocument/2006/customXml" ds:itemID="{CAFA0A70-AD0A-42F1-B8B3-86FFB2D5B366}"/>
</file>

<file path=customXml/itemProps2.xml><?xml version="1.0" encoding="utf-8"?>
<ds:datastoreItem xmlns:ds="http://schemas.openxmlformats.org/officeDocument/2006/customXml" ds:itemID="{B900FE15-ABFE-4ED8-BADC-855D6E62191D}"/>
</file>

<file path=customXml/itemProps3.xml><?xml version="1.0" encoding="utf-8"?>
<ds:datastoreItem xmlns:ds="http://schemas.openxmlformats.org/officeDocument/2006/customXml" ds:itemID="{D76153B3-C35C-4F67-81CC-036F484B72E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75</vt:i4>
      </vt:variant>
    </vt:vector>
  </HeadingPairs>
  <TitlesOfParts>
    <vt:vector size="115" baseType="lpstr">
      <vt:lpstr>Contents</vt:lpstr>
      <vt:lpstr>Notes</vt:lpstr>
      <vt:lpstr>Highlights</vt:lpstr>
      <vt:lpstr>Segmentation Criteria</vt:lpstr>
      <vt:lpstr>Area VIIa demersal trawl</vt:lpstr>
      <vt:lpstr>Area VIIa nephrops o250kW</vt:lpstr>
      <vt:lpstr>Area VIIa nephrops u250kW</vt:lpstr>
      <vt:lpstr>Area VIIb-k trawlers 24-40m</vt:lpstr>
      <vt:lpstr>Area VIIb-k trawlers 10-24m</vt:lpstr>
      <vt:lpstr>Gill netters</vt:lpstr>
      <vt:lpstr>Inactive</vt:lpstr>
      <vt:lpstr>Longliners</vt:lpstr>
      <vt:lpstr>Low activity over 10m</vt:lpstr>
      <vt:lpstr>Low activity under 10m</vt:lpstr>
      <vt:lpstr>Miscellaneous</vt:lpstr>
      <vt:lpstr>NS beam trawl over 300kW</vt:lpstr>
      <vt:lpstr>NS beam trawl under 300kW</vt:lpstr>
      <vt:lpstr>NS nephrops over 300kW</vt:lpstr>
      <vt:lpstr>NS nephrops under 300kW</vt:lpstr>
      <vt:lpstr>NSWOS demersal over 24m</vt:lpstr>
      <vt:lpstr>NSWOS dem pair trawl seine</vt:lpstr>
      <vt:lpstr>NSWOS demersal seiners</vt:lpstr>
      <vt:lpstr>NSWOS demersal u24m o300kW</vt:lpstr>
      <vt:lpstr>NSWOS demersal u24m u300kW</vt:lpstr>
      <vt:lpstr>Pelagic over 40m</vt:lpstr>
      <vt:lpstr>Pots and traps 10-12m</vt:lpstr>
      <vt:lpstr>Pots and traps over 12m</vt:lpstr>
      <vt:lpstr>South West beamers o250kW</vt:lpstr>
      <vt:lpstr>South West beamers u250kW</vt:lpstr>
      <vt:lpstr>UK scallop dredge over 15m</vt:lpstr>
      <vt:lpstr>UK scallop dredge under 15m</vt:lpstr>
      <vt:lpstr>U10m demersal trawl-seine</vt:lpstr>
      <vt:lpstr>U10m drift-fixed nets</vt:lpstr>
      <vt:lpstr>U10m pots and traps</vt:lpstr>
      <vt:lpstr>U10m using hooks</vt:lpstr>
      <vt:lpstr>WOS nephrops over 250kW</vt:lpstr>
      <vt:lpstr>WOS nephrops under 250kW</vt:lpstr>
      <vt:lpstr>Sample rates</vt:lpstr>
      <vt:lpstr>Operating profit margin</vt:lpstr>
      <vt:lpstr>Net profit margin</vt:lpstr>
      <vt:lpstr>Area_VIIa_demersal_trawl</vt:lpstr>
      <vt:lpstr>Area_VIIa_nephrops_o250kW</vt:lpstr>
      <vt:lpstr>Area_VIIa_nephrops_u250kW</vt:lpstr>
      <vt:lpstr>Area_VIIb_k_trawlers_10_24m</vt:lpstr>
      <vt:lpstr>Area_VIIb_k_trawlers_24_40m</vt:lpstr>
      <vt:lpstr>Gill_netters</vt:lpstr>
      <vt:lpstr>Highlights</vt:lpstr>
      <vt:lpstr>Home_page</vt:lpstr>
      <vt:lpstr>Inactive</vt:lpstr>
      <vt:lpstr>Longliners</vt:lpstr>
      <vt:lpstr>Low_activity_over_10m</vt:lpstr>
      <vt:lpstr>Low_activity_under_10m</vt:lpstr>
      <vt:lpstr>Miscellaneous</vt:lpstr>
      <vt:lpstr>Net_profit_margin</vt:lpstr>
      <vt:lpstr>Notes</vt:lpstr>
      <vt:lpstr>NS_beam_trawl_over_300kW</vt:lpstr>
      <vt:lpstr>NS_beam_trawl_under_300kW</vt:lpstr>
      <vt:lpstr>NS_nephrops_over_300kW</vt:lpstr>
      <vt:lpstr>NS_nephrops_under_300kW</vt:lpstr>
      <vt:lpstr>NSWOS_dem_pair_trawl_seine</vt:lpstr>
      <vt:lpstr>NSWOS_demersal_over_24m</vt:lpstr>
      <vt:lpstr>NSWOS_demersal_seiners</vt:lpstr>
      <vt:lpstr>NSWOS_demersal_u24m_o300kW</vt:lpstr>
      <vt:lpstr>NSWOS_demersal_u24m_u300kW</vt:lpstr>
      <vt:lpstr>Operating_profit_margin</vt:lpstr>
      <vt:lpstr>Pelagic_over_40m</vt:lpstr>
      <vt:lpstr>Pots_and_traps_10_12m</vt:lpstr>
      <vt:lpstr>Pots_and_traps_over_12m</vt:lpstr>
      <vt:lpstr>'Area VIIa demersal trawl'!Print_Area</vt:lpstr>
      <vt:lpstr>'Area VIIa nephrops o250kW'!Print_Area</vt:lpstr>
      <vt:lpstr>'Area VIIa nephrops u250kW'!Print_Area</vt:lpstr>
      <vt:lpstr>'Area VIIb-k trawlers 10-24m'!Print_Area</vt:lpstr>
      <vt:lpstr>'Area VIIb-k trawlers 24-40m'!Print_Area</vt:lpstr>
      <vt:lpstr>'Gill netters'!Print_Area</vt:lpstr>
      <vt:lpstr>Highlights!Print_Area</vt:lpstr>
      <vt:lpstr>Inactive!Print_Area</vt:lpstr>
      <vt:lpstr>Longliners!Print_Area</vt:lpstr>
      <vt:lpstr>'Low activity over 10m'!Print_Area</vt:lpstr>
      <vt:lpstr>'Low activity under 10m'!Print_Area</vt:lpstr>
      <vt:lpstr>Miscellaneous!Print_Area</vt:lpstr>
      <vt:lpstr>Notes!Print_Area</vt:lpstr>
      <vt:lpstr>'NS beam trawl over 300kW'!Print_Area</vt:lpstr>
      <vt:lpstr>'NS beam trawl under 300kW'!Print_Area</vt:lpstr>
      <vt:lpstr>'NS nephrops over 300kW'!Print_Area</vt:lpstr>
      <vt:lpstr>'NS nephrops under 300kW'!Print_Area</vt:lpstr>
      <vt:lpstr>'NSWOS dem pair trawl seine'!Print_Area</vt:lpstr>
      <vt:lpstr>'NSWOS demersal over 24m'!Print_Area</vt:lpstr>
      <vt:lpstr>'NSWOS demersal seiners'!Print_Area</vt:lpstr>
      <vt:lpstr>'NSWOS demersal u24m o300kW'!Print_Area</vt:lpstr>
      <vt:lpstr>'NSWOS demersal u24m u300kW'!Print_Area</vt:lpstr>
      <vt:lpstr>'Pelagic over 40m'!Print_Area</vt:lpstr>
      <vt:lpstr>'Pots and traps 10-12m'!Print_Area</vt:lpstr>
      <vt:lpstr>'Pots and traps over 12m'!Print_Area</vt:lpstr>
      <vt:lpstr>'South West beamers o250kW'!Print_Area</vt:lpstr>
      <vt:lpstr>'South West beamers u250kW'!Print_Area</vt:lpstr>
      <vt:lpstr>'U10m demersal trawl-seine'!Print_Area</vt:lpstr>
      <vt:lpstr>'U10m drift-fixed nets'!Print_Area</vt:lpstr>
      <vt:lpstr>'U10m pots and traps'!Print_Area</vt:lpstr>
      <vt:lpstr>'U10m using hooks'!Print_Area</vt:lpstr>
      <vt:lpstr>'UK scallop dredge over 15m'!Print_Area</vt:lpstr>
      <vt:lpstr>'UK scallop dredge under 15m'!Print_Area</vt:lpstr>
      <vt:lpstr>'WOS nephrops over 250kW'!Print_Area</vt:lpstr>
      <vt:lpstr>'WOS nephrops under 250kW'!Print_Area</vt:lpstr>
      <vt:lpstr>Sample_rates</vt:lpstr>
      <vt:lpstr>Segmentation_Criteria</vt:lpstr>
      <vt:lpstr>South_West_beamers_o250kW</vt:lpstr>
      <vt:lpstr>South_West_beamers_u250kW</vt:lpstr>
      <vt:lpstr>U10m_demersal_trawl_seine</vt:lpstr>
      <vt:lpstr>U10m_drift_fixed_nets</vt:lpstr>
      <vt:lpstr>U10m_pots_and_traps</vt:lpstr>
      <vt:lpstr>U10m_using_hooks</vt:lpstr>
      <vt:lpstr>UK_scallop_dredge_over_15m</vt:lpstr>
      <vt:lpstr>UK_scallop_dredge_under_15m</vt:lpstr>
      <vt:lpstr>WOS_nephrops_over_250kW</vt:lpstr>
      <vt:lpstr>WOS_nephrops_under_250kW</vt:lpstr>
    </vt:vector>
  </TitlesOfParts>
  <Company>Seafish Industry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Seafish Fleet Economic Performance Dataset</dc:title>
  <dc:creator>Sebastien Metz</dc:creator>
  <cp:lastModifiedBy>Steven Lawrence</cp:lastModifiedBy>
  <dcterms:created xsi:type="dcterms:W3CDTF">2015-10-30T14:46:57Z</dcterms:created>
  <dcterms:modified xsi:type="dcterms:W3CDTF">2015-12-02T15:59:35Z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0x010100FBC0F8BFD01A91498CA7837A71EEDFDB0100D8D74AD133DD5E4C9488BA264812959E</vt:lpwstr>
  </property>
</Properties>
</file>