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257.xml" ContentType="application/vnd.openxmlformats-officedocument.drawingml.chart+xml"/>
  <Override PartName="/xl/charts/chart256.xml" ContentType="application/vnd.openxmlformats-officedocument.drawingml.chart+xml"/>
  <Override PartName="/xl/charts/chart255.xml" ContentType="application/vnd.openxmlformats-officedocument.drawingml.chart+xml"/>
  <Override PartName="/xl/charts/chart254.xml" ContentType="application/vnd.openxmlformats-officedocument.drawingml.chart+xml"/>
  <Override PartName="/xl/charts/chart253.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4.xml" ContentType="application/vnd.openxmlformats-officedocument.drawingml.chart+xml"/>
  <Override PartName="/xl/charts/chart263.xml" ContentType="application/vnd.openxmlformats-officedocument.drawingml.chart+xml"/>
  <Override PartName="/xl/charts/chart262.xml" ContentType="application/vnd.openxmlformats-officedocument.drawingml.chart+xml"/>
  <Override PartName="/xl/drawings/drawing25.xml" ContentType="application/vnd.openxmlformats-officedocument.drawing+xml"/>
  <Override PartName="/xl/charts/chart261.xml" ContentType="application/vnd.openxmlformats-officedocument.drawingml.chart+xml"/>
  <Override PartName="/xl/charts/chart252.xml" ContentType="application/vnd.openxmlformats-officedocument.drawingml.chart+xml"/>
  <Override PartName="/xl/charts/chart251.xml" ContentType="application/vnd.openxmlformats-officedocument.drawingml.chart+xml"/>
  <Override PartName="/xl/charts/chart250.xml" ContentType="application/vnd.openxmlformats-officedocument.drawingml.chart+xml"/>
  <Override PartName="/xl/charts/chart243.xml" ContentType="application/vnd.openxmlformats-officedocument.drawingml.chart+xml"/>
  <Override PartName="/xl/charts/chart242.xml" ContentType="application/vnd.openxmlformats-officedocument.drawingml.chart+xml"/>
  <Override PartName="/xl/charts/chart241.xml" ContentType="application/vnd.openxmlformats-officedocument.drawingml.chart+xml"/>
  <Override PartName="/xl/charts/chart240.xml" ContentType="application/vnd.openxmlformats-officedocument.drawingml.chart+xml"/>
  <Override PartName="/xl/charts/chart239.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drawings/drawing24.xml" ContentType="application/vnd.openxmlformats-officedocument.drawing+xml"/>
  <Override PartName="/xl/charts/chart249.xml" ContentType="application/vnd.openxmlformats-officedocument.drawingml.chart+xml"/>
  <Override PartName="/xl/charts/chart248.xml" ContentType="application/vnd.openxmlformats-officedocument.drawingml.chart+xml"/>
  <Override PartName="/xl/charts/chart247.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drawings/drawing27.xml" ContentType="application/vnd.openxmlformats-officedocument.drawing+xml"/>
  <Override PartName="/xl/charts/chart285.xml" ContentType="application/vnd.openxmlformats-officedocument.drawingml.chart+xml"/>
  <Override PartName="/xl/charts/chart284.xml" ContentType="application/vnd.openxmlformats-officedocument.drawingml.chart+xml"/>
  <Override PartName="/xl/charts/chart283.xml" ContentType="application/vnd.openxmlformats-officedocument.drawingml.chart+xml"/>
  <Override PartName="/xl/charts/chart282.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92.xml" ContentType="application/vnd.openxmlformats-officedocument.drawingml.chart+xml"/>
  <Override PartName="/xl/charts/chart291.xml" ContentType="application/vnd.openxmlformats-officedocument.drawingml.chart+xml"/>
  <Override PartName="/xl/charts/chart290.xml" ContentType="application/vnd.openxmlformats-officedocument.drawingml.chart+xml"/>
  <Override PartName="/xl/charts/chart289.xml" ContentType="application/vnd.openxmlformats-officedocument.drawingml.chart+xml"/>
  <Override PartName="/xl/charts/chart281.xml" ContentType="application/vnd.openxmlformats-officedocument.drawingml.chart+xml"/>
  <Override PartName="/xl/charts/chart280.xml" ContentType="application/vnd.openxmlformats-officedocument.drawingml.chart+xml"/>
  <Override PartName="/xl/charts/chart279.xml" ContentType="application/vnd.openxmlformats-officedocument.drawingml.chart+xml"/>
  <Override PartName="/xl/charts/chart272.xml" ContentType="application/vnd.openxmlformats-officedocument.drawingml.chart+xml"/>
  <Override PartName="/xl/charts/chart271.xml" ContentType="application/vnd.openxmlformats-officedocument.drawingml.chart+xml"/>
  <Override PartName="/xl/charts/chart270.xml" ContentType="application/vnd.openxmlformats-officedocument.drawingml.chart+xml"/>
  <Override PartName="/xl/charts/chart269.xml" ContentType="application/vnd.openxmlformats-officedocument.drawingml.chart+xml"/>
  <Override PartName="/xl/charts/chart268.xml" ContentType="application/vnd.openxmlformats-officedocument.drawingml.chart+xml"/>
  <Override PartName="/xl/charts/chart273.xml" ContentType="application/vnd.openxmlformats-officedocument.drawingml.chart+xml"/>
  <Override PartName="/xl/drawings/drawing26.xml" ContentType="application/vnd.openxmlformats-officedocument.drawing+xml"/>
  <Override PartName="/xl/charts/chart274.xml" ContentType="application/vnd.openxmlformats-officedocument.drawingml.chart+xml"/>
  <Override PartName="/xl/charts/chart278.xml" ContentType="application/vnd.openxmlformats-officedocument.drawingml.chart+xml"/>
  <Override PartName="/xl/charts/chart277.xml" ContentType="application/vnd.openxmlformats-officedocument.drawingml.chart+xml"/>
  <Override PartName="/xl/charts/chart276.xml" ContentType="application/vnd.openxmlformats-officedocument.drawingml.chart+xml"/>
  <Override PartName="/xl/charts/chart275.xml" ContentType="application/vnd.openxmlformats-officedocument.drawingml.chart+xml"/>
  <Override PartName="/xl/charts/chart238.xml" ContentType="application/vnd.openxmlformats-officedocument.drawingml.chart+xml"/>
  <Override PartName="/xl/drawings/drawing23.xml" ContentType="application/vnd.openxmlformats-officedocument.drawing+xml"/>
  <Override PartName="/xl/charts/chart237.xml" ContentType="application/vnd.openxmlformats-officedocument.drawingml.chart+xml"/>
  <Override PartName="/xl/drawings/drawing20.xml" ContentType="application/vnd.openxmlformats-officedocument.drawing+xml"/>
  <Override PartName="/xl/charts/chart201.xml" ContentType="application/vnd.openxmlformats-officedocument.drawingml.chart+xml"/>
  <Override PartName="/xl/charts/chart200.xml" ContentType="application/vnd.openxmlformats-officedocument.drawingml.chart+xml"/>
  <Override PartName="/xl/charts/chart199.xml" ContentType="application/vnd.openxmlformats-officedocument.drawingml.chart+xml"/>
  <Override PartName="/xl/charts/chart198.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8.xml" ContentType="application/vnd.openxmlformats-officedocument.drawingml.chart+xml"/>
  <Override PartName="/xl/charts/chart207.xml" ContentType="application/vnd.openxmlformats-officedocument.drawingml.chart+xml"/>
  <Override PartName="/xl/charts/chart206.xml" ContentType="application/vnd.openxmlformats-officedocument.drawingml.chart+xml"/>
  <Override PartName="/xl/charts/chart205.xml" ContentType="application/vnd.openxmlformats-officedocument.drawingml.chart+xml"/>
  <Override PartName="/xl/charts/chart197.xml" ContentType="application/vnd.openxmlformats-officedocument.drawingml.chart+xml"/>
  <Override PartName="/xl/charts/chart196.xml" ContentType="application/vnd.openxmlformats-officedocument.drawingml.chart+xml"/>
  <Override PartName="/xl/charts/chart195.xml" ContentType="application/vnd.openxmlformats-officedocument.drawingml.chart+xml"/>
  <Override PartName="/xl/charts/chart188.xml" ContentType="application/vnd.openxmlformats-officedocument.drawingml.chart+xml"/>
  <Override PartName="/xl/charts/chart187.xml" ContentType="application/vnd.openxmlformats-officedocument.drawingml.chart+xml"/>
  <Override PartName="/xl/charts/chart186.xml" ContentType="application/vnd.openxmlformats-officedocument.drawingml.chart+xml"/>
  <Override PartName="/xl/charts/chart185.xml" ContentType="application/vnd.openxmlformats-officedocument.drawingml.chart+xml"/>
  <Override PartName="/xl/worksheets/sheet1.xml" ContentType="application/vnd.openxmlformats-officedocument.spreadsheetml.workshee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4.xml" ContentType="application/vnd.openxmlformats-officedocument.drawingml.chart+xml"/>
  <Override PartName="/xl/charts/chart193.xml" ContentType="application/vnd.openxmlformats-officedocument.drawingml.chart+xml"/>
  <Override PartName="/xl/drawings/drawing19.xml" ContentType="application/vnd.openxmlformats-officedocument.drawing+xml"/>
  <Override PartName="/xl/charts/chart192.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29.xml" ContentType="application/vnd.openxmlformats-officedocument.drawingml.chart+xml"/>
  <Override PartName="/xl/charts/chart228.xml" ContentType="application/vnd.openxmlformats-officedocument.drawingml.chart+xml"/>
  <Override PartName="/xl/charts/chart227.xml" ContentType="application/vnd.openxmlformats-officedocument.drawingml.chart+xml"/>
  <Override PartName="/xl/charts/chart226.xml" ContentType="application/vnd.openxmlformats-officedocument.drawingml.chart+xml"/>
  <Override PartName="/xl/drawings/drawing22.xml" ContentType="application/vnd.openxmlformats-officedocument.drawing+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6.xml" ContentType="application/vnd.openxmlformats-officedocument.drawingml.chart+xml"/>
  <Override PartName="/xl/charts/chart235.xml" ContentType="application/vnd.openxmlformats-officedocument.drawingml.chart+xml"/>
  <Override PartName="/xl/charts/chart234.xml" ContentType="application/vnd.openxmlformats-officedocument.drawingml.chart+xml"/>
  <Override PartName="/xl/charts/chart233.xml" ContentType="application/vnd.openxmlformats-officedocument.drawingml.chart+xml"/>
  <Override PartName="/xl/charts/chart225.xml" ContentType="application/vnd.openxmlformats-officedocument.drawingml.chart+xml"/>
  <Override PartName="/xl/charts/chart224.xml" ContentType="application/vnd.openxmlformats-officedocument.drawingml.chart+xml"/>
  <Override PartName="/xl/charts/chart223.xml" ContentType="application/vnd.openxmlformats-officedocument.drawingml.chart+xml"/>
  <Override PartName="/xl/charts/chart215.xml" ContentType="application/vnd.openxmlformats-officedocument.drawingml.chart+xml"/>
  <Override PartName="/xl/charts/chart214.xml" ContentType="application/vnd.openxmlformats-officedocument.drawingml.chart+xml"/>
  <Override PartName="/xl/drawings/drawing21.xml" ContentType="application/vnd.openxmlformats-officedocument.drawing+xml"/>
  <Override PartName="/xl/charts/chart213.xml" ContentType="application/vnd.openxmlformats-officedocument.drawingml.chart+xml"/>
  <Override PartName="/xl/charts/chart212.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22.xml" ContentType="application/vnd.openxmlformats-officedocument.drawingml.chart+xml"/>
  <Override PartName="/xl/charts/chart221.xml" ContentType="application/vnd.openxmlformats-officedocument.drawingml.chart+xml"/>
  <Override PartName="/xl/charts/chart220.xml" ContentType="application/vnd.openxmlformats-officedocument.drawingml.chart+xml"/>
  <Override PartName="/xl/charts/chart219.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313.xml" ContentType="application/vnd.openxmlformats-officedocument.drawingml.chart+xml"/>
  <Override PartName="/xl/charts/chart312.xml" ContentType="application/vnd.openxmlformats-officedocument.drawingml.chart+xml"/>
  <Override PartName="/xl/charts/chart311.xml" ContentType="application/vnd.openxmlformats-officedocument.drawingml.chart+xml"/>
  <Override PartName="/xl/charts/chart310.xml" ContentType="application/vnd.openxmlformats-officedocument.drawingml.chart+xml"/>
  <Override PartName="/xl/drawings/drawing29.xml" ContentType="application/vnd.openxmlformats-officedocument.drawing+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20.xml" ContentType="application/vnd.openxmlformats-officedocument.drawingml.chart+xml"/>
  <Override PartName="/xl/charts/chart319.xml" ContentType="application/vnd.openxmlformats-officedocument.drawingml.chart+xml"/>
  <Override PartName="/xl/charts/chart318.xml" ContentType="application/vnd.openxmlformats-officedocument.drawingml.chart+xml"/>
  <Override PartName="/xl/charts/chart317.xml" ContentType="application/vnd.openxmlformats-officedocument.drawingml.chart+xml"/>
  <Override PartName="/xl/charts/chart309.xml" ContentType="application/vnd.openxmlformats-officedocument.drawingml.chart+xml"/>
  <Override PartName="/xl/charts/chart308.xml" ContentType="application/vnd.openxmlformats-officedocument.drawingml.chart+xml"/>
  <Override PartName="/xl/charts/chart307.xml" ContentType="application/vnd.openxmlformats-officedocument.drawingml.chart+xml"/>
  <Override PartName="/xl/charts/chart299.xml" ContentType="application/vnd.openxmlformats-officedocument.drawingml.chart+xml"/>
  <Override PartName="/xl/charts/chart298.xml" ContentType="application/vnd.openxmlformats-officedocument.drawingml.chart+xml"/>
  <Override PartName="/xl/drawings/drawing28.xml" ContentType="application/vnd.openxmlformats-officedocument.drawing+xml"/>
  <Override PartName="/xl/charts/chart297.xml" ContentType="application/vnd.openxmlformats-officedocument.drawingml.chart+xml"/>
  <Override PartName="/xl/charts/chart296.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6.xml" ContentType="application/vnd.openxmlformats-officedocument.drawingml.chart+xml"/>
  <Override PartName="/xl/charts/chart305.xml" ContentType="application/vnd.openxmlformats-officedocument.drawingml.chart+xml"/>
  <Override PartName="/xl/charts/chart304.xml" ContentType="application/vnd.openxmlformats-officedocument.drawingml.chart+xml"/>
  <Override PartName="/xl/charts/chart303.xml" ContentType="application/vnd.openxmlformats-officedocument.drawingml.chart+xml"/>
  <Override PartName="/xl/charts/chart321.xml" ContentType="application/vnd.openxmlformats-officedocument.drawingml.chart+xml"/>
  <Override PartName="/xl/drawings/drawing30.xml" ContentType="application/vnd.openxmlformats-officedocument.drawing+xml"/>
  <Override PartName="/xl/charts/chart322.xml" ContentType="application/vnd.openxmlformats-officedocument.drawingml.chart+xml"/>
  <Override PartName="/xl/charts/chart341.xml" ContentType="application/vnd.openxmlformats-officedocument.drawingml.chart+xml"/>
  <Override PartName="/xl/charts/chart340.xml" ContentType="application/vnd.openxmlformats-officedocument.drawingml.chart+xml"/>
  <Override PartName="/xl/charts/chart339.xml" ContentType="application/vnd.openxmlformats-officedocument.drawingml.chart+xml"/>
  <Override PartName="/xl/charts/chart338.xml" ContentType="application/vnd.openxmlformats-officedocument.drawingml.chart+xml"/>
  <Override PartName="/xl/charts/chart337.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charts/chart345.xml" ContentType="application/vnd.openxmlformats-officedocument.drawingml.chart+xml"/>
  <Override PartName="/xl/charts/chart336.xml" ContentType="application/vnd.openxmlformats-officedocument.drawingml.chart+xml"/>
  <Override PartName="/xl/charts/chart335.xml" ContentType="application/vnd.openxmlformats-officedocument.drawingml.chart+xml"/>
  <Override PartName="/xl/charts/chart334.xml" ContentType="application/vnd.openxmlformats-officedocument.drawingml.chart+xml"/>
  <Override PartName="/xl/charts/chart327.xml" ContentType="application/vnd.openxmlformats-officedocument.drawingml.chart+xml"/>
  <Override PartName="/xl/charts/chart326.xml" ContentType="application/vnd.openxmlformats-officedocument.drawingml.chart+xml"/>
  <Override PartName="/xl/charts/chart325.xml" ContentType="application/vnd.openxmlformats-officedocument.drawingml.chart+xml"/>
  <Override PartName="/xl/charts/chart324.xml" ContentType="application/vnd.openxmlformats-officedocument.drawingml.chart+xml"/>
  <Override PartName="/xl/charts/chart323.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drawings/drawing31.xml" ContentType="application/vnd.openxmlformats-officedocument.drawing+xml"/>
  <Override PartName="/xl/charts/chart333.xml" ContentType="application/vnd.openxmlformats-officedocument.drawingml.chart+xml"/>
  <Override PartName="/xl/charts/chart332.xml" ContentType="application/vnd.openxmlformats-officedocument.drawingml.chart+xml"/>
  <Override PartName="/xl/charts/chart331.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1.xml" ContentType="application/vnd.openxmlformats-officedocument.drawingml.chart+xml"/>
  <Override PartName="/xl/charts/chart37.xml" ContentType="application/vnd.openxmlformats-officedocument.drawingml.chart+xml"/>
  <Override PartName="/xl/charts/chart36.xml" ContentType="application/vnd.openxmlformats-officedocument.drawingml.chart+xml"/>
  <Override PartName="/xl/charts/chart35.xml" ContentType="application/vnd.openxmlformats-officedocument.drawingml.chart+xml"/>
  <Override PartName="/xl/charts/chart34.xml" ContentType="application/vnd.openxmlformats-officedocument.drawingml.chart+xml"/>
  <Override PartName="/xl/drawings/drawing5.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3.xml" ContentType="application/vnd.openxmlformats-officedocument.drawingml.chart+xml"/>
  <Override PartName="/xl/drawings/drawing6.xml" ContentType="application/vnd.openxmlformats-officedocument.drawing+xml"/>
  <Override PartName="/xl/charts/chart42.xml" ContentType="application/vnd.openxmlformats-officedocument.drawingml.chart+xml"/>
  <Override PartName="/xl/charts/chart41.xml" ContentType="application/vnd.openxmlformats-officedocument.drawingml.chart+xml"/>
  <Override PartName="/xl/charts/chart33.xml" ContentType="application/vnd.openxmlformats-officedocument.drawingml.chart+xml"/>
  <Override PartName="/xl/charts/chart32.xml" ContentType="application/vnd.openxmlformats-officedocument.drawingml.chart+xml"/>
  <Override PartName="/xl/charts/chart31.xml" ContentType="application/vnd.openxmlformats-officedocument.drawingml.chart+xml"/>
  <Override PartName="/xl/charts/chart23.xml" ContentType="application/vnd.openxmlformats-officedocument.drawingml.chart+xml"/>
  <Override PartName="/xl/charts/chart22.xml" ContentType="application/vnd.openxmlformats-officedocument.drawingml.chart+xml"/>
  <Override PartName="/xl/drawings/drawing4.xml" ContentType="application/vnd.openxmlformats-officedocument.drawing+xml"/>
  <Override PartName="/xl/charts/chart21.xml" ContentType="application/vnd.openxmlformats-officedocument.drawingml.chart+xml"/>
  <Override PartName="/xl/charts/chart20.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30.xml" ContentType="application/vnd.openxmlformats-officedocument.drawingml.chart+xml"/>
  <Override PartName="/xl/charts/chart29.xml" ContentType="application/vnd.openxmlformats-officedocument.drawingml.chart+xml"/>
  <Override PartName="/xl/charts/chart28.xml" ContentType="application/vnd.openxmlformats-officedocument.drawingml.chart+xml"/>
  <Override PartName="/xl/charts/chart27.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65.xml" ContentType="application/vnd.openxmlformats-officedocument.drawingml.chart+xml"/>
  <Override PartName="/xl/charts/chart64.xml" ContentType="application/vnd.openxmlformats-officedocument.drawingml.chart+xml"/>
  <Override PartName="/xl/charts/chart63.xml" ContentType="application/vnd.openxmlformats-officedocument.drawingml.chart+xml"/>
  <Override PartName="/xl/charts/chart62.xml" ContentType="application/vnd.openxmlformats-officedocument.drawingml.chart+xml"/>
  <Override PartName="/xl/charts/chart61.xml" ContentType="application/vnd.openxmlformats-officedocument.drawingml.chart+xml"/>
  <Override PartName="/xl/charts/chart66.xml" ContentType="application/vnd.openxmlformats-officedocument.drawingml.chart+xml"/>
  <Override PartName="/xl/drawings/drawing8.xml" ContentType="application/vnd.openxmlformats-officedocument.drawing+xml"/>
  <Override PartName="/xl/charts/chart67.xml" ContentType="application/vnd.openxmlformats-officedocument.drawingml.chart+xml"/>
  <Override PartName="/xl/charts/chart182.xml" ContentType="application/vnd.openxmlformats-officedocument.drawingml.chart+xml"/>
  <Override PartName="/xl/charts/chart70.xml" ContentType="application/vnd.openxmlformats-officedocument.drawingml.chart+xml"/>
  <Override PartName="/xl/charts/chart69.xml" ContentType="application/vnd.openxmlformats-officedocument.drawingml.chart+xml"/>
  <Override PartName="/xl/charts/chart68.xml" ContentType="application/vnd.openxmlformats-officedocument.drawingml.chart+xml"/>
  <Override PartName="/xl/charts/chart60.xml" ContentType="application/vnd.openxmlformats-officedocument.drawingml.chart+xml"/>
  <Override PartName="/xl/charts/chart59.xml" ContentType="application/vnd.openxmlformats-officedocument.drawingml.chart+xml"/>
  <Override PartName="/xl/charts/chart58.xml" ContentType="application/vnd.openxmlformats-officedocument.drawingml.chart+xml"/>
  <Override PartName="/xl/charts/chart51.xml" ContentType="application/vnd.openxmlformats-officedocument.drawingml.chart+xml"/>
  <Override PartName="/xl/charts/chart50.xml" ContentType="application/vnd.openxmlformats-officedocument.drawingml.chart+xml"/>
  <Override PartName="/xl/charts/chart49.xml" ContentType="application/vnd.openxmlformats-officedocument.drawingml.chart+xml"/>
  <Override PartName="/xl/charts/chart48.xml" ContentType="application/vnd.openxmlformats-officedocument.drawingml.chart+xml"/>
  <Override PartName="/xl/charts/chart47.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7.xml" ContentType="application/vnd.openxmlformats-officedocument.drawingml.chart+xml"/>
  <Override PartName="/xl/charts/chart56.xml" ContentType="application/vnd.openxmlformats-officedocument.drawingml.chart+xml"/>
  <Override PartName="/xl/charts/chart55.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18.xml" ContentType="application/vnd.openxmlformats-officedocument.drawingml.chart+xml"/>
  <Override PartName="/xl/charts/chart17.xml" ContentType="application/vnd.openxmlformats-officedocument.drawingml.char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drawings/drawing3.xml" ContentType="application/vnd.openxmlformats-officedocument.drawing+xml"/>
  <Override PartName="/xl/charts/chart9.xml" ContentType="application/vnd.openxmlformats-officedocument.drawingml.chart+xml"/>
  <Override PartName="/xl/charts/chart8.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charts/chart14.xml" ContentType="application/vnd.openxmlformats-officedocument.drawingml.chart+xml"/>
  <Override PartName="/xl/charts/chart13.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2.xml" ContentType="application/vnd.openxmlformats-officedocument.drawingml.chart+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charts/chart72.xml" ContentType="application/vnd.openxmlformats-officedocument.drawingml.chart+xml"/>
  <Override PartName="/xl/charts/chart71.xml" ContentType="application/vnd.openxmlformats-officedocument.drawingml.chart+xml"/>
  <Override PartName="/xl/charts/chart74.xml" ContentType="application/vnd.openxmlformats-officedocument.drawingml.chart+xml"/>
  <Override PartName="/xl/charts/chart145.xml" ContentType="application/vnd.openxmlformats-officedocument.drawingml.chart+xml"/>
  <Override PartName="/xl/charts/chart144.xml" ContentType="application/vnd.openxmlformats-officedocument.drawingml.chart+xml"/>
  <Override PartName="/xl/charts/chart143.xml" ContentType="application/vnd.openxmlformats-officedocument.drawingml.chart+xml"/>
  <Override PartName="/xl/charts/chart142.xml" ContentType="application/vnd.openxmlformats-officedocument.drawingml.chart+xml"/>
  <Override PartName="/xl/charts/chart141.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15.xml" ContentType="application/vnd.openxmlformats-officedocument.drawing+xml"/>
  <Override PartName="/xl/charts/chart152.xml" ContentType="application/vnd.openxmlformats-officedocument.drawingml.chart+xml"/>
  <Override PartName="/xl/charts/chart151.xml" ContentType="application/vnd.openxmlformats-officedocument.drawingml.chart+xml"/>
  <Override PartName="/xl/charts/chart150.xml" ContentType="application/vnd.openxmlformats-officedocument.drawingml.chart+xml"/>
  <Override PartName="/xl/charts/chart149.xml" ContentType="application/vnd.openxmlformats-officedocument.drawingml.chart+xml"/>
  <Override PartName="/xl/charts/chart148.xml" ContentType="application/vnd.openxmlformats-officedocument.drawingml.chart+xml"/>
  <Override PartName="/xl/charts/chart140.xml" ContentType="application/vnd.openxmlformats-officedocument.drawingml.chart+xml"/>
  <Override PartName="/xl/charts/chart139.xml" ContentType="application/vnd.openxmlformats-officedocument.drawingml.chart+xml"/>
  <Override PartName="/xl/charts/chart138.xml" ContentType="application/vnd.openxmlformats-officedocument.drawingml.chart+xml"/>
  <Override PartName="/xl/charts/chart131.xml" ContentType="application/vnd.openxmlformats-officedocument.drawingml.chart+xml"/>
  <Override PartName="/xl/charts/chart130.xml" ContentType="application/vnd.openxmlformats-officedocument.drawingml.chart+xml"/>
  <Override PartName="/xl/charts/chart129.xml" ContentType="application/vnd.openxmlformats-officedocument.drawingml.chart+xml"/>
  <Override PartName="/xl/charts/chart128.xml" ContentType="application/vnd.openxmlformats-officedocument.drawingml.chart+xml"/>
  <Override PartName="/xl/charts/chart127.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7.xml" ContentType="application/vnd.openxmlformats-officedocument.drawingml.chart+xml"/>
  <Override PartName="/xl/charts/chart136.xml" ContentType="application/vnd.openxmlformats-officedocument.drawingml.chart+xml"/>
  <Override PartName="/xl/drawings/drawing14.xml" ContentType="application/vnd.openxmlformats-officedocument.drawing+xml"/>
  <Override PartName="/xl/charts/chart135.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73.xml" ContentType="application/vnd.openxmlformats-officedocument.drawingml.chart+xml"/>
  <Override PartName="/xl/charts/chart172.xml" ContentType="application/vnd.openxmlformats-officedocument.drawingml.chart+xml"/>
  <Override PartName="/xl/drawings/drawing17.xml" ContentType="application/vnd.openxmlformats-officedocument.drawing+xml"/>
  <Override PartName="/xl/charts/chart171.xml" ContentType="application/vnd.openxmlformats-officedocument.drawingml.chart+xml"/>
  <Override PartName="/xl/charts/chart170.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18.xml" ContentType="application/vnd.openxmlformats-officedocument.drawing+xml"/>
  <Override PartName="/xl/charts/chart180.xml" ContentType="application/vnd.openxmlformats-officedocument.drawingml.chart+xml"/>
  <Override PartName="/xl/charts/chart179.xml" ContentType="application/vnd.openxmlformats-officedocument.drawingml.chart+xml"/>
  <Override PartName="/xl/charts/chart178.xml" ContentType="application/vnd.openxmlformats-officedocument.drawingml.chart+xml"/>
  <Override PartName="/xl/charts/chart177.xml" ContentType="application/vnd.openxmlformats-officedocument.drawingml.chart+xml"/>
  <Override PartName="/xl/charts/chart169.xml" ContentType="application/vnd.openxmlformats-officedocument.drawingml.chart+xml"/>
  <Override PartName="/xl/charts/chart168.xml" ContentType="application/vnd.openxmlformats-officedocument.drawingml.chart+xml"/>
  <Override PartName="/xl/charts/chart167.xml" ContentType="application/vnd.openxmlformats-officedocument.drawingml.chart+xml"/>
  <Override PartName="/xl/drawings/drawing16.xml" ContentType="application/vnd.openxmlformats-officedocument.drawing+xml"/>
  <Override PartName="/xl/charts/chart159.xml" ContentType="application/vnd.openxmlformats-officedocument.drawingml.chart+xml"/>
  <Override PartName="/xl/charts/chart158.xml" ContentType="application/vnd.openxmlformats-officedocument.drawingml.chart+xml"/>
  <Override PartName="/xl/charts/chart157.xml" ContentType="application/vnd.openxmlformats-officedocument.drawingml.chart+xml"/>
  <Override PartName="/xl/charts/chart156.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6.xml" ContentType="application/vnd.openxmlformats-officedocument.drawingml.chart+xml"/>
  <Override PartName="/xl/charts/chart165.xml" ContentType="application/vnd.openxmlformats-officedocument.drawingml.chart+xml"/>
  <Override PartName="/xl/charts/chart164.xml" ContentType="application/vnd.openxmlformats-officedocument.drawingml.chart+xml"/>
  <Override PartName="/xl/charts/chart163.xml" ContentType="application/vnd.openxmlformats-officedocument.drawingml.chart+xml"/>
  <Override PartName="/xl/charts/chart73.xml" ContentType="application/vnd.openxmlformats-officedocument.drawingml.chart+xml"/>
  <Override PartName="/xl/charts/chart126.xml" ContentType="application/vnd.openxmlformats-officedocument.drawingml.chart+xml"/>
  <Override PartName="/xl/charts/chart124.xml" ContentType="application/vnd.openxmlformats-officedocument.drawingml.chart+xml"/>
  <Override PartName="/xl/charts/chart92.xml" ContentType="application/vnd.openxmlformats-officedocument.drawingml.chart+xml"/>
  <Override PartName="/xl/charts/chart91.xml" ContentType="application/vnd.openxmlformats-officedocument.drawingml.chart+xml"/>
  <Override PartName="/xl/drawings/drawing10.xml" ContentType="application/vnd.openxmlformats-officedocument.drawing+xml"/>
  <Override PartName="/xl/charts/chart90.xml" ContentType="application/vnd.openxmlformats-officedocument.drawingml.chart+xml"/>
  <Override PartName="/xl/charts/chart89.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100.xml" ContentType="application/vnd.openxmlformats-officedocument.drawingml.chart+xml"/>
  <Override PartName="/xl/charts/chart99.xml" ContentType="application/vnd.openxmlformats-officedocument.drawingml.chart+xml"/>
  <Override PartName="/xl/charts/chart98.xml" ContentType="application/vnd.openxmlformats-officedocument.drawingml.chart+xml"/>
  <Override PartName="/xl/charts/chart97.xml" ContentType="application/vnd.openxmlformats-officedocument.drawingml.chart+xml"/>
  <Override PartName="/xl/charts/chart96.xml" ContentType="application/vnd.openxmlformats-officedocument.drawingml.chart+xml"/>
  <Override PartName="/xl/charts/chart88.xml" ContentType="application/vnd.openxmlformats-officedocument.drawingml.chart+xml"/>
  <Override PartName="/xl/charts/chart87.xml" ContentType="application/vnd.openxmlformats-officedocument.drawingml.chart+xml"/>
  <Override PartName="/xl/charts/chart86.xml" ContentType="application/vnd.openxmlformats-officedocument.drawingml.chart+xml"/>
  <Override PartName="/xl/drawings/drawing9.xml" ContentType="application/vnd.openxmlformats-officedocument.drawing+xml"/>
  <Override PartName="/xl/charts/chart78.xml" ContentType="application/vnd.openxmlformats-officedocument.drawingml.chart+xml"/>
  <Override PartName="/xl/charts/chart77.xml" ContentType="application/vnd.openxmlformats-officedocument.drawingml.chart+xml"/>
  <Override PartName="/xl/charts/chart76.xml" ContentType="application/vnd.openxmlformats-officedocument.drawingml.chart+xml"/>
  <Override PartName="/xl/charts/chart75.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5.xml" ContentType="application/vnd.openxmlformats-officedocument.drawingml.chart+xml"/>
  <Override PartName="/xl/charts/chart84.xml" ContentType="application/vnd.openxmlformats-officedocument.drawingml.chart+xml"/>
  <Override PartName="/xl/charts/chart83.xml" ContentType="application/vnd.openxmlformats-officedocument.drawingml.chart+xml"/>
  <Override PartName="/xl/charts/chart82.xml" ContentType="application/vnd.openxmlformats-officedocument.drawingml.chart+xml"/>
  <Override PartName="/xl/charts/chart125.xml" ContentType="application/vnd.openxmlformats-officedocument.drawingml.chart+xml"/>
  <Override PartName="/xl/charts/chart101.xml" ContentType="application/vnd.openxmlformats-officedocument.drawingml.chart+xml"/>
  <Override PartName="/xl/drawings/drawing11.xml" ContentType="application/vnd.openxmlformats-officedocument.drawing+xml"/>
  <Override PartName="/xl/charts/chart117.xml" ContentType="application/vnd.openxmlformats-officedocument.drawingml.chart+xml"/>
  <Override PartName="/xl/charts/chart116.xml" ContentType="application/vnd.openxmlformats-officedocument.drawingml.chart+xml"/>
  <Override PartName="/xl/charts/chart115.xml" ContentType="application/vnd.openxmlformats-officedocument.drawingml.chart+xml"/>
  <Override PartName="/xl/charts/chart114.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13.xml" ContentType="application/vnd.openxmlformats-officedocument.drawing+xml"/>
  <Override PartName="/xl/charts/chart123.xml" ContentType="application/vnd.openxmlformats-officedocument.drawingml.chart+xml"/>
  <Override PartName="/xl/charts/chart122.xml" ContentType="application/vnd.openxmlformats-officedocument.drawingml.chart+xml"/>
  <Override PartName="/xl/charts/chart121.xml" ContentType="application/vnd.openxmlformats-officedocument.drawingml.chart+xml"/>
  <Override PartName="/xl/charts/chart102.xml" ContentType="application/vnd.openxmlformats-officedocument.drawingml.chart+xml"/>
  <Override PartName="/xl/charts/chart113.xml" ContentType="application/vnd.openxmlformats-officedocument.drawingml.chart+xml"/>
  <Override PartName="/xl/drawings/drawing12.xml" ContentType="application/vnd.openxmlformats-officedocument.drawing+xml"/>
  <Override PartName="/xl/charts/chart106.xml" ContentType="application/vnd.openxmlformats-officedocument.drawingml.chart+xml"/>
  <Override PartName="/xl/charts/chart105.xml" ContentType="application/vnd.openxmlformats-officedocument.drawingml.chart+xml"/>
  <Override PartName="/xl/charts/chart104.xml" ContentType="application/vnd.openxmlformats-officedocument.drawingml.chart+xml"/>
  <Override PartName="/xl/charts/chart103.xml" ContentType="application/vnd.openxmlformats-officedocument.drawingml.chart+xml"/>
  <Override PartName="/xl/charts/chart112.xml" ContentType="application/vnd.openxmlformats-officedocument.drawingml.chart+xml"/>
  <Override PartName="/xl/charts/chart107.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0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480" yWindow="135" windowWidth="18195" windowHeight="11760"/>
  </bookViews>
  <sheets>
    <sheet name="Contents" sheetId="1" r:id="rId1"/>
    <sheet name="Notes" sheetId="42" r:id="rId2"/>
    <sheet name="Highlights" sheetId="43" r:id="rId3"/>
    <sheet name="Segmentation Criteria" sheetId="40" r:id="rId4"/>
    <sheet name="Summary" sheetId="44" r:id="rId5"/>
    <sheet name="Area VIIa demersal trawl" sheetId="4" r:id="rId6"/>
    <sheet name="Area VIIa nephrops o250kW" sheetId="5" r:id="rId7"/>
    <sheet name="Area VIIa nephrops u250kW" sheetId="6" r:id="rId8"/>
    <sheet name="Area VIIb-k trawlers 24-40m" sheetId="7" r:id="rId9"/>
    <sheet name="Area VIIb-k trawlers 10-24m" sheetId="8" r:id="rId10"/>
    <sheet name="Gill netters" sheetId="9" r:id="rId11"/>
    <sheet name="Inactive" sheetId="45" r:id="rId12"/>
    <sheet name="Longliners" sheetId="11" r:id="rId13"/>
    <sheet name="Low activity over 10m" sheetId="12" r:id="rId14"/>
    <sheet name="Low activity under 10m" sheetId="13" r:id="rId15"/>
    <sheet name="NS beam trawl over 300kW" sheetId="15" r:id="rId16"/>
    <sheet name="NS beam trawl under 300kW" sheetId="16" r:id="rId17"/>
    <sheet name="NS nephrops over 300kW" sheetId="17" r:id="rId18"/>
    <sheet name="NS nephrops under 300kW" sheetId="18" r:id="rId19"/>
    <sheet name="NSWOS demersal over 24m" sheetId="19" r:id="rId20"/>
    <sheet name="NSWOS dem pair trawl seine" sheetId="20" r:id="rId21"/>
    <sheet name="NSWOS demersal seiners" sheetId="21" r:id="rId22"/>
    <sheet name="NSWOS demersal u24m o300kW" sheetId="22" r:id="rId23"/>
    <sheet name="NSWOS demersal u24m u300kW" sheetId="23" r:id="rId24"/>
    <sheet name="Pots and traps 10-12m" sheetId="25" r:id="rId25"/>
    <sheet name="Pots and traps over 12m" sheetId="26" r:id="rId26"/>
    <sheet name="South West beamers o250kW" sheetId="27" r:id="rId27"/>
    <sheet name="South West beamers u250kW" sheetId="28" r:id="rId28"/>
    <sheet name="UK scallop dredge over 15m" sheetId="29" r:id="rId29"/>
    <sheet name="UK scallop dredge under 15m" sheetId="30" r:id="rId30"/>
    <sheet name="U10m demersal trawl-seine" sheetId="31" r:id="rId31"/>
    <sheet name="U10m drift-fixed nets" sheetId="32" r:id="rId32"/>
    <sheet name="U10m pots and traps" sheetId="33" r:id="rId33"/>
    <sheet name="U10m using hooks" sheetId="34" r:id="rId34"/>
    <sheet name="WOS nephrops over 250kW" sheetId="35" r:id="rId35"/>
    <sheet name="WOS nephrops under 250kW" sheetId="36" r:id="rId36"/>
    <sheet name="Sample rates" sheetId="39" r:id="rId37"/>
    <sheet name="Operating profit margin" sheetId="38" r:id="rId38"/>
    <sheet name="Net profit margin" sheetId="37" r:id="rId39"/>
  </sheets>
  <definedNames>
    <definedName name="Area_VIIa_demersal_trawl">'Area VIIa demersal trawl'!$A$1</definedName>
    <definedName name="Area_VIIa_nephrops_o250kW">'Area VIIa nephrops o250kW'!$A$1</definedName>
    <definedName name="Area_VIIa_nephrops_u250kW">'Area VIIa nephrops u250kW'!$A$1</definedName>
    <definedName name="Area_VIIb_k_trawlers_10_24m">'Area VIIb-k trawlers 10-24m'!$A$1</definedName>
    <definedName name="Area_VIIb_k_trawlers_24_40m">'Area VIIb-k trawlers 24-40m'!$A$1</definedName>
    <definedName name="Gill_netters">'Gill netters'!$A$1</definedName>
    <definedName name="Highlights" localSheetId="2">Highlights!$A$1</definedName>
    <definedName name="Highlights">#REF!</definedName>
    <definedName name="Home_page">Contents!$A$1</definedName>
    <definedName name="Inactive" localSheetId="11">Inactive!$A$1</definedName>
    <definedName name="Inactive">#REF!</definedName>
    <definedName name="Longliners">Longliners!$A$1</definedName>
    <definedName name="Low_activity_over_10m">'Low activity over 10m'!$A$1</definedName>
    <definedName name="Low_activity_under_10m">'Low activity under 10m'!$A$1</definedName>
    <definedName name="Miscellaneous" localSheetId="2">#REF!</definedName>
    <definedName name="Miscellaneous" localSheetId="11">#REF!</definedName>
    <definedName name="Miscellaneous" localSheetId="4">#REF!</definedName>
    <definedName name="Miscellaneous">#REF!</definedName>
    <definedName name="Net_profit_margin">'Net profit margin'!$A$1</definedName>
    <definedName name="Notes">Notes!$A$1</definedName>
    <definedName name="NS_beam_trawl_over_300kW">'NS beam trawl over 300kW'!$A$1</definedName>
    <definedName name="NS_beam_trawl_under_300kW">'NS beam trawl under 300kW'!$A$1</definedName>
    <definedName name="NS_nephrops_over_300kW">'NS nephrops over 300kW'!$A$1</definedName>
    <definedName name="NS_nephrops_under_300kW">'NS nephrops under 300kW'!$A$1</definedName>
    <definedName name="NSWOS_dem_pair_trawl_seine">'NSWOS dem pair trawl seine'!$A$1</definedName>
    <definedName name="NSWOS_demersal_over_24m">'NSWOS demersal over 24m'!$A$1</definedName>
    <definedName name="NSWOS_demersal_seiners">'NSWOS demersal seiners'!$A$1</definedName>
    <definedName name="NSWOS_demersal_u24m_o300kW">'NSWOS demersal u24m o300kW'!$A$1</definedName>
    <definedName name="NSWOS_demersal_u24m_u300kW">'NSWOS demersal u24m u300kW'!$A$1</definedName>
    <definedName name="Operating_profit_margin">'Operating profit margin'!$A$1</definedName>
    <definedName name="Pelagic_over_40m" localSheetId="2">#REF!</definedName>
    <definedName name="Pelagic_over_40m" localSheetId="11">#REF!</definedName>
    <definedName name="Pelagic_over_40m" localSheetId="4">#REF!</definedName>
    <definedName name="Pelagic_over_40m">#REF!</definedName>
    <definedName name="Pots_and_traps_10_12m">'Pots and traps 10-12m'!$A$1</definedName>
    <definedName name="Pots_and_traps_over_12m">'Pots and traps over 12m'!$A$1</definedName>
    <definedName name="_xlnm.Print_Area" localSheetId="5">'Area VIIa demersal trawl'!$A$1:$P$114</definedName>
    <definedName name="_xlnm.Print_Area" localSheetId="6">'Area VIIa nephrops o250kW'!$A$1:$P$153</definedName>
    <definedName name="_xlnm.Print_Area" localSheetId="7">'Area VIIa nephrops u250kW'!$A$1:$P$153</definedName>
    <definedName name="_xlnm.Print_Area" localSheetId="9">'Area VIIb-k trawlers 10-24m'!$A$1:$P$153</definedName>
    <definedName name="_xlnm.Print_Area" localSheetId="8">'Area VIIb-k trawlers 24-40m'!$A$1:$P$114</definedName>
    <definedName name="_xlnm.Print_Area" localSheetId="10">'Gill netters'!$A$1:$P$153</definedName>
    <definedName name="_xlnm.Print_Area" localSheetId="2">Highlights!$B$1:$B$30</definedName>
    <definedName name="_xlnm.Print_Area" localSheetId="11">Inactive!$A$1:$P$69</definedName>
    <definedName name="_xlnm.Print_Area" localSheetId="12">Longliners!$A$1:$P$153</definedName>
    <definedName name="_xlnm.Print_Area" localSheetId="13">'Low activity over 10m'!$A$1:$P$153</definedName>
    <definedName name="_xlnm.Print_Area" localSheetId="14">'Low activity under 10m'!$A$1:$P$153</definedName>
    <definedName name="_xlnm.Print_Area" localSheetId="1">Notes!$A$1:$C$40</definedName>
    <definedName name="_xlnm.Print_Area" localSheetId="15">'NS beam trawl over 300kW'!$A$1:$P$114</definedName>
    <definedName name="_xlnm.Print_Area" localSheetId="16">'NS beam trawl under 300kW'!$A$1:$P$153</definedName>
    <definedName name="_xlnm.Print_Area" localSheetId="17">'NS nephrops over 300kW'!$A$1:$P$153</definedName>
    <definedName name="_xlnm.Print_Area" localSheetId="18">'NS nephrops under 300kW'!$A$1:$P$153</definedName>
    <definedName name="_xlnm.Print_Area" localSheetId="20">'NSWOS dem pair trawl seine'!$A$1:$P$153</definedName>
    <definedName name="_xlnm.Print_Area" localSheetId="19">'NSWOS demersal over 24m'!$A$1:$P$153</definedName>
    <definedName name="_xlnm.Print_Area" localSheetId="21">'NSWOS demersal seiners'!$A$1:$P$114</definedName>
    <definedName name="_xlnm.Print_Area" localSheetId="22">'NSWOS demersal u24m o300kW'!$A$1:$P$153</definedName>
    <definedName name="_xlnm.Print_Area" localSheetId="23">'NSWOS demersal u24m u300kW'!$A$1:$P$114</definedName>
    <definedName name="_xlnm.Print_Area" localSheetId="24">'Pots and traps 10-12m'!$A$1:$P$153</definedName>
    <definedName name="_xlnm.Print_Area" localSheetId="25">'Pots and traps over 12m'!$A$1:$P$153</definedName>
    <definedName name="_xlnm.Print_Area" localSheetId="26">'South West beamers o250kW'!$A$1:$P$153</definedName>
    <definedName name="_xlnm.Print_Area" localSheetId="27">'South West beamers u250kW'!$A$1:$P$153</definedName>
    <definedName name="_xlnm.Print_Area" localSheetId="30">'U10m demersal trawl-seine'!$A$1:$P$153</definedName>
    <definedName name="_xlnm.Print_Area" localSheetId="31">'U10m drift-fixed nets'!$A$1:$P$153</definedName>
    <definedName name="_xlnm.Print_Area" localSheetId="32">'U10m pots and traps'!$A$1:$P$153</definedName>
    <definedName name="_xlnm.Print_Area" localSheetId="33">'U10m using hooks'!$A$1:$P$153</definedName>
    <definedName name="_xlnm.Print_Area" localSheetId="28">'UK scallop dredge over 15m'!$A$1:$P$153</definedName>
    <definedName name="_xlnm.Print_Area" localSheetId="29">'UK scallop dredge under 15m'!$A$1:$P$153</definedName>
    <definedName name="_xlnm.Print_Area" localSheetId="34">'WOS nephrops over 250kW'!$A$1:$P$153</definedName>
    <definedName name="_xlnm.Print_Area" localSheetId="35">'WOS nephrops under 250kW'!$A$1:$P$153</definedName>
    <definedName name="Sample_rates">'Sample rates'!$A$1</definedName>
    <definedName name="Segmentation_Criteria">'Segmentation Criteria'!$A$1</definedName>
    <definedName name="South_West_beamers_o250kW">'South West beamers o250kW'!$A$1</definedName>
    <definedName name="South_West_beamers_u250kW">'South West beamers u250kW'!$A$1</definedName>
    <definedName name="Summary_last" localSheetId="2">#REF!</definedName>
    <definedName name="Summary_last" localSheetId="11">#REF!</definedName>
    <definedName name="Summary_last" localSheetId="4">#REF!</definedName>
    <definedName name="Summary_last">#REF!</definedName>
    <definedName name="Summary_projection" localSheetId="4">Summary!$A$1</definedName>
    <definedName name="Summary_projection">#REF!</definedName>
    <definedName name="U10m_demersal_trawl_seine">'U10m demersal trawl-seine'!$A$1</definedName>
    <definedName name="U10m_drift_fixed_nets">'U10m drift-fixed nets'!$A$1</definedName>
    <definedName name="U10m_pots_and_traps">'U10m pots and traps'!$A$1</definedName>
    <definedName name="U10m_using_hooks">'U10m using hooks'!$A$1</definedName>
    <definedName name="UK_scallop_dredge_over_15m">'UK scallop dredge over 15m'!$A$1</definedName>
    <definedName name="UK_scallop_dredge_under_15m">'UK scallop dredge under 15m'!$A$1</definedName>
    <definedName name="WOS_nephrops_over_250kW">'WOS nephrops over 250kW'!$A$1</definedName>
    <definedName name="WOS_nephrops_under_250kW">'WOS nephrops under 250kW'!$A$1</definedName>
  </definedNames>
  <calcPr calcId="145621"/>
</workbook>
</file>

<file path=xl/calcChain.xml><?xml version="1.0" encoding="utf-8"?>
<calcChain xmlns="http://schemas.openxmlformats.org/spreadsheetml/2006/main">
  <c r="I37" i="13" l="1"/>
  <c r="B67" i="45"/>
  <c r="R42" i="45" s="1"/>
  <c r="F67" i="45" s="1"/>
  <c r="B68" i="45" s="1"/>
  <c r="P12" i="45"/>
  <c r="P42" i="45" s="1"/>
  <c r="P68" i="45" s="1"/>
  <c r="P11" i="45"/>
  <c r="O11" i="45"/>
  <c r="P10" i="45"/>
  <c r="O10" i="45"/>
  <c r="P9" i="45"/>
  <c r="O9" i="45"/>
  <c r="P8" i="45"/>
  <c r="O8" i="45"/>
  <c r="P7" i="45"/>
  <c r="O7" i="45"/>
  <c r="P6" i="45"/>
  <c r="O6" i="45"/>
  <c r="P5" i="45"/>
  <c r="O5" i="45"/>
  <c r="P4" i="45"/>
  <c r="O4" i="45"/>
  <c r="P3" i="45"/>
  <c r="O3" i="45"/>
  <c r="P2" i="45"/>
  <c r="O2" i="45"/>
  <c r="B42" i="45" l="1"/>
  <c r="B12" i="45" s="1"/>
  <c r="F142" i="36" l="1"/>
  <c r="E142" i="36"/>
  <c r="N141" i="36" s="1"/>
  <c r="D142" i="36"/>
  <c r="M141" i="36" s="1"/>
  <c r="C142" i="36"/>
  <c r="L141" i="36" s="1"/>
  <c r="F141" i="36"/>
  <c r="E141" i="36"/>
  <c r="N140" i="36" s="1"/>
  <c r="D141" i="36"/>
  <c r="M140" i="36" s="1"/>
  <c r="C141" i="36"/>
  <c r="L140" i="36" s="1"/>
  <c r="F140" i="36"/>
  <c r="E140" i="36"/>
  <c r="N139" i="36" s="1"/>
  <c r="D140" i="36"/>
  <c r="M139" i="36" s="1"/>
  <c r="C140" i="36"/>
  <c r="L139" i="36" s="1"/>
  <c r="F139" i="36"/>
  <c r="E139" i="36"/>
  <c r="D139" i="36"/>
  <c r="C139" i="36"/>
  <c r="F138" i="36"/>
  <c r="E138" i="36"/>
  <c r="D138" i="36"/>
  <c r="C138" i="36"/>
  <c r="F135" i="36"/>
  <c r="E135" i="36"/>
  <c r="D135" i="36"/>
  <c r="C135" i="36"/>
  <c r="F134" i="36"/>
  <c r="E134" i="36"/>
  <c r="D134" i="36"/>
  <c r="C134" i="36"/>
  <c r="F133" i="36"/>
  <c r="E133" i="36"/>
  <c r="D133" i="36"/>
  <c r="C133" i="36"/>
  <c r="F132" i="36"/>
  <c r="E132" i="36"/>
  <c r="D132" i="36"/>
  <c r="C132" i="36"/>
  <c r="F130" i="36"/>
  <c r="E130" i="36"/>
  <c r="D130" i="36"/>
  <c r="C130" i="36"/>
  <c r="F126" i="36"/>
  <c r="E126" i="36"/>
  <c r="D126" i="36"/>
  <c r="C126" i="36"/>
  <c r="M41" i="36"/>
  <c r="L41" i="36"/>
  <c r="K41" i="36"/>
  <c r="J41" i="36"/>
  <c r="I41" i="36"/>
  <c r="H41" i="36"/>
  <c r="G41" i="36"/>
  <c r="F41" i="36"/>
  <c r="E41" i="36"/>
  <c r="D41" i="36"/>
  <c r="M40" i="36"/>
  <c r="L40" i="36"/>
  <c r="K40" i="36"/>
  <c r="J40" i="36"/>
  <c r="I40" i="36"/>
  <c r="H40" i="36"/>
  <c r="G40" i="36"/>
  <c r="F40" i="36"/>
  <c r="E40" i="36"/>
  <c r="M39" i="36"/>
  <c r="L39" i="36"/>
  <c r="K39" i="36"/>
  <c r="J39" i="36"/>
  <c r="I39" i="36"/>
  <c r="H39" i="36"/>
  <c r="G39" i="36"/>
  <c r="F39" i="36"/>
  <c r="E39" i="36"/>
  <c r="D39" i="36"/>
  <c r="M38" i="36"/>
  <c r="L38" i="36"/>
  <c r="K38" i="36"/>
  <c r="J38" i="36"/>
  <c r="I38" i="36"/>
  <c r="H38" i="36"/>
  <c r="G38" i="36"/>
  <c r="F38" i="36"/>
  <c r="E38" i="36"/>
  <c r="D38" i="36"/>
  <c r="M37" i="36"/>
  <c r="L37" i="36"/>
  <c r="K37" i="36"/>
  <c r="J37" i="36"/>
  <c r="P37" i="36" s="1"/>
  <c r="I37" i="36"/>
  <c r="H37" i="36"/>
  <c r="G37" i="36"/>
  <c r="F37" i="36"/>
  <c r="E37" i="36"/>
  <c r="D37" i="36"/>
  <c r="O37" i="36" s="1"/>
  <c r="M36" i="36"/>
  <c r="L36" i="36"/>
  <c r="K36" i="36"/>
  <c r="J36" i="36"/>
  <c r="I36" i="36"/>
  <c r="H36" i="36"/>
  <c r="G36" i="36"/>
  <c r="F36" i="36"/>
  <c r="E36" i="36"/>
  <c r="D36" i="36"/>
  <c r="M35" i="36"/>
  <c r="L35" i="36"/>
  <c r="K35" i="36"/>
  <c r="J35" i="36"/>
  <c r="P35" i="36" s="1"/>
  <c r="I35" i="36"/>
  <c r="H35" i="36"/>
  <c r="G35" i="36"/>
  <c r="F35" i="36"/>
  <c r="E35" i="36"/>
  <c r="D35" i="36"/>
  <c r="O35" i="36" s="1"/>
  <c r="M34" i="36"/>
  <c r="L34" i="36"/>
  <c r="K34" i="36"/>
  <c r="J34" i="36"/>
  <c r="P34" i="36" s="1"/>
  <c r="I34" i="36"/>
  <c r="H34" i="36"/>
  <c r="G34" i="36"/>
  <c r="F34" i="36"/>
  <c r="E34" i="36"/>
  <c r="D34" i="36"/>
  <c r="O34" i="36" s="1"/>
  <c r="M33" i="36"/>
  <c r="L33" i="36"/>
  <c r="K33" i="36"/>
  <c r="J33" i="36"/>
  <c r="P33" i="36" s="1"/>
  <c r="I33" i="36"/>
  <c r="H33" i="36"/>
  <c r="G33" i="36"/>
  <c r="F33" i="36"/>
  <c r="E33" i="36"/>
  <c r="D33" i="36"/>
  <c r="O33" i="36" s="1"/>
  <c r="M32" i="36"/>
  <c r="L32" i="36"/>
  <c r="K32" i="36"/>
  <c r="J32" i="36"/>
  <c r="P32" i="36" s="1"/>
  <c r="I32" i="36"/>
  <c r="H32" i="36"/>
  <c r="G32" i="36"/>
  <c r="F32" i="36"/>
  <c r="E32" i="36"/>
  <c r="D32" i="36"/>
  <c r="O32" i="36" s="1"/>
  <c r="M31" i="36"/>
  <c r="L31" i="36"/>
  <c r="K31" i="36"/>
  <c r="J31" i="36"/>
  <c r="P31" i="36" s="1"/>
  <c r="I31" i="36"/>
  <c r="H31" i="36"/>
  <c r="G31" i="36"/>
  <c r="F31" i="36"/>
  <c r="E31" i="36"/>
  <c r="D31" i="36"/>
  <c r="O31" i="36" s="1"/>
  <c r="M30" i="36"/>
  <c r="L30" i="36"/>
  <c r="K30" i="36"/>
  <c r="J30" i="36"/>
  <c r="P30" i="36" s="1"/>
  <c r="I30" i="36"/>
  <c r="H30" i="36"/>
  <c r="G30" i="36"/>
  <c r="F30" i="36"/>
  <c r="E30" i="36"/>
  <c r="D30" i="36"/>
  <c r="O30" i="36" s="1"/>
  <c r="M29" i="36"/>
  <c r="L29" i="36"/>
  <c r="K29" i="36"/>
  <c r="J29" i="36"/>
  <c r="P29" i="36" s="1"/>
  <c r="I29" i="36"/>
  <c r="H29" i="36"/>
  <c r="G29" i="36"/>
  <c r="F29" i="36"/>
  <c r="E29" i="36"/>
  <c r="D29" i="36"/>
  <c r="O29" i="36" s="1"/>
  <c r="M28" i="36"/>
  <c r="L28" i="36"/>
  <c r="K28" i="36"/>
  <c r="J28" i="36"/>
  <c r="P28" i="36" s="1"/>
  <c r="I28" i="36"/>
  <c r="H28" i="36"/>
  <c r="G28" i="36"/>
  <c r="F28" i="36"/>
  <c r="E28" i="36"/>
  <c r="D28" i="36"/>
  <c r="O28" i="36" s="1"/>
  <c r="M27" i="36"/>
  <c r="L27" i="36"/>
  <c r="K27" i="36"/>
  <c r="J27" i="36"/>
  <c r="P27" i="36" s="1"/>
  <c r="I27" i="36"/>
  <c r="H27" i="36"/>
  <c r="G27" i="36"/>
  <c r="F27" i="36"/>
  <c r="E27" i="36"/>
  <c r="D27" i="36"/>
  <c r="O27" i="36" s="1"/>
  <c r="M26" i="36"/>
  <c r="L26" i="36"/>
  <c r="K26" i="36"/>
  <c r="J26" i="36"/>
  <c r="I26" i="36"/>
  <c r="H26" i="36"/>
  <c r="G26" i="36"/>
  <c r="F26" i="36"/>
  <c r="E26" i="36"/>
  <c r="M25" i="36"/>
  <c r="L25" i="36"/>
  <c r="K25" i="36"/>
  <c r="J25" i="36"/>
  <c r="I25" i="36"/>
  <c r="H25" i="36"/>
  <c r="G25" i="36"/>
  <c r="F25" i="36"/>
  <c r="E25" i="36"/>
  <c r="M24" i="36"/>
  <c r="L24" i="36"/>
  <c r="K24" i="36"/>
  <c r="J24" i="36"/>
  <c r="P24" i="36" s="1"/>
  <c r="I24" i="36"/>
  <c r="H24" i="36"/>
  <c r="G24" i="36"/>
  <c r="F24" i="36"/>
  <c r="E24" i="36"/>
  <c r="D24" i="36"/>
  <c r="O24" i="36" s="1"/>
  <c r="M23" i="36"/>
  <c r="L23" i="36"/>
  <c r="K23" i="36"/>
  <c r="J23" i="36"/>
  <c r="P23" i="36" s="1"/>
  <c r="I23" i="36"/>
  <c r="H23" i="36"/>
  <c r="G23" i="36"/>
  <c r="F23" i="36"/>
  <c r="E23" i="36"/>
  <c r="D23" i="36"/>
  <c r="O23" i="36" s="1"/>
  <c r="M22" i="36"/>
  <c r="L22" i="36"/>
  <c r="K22" i="36"/>
  <c r="J22" i="36"/>
  <c r="P22" i="36" s="1"/>
  <c r="I22" i="36"/>
  <c r="H22" i="36"/>
  <c r="G22" i="36"/>
  <c r="F22" i="36"/>
  <c r="E22" i="36"/>
  <c r="D22" i="36"/>
  <c r="O22" i="36" s="1"/>
  <c r="M20" i="36"/>
  <c r="L20" i="36"/>
  <c r="K20" i="36"/>
  <c r="J20" i="36"/>
  <c r="P20" i="36" s="1"/>
  <c r="I20" i="36"/>
  <c r="H20" i="36"/>
  <c r="G20" i="36"/>
  <c r="F20" i="36"/>
  <c r="E20" i="36"/>
  <c r="D20" i="36"/>
  <c r="O20" i="36" s="1"/>
  <c r="M16" i="36"/>
  <c r="L16" i="36"/>
  <c r="K16" i="36"/>
  <c r="J16" i="36"/>
  <c r="P16" i="36" s="1"/>
  <c r="I16" i="36"/>
  <c r="H16" i="36"/>
  <c r="G16" i="36"/>
  <c r="F16" i="36"/>
  <c r="E16" i="36"/>
  <c r="D16" i="36"/>
  <c r="M8" i="36"/>
  <c r="L8" i="36"/>
  <c r="K8" i="36"/>
  <c r="J8" i="36"/>
  <c r="P8" i="36" s="1"/>
  <c r="I8" i="36"/>
  <c r="H8" i="36"/>
  <c r="G8" i="36"/>
  <c r="F8" i="36"/>
  <c r="E8" i="36"/>
  <c r="D8" i="36"/>
  <c r="O8" i="36" s="1"/>
  <c r="N138" i="36"/>
  <c r="M138" i="36"/>
  <c r="L138" i="36"/>
  <c r="B114" i="36"/>
  <c r="R89" i="36" s="1"/>
  <c r="F114" i="36" s="1"/>
  <c r="B152" i="36" s="1"/>
  <c r="F76" i="36"/>
  <c r="P41" i="36"/>
  <c r="O41" i="36"/>
  <c r="P40" i="36"/>
  <c r="O40" i="36"/>
  <c r="P39" i="36"/>
  <c r="O39" i="36"/>
  <c r="P38" i="36"/>
  <c r="O38" i="36"/>
  <c r="K48" i="36"/>
  <c r="B62" i="36"/>
  <c r="A49" i="36"/>
  <c r="P21" i="36"/>
  <c r="O21" i="36"/>
  <c r="A48" i="36"/>
  <c r="O19" i="36"/>
  <c r="P19" i="36"/>
  <c r="P18" i="36"/>
  <c r="P17" i="36"/>
  <c r="O17" i="36"/>
  <c r="P15" i="36"/>
  <c r="O15" i="36"/>
  <c r="P14" i="36"/>
  <c r="P13" i="36"/>
  <c r="O13" i="36"/>
  <c r="P12" i="36"/>
  <c r="P11" i="36"/>
  <c r="O11" i="36"/>
  <c r="P10" i="36"/>
  <c r="O9" i="36"/>
  <c r="P9" i="36"/>
  <c r="O7" i="36"/>
  <c r="P7" i="36"/>
  <c r="P6" i="36"/>
  <c r="O6" i="36"/>
  <c r="O5" i="36"/>
  <c r="P5" i="36"/>
  <c r="P4" i="36"/>
  <c r="O4" i="36"/>
  <c r="O3" i="36"/>
  <c r="P2" i="36"/>
  <c r="O2" i="36"/>
  <c r="P42" i="36"/>
  <c r="P89" i="36" s="1"/>
  <c r="P152" i="36" s="1"/>
  <c r="F62" i="36"/>
  <c r="F142" i="35"/>
  <c r="E142" i="35"/>
  <c r="N141" i="35" s="1"/>
  <c r="D142" i="35"/>
  <c r="M141" i="35" s="1"/>
  <c r="C142" i="35"/>
  <c r="F141" i="35"/>
  <c r="E141" i="35"/>
  <c r="N140" i="35" s="1"/>
  <c r="D141" i="35"/>
  <c r="M140" i="35" s="1"/>
  <c r="C141" i="35"/>
  <c r="L140" i="35" s="1"/>
  <c r="F140" i="35"/>
  <c r="E140" i="35"/>
  <c r="N139" i="35" s="1"/>
  <c r="D140" i="35"/>
  <c r="M139" i="35" s="1"/>
  <c r="C140" i="35"/>
  <c r="L139" i="35" s="1"/>
  <c r="F139" i="35"/>
  <c r="E139" i="35"/>
  <c r="D139" i="35"/>
  <c r="C139" i="35"/>
  <c r="F138" i="35"/>
  <c r="E138" i="35"/>
  <c r="D138" i="35"/>
  <c r="C138" i="35"/>
  <c r="F135" i="35"/>
  <c r="E135" i="35"/>
  <c r="D135" i="35"/>
  <c r="C135" i="35"/>
  <c r="F134" i="35"/>
  <c r="E134" i="35"/>
  <c r="D134" i="35"/>
  <c r="C134" i="35"/>
  <c r="F133" i="35"/>
  <c r="E133" i="35"/>
  <c r="D133" i="35"/>
  <c r="C133" i="35"/>
  <c r="F132" i="35"/>
  <c r="E132" i="35"/>
  <c r="D132" i="35"/>
  <c r="C132" i="35"/>
  <c r="F130" i="35"/>
  <c r="E130" i="35"/>
  <c r="D130" i="35"/>
  <c r="C130" i="35"/>
  <c r="F126" i="35"/>
  <c r="E126" i="35"/>
  <c r="D126" i="35"/>
  <c r="C126" i="35"/>
  <c r="M41" i="35"/>
  <c r="L41" i="35"/>
  <c r="K41" i="35"/>
  <c r="J41" i="35"/>
  <c r="I41" i="35"/>
  <c r="H41" i="35"/>
  <c r="G41" i="35"/>
  <c r="F41" i="35"/>
  <c r="E41" i="35"/>
  <c r="D41" i="35"/>
  <c r="M40" i="35"/>
  <c r="L40" i="35"/>
  <c r="K40" i="35"/>
  <c r="J40" i="35"/>
  <c r="I40" i="35"/>
  <c r="H40" i="35"/>
  <c r="G40" i="35"/>
  <c r="F40" i="35"/>
  <c r="E40" i="35"/>
  <c r="M39" i="35"/>
  <c r="L39" i="35"/>
  <c r="K39" i="35"/>
  <c r="J39" i="35"/>
  <c r="I39" i="35"/>
  <c r="H39" i="35"/>
  <c r="G39" i="35"/>
  <c r="F39" i="35"/>
  <c r="E39" i="35"/>
  <c r="D39" i="35"/>
  <c r="M38" i="35"/>
  <c r="L38" i="35"/>
  <c r="K38" i="35"/>
  <c r="J38" i="35"/>
  <c r="I38" i="35"/>
  <c r="H38" i="35"/>
  <c r="G38" i="35"/>
  <c r="F38" i="35"/>
  <c r="E38" i="35"/>
  <c r="D38" i="35"/>
  <c r="M37" i="35"/>
  <c r="L37" i="35"/>
  <c r="K37" i="35"/>
  <c r="J37" i="35"/>
  <c r="P37" i="35" s="1"/>
  <c r="I37" i="35"/>
  <c r="H37" i="35"/>
  <c r="G37" i="35"/>
  <c r="F37" i="35"/>
  <c r="E37" i="35"/>
  <c r="D37" i="35"/>
  <c r="O37" i="35" s="1"/>
  <c r="M36" i="35"/>
  <c r="L36" i="35"/>
  <c r="K36" i="35"/>
  <c r="J36" i="35"/>
  <c r="I36" i="35"/>
  <c r="H36" i="35"/>
  <c r="G36" i="35"/>
  <c r="F36" i="35"/>
  <c r="E36" i="35"/>
  <c r="D36" i="35"/>
  <c r="M35" i="35"/>
  <c r="L35" i="35"/>
  <c r="K35" i="35"/>
  <c r="J35" i="35"/>
  <c r="P35" i="35" s="1"/>
  <c r="I35" i="35"/>
  <c r="H35" i="35"/>
  <c r="G35" i="35"/>
  <c r="F35" i="35"/>
  <c r="E35" i="35"/>
  <c r="D35" i="35"/>
  <c r="O35" i="35" s="1"/>
  <c r="M34" i="35"/>
  <c r="L34" i="35"/>
  <c r="K34" i="35"/>
  <c r="J34" i="35"/>
  <c r="P34" i="35" s="1"/>
  <c r="I34" i="35"/>
  <c r="H34" i="35"/>
  <c r="G34" i="35"/>
  <c r="F34" i="35"/>
  <c r="E34" i="35"/>
  <c r="D34" i="35"/>
  <c r="O34" i="35" s="1"/>
  <c r="M33" i="35"/>
  <c r="L33" i="35"/>
  <c r="K33" i="35"/>
  <c r="J33" i="35"/>
  <c r="P33" i="35" s="1"/>
  <c r="I33" i="35"/>
  <c r="H33" i="35"/>
  <c r="G33" i="35"/>
  <c r="F33" i="35"/>
  <c r="E33" i="35"/>
  <c r="D33" i="35"/>
  <c r="O33" i="35" s="1"/>
  <c r="M32" i="35"/>
  <c r="L32" i="35"/>
  <c r="K32" i="35"/>
  <c r="J32" i="35"/>
  <c r="P32" i="35" s="1"/>
  <c r="I32" i="35"/>
  <c r="H32" i="35"/>
  <c r="G32" i="35"/>
  <c r="F32" i="35"/>
  <c r="E32" i="35"/>
  <c r="D32" i="35"/>
  <c r="O32" i="35" s="1"/>
  <c r="M31" i="35"/>
  <c r="L31" i="35"/>
  <c r="K31" i="35"/>
  <c r="J31" i="35"/>
  <c r="P31" i="35" s="1"/>
  <c r="I31" i="35"/>
  <c r="H31" i="35"/>
  <c r="G31" i="35"/>
  <c r="F31" i="35"/>
  <c r="E31" i="35"/>
  <c r="D31" i="35"/>
  <c r="O31" i="35" s="1"/>
  <c r="M30" i="35"/>
  <c r="L30" i="35"/>
  <c r="K30" i="35"/>
  <c r="J30" i="35"/>
  <c r="P30" i="35" s="1"/>
  <c r="I30" i="35"/>
  <c r="H30" i="35"/>
  <c r="G30" i="35"/>
  <c r="F30" i="35"/>
  <c r="E30" i="35"/>
  <c r="D30" i="35"/>
  <c r="O30" i="35" s="1"/>
  <c r="M29" i="35"/>
  <c r="L29" i="35"/>
  <c r="K29" i="35"/>
  <c r="J29" i="35"/>
  <c r="P29" i="35" s="1"/>
  <c r="I29" i="35"/>
  <c r="H29" i="35"/>
  <c r="G29" i="35"/>
  <c r="F29" i="35"/>
  <c r="E29" i="35"/>
  <c r="D29" i="35"/>
  <c r="O29" i="35" s="1"/>
  <c r="M28" i="35"/>
  <c r="L28" i="35"/>
  <c r="K28" i="35"/>
  <c r="J28" i="35"/>
  <c r="P28" i="35" s="1"/>
  <c r="I28" i="35"/>
  <c r="H28" i="35"/>
  <c r="G28" i="35"/>
  <c r="F28" i="35"/>
  <c r="E28" i="35"/>
  <c r="D28" i="35"/>
  <c r="O28" i="35" s="1"/>
  <c r="M27" i="35"/>
  <c r="L27" i="35"/>
  <c r="K27" i="35"/>
  <c r="J27" i="35"/>
  <c r="P27" i="35" s="1"/>
  <c r="I27" i="35"/>
  <c r="H27" i="35"/>
  <c r="G27" i="35"/>
  <c r="F27" i="35"/>
  <c r="E27" i="35"/>
  <c r="D27" i="35"/>
  <c r="O27" i="35" s="1"/>
  <c r="M26" i="35"/>
  <c r="L26" i="35"/>
  <c r="K26" i="35"/>
  <c r="J26" i="35"/>
  <c r="I26" i="35"/>
  <c r="H26" i="35"/>
  <c r="G26" i="35"/>
  <c r="F26" i="35"/>
  <c r="E26" i="35"/>
  <c r="M25" i="35"/>
  <c r="L25" i="35"/>
  <c r="K25" i="35"/>
  <c r="J25" i="35"/>
  <c r="I25" i="35"/>
  <c r="H25" i="35"/>
  <c r="G25" i="35"/>
  <c r="F25" i="35"/>
  <c r="E25" i="35"/>
  <c r="M24" i="35"/>
  <c r="L24" i="35"/>
  <c r="K24" i="35"/>
  <c r="J24" i="35"/>
  <c r="P24" i="35" s="1"/>
  <c r="I24" i="35"/>
  <c r="H24" i="35"/>
  <c r="G24" i="35"/>
  <c r="F24" i="35"/>
  <c r="E24" i="35"/>
  <c r="D24" i="35"/>
  <c r="O24" i="35" s="1"/>
  <c r="M23" i="35"/>
  <c r="L23" i="35"/>
  <c r="K23" i="35"/>
  <c r="J23" i="35"/>
  <c r="P23" i="35" s="1"/>
  <c r="I23" i="35"/>
  <c r="H23" i="35"/>
  <c r="G23" i="35"/>
  <c r="F23" i="35"/>
  <c r="E23" i="35"/>
  <c r="D23" i="35"/>
  <c r="O23" i="35" s="1"/>
  <c r="M22" i="35"/>
  <c r="L22" i="35"/>
  <c r="K22" i="35"/>
  <c r="J22" i="35"/>
  <c r="P22" i="35" s="1"/>
  <c r="I22" i="35"/>
  <c r="H22" i="35"/>
  <c r="G22" i="35"/>
  <c r="F22" i="35"/>
  <c r="E22" i="35"/>
  <c r="D22" i="35"/>
  <c r="O22" i="35" s="1"/>
  <c r="M20" i="35"/>
  <c r="L20" i="35"/>
  <c r="K20" i="35"/>
  <c r="J20" i="35"/>
  <c r="P20" i="35" s="1"/>
  <c r="I20" i="35"/>
  <c r="H20" i="35"/>
  <c r="G20" i="35"/>
  <c r="F20" i="35"/>
  <c r="E20" i="35"/>
  <c r="D20" i="35"/>
  <c r="O20" i="35" s="1"/>
  <c r="M16" i="35"/>
  <c r="L16" i="35"/>
  <c r="K16" i="35"/>
  <c r="J16" i="35"/>
  <c r="P16" i="35" s="1"/>
  <c r="I16" i="35"/>
  <c r="H16" i="35"/>
  <c r="G16" i="35"/>
  <c r="F16" i="35"/>
  <c r="E16" i="35"/>
  <c r="D16" i="35"/>
  <c r="M8" i="35"/>
  <c r="L8" i="35"/>
  <c r="K8" i="35"/>
  <c r="J8" i="35"/>
  <c r="P8" i="35" s="1"/>
  <c r="I8" i="35"/>
  <c r="H8" i="35"/>
  <c r="G8" i="35"/>
  <c r="F8" i="35"/>
  <c r="E8" i="35"/>
  <c r="D8" i="35"/>
  <c r="O8" i="35" s="1"/>
  <c r="L141" i="35"/>
  <c r="N138" i="35"/>
  <c r="M138" i="35"/>
  <c r="L138" i="35"/>
  <c r="B114" i="35"/>
  <c r="R89" i="35" s="1"/>
  <c r="F114" i="35" s="1"/>
  <c r="B152" i="35" s="1"/>
  <c r="F76" i="35"/>
  <c r="P41" i="35"/>
  <c r="O41" i="35"/>
  <c r="P40" i="35"/>
  <c r="O40" i="35"/>
  <c r="P39" i="35"/>
  <c r="O39" i="35"/>
  <c r="P38" i="35"/>
  <c r="O38" i="35"/>
  <c r="K48" i="35"/>
  <c r="B62" i="35"/>
  <c r="A49" i="35"/>
  <c r="P21" i="35"/>
  <c r="O21" i="35"/>
  <c r="A48" i="35"/>
  <c r="O19" i="35"/>
  <c r="P19" i="35"/>
  <c r="P18" i="35"/>
  <c r="P17" i="35"/>
  <c r="O17" i="35"/>
  <c r="P15" i="35"/>
  <c r="O15" i="35"/>
  <c r="P14" i="35"/>
  <c r="P13" i="35"/>
  <c r="O13" i="35"/>
  <c r="P12" i="35"/>
  <c r="P11" i="35"/>
  <c r="O11" i="35"/>
  <c r="P10" i="35"/>
  <c r="O9" i="35"/>
  <c r="P9" i="35"/>
  <c r="O7" i="35"/>
  <c r="P7" i="35"/>
  <c r="P6" i="35"/>
  <c r="O6" i="35"/>
  <c r="O5" i="35"/>
  <c r="P5" i="35"/>
  <c r="P4" i="35"/>
  <c r="O4" i="35"/>
  <c r="O3" i="35"/>
  <c r="P2" i="35"/>
  <c r="O2" i="35"/>
  <c r="P42" i="35"/>
  <c r="P89" i="35" s="1"/>
  <c r="P152" i="35" s="1"/>
  <c r="F62" i="35"/>
  <c r="F142" i="34"/>
  <c r="E142" i="34"/>
  <c r="N141" i="34" s="1"/>
  <c r="D142" i="34"/>
  <c r="M141" i="34" s="1"/>
  <c r="C142" i="34"/>
  <c r="L141" i="34" s="1"/>
  <c r="F141" i="34"/>
  <c r="E141" i="34"/>
  <c r="N140" i="34" s="1"/>
  <c r="D141" i="34"/>
  <c r="M140" i="34" s="1"/>
  <c r="C141" i="34"/>
  <c r="L140" i="34" s="1"/>
  <c r="F140" i="34"/>
  <c r="E140" i="34"/>
  <c r="N139" i="34" s="1"/>
  <c r="D140" i="34"/>
  <c r="M139" i="34" s="1"/>
  <c r="M143" i="34" s="1"/>
  <c r="C140" i="34"/>
  <c r="L139" i="34" s="1"/>
  <c r="F139" i="34"/>
  <c r="E139" i="34"/>
  <c r="D139" i="34"/>
  <c r="C139" i="34"/>
  <c r="F138" i="34"/>
  <c r="E138" i="34"/>
  <c r="D138" i="34"/>
  <c r="C138" i="34"/>
  <c r="F135" i="34"/>
  <c r="E135" i="34"/>
  <c r="D135" i="34"/>
  <c r="C135" i="34"/>
  <c r="F134" i="34"/>
  <c r="E134" i="34"/>
  <c r="D134" i="34"/>
  <c r="C134" i="34"/>
  <c r="F133" i="34"/>
  <c r="E133" i="34"/>
  <c r="D133" i="34"/>
  <c r="C133" i="34"/>
  <c r="F132" i="34"/>
  <c r="E132" i="34"/>
  <c r="D132" i="34"/>
  <c r="C132" i="34"/>
  <c r="F130" i="34"/>
  <c r="E130" i="34"/>
  <c r="D130" i="34"/>
  <c r="C130" i="34"/>
  <c r="F126" i="34"/>
  <c r="E126" i="34"/>
  <c r="D126" i="34"/>
  <c r="C126" i="34"/>
  <c r="M41" i="34"/>
  <c r="L41" i="34"/>
  <c r="K41" i="34"/>
  <c r="J41" i="34"/>
  <c r="I41" i="34"/>
  <c r="H41" i="34"/>
  <c r="G41" i="34"/>
  <c r="F41" i="34"/>
  <c r="E41" i="34"/>
  <c r="D41" i="34"/>
  <c r="M40" i="34"/>
  <c r="L40" i="34"/>
  <c r="K40" i="34"/>
  <c r="J40" i="34"/>
  <c r="I40" i="34"/>
  <c r="H40" i="34"/>
  <c r="G40" i="34"/>
  <c r="F40" i="34"/>
  <c r="E40" i="34"/>
  <c r="M39" i="34"/>
  <c r="L39" i="34"/>
  <c r="K39" i="34"/>
  <c r="J39" i="34"/>
  <c r="I39" i="34"/>
  <c r="H39" i="34"/>
  <c r="G39" i="34"/>
  <c r="F39" i="34"/>
  <c r="E39" i="34"/>
  <c r="D39" i="34"/>
  <c r="M38" i="34"/>
  <c r="L38" i="34"/>
  <c r="K38" i="34"/>
  <c r="J38" i="34"/>
  <c r="I38" i="34"/>
  <c r="H38" i="34"/>
  <c r="G38" i="34"/>
  <c r="F38" i="34"/>
  <c r="E38" i="34"/>
  <c r="D38" i="34"/>
  <c r="M37" i="34"/>
  <c r="L37" i="34"/>
  <c r="K37" i="34"/>
  <c r="J37" i="34"/>
  <c r="P37" i="34" s="1"/>
  <c r="I37" i="34"/>
  <c r="H37" i="34"/>
  <c r="G37" i="34"/>
  <c r="F37" i="34"/>
  <c r="E37" i="34"/>
  <c r="D37" i="34"/>
  <c r="O37" i="34" s="1"/>
  <c r="M36" i="34"/>
  <c r="L36" i="34"/>
  <c r="K36" i="34"/>
  <c r="J36" i="34"/>
  <c r="I36" i="34"/>
  <c r="H36" i="34"/>
  <c r="G36" i="34"/>
  <c r="F36" i="34"/>
  <c r="E36" i="34"/>
  <c r="D36" i="34"/>
  <c r="M35" i="34"/>
  <c r="L35" i="34"/>
  <c r="K35" i="34"/>
  <c r="J35" i="34"/>
  <c r="P35" i="34" s="1"/>
  <c r="I35" i="34"/>
  <c r="H35" i="34"/>
  <c r="G35" i="34"/>
  <c r="F35" i="34"/>
  <c r="E35" i="34"/>
  <c r="D35" i="34"/>
  <c r="O35" i="34" s="1"/>
  <c r="M34" i="34"/>
  <c r="L34" i="34"/>
  <c r="K34" i="34"/>
  <c r="J34" i="34"/>
  <c r="P34" i="34" s="1"/>
  <c r="I34" i="34"/>
  <c r="H34" i="34"/>
  <c r="G34" i="34"/>
  <c r="F34" i="34"/>
  <c r="E34" i="34"/>
  <c r="D34" i="34"/>
  <c r="O34" i="34" s="1"/>
  <c r="M33" i="34"/>
  <c r="L33" i="34"/>
  <c r="K33" i="34"/>
  <c r="J33" i="34"/>
  <c r="P33" i="34" s="1"/>
  <c r="I33" i="34"/>
  <c r="H33" i="34"/>
  <c r="G33" i="34"/>
  <c r="F33" i="34"/>
  <c r="E33" i="34"/>
  <c r="D33" i="34"/>
  <c r="O33" i="34" s="1"/>
  <c r="M32" i="34"/>
  <c r="L32" i="34"/>
  <c r="K32" i="34"/>
  <c r="J32" i="34"/>
  <c r="P32" i="34" s="1"/>
  <c r="I32" i="34"/>
  <c r="H32" i="34"/>
  <c r="G32" i="34"/>
  <c r="F32" i="34"/>
  <c r="E32" i="34"/>
  <c r="D32" i="34"/>
  <c r="O32" i="34" s="1"/>
  <c r="M31" i="34"/>
  <c r="L31" i="34"/>
  <c r="K31" i="34"/>
  <c r="J31" i="34"/>
  <c r="P31" i="34" s="1"/>
  <c r="I31" i="34"/>
  <c r="H31" i="34"/>
  <c r="G31" i="34"/>
  <c r="F31" i="34"/>
  <c r="E31" i="34"/>
  <c r="D31" i="34"/>
  <c r="O31" i="34" s="1"/>
  <c r="M30" i="34"/>
  <c r="L30" i="34"/>
  <c r="K30" i="34"/>
  <c r="J30" i="34"/>
  <c r="P30" i="34" s="1"/>
  <c r="I30" i="34"/>
  <c r="H30" i="34"/>
  <c r="G30" i="34"/>
  <c r="F30" i="34"/>
  <c r="E30" i="34"/>
  <c r="D30" i="34"/>
  <c r="O30" i="34" s="1"/>
  <c r="M29" i="34"/>
  <c r="L29" i="34"/>
  <c r="K29" i="34"/>
  <c r="J29" i="34"/>
  <c r="P29" i="34" s="1"/>
  <c r="I29" i="34"/>
  <c r="H29" i="34"/>
  <c r="G29" i="34"/>
  <c r="F29" i="34"/>
  <c r="E29" i="34"/>
  <c r="D29" i="34"/>
  <c r="O29" i="34" s="1"/>
  <c r="M28" i="34"/>
  <c r="L28" i="34"/>
  <c r="K28" i="34"/>
  <c r="J28" i="34"/>
  <c r="P28" i="34" s="1"/>
  <c r="I28" i="34"/>
  <c r="H28" i="34"/>
  <c r="G28" i="34"/>
  <c r="F28" i="34"/>
  <c r="E28" i="34"/>
  <c r="D28" i="34"/>
  <c r="O28" i="34" s="1"/>
  <c r="M27" i="34"/>
  <c r="L27" i="34"/>
  <c r="K27" i="34"/>
  <c r="J27" i="34"/>
  <c r="P27" i="34" s="1"/>
  <c r="I27" i="34"/>
  <c r="H27" i="34"/>
  <c r="G27" i="34"/>
  <c r="F27" i="34"/>
  <c r="E27" i="34"/>
  <c r="D27" i="34"/>
  <c r="O27" i="34" s="1"/>
  <c r="M26" i="34"/>
  <c r="L26" i="34"/>
  <c r="K26" i="34"/>
  <c r="J26" i="34"/>
  <c r="I26" i="34"/>
  <c r="H26" i="34"/>
  <c r="G26" i="34"/>
  <c r="F26" i="34"/>
  <c r="E26" i="34"/>
  <c r="M25" i="34"/>
  <c r="L25" i="34"/>
  <c r="K25" i="34"/>
  <c r="J25" i="34"/>
  <c r="I25" i="34"/>
  <c r="H25" i="34"/>
  <c r="G25" i="34"/>
  <c r="F25" i="34"/>
  <c r="E25" i="34"/>
  <c r="M24" i="34"/>
  <c r="L24" i="34"/>
  <c r="K24" i="34"/>
  <c r="J24" i="34"/>
  <c r="P24" i="34" s="1"/>
  <c r="I24" i="34"/>
  <c r="H24" i="34"/>
  <c r="G24" i="34"/>
  <c r="F24" i="34"/>
  <c r="E24" i="34"/>
  <c r="D24" i="34"/>
  <c r="O24" i="34" s="1"/>
  <c r="M23" i="34"/>
  <c r="L23" i="34"/>
  <c r="K23" i="34"/>
  <c r="J23" i="34"/>
  <c r="P23" i="34" s="1"/>
  <c r="I23" i="34"/>
  <c r="H23" i="34"/>
  <c r="G23" i="34"/>
  <c r="F23" i="34"/>
  <c r="E23" i="34"/>
  <c r="D23" i="34"/>
  <c r="O23" i="34" s="1"/>
  <c r="M22" i="34"/>
  <c r="L22" i="34"/>
  <c r="K22" i="34"/>
  <c r="J22" i="34"/>
  <c r="P22" i="34" s="1"/>
  <c r="I22" i="34"/>
  <c r="H22" i="34"/>
  <c r="G22" i="34"/>
  <c r="F22" i="34"/>
  <c r="E22" i="34"/>
  <c r="D22" i="34"/>
  <c r="O22" i="34" s="1"/>
  <c r="M20" i="34"/>
  <c r="L20" i="34"/>
  <c r="K20" i="34"/>
  <c r="J20" i="34"/>
  <c r="P20" i="34" s="1"/>
  <c r="I20" i="34"/>
  <c r="H20" i="34"/>
  <c r="G20" i="34"/>
  <c r="F20" i="34"/>
  <c r="E20" i="34"/>
  <c r="D20" i="34"/>
  <c r="O20" i="34" s="1"/>
  <c r="M16" i="34"/>
  <c r="L16" i="34"/>
  <c r="K16" i="34"/>
  <c r="J16" i="34"/>
  <c r="P16" i="34" s="1"/>
  <c r="I16" i="34"/>
  <c r="H16" i="34"/>
  <c r="G16" i="34"/>
  <c r="F16" i="34"/>
  <c r="E16" i="34"/>
  <c r="D16" i="34"/>
  <c r="M8" i="34"/>
  <c r="L8" i="34"/>
  <c r="K8" i="34"/>
  <c r="J8" i="34"/>
  <c r="P8" i="34" s="1"/>
  <c r="I8" i="34"/>
  <c r="H8" i="34"/>
  <c r="G8" i="34"/>
  <c r="F8" i="34"/>
  <c r="E8" i="34"/>
  <c r="D8" i="34"/>
  <c r="O8" i="34" s="1"/>
  <c r="N138" i="34"/>
  <c r="M138" i="34"/>
  <c r="L138" i="34"/>
  <c r="B114" i="34"/>
  <c r="R89" i="34" s="1"/>
  <c r="F114" i="34" s="1"/>
  <c r="B152" i="34" s="1"/>
  <c r="F76" i="34"/>
  <c r="P41" i="34"/>
  <c r="O41" i="34"/>
  <c r="P40" i="34"/>
  <c r="O40" i="34"/>
  <c r="P39" i="34"/>
  <c r="O39" i="34"/>
  <c r="P38" i="34"/>
  <c r="O38" i="34"/>
  <c r="K48" i="34"/>
  <c r="B62" i="34"/>
  <c r="A49" i="34"/>
  <c r="P21" i="34"/>
  <c r="O21" i="34"/>
  <c r="A48" i="34"/>
  <c r="P19" i="34"/>
  <c r="P18" i="34"/>
  <c r="P17" i="34"/>
  <c r="P15" i="34"/>
  <c r="P14" i="34"/>
  <c r="P13" i="34"/>
  <c r="P12" i="34"/>
  <c r="P11" i="34"/>
  <c r="P10" i="34"/>
  <c r="O9" i="34"/>
  <c r="P9" i="34"/>
  <c r="O7" i="34"/>
  <c r="P7" i="34"/>
  <c r="P6" i="34"/>
  <c r="O6" i="34"/>
  <c r="O5" i="34"/>
  <c r="P5" i="34"/>
  <c r="P4" i="34"/>
  <c r="O4" i="34"/>
  <c r="O3" i="34"/>
  <c r="P2" i="34"/>
  <c r="O2" i="34"/>
  <c r="P42" i="34"/>
  <c r="P89" i="34" s="1"/>
  <c r="P152" i="34" s="1"/>
  <c r="F62" i="34"/>
  <c r="F142" i="33"/>
  <c r="E142" i="33"/>
  <c r="N141" i="33" s="1"/>
  <c r="D142" i="33"/>
  <c r="M141" i="33" s="1"/>
  <c r="C142" i="33"/>
  <c r="L141" i="33" s="1"/>
  <c r="F141" i="33"/>
  <c r="E141" i="33"/>
  <c r="N140" i="33" s="1"/>
  <c r="D141" i="33"/>
  <c r="M140" i="33" s="1"/>
  <c r="C141" i="33"/>
  <c r="L140" i="33" s="1"/>
  <c r="F140" i="33"/>
  <c r="E140" i="33"/>
  <c r="N139" i="33" s="1"/>
  <c r="D140" i="33"/>
  <c r="M139" i="33" s="1"/>
  <c r="C140" i="33"/>
  <c r="L139" i="33" s="1"/>
  <c r="F139" i="33"/>
  <c r="E139" i="33"/>
  <c r="D139" i="33"/>
  <c r="C139" i="33"/>
  <c r="F138" i="33"/>
  <c r="E138" i="33"/>
  <c r="D138" i="33"/>
  <c r="C138" i="33"/>
  <c r="F135" i="33"/>
  <c r="E135" i="33"/>
  <c r="D135" i="33"/>
  <c r="C135" i="33"/>
  <c r="F134" i="33"/>
  <c r="E134" i="33"/>
  <c r="D134" i="33"/>
  <c r="C134" i="33"/>
  <c r="F133" i="33"/>
  <c r="E133" i="33"/>
  <c r="D133" i="33"/>
  <c r="C133" i="33"/>
  <c r="F132" i="33"/>
  <c r="E132" i="33"/>
  <c r="D132" i="33"/>
  <c r="C132" i="33"/>
  <c r="F130" i="33"/>
  <c r="E130" i="33"/>
  <c r="D130" i="33"/>
  <c r="C130" i="33"/>
  <c r="F126" i="33"/>
  <c r="E126" i="33"/>
  <c r="D126" i="33"/>
  <c r="C126" i="33"/>
  <c r="M41" i="33"/>
  <c r="L41" i="33"/>
  <c r="K41" i="33"/>
  <c r="J41" i="33"/>
  <c r="I41" i="33"/>
  <c r="H41" i="33"/>
  <c r="G41" i="33"/>
  <c r="F41" i="33"/>
  <c r="E41" i="33"/>
  <c r="D41" i="33"/>
  <c r="M40" i="33"/>
  <c r="L40" i="33"/>
  <c r="K40" i="33"/>
  <c r="J40" i="33"/>
  <c r="I40" i="33"/>
  <c r="H40" i="33"/>
  <c r="G40" i="33"/>
  <c r="F40" i="33"/>
  <c r="E40" i="33"/>
  <c r="M39" i="33"/>
  <c r="L39" i="33"/>
  <c r="K39" i="33"/>
  <c r="J39" i="33"/>
  <c r="I39" i="33"/>
  <c r="H39" i="33"/>
  <c r="G39" i="33"/>
  <c r="F39" i="33"/>
  <c r="E39" i="33"/>
  <c r="D39" i="33"/>
  <c r="M38" i="33"/>
  <c r="L38" i="33"/>
  <c r="K38" i="33"/>
  <c r="J38" i="33"/>
  <c r="I38" i="33"/>
  <c r="H38" i="33"/>
  <c r="G38" i="33"/>
  <c r="F38" i="33"/>
  <c r="E38" i="33"/>
  <c r="D38" i="33"/>
  <c r="M37" i="33"/>
  <c r="L37" i="33"/>
  <c r="K37" i="33"/>
  <c r="J37" i="33"/>
  <c r="P37" i="33" s="1"/>
  <c r="I37" i="33"/>
  <c r="H37" i="33"/>
  <c r="G37" i="33"/>
  <c r="F37" i="33"/>
  <c r="E37" i="33"/>
  <c r="D37" i="33"/>
  <c r="O37" i="33" s="1"/>
  <c r="M36" i="33"/>
  <c r="L36" i="33"/>
  <c r="K36" i="33"/>
  <c r="J36" i="33"/>
  <c r="I36" i="33"/>
  <c r="H36" i="33"/>
  <c r="G36" i="33"/>
  <c r="F36" i="33"/>
  <c r="E36" i="33"/>
  <c r="D36" i="33"/>
  <c r="M35" i="33"/>
  <c r="L35" i="33"/>
  <c r="K35" i="33"/>
  <c r="J35" i="33"/>
  <c r="P35" i="33" s="1"/>
  <c r="I35" i="33"/>
  <c r="H35" i="33"/>
  <c r="G35" i="33"/>
  <c r="F35" i="33"/>
  <c r="E35" i="33"/>
  <c r="D35" i="33"/>
  <c r="O35" i="33" s="1"/>
  <c r="M34" i="33"/>
  <c r="L34" i="33"/>
  <c r="K34" i="33"/>
  <c r="J34" i="33"/>
  <c r="P34" i="33" s="1"/>
  <c r="I34" i="33"/>
  <c r="H34" i="33"/>
  <c r="G34" i="33"/>
  <c r="F34" i="33"/>
  <c r="E34" i="33"/>
  <c r="D34" i="33"/>
  <c r="O34" i="33" s="1"/>
  <c r="M33" i="33"/>
  <c r="L33" i="33"/>
  <c r="K33" i="33"/>
  <c r="J33" i="33"/>
  <c r="P33" i="33" s="1"/>
  <c r="I33" i="33"/>
  <c r="H33" i="33"/>
  <c r="G33" i="33"/>
  <c r="F33" i="33"/>
  <c r="E33" i="33"/>
  <c r="D33" i="33"/>
  <c r="O33" i="33" s="1"/>
  <c r="M32" i="33"/>
  <c r="L32" i="33"/>
  <c r="K32" i="33"/>
  <c r="J32" i="33"/>
  <c r="P32" i="33" s="1"/>
  <c r="I32" i="33"/>
  <c r="H32" i="33"/>
  <c r="G32" i="33"/>
  <c r="F32" i="33"/>
  <c r="E32" i="33"/>
  <c r="D32" i="33"/>
  <c r="O32" i="33" s="1"/>
  <c r="M31" i="33"/>
  <c r="L31" i="33"/>
  <c r="K31" i="33"/>
  <c r="J31" i="33"/>
  <c r="P31" i="33" s="1"/>
  <c r="I31" i="33"/>
  <c r="H31" i="33"/>
  <c r="G31" i="33"/>
  <c r="F31" i="33"/>
  <c r="E31" i="33"/>
  <c r="D31" i="33"/>
  <c r="O31" i="33" s="1"/>
  <c r="M30" i="33"/>
  <c r="L30" i="33"/>
  <c r="K30" i="33"/>
  <c r="J30" i="33"/>
  <c r="P30" i="33" s="1"/>
  <c r="I30" i="33"/>
  <c r="H30" i="33"/>
  <c r="G30" i="33"/>
  <c r="F30" i="33"/>
  <c r="E30" i="33"/>
  <c r="D30" i="33"/>
  <c r="O30" i="33" s="1"/>
  <c r="M29" i="33"/>
  <c r="L29" i="33"/>
  <c r="K29" i="33"/>
  <c r="J29" i="33"/>
  <c r="P29" i="33" s="1"/>
  <c r="I29" i="33"/>
  <c r="H29" i="33"/>
  <c r="G29" i="33"/>
  <c r="F29" i="33"/>
  <c r="E29" i="33"/>
  <c r="D29" i="33"/>
  <c r="O29" i="33" s="1"/>
  <c r="M28" i="33"/>
  <c r="L28" i="33"/>
  <c r="K28" i="33"/>
  <c r="J28" i="33"/>
  <c r="P28" i="33" s="1"/>
  <c r="I28" i="33"/>
  <c r="H28" i="33"/>
  <c r="G28" i="33"/>
  <c r="F28" i="33"/>
  <c r="E28" i="33"/>
  <c r="D28" i="33"/>
  <c r="O28" i="33" s="1"/>
  <c r="M27" i="33"/>
  <c r="L27" i="33"/>
  <c r="K27" i="33"/>
  <c r="J27" i="33"/>
  <c r="P27" i="33" s="1"/>
  <c r="I27" i="33"/>
  <c r="H27" i="33"/>
  <c r="G27" i="33"/>
  <c r="F27" i="33"/>
  <c r="E27" i="33"/>
  <c r="D27" i="33"/>
  <c r="O27" i="33" s="1"/>
  <c r="M26" i="33"/>
  <c r="L26" i="33"/>
  <c r="K26" i="33"/>
  <c r="J26" i="33"/>
  <c r="I26" i="33"/>
  <c r="H26" i="33"/>
  <c r="G26" i="33"/>
  <c r="F26" i="33"/>
  <c r="E26" i="33"/>
  <c r="M25" i="33"/>
  <c r="L25" i="33"/>
  <c r="K25" i="33"/>
  <c r="J25" i="33"/>
  <c r="I25" i="33"/>
  <c r="H25" i="33"/>
  <c r="G25" i="33"/>
  <c r="F25" i="33"/>
  <c r="E25" i="33"/>
  <c r="M24" i="33"/>
  <c r="L24" i="33"/>
  <c r="K24" i="33"/>
  <c r="J24" i="33"/>
  <c r="P24" i="33" s="1"/>
  <c r="I24" i="33"/>
  <c r="H24" i="33"/>
  <c r="G24" i="33"/>
  <c r="F24" i="33"/>
  <c r="E24" i="33"/>
  <c r="D24" i="33"/>
  <c r="O24" i="33" s="1"/>
  <c r="M23" i="33"/>
  <c r="L23" i="33"/>
  <c r="K23" i="33"/>
  <c r="J23" i="33"/>
  <c r="P23" i="33" s="1"/>
  <c r="I23" i="33"/>
  <c r="H23" i="33"/>
  <c r="G23" i="33"/>
  <c r="F23" i="33"/>
  <c r="E23" i="33"/>
  <c r="D23" i="33"/>
  <c r="O23" i="33" s="1"/>
  <c r="M22" i="33"/>
  <c r="L22" i="33"/>
  <c r="K22" i="33"/>
  <c r="J22" i="33"/>
  <c r="P22" i="33" s="1"/>
  <c r="I22" i="33"/>
  <c r="H22" i="33"/>
  <c r="G22" i="33"/>
  <c r="F22" i="33"/>
  <c r="E22" i="33"/>
  <c r="D22" i="33"/>
  <c r="O22" i="33" s="1"/>
  <c r="M20" i="33"/>
  <c r="L20" i="33"/>
  <c r="K20" i="33"/>
  <c r="J20" i="33"/>
  <c r="P20" i="33" s="1"/>
  <c r="I20" i="33"/>
  <c r="H20" i="33"/>
  <c r="G20" i="33"/>
  <c r="F20" i="33"/>
  <c r="E20" i="33"/>
  <c r="D20" i="33"/>
  <c r="O20" i="33" s="1"/>
  <c r="M16" i="33"/>
  <c r="L16" i="33"/>
  <c r="K16" i="33"/>
  <c r="J16" i="33"/>
  <c r="P16" i="33" s="1"/>
  <c r="I16" i="33"/>
  <c r="H16" i="33"/>
  <c r="G16" i="33"/>
  <c r="F16" i="33"/>
  <c r="E16" i="33"/>
  <c r="D16" i="33"/>
  <c r="M8" i="33"/>
  <c r="L8" i="33"/>
  <c r="K8" i="33"/>
  <c r="J8" i="33"/>
  <c r="P8" i="33" s="1"/>
  <c r="I8" i="33"/>
  <c r="H8" i="33"/>
  <c r="G8" i="33"/>
  <c r="F8" i="33"/>
  <c r="E8" i="33"/>
  <c r="D8" i="33"/>
  <c r="O8" i="33" s="1"/>
  <c r="N138" i="33"/>
  <c r="M138" i="33"/>
  <c r="L138" i="33"/>
  <c r="B114" i="33"/>
  <c r="R89" i="33" s="1"/>
  <c r="F114" i="33" s="1"/>
  <c r="B152" i="33" s="1"/>
  <c r="F76" i="33"/>
  <c r="P41" i="33"/>
  <c r="O41" i="33"/>
  <c r="P40" i="33"/>
  <c r="O40" i="33"/>
  <c r="P39" i="33"/>
  <c r="O39" i="33"/>
  <c r="P38" i="33"/>
  <c r="O38" i="33"/>
  <c r="K48" i="33"/>
  <c r="B62" i="33"/>
  <c r="A49" i="33"/>
  <c r="P21" i="33"/>
  <c r="O21" i="33"/>
  <c r="A48" i="33"/>
  <c r="P19" i="33"/>
  <c r="P18" i="33"/>
  <c r="P17" i="33"/>
  <c r="P15" i="33"/>
  <c r="P14" i="33"/>
  <c r="O13" i="33"/>
  <c r="P13" i="33"/>
  <c r="P12" i="33"/>
  <c r="P11" i="33"/>
  <c r="O11" i="33"/>
  <c r="P10" i="33"/>
  <c r="O9" i="33"/>
  <c r="P9" i="33"/>
  <c r="O7" i="33"/>
  <c r="P7" i="33"/>
  <c r="P6" i="33"/>
  <c r="O6" i="33"/>
  <c r="O5" i="33"/>
  <c r="P5" i="33"/>
  <c r="P4" i="33"/>
  <c r="O4" i="33"/>
  <c r="O3" i="33"/>
  <c r="P2" i="33"/>
  <c r="O2" i="33"/>
  <c r="P42" i="33"/>
  <c r="P89" i="33" s="1"/>
  <c r="P152" i="33" s="1"/>
  <c r="F62" i="33"/>
  <c r="F142" i="32"/>
  <c r="E142" i="32"/>
  <c r="D142" i="32"/>
  <c r="C142" i="32"/>
  <c r="F141" i="32"/>
  <c r="E141" i="32"/>
  <c r="N140" i="32" s="1"/>
  <c r="D141" i="32"/>
  <c r="M140" i="32" s="1"/>
  <c r="C141" i="32"/>
  <c r="L140" i="32" s="1"/>
  <c r="F140" i="32"/>
  <c r="E140" i="32"/>
  <c r="N139" i="32" s="1"/>
  <c r="D140" i="32"/>
  <c r="M139" i="32" s="1"/>
  <c r="C140" i="32"/>
  <c r="L139" i="32" s="1"/>
  <c r="F139" i="32"/>
  <c r="E139" i="32"/>
  <c r="D139" i="32"/>
  <c r="C139" i="32"/>
  <c r="F138" i="32"/>
  <c r="E138" i="32"/>
  <c r="D138" i="32"/>
  <c r="C138" i="32"/>
  <c r="F135" i="32"/>
  <c r="E135" i="32"/>
  <c r="D135" i="32"/>
  <c r="C135" i="32"/>
  <c r="F134" i="32"/>
  <c r="E134" i="32"/>
  <c r="D134" i="32"/>
  <c r="C134" i="32"/>
  <c r="F133" i="32"/>
  <c r="E133" i="32"/>
  <c r="D133" i="32"/>
  <c r="C133" i="32"/>
  <c r="F132" i="32"/>
  <c r="E132" i="32"/>
  <c r="D132" i="32"/>
  <c r="C132" i="32"/>
  <c r="F130" i="32"/>
  <c r="E130" i="32"/>
  <c r="D130" i="32"/>
  <c r="C130" i="32"/>
  <c r="F126" i="32"/>
  <c r="E126" i="32"/>
  <c r="D126" i="32"/>
  <c r="C126" i="32"/>
  <c r="M41" i="32"/>
  <c r="L41" i="32"/>
  <c r="K41" i="32"/>
  <c r="J41" i="32"/>
  <c r="I41" i="32"/>
  <c r="H41" i="32"/>
  <c r="G41" i="32"/>
  <c r="F41" i="32"/>
  <c r="E41" i="32"/>
  <c r="D41" i="32"/>
  <c r="M40" i="32"/>
  <c r="L40" i="32"/>
  <c r="K40" i="32"/>
  <c r="J40" i="32"/>
  <c r="I40" i="32"/>
  <c r="H40" i="32"/>
  <c r="G40" i="32"/>
  <c r="F40" i="32"/>
  <c r="E40" i="32"/>
  <c r="M39" i="32"/>
  <c r="L39" i="32"/>
  <c r="K39" i="32"/>
  <c r="J39" i="32"/>
  <c r="I39" i="32"/>
  <c r="H39" i="32"/>
  <c r="G39" i="32"/>
  <c r="F39" i="32"/>
  <c r="E39" i="32"/>
  <c r="D39" i="32"/>
  <c r="M38" i="32"/>
  <c r="L38" i="32"/>
  <c r="K38" i="32"/>
  <c r="J38" i="32"/>
  <c r="I38" i="32"/>
  <c r="H38" i="32"/>
  <c r="G38" i="32"/>
  <c r="F38" i="32"/>
  <c r="E38" i="32"/>
  <c r="D38" i="32"/>
  <c r="M37" i="32"/>
  <c r="L37" i="32"/>
  <c r="K37" i="32"/>
  <c r="J37" i="32"/>
  <c r="P37" i="32" s="1"/>
  <c r="I37" i="32"/>
  <c r="H37" i="32"/>
  <c r="G37" i="32"/>
  <c r="F37" i="32"/>
  <c r="E37" i="32"/>
  <c r="D37" i="32"/>
  <c r="O37" i="32" s="1"/>
  <c r="M36" i="32"/>
  <c r="L36" i="32"/>
  <c r="K36" i="32"/>
  <c r="J36" i="32"/>
  <c r="P36" i="32" s="1"/>
  <c r="I36" i="32"/>
  <c r="H36" i="32"/>
  <c r="G36" i="32"/>
  <c r="F36" i="32"/>
  <c r="E36" i="32"/>
  <c r="D36" i="32"/>
  <c r="O36" i="32" s="1"/>
  <c r="M35" i="32"/>
  <c r="L35" i="32"/>
  <c r="K35" i="32"/>
  <c r="J35" i="32"/>
  <c r="P35" i="32" s="1"/>
  <c r="I35" i="32"/>
  <c r="H35" i="32"/>
  <c r="G35" i="32"/>
  <c r="F35" i="32"/>
  <c r="E35" i="32"/>
  <c r="D35" i="32"/>
  <c r="O35" i="32" s="1"/>
  <c r="M34" i="32"/>
  <c r="L34" i="32"/>
  <c r="K34" i="32"/>
  <c r="J34" i="32"/>
  <c r="P34" i="32" s="1"/>
  <c r="I34" i="32"/>
  <c r="H34" i="32"/>
  <c r="G34" i="32"/>
  <c r="F34" i="32"/>
  <c r="E34" i="32"/>
  <c r="D34" i="32"/>
  <c r="O34" i="32" s="1"/>
  <c r="M33" i="32"/>
  <c r="L33" i="32"/>
  <c r="K33" i="32"/>
  <c r="J33" i="32"/>
  <c r="P33" i="32" s="1"/>
  <c r="I33" i="32"/>
  <c r="H33" i="32"/>
  <c r="G33" i="32"/>
  <c r="F33" i="32"/>
  <c r="E33" i="32"/>
  <c r="D33" i="32"/>
  <c r="O33" i="32" s="1"/>
  <c r="M32" i="32"/>
  <c r="L32" i="32"/>
  <c r="K32" i="32"/>
  <c r="J32" i="32"/>
  <c r="P32" i="32" s="1"/>
  <c r="I32" i="32"/>
  <c r="H32" i="32"/>
  <c r="G32" i="32"/>
  <c r="F32" i="32"/>
  <c r="E32" i="32"/>
  <c r="D32" i="32"/>
  <c r="O32" i="32" s="1"/>
  <c r="M31" i="32"/>
  <c r="L31" i="32"/>
  <c r="K31" i="32"/>
  <c r="J31" i="32"/>
  <c r="P31" i="32" s="1"/>
  <c r="I31" i="32"/>
  <c r="H31" i="32"/>
  <c r="G31" i="32"/>
  <c r="F31" i="32"/>
  <c r="E31" i="32"/>
  <c r="D31" i="32"/>
  <c r="O31" i="32" s="1"/>
  <c r="M30" i="32"/>
  <c r="L30" i="32"/>
  <c r="K30" i="32"/>
  <c r="J30" i="32"/>
  <c r="P30" i="32" s="1"/>
  <c r="I30" i="32"/>
  <c r="H30" i="32"/>
  <c r="G30" i="32"/>
  <c r="F30" i="32"/>
  <c r="E30" i="32"/>
  <c r="D30" i="32"/>
  <c r="O30" i="32" s="1"/>
  <c r="M29" i="32"/>
  <c r="L29" i="32"/>
  <c r="K29" i="32"/>
  <c r="J29" i="32"/>
  <c r="P29" i="32" s="1"/>
  <c r="I29" i="32"/>
  <c r="H29" i="32"/>
  <c r="G29" i="32"/>
  <c r="F29" i="32"/>
  <c r="E29" i="32"/>
  <c r="D29" i="32"/>
  <c r="O29" i="32" s="1"/>
  <c r="M28" i="32"/>
  <c r="L28" i="32"/>
  <c r="K28" i="32"/>
  <c r="J28" i="32"/>
  <c r="P28" i="32" s="1"/>
  <c r="I28" i="32"/>
  <c r="H28" i="32"/>
  <c r="G28" i="32"/>
  <c r="F28" i="32"/>
  <c r="M27" i="32"/>
  <c r="L27" i="32"/>
  <c r="K27" i="32"/>
  <c r="J27" i="32"/>
  <c r="P27" i="32" s="1"/>
  <c r="I27" i="32"/>
  <c r="H27" i="32"/>
  <c r="G27" i="32"/>
  <c r="F27" i="32"/>
  <c r="E27" i="32"/>
  <c r="D27" i="32"/>
  <c r="O27" i="32" s="1"/>
  <c r="M26" i="32"/>
  <c r="L26" i="32"/>
  <c r="K26" i="32"/>
  <c r="J26" i="32"/>
  <c r="I26" i="32"/>
  <c r="H26" i="32"/>
  <c r="G26" i="32"/>
  <c r="F26" i="32"/>
  <c r="E26" i="32"/>
  <c r="M25" i="32"/>
  <c r="L25" i="32"/>
  <c r="K25" i="32"/>
  <c r="J25" i="32"/>
  <c r="I25" i="32"/>
  <c r="H25" i="32"/>
  <c r="G25" i="32"/>
  <c r="F25" i="32"/>
  <c r="E25" i="32"/>
  <c r="M24" i="32"/>
  <c r="L24" i="32"/>
  <c r="K24" i="32"/>
  <c r="J24" i="32"/>
  <c r="P24" i="32" s="1"/>
  <c r="I24" i="32"/>
  <c r="H24" i="32"/>
  <c r="G24" i="32"/>
  <c r="F24" i="32"/>
  <c r="E24" i="32"/>
  <c r="D24" i="32"/>
  <c r="O24" i="32" s="1"/>
  <c r="M23" i="32"/>
  <c r="L23" i="32"/>
  <c r="K23" i="32"/>
  <c r="J23" i="32"/>
  <c r="P23" i="32" s="1"/>
  <c r="I23" i="32"/>
  <c r="H23" i="32"/>
  <c r="G23" i="32"/>
  <c r="F23" i="32"/>
  <c r="E23" i="32"/>
  <c r="D23" i="32"/>
  <c r="O23" i="32" s="1"/>
  <c r="M22" i="32"/>
  <c r="L22" i="32"/>
  <c r="K22" i="32"/>
  <c r="J22" i="32"/>
  <c r="P22" i="32" s="1"/>
  <c r="I22" i="32"/>
  <c r="H22" i="32"/>
  <c r="G22" i="32"/>
  <c r="F22" i="32"/>
  <c r="E22" i="32"/>
  <c r="D22" i="32"/>
  <c r="O22" i="32" s="1"/>
  <c r="M20" i="32"/>
  <c r="L20" i="32"/>
  <c r="K20" i="32"/>
  <c r="J20" i="32"/>
  <c r="P20" i="32" s="1"/>
  <c r="I20" i="32"/>
  <c r="H20" i="32"/>
  <c r="G20" i="32"/>
  <c r="F20" i="32"/>
  <c r="E20" i="32"/>
  <c r="D20" i="32"/>
  <c r="O20" i="32" s="1"/>
  <c r="M16" i="32"/>
  <c r="L16" i="32"/>
  <c r="K16" i="32"/>
  <c r="J16" i="32"/>
  <c r="P16" i="32" s="1"/>
  <c r="I16" i="32"/>
  <c r="H16" i="32"/>
  <c r="G16" i="32"/>
  <c r="F16" i="32"/>
  <c r="E16" i="32"/>
  <c r="D16" i="32"/>
  <c r="M8" i="32"/>
  <c r="L8" i="32"/>
  <c r="K8" i="32"/>
  <c r="J8" i="32"/>
  <c r="P8" i="32" s="1"/>
  <c r="I8" i="32"/>
  <c r="H8" i="32"/>
  <c r="G8" i="32"/>
  <c r="F8" i="32"/>
  <c r="E8" i="32"/>
  <c r="D8" i="32"/>
  <c r="O8" i="32" s="1"/>
  <c r="N141" i="32"/>
  <c r="M141" i="32"/>
  <c r="L141" i="32"/>
  <c r="N138" i="32"/>
  <c r="M138" i="32"/>
  <c r="L138" i="32"/>
  <c r="B114" i="32"/>
  <c r="R89" i="32" s="1"/>
  <c r="F114" i="32" s="1"/>
  <c r="B152" i="32" s="1"/>
  <c r="F76" i="32"/>
  <c r="P41" i="32"/>
  <c r="O41" i="32"/>
  <c r="P40" i="32"/>
  <c r="O40" i="32"/>
  <c r="P39" i="32"/>
  <c r="O39" i="32"/>
  <c r="P38" i="32"/>
  <c r="O38" i="32"/>
  <c r="O28" i="32"/>
  <c r="K48" i="32"/>
  <c r="B62" i="32"/>
  <c r="A49" i="32"/>
  <c r="P21" i="32"/>
  <c r="O21" i="32"/>
  <c r="A48" i="32"/>
  <c r="P19" i="32"/>
  <c r="O19" i="32"/>
  <c r="P18" i="32"/>
  <c r="P17" i="32"/>
  <c r="O17" i="32"/>
  <c r="P15" i="32"/>
  <c r="O15" i="32"/>
  <c r="P14" i="32"/>
  <c r="P13" i="32"/>
  <c r="O13" i="32"/>
  <c r="P12" i="32"/>
  <c r="P11" i="32"/>
  <c r="O11" i="32"/>
  <c r="P10" i="32"/>
  <c r="O9" i="32"/>
  <c r="P9" i="32"/>
  <c r="O7" i="32"/>
  <c r="P7" i="32"/>
  <c r="P6" i="32"/>
  <c r="O6" i="32"/>
  <c r="O5" i="32"/>
  <c r="P5" i="32"/>
  <c r="P4" i="32"/>
  <c r="O4" i="32"/>
  <c r="O3" i="32"/>
  <c r="P2" i="32"/>
  <c r="O2" i="32"/>
  <c r="P42" i="32"/>
  <c r="P89" i="32" s="1"/>
  <c r="P152" i="32" s="1"/>
  <c r="F62" i="32"/>
  <c r="F142" i="31"/>
  <c r="E142" i="31"/>
  <c r="D142" i="31"/>
  <c r="C142" i="31"/>
  <c r="F141" i="31"/>
  <c r="E141" i="31"/>
  <c r="N140" i="31" s="1"/>
  <c r="D141" i="31"/>
  <c r="M140" i="31" s="1"/>
  <c r="C141" i="31"/>
  <c r="L140" i="31" s="1"/>
  <c r="F140" i="31"/>
  <c r="E140" i="31"/>
  <c r="N139" i="31" s="1"/>
  <c r="D140" i="31"/>
  <c r="M139" i="31" s="1"/>
  <c r="C140" i="31"/>
  <c r="L139" i="31" s="1"/>
  <c r="F139" i="31"/>
  <c r="E139" i="31"/>
  <c r="D139" i="31"/>
  <c r="C139" i="31"/>
  <c r="F138" i="31"/>
  <c r="E138" i="31"/>
  <c r="D138" i="31"/>
  <c r="C138" i="31"/>
  <c r="F135" i="31"/>
  <c r="E135" i="31"/>
  <c r="D135" i="31"/>
  <c r="C135" i="31"/>
  <c r="F134" i="31"/>
  <c r="E134" i="31"/>
  <c r="D134" i="31"/>
  <c r="C134" i="31"/>
  <c r="F133" i="31"/>
  <c r="E133" i="31"/>
  <c r="D133" i="31"/>
  <c r="C133" i="31"/>
  <c r="F132" i="31"/>
  <c r="E132" i="31"/>
  <c r="D132" i="31"/>
  <c r="C132" i="31"/>
  <c r="F130" i="31"/>
  <c r="E130" i="31"/>
  <c r="D130" i="31"/>
  <c r="C130" i="31"/>
  <c r="F126" i="31"/>
  <c r="E126" i="31"/>
  <c r="D126" i="31"/>
  <c r="C126" i="31"/>
  <c r="M41" i="31"/>
  <c r="L41" i="31"/>
  <c r="K41" i="31"/>
  <c r="J41" i="31"/>
  <c r="I41" i="31"/>
  <c r="H41" i="31"/>
  <c r="G41" i="31"/>
  <c r="F41" i="31"/>
  <c r="E41" i="31"/>
  <c r="D41" i="31"/>
  <c r="M40" i="31"/>
  <c r="L40" i="31"/>
  <c r="K40" i="31"/>
  <c r="J40" i="31"/>
  <c r="I40" i="31"/>
  <c r="H40" i="31"/>
  <c r="G40" i="31"/>
  <c r="M39" i="31"/>
  <c r="L39" i="31"/>
  <c r="K39" i="31"/>
  <c r="J39" i="31"/>
  <c r="I39" i="31"/>
  <c r="H39" i="31"/>
  <c r="G39" i="31"/>
  <c r="F39" i="31"/>
  <c r="E39" i="31"/>
  <c r="D39" i="31"/>
  <c r="M38" i="31"/>
  <c r="L38" i="31"/>
  <c r="K38" i="31"/>
  <c r="J38" i="31"/>
  <c r="I38" i="31"/>
  <c r="H38" i="31"/>
  <c r="G38" i="31"/>
  <c r="F38" i="31"/>
  <c r="E38" i="31"/>
  <c r="D38" i="31"/>
  <c r="M37" i="31"/>
  <c r="L37" i="31"/>
  <c r="K37" i="31"/>
  <c r="J37" i="31"/>
  <c r="P37" i="31" s="1"/>
  <c r="I37" i="31"/>
  <c r="H37" i="31"/>
  <c r="G37" i="31"/>
  <c r="F37" i="31"/>
  <c r="E37" i="31"/>
  <c r="D37" i="31"/>
  <c r="O37" i="31" s="1"/>
  <c r="M36" i="31"/>
  <c r="L36" i="31"/>
  <c r="K36" i="31"/>
  <c r="J36" i="31"/>
  <c r="I36" i="31"/>
  <c r="H36" i="31"/>
  <c r="G36" i="31"/>
  <c r="F36" i="31"/>
  <c r="E36" i="31"/>
  <c r="D36" i="31"/>
  <c r="M35" i="31"/>
  <c r="L35" i="31"/>
  <c r="K35" i="31"/>
  <c r="J35" i="31"/>
  <c r="P35" i="31" s="1"/>
  <c r="I35" i="31"/>
  <c r="H35" i="31"/>
  <c r="G35" i="31"/>
  <c r="F35" i="31"/>
  <c r="E35" i="31"/>
  <c r="D35" i="31"/>
  <c r="O35" i="31" s="1"/>
  <c r="M34" i="31"/>
  <c r="L34" i="31"/>
  <c r="K34" i="31"/>
  <c r="J34" i="31"/>
  <c r="P34" i="31" s="1"/>
  <c r="I34" i="31"/>
  <c r="H34" i="31"/>
  <c r="G34" i="31"/>
  <c r="F34" i="31"/>
  <c r="E34" i="31"/>
  <c r="D34" i="31"/>
  <c r="O34" i="31" s="1"/>
  <c r="M33" i="31"/>
  <c r="L33" i="31"/>
  <c r="K33" i="31"/>
  <c r="J33" i="31"/>
  <c r="P33" i="31" s="1"/>
  <c r="I33" i="31"/>
  <c r="H33" i="31"/>
  <c r="G33" i="31"/>
  <c r="F33" i="31"/>
  <c r="E33" i="31"/>
  <c r="D33" i="31"/>
  <c r="O33" i="31" s="1"/>
  <c r="M32" i="31"/>
  <c r="L32" i="31"/>
  <c r="K32" i="31"/>
  <c r="J32" i="31"/>
  <c r="P32" i="31" s="1"/>
  <c r="I32" i="31"/>
  <c r="H32" i="31"/>
  <c r="G32" i="31"/>
  <c r="F32" i="31"/>
  <c r="E32" i="31"/>
  <c r="D32" i="31"/>
  <c r="O32" i="31" s="1"/>
  <c r="M31" i="31"/>
  <c r="L31" i="31"/>
  <c r="K31" i="31"/>
  <c r="J31" i="31"/>
  <c r="P31" i="31" s="1"/>
  <c r="I31" i="31"/>
  <c r="H31" i="31"/>
  <c r="G31" i="31"/>
  <c r="F31" i="31"/>
  <c r="E31" i="31"/>
  <c r="D31" i="31"/>
  <c r="O31" i="31" s="1"/>
  <c r="M30" i="31"/>
  <c r="L30" i="31"/>
  <c r="K30" i="31"/>
  <c r="J30" i="31"/>
  <c r="P30" i="31" s="1"/>
  <c r="I30" i="31"/>
  <c r="H30" i="31"/>
  <c r="G30" i="31"/>
  <c r="F30" i="31"/>
  <c r="E30" i="31"/>
  <c r="D30" i="31"/>
  <c r="O30" i="31" s="1"/>
  <c r="M29" i="31"/>
  <c r="L29" i="31"/>
  <c r="K29" i="31"/>
  <c r="J29" i="31"/>
  <c r="P29" i="31" s="1"/>
  <c r="I29" i="31"/>
  <c r="H29" i="31"/>
  <c r="G29" i="31"/>
  <c r="F29" i="31"/>
  <c r="E29" i="31"/>
  <c r="D29" i="31"/>
  <c r="O29" i="31" s="1"/>
  <c r="M28" i="31"/>
  <c r="L28" i="31"/>
  <c r="K28" i="31"/>
  <c r="J28" i="31"/>
  <c r="P28" i="31" s="1"/>
  <c r="I28" i="31"/>
  <c r="H28" i="31"/>
  <c r="G28" i="31"/>
  <c r="F28" i="31"/>
  <c r="E28" i="31"/>
  <c r="D28" i="31"/>
  <c r="O28" i="31" s="1"/>
  <c r="M27" i="31"/>
  <c r="L27" i="31"/>
  <c r="K27" i="31"/>
  <c r="J27" i="31"/>
  <c r="P27" i="31" s="1"/>
  <c r="I27" i="31"/>
  <c r="H27" i="31"/>
  <c r="G27" i="31"/>
  <c r="F27" i="31"/>
  <c r="E27" i="31"/>
  <c r="D27" i="31"/>
  <c r="O27" i="31" s="1"/>
  <c r="M26" i="31"/>
  <c r="L26" i="31"/>
  <c r="K26" i="31"/>
  <c r="J26" i="31"/>
  <c r="I26" i="31"/>
  <c r="H26" i="31"/>
  <c r="G26" i="31"/>
  <c r="F26" i="31"/>
  <c r="E26" i="31"/>
  <c r="M25" i="31"/>
  <c r="L25" i="31"/>
  <c r="K25" i="31"/>
  <c r="J25" i="31"/>
  <c r="I25" i="31"/>
  <c r="H25" i="31"/>
  <c r="G25" i="31"/>
  <c r="F25" i="31"/>
  <c r="E25" i="31"/>
  <c r="M24" i="31"/>
  <c r="L24" i="31"/>
  <c r="K24" i="31"/>
  <c r="J24" i="31"/>
  <c r="P24" i="31" s="1"/>
  <c r="I24" i="31"/>
  <c r="H24" i="31"/>
  <c r="G24" i="31"/>
  <c r="F24" i="31"/>
  <c r="E24" i="31"/>
  <c r="D24" i="31"/>
  <c r="O24" i="31" s="1"/>
  <c r="M23" i="31"/>
  <c r="L23" i="31"/>
  <c r="K23" i="31"/>
  <c r="J23" i="31"/>
  <c r="P23" i="31" s="1"/>
  <c r="I23" i="31"/>
  <c r="H23" i="31"/>
  <c r="G23" i="31"/>
  <c r="F23" i="31"/>
  <c r="E23" i="31"/>
  <c r="D23" i="31"/>
  <c r="O23" i="31" s="1"/>
  <c r="M22" i="31"/>
  <c r="L22" i="31"/>
  <c r="K22" i="31"/>
  <c r="J22" i="31"/>
  <c r="P22" i="31" s="1"/>
  <c r="I22" i="31"/>
  <c r="H22" i="31"/>
  <c r="G22" i="31"/>
  <c r="F22" i="31"/>
  <c r="E22" i="31"/>
  <c r="D22" i="31"/>
  <c r="O22" i="31" s="1"/>
  <c r="M20" i="31"/>
  <c r="L20" i="31"/>
  <c r="K20" i="31"/>
  <c r="J20" i="31"/>
  <c r="P20" i="31" s="1"/>
  <c r="I20" i="31"/>
  <c r="H20" i="31"/>
  <c r="G20" i="31"/>
  <c r="F20" i="31"/>
  <c r="E20" i="31"/>
  <c r="D20" i="31"/>
  <c r="O20" i="31" s="1"/>
  <c r="M16" i="31"/>
  <c r="L16" i="31"/>
  <c r="K16" i="31"/>
  <c r="J16" i="31"/>
  <c r="P16" i="31" s="1"/>
  <c r="I16" i="31"/>
  <c r="H16" i="31"/>
  <c r="G16" i="31"/>
  <c r="F16" i="31"/>
  <c r="E16" i="31"/>
  <c r="D16" i="31"/>
  <c r="M8" i="31"/>
  <c r="L8" i="31"/>
  <c r="K8" i="31"/>
  <c r="J8" i="31"/>
  <c r="P8" i="31" s="1"/>
  <c r="I8" i="31"/>
  <c r="H8" i="31"/>
  <c r="G8" i="31"/>
  <c r="F8" i="31"/>
  <c r="E8" i="31"/>
  <c r="D8" i="31"/>
  <c r="O8" i="31" s="1"/>
  <c r="N141" i="31"/>
  <c r="M141" i="31"/>
  <c r="L141" i="31"/>
  <c r="N138" i="31"/>
  <c r="M138" i="31"/>
  <c r="L138" i="31"/>
  <c r="B114" i="31"/>
  <c r="B89" i="31" s="1"/>
  <c r="B42" i="31" s="1"/>
  <c r="F76" i="31"/>
  <c r="P41" i="31"/>
  <c r="O41" i="31"/>
  <c r="P40" i="31"/>
  <c r="O40" i="31"/>
  <c r="P39" i="31"/>
  <c r="O39" i="31"/>
  <c r="P38" i="31"/>
  <c r="O38" i="31"/>
  <c r="K48" i="31"/>
  <c r="B62" i="31"/>
  <c r="A49" i="31"/>
  <c r="P21" i="31"/>
  <c r="O21" i="31"/>
  <c r="A48" i="31"/>
  <c r="P19" i="31"/>
  <c r="P18" i="31"/>
  <c r="P17" i="31"/>
  <c r="P15" i="31"/>
  <c r="P14" i="31"/>
  <c r="P13" i="31"/>
  <c r="P12" i="31"/>
  <c r="O11" i="31"/>
  <c r="P11" i="31"/>
  <c r="P10" i="31"/>
  <c r="O9" i="31"/>
  <c r="P9" i="31"/>
  <c r="O7" i="31"/>
  <c r="P7" i="31"/>
  <c r="P6" i="31"/>
  <c r="O6" i="31"/>
  <c r="O5" i="31"/>
  <c r="P5" i="31"/>
  <c r="P4" i="31"/>
  <c r="O4" i="31"/>
  <c r="O3" i="31"/>
  <c r="P2" i="31"/>
  <c r="O2" i="31"/>
  <c r="P42" i="31"/>
  <c r="P89" i="31" s="1"/>
  <c r="P152" i="31" s="1"/>
  <c r="F62" i="31"/>
  <c r="F142" i="30"/>
  <c r="E142" i="30"/>
  <c r="N141" i="30" s="1"/>
  <c r="D142" i="30"/>
  <c r="M141" i="30" s="1"/>
  <c r="C142" i="30"/>
  <c r="L141" i="30" s="1"/>
  <c r="F141" i="30"/>
  <c r="E141" i="30"/>
  <c r="N140" i="30" s="1"/>
  <c r="D141" i="30"/>
  <c r="M140" i="30" s="1"/>
  <c r="C141" i="30"/>
  <c r="L140" i="30" s="1"/>
  <c r="F140" i="30"/>
  <c r="E140" i="30"/>
  <c r="N139" i="30" s="1"/>
  <c r="D140" i="30"/>
  <c r="M139" i="30" s="1"/>
  <c r="C140" i="30"/>
  <c r="L139" i="30" s="1"/>
  <c r="F139" i="30"/>
  <c r="E139" i="30"/>
  <c r="D139" i="30"/>
  <c r="C139" i="30"/>
  <c r="F138" i="30"/>
  <c r="E138" i="30"/>
  <c r="D138" i="30"/>
  <c r="C138" i="30"/>
  <c r="F135" i="30"/>
  <c r="E135" i="30"/>
  <c r="D135" i="30"/>
  <c r="C135" i="30"/>
  <c r="F134" i="30"/>
  <c r="E134" i="30"/>
  <c r="D134" i="30"/>
  <c r="C134" i="30"/>
  <c r="F133" i="30"/>
  <c r="E133" i="30"/>
  <c r="D133" i="30"/>
  <c r="C133" i="30"/>
  <c r="F132" i="30"/>
  <c r="E132" i="30"/>
  <c r="D132" i="30"/>
  <c r="C132" i="30"/>
  <c r="F130" i="30"/>
  <c r="E130" i="30"/>
  <c r="D130" i="30"/>
  <c r="C130" i="30"/>
  <c r="F126" i="30"/>
  <c r="E126" i="30"/>
  <c r="D126" i="30"/>
  <c r="C126" i="30"/>
  <c r="M41" i="30"/>
  <c r="L41" i="30"/>
  <c r="K41" i="30"/>
  <c r="J41" i="30"/>
  <c r="I41" i="30"/>
  <c r="H41" i="30"/>
  <c r="G41" i="30"/>
  <c r="F41" i="30"/>
  <c r="E41" i="30"/>
  <c r="D41" i="30"/>
  <c r="M40" i="30"/>
  <c r="L40" i="30"/>
  <c r="K40" i="30"/>
  <c r="J40" i="30"/>
  <c r="I40" i="30"/>
  <c r="H40" i="30"/>
  <c r="G40" i="30"/>
  <c r="F40" i="30"/>
  <c r="M39" i="30"/>
  <c r="L39" i="30"/>
  <c r="K39" i="30"/>
  <c r="J39" i="30"/>
  <c r="I39" i="30"/>
  <c r="H39" i="30"/>
  <c r="G39" i="30"/>
  <c r="F39" i="30"/>
  <c r="E39" i="30"/>
  <c r="D39" i="30"/>
  <c r="M38" i="30"/>
  <c r="L38" i="30"/>
  <c r="K38" i="30"/>
  <c r="J38" i="30"/>
  <c r="I38" i="30"/>
  <c r="H38" i="30"/>
  <c r="G38" i="30"/>
  <c r="F38" i="30"/>
  <c r="E38" i="30"/>
  <c r="D38" i="30"/>
  <c r="M37" i="30"/>
  <c r="L37" i="30"/>
  <c r="K37" i="30"/>
  <c r="J37" i="30"/>
  <c r="P37" i="30" s="1"/>
  <c r="I37" i="30"/>
  <c r="H37" i="30"/>
  <c r="G37" i="30"/>
  <c r="F37" i="30"/>
  <c r="E37" i="30"/>
  <c r="D37" i="30"/>
  <c r="O37" i="30" s="1"/>
  <c r="M36" i="30"/>
  <c r="L36" i="30"/>
  <c r="K36" i="30"/>
  <c r="J36" i="30"/>
  <c r="I36" i="30"/>
  <c r="H36" i="30"/>
  <c r="G36" i="30"/>
  <c r="F36" i="30"/>
  <c r="E36" i="30"/>
  <c r="D36" i="30"/>
  <c r="M35" i="30"/>
  <c r="L35" i="30"/>
  <c r="K35" i="30"/>
  <c r="J35" i="30"/>
  <c r="P35" i="30" s="1"/>
  <c r="I35" i="30"/>
  <c r="H35" i="30"/>
  <c r="G35" i="30"/>
  <c r="F35" i="30"/>
  <c r="E35" i="30"/>
  <c r="D35" i="30"/>
  <c r="O35" i="30" s="1"/>
  <c r="M34" i="30"/>
  <c r="L34" i="30"/>
  <c r="K34" i="30"/>
  <c r="J34" i="30"/>
  <c r="P34" i="30" s="1"/>
  <c r="I34" i="30"/>
  <c r="H34" i="30"/>
  <c r="G34" i="30"/>
  <c r="F34" i="30"/>
  <c r="E34" i="30"/>
  <c r="D34" i="30"/>
  <c r="O34" i="30" s="1"/>
  <c r="M33" i="30"/>
  <c r="L33" i="30"/>
  <c r="K33" i="30"/>
  <c r="J33" i="30"/>
  <c r="P33" i="30" s="1"/>
  <c r="I33" i="30"/>
  <c r="H33" i="30"/>
  <c r="G33" i="30"/>
  <c r="F33" i="30"/>
  <c r="E33" i="30"/>
  <c r="D33" i="30"/>
  <c r="O33" i="30" s="1"/>
  <c r="M32" i="30"/>
  <c r="L32" i="30"/>
  <c r="K32" i="30"/>
  <c r="J32" i="30"/>
  <c r="P32" i="30" s="1"/>
  <c r="I32" i="30"/>
  <c r="H32" i="30"/>
  <c r="G32" i="30"/>
  <c r="F32" i="30"/>
  <c r="E32" i="30"/>
  <c r="D32" i="30"/>
  <c r="O32" i="30" s="1"/>
  <c r="M31" i="30"/>
  <c r="L31" i="30"/>
  <c r="K31" i="30"/>
  <c r="J31" i="30"/>
  <c r="P31" i="30" s="1"/>
  <c r="I31" i="30"/>
  <c r="H31" i="30"/>
  <c r="G31" i="30"/>
  <c r="F31" i="30"/>
  <c r="E31" i="30"/>
  <c r="D31" i="30"/>
  <c r="O31" i="30" s="1"/>
  <c r="M30" i="30"/>
  <c r="L30" i="30"/>
  <c r="K30" i="30"/>
  <c r="J30" i="30"/>
  <c r="P30" i="30" s="1"/>
  <c r="I30" i="30"/>
  <c r="H30" i="30"/>
  <c r="G30" i="30"/>
  <c r="F30" i="30"/>
  <c r="E30" i="30"/>
  <c r="D30" i="30"/>
  <c r="O30" i="30" s="1"/>
  <c r="M29" i="30"/>
  <c r="L29" i="30"/>
  <c r="K29" i="30"/>
  <c r="J29" i="30"/>
  <c r="P29" i="30" s="1"/>
  <c r="I29" i="30"/>
  <c r="H29" i="30"/>
  <c r="G29" i="30"/>
  <c r="F29" i="30"/>
  <c r="E29" i="30"/>
  <c r="D29" i="30"/>
  <c r="O29" i="30" s="1"/>
  <c r="M28" i="30"/>
  <c r="L28" i="30"/>
  <c r="K28" i="30"/>
  <c r="J28" i="30"/>
  <c r="P28" i="30" s="1"/>
  <c r="I28" i="30"/>
  <c r="H28" i="30"/>
  <c r="G28" i="30"/>
  <c r="F28" i="30"/>
  <c r="E28" i="30"/>
  <c r="D28" i="30"/>
  <c r="O28" i="30" s="1"/>
  <c r="M27" i="30"/>
  <c r="L27" i="30"/>
  <c r="K27" i="30"/>
  <c r="J27" i="30"/>
  <c r="P27" i="30" s="1"/>
  <c r="I27" i="30"/>
  <c r="H27" i="30"/>
  <c r="G27" i="30"/>
  <c r="F27" i="30"/>
  <c r="E27" i="30"/>
  <c r="D27" i="30"/>
  <c r="O27" i="30" s="1"/>
  <c r="M26" i="30"/>
  <c r="L26" i="30"/>
  <c r="K26" i="30"/>
  <c r="J26" i="30"/>
  <c r="I26" i="30"/>
  <c r="H26" i="30"/>
  <c r="G26" i="30"/>
  <c r="F26" i="30"/>
  <c r="E26" i="30"/>
  <c r="M25" i="30"/>
  <c r="L25" i="30"/>
  <c r="K25" i="30"/>
  <c r="J25" i="30"/>
  <c r="I25" i="30"/>
  <c r="H25" i="30"/>
  <c r="G25" i="30"/>
  <c r="F25" i="30"/>
  <c r="E25" i="30"/>
  <c r="M24" i="30"/>
  <c r="L24" i="30"/>
  <c r="K24" i="30"/>
  <c r="J24" i="30"/>
  <c r="P24" i="30" s="1"/>
  <c r="I24" i="30"/>
  <c r="H24" i="30"/>
  <c r="G24" i="30"/>
  <c r="F24" i="30"/>
  <c r="E24" i="30"/>
  <c r="D24" i="30"/>
  <c r="O24" i="30" s="1"/>
  <c r="M23" i="30"/>
  <c r="L23" i="30"/>
  <c r="K23" i="30"/>
  <c r="J23" i="30"/>
  <c r="P23" i="30" s="1"/>
  <c r="I23" i="30"/>
  <c r="H23" i="30"/>
  <c r="G23" i="30"/>
  <c r="F23" i="30"/>
  <c r="E23" i="30"/>
  <c r="D23" i="30"/>
  <c r="O23" i="30" s="1"/>
  <c r="M22" i="30"/>
  <c r="L22" i="30"/>
  <c r="K22" i="30"/>
  <c r="J22" i="30"/>
  <c r="P22" i="30" s="1"/>
  <c r="I22" i="30"/>
  <c r="H22" i="30"/>
  <c r="G22" i="30"/>
  <c r="F22" i="30"/>
  <c r="E22" i="30"/>
  <c r="D22" i="30"/>
  <c r="O22" i="30" s="1"/>
  <c r="M20" i="30"/>
  <c r="L20" i="30"/>
  <c r="K20" i="30"/>
  <c r="J20" i="30"/>
  <c r="P20" i="30" s="1"/>
  <c r="I20" i="30"/>
  <c r="H20" i="30"/>
  <c r="G20" i="30"/>
  <c r="F20" i="30"/>
  <c r="E20" i="30"/>
  <c r="D20" i="30"/>
  <c r="O20" i="30" s="1"/>
  <c r="M16" i="30"/>
  <c r="L16" i="30"/>
  <c r="K16" i="30"/>
  <c r="J16" i="30"/>
  <c r="P16" i="30" s="1"/>
  <c r="I16" i="30"/>
  <c r="H16" i="30"/>
  <c r="G16" i="30"/>
  <c r="F16" i="30"/>
  <c r="E16" i="30"/>
  <c r="D16" i="30"/>
  <c r="M8" i="30"/>
  <c r="L8" i="30"/>
  <c r="K8" i="30"/>
  <c r="J8" i="30"/>
  <c r="P8" i="30" s="1"/>
  <c r="I8" i="30"/>
  <c r="H8" i="30"/>
  <c r="G8" i="30"/>
  <c r="F8" i="30"/>
  <c r="E8" i="30"/>
  <c r="D8" i="30"/>
  <c r="O8" i="30" s="1"/>
  <c r="N138" i="30"/>
  <c r="M138" i="30"/>
  <c r="L138" i="30"/>
  <c r="B114" i="30"/>
  <c r="R89" i="30" s="1"/>
  <c r="F114" i="30" s="1"/>
  <c r="B152" i="30" s="1"/>
  <c r="F76" i="30"/>
  <c r="P41" i="30"/>
  <c r="O41" i="30"/>
  <c r="P40" i="30"/>
  <c r="O40" i="30"/>
  <c r="P39" i="30"/>
  <c r="O39" i="30"/>
  <c r="P38" i="30"/>
  <c r="O38" i="30"/>
  <c r="K48" i="30"/>
  <c r="B62" i="30"/>
  <c r="A49" i="30"/>
  <c r="P21" i="30"/>
  <c r="O21" i="30"/>
  <c r="A48" i="30"/>
  <c r="P19" i="30"/>
  <c r="P18" i="30"/>
  <c r="O17" i="30"/>
  <c r="P17" i="30"/>
  <c r="P15" i="30"/>
  <c r="O15" i="30"/>
  <c r="P14" i="30"/>
  <c r="P13" i="30"/>
  <c r="O13" i="30"/>
  <c r="P12" i="30"/>
  <c r="P11" i="30"/>
  <c r="O11" i="30"/>
  <c r="P10" i="30"/>
  <c r="O9" i="30"/>
  <c r="P9" i="30"/>
  <c r="O7" i="30"/>
  <c r="P7" i="30"/>
  <c r="P6" i="30"/>
  <c r="O6" i="30"/>
  <c r="O5" i="30"/>
  <c r="P5" i="30"/>
  <c r="P4" i="30"/>
  <c r="O4" i="30"/>
  <c r="O3" i="30"/>
  <c r="P2" i="30"/>
  <c r="O2" i="30"/>
  <c r="P42" i="30"/>
  <c r="P89" i="30" s="1"/>
  <c r="P152" i="30" s="1"/>
  <c r="F62" i="30"/>
  <c r="F142" i="29"/>
  <c r="E142" i="29"/>
  <c r="N141" i="29" s="1"/>
  <c r="D142" i="29"/>
  <c r="M141" i="29" s="1"/>
  <c r="C142" i="29"/>
  <c r="L141" i="29" s="1"/>
  <c r="F141" i="29"/>
  <c r="E141" i="29"/>
  <c r="N140" i="29" s="1"/>
  <c r="D141" i="29"/>
  <c r="M140" i="29" s="1"/>
  <c r="C141" i="29"/>
  <c r="L140" i="29" s="1"/>
  <c r="F140" i="29"/>
  <c r="E140" i="29"/>
  <c r="N139" i="29" s="1"/>
  <c r="D140" i="29"/>
  <c r="M139" i="29" s="1"/>
  <c r="C140" i="29"/>
  <c r="L139" i="29" s="1"/>
  <c r="F139" i="29"/>
  <c r="E139" i="29"/>
  <c r="D139" i="29"/>
  <c r="C139" i="29"/>
  <c r="F138" i="29"/>
  <c r="E138" i="29"/>
  <c r="D138" i="29"/>
  <c r="C138" i="29"/>
  <c r="F135" i="29"/>
  <c r="E135" i="29"/>
  <c r="D135" i="29"/>
  <c r="C135" i="29"/>
  <c r="F134" i="29"/>
  <c r="E134" i="29"/>
  <c r="D134" i="29"/>
  <c r="C134" i="29"/>
  <c r="F133" i="29"/>
  <c r="E133" i="29"/>
  <c r="D133" i="29"/>
  <c r="C133" i="29"/>
  <c r="F132" i="29"/>
  <c r="E132" i="29"/>
  <c r="D132" i="29"/>
  <c r="C132" i="29"/>
  <c r="F130" i="29"/>
  <c r="E130" i="29"/>
  <c r="D130" i="29"/>
  <c r="C130" i="29"/>
  <c r="F126" i="29"/>
  <c r="E126" i="29"/>
  <c r="D126" i="29"/>
  <c r="C126" i="29"/>
  <c r="M41" i="29"/>
  <c r="L41" i="29"/>
  <c r="K41" i="29"/>
  <c r="J41" i="29"/>
  <c r="I41" i="29"/>
  <c r="H41" i="29"/>
  <c r="G41" i="29"/>
  <c r="F41" i="29"/>
  <c r="E41" i="29"/>
  <c r="D41" i="29"/>
  <c r="M40" i="29"/>
  <c r="L40" i="29"/>
  <c r="K40" i="29"/>
  <c r="J40" i="29"/>
  <c r="I40" i="29"/>
  <c r="H40" i="29"/>
  <c r="G40" i="29"/>
  <c r="F40" i="29"/>
  <c r="E40" i="29"/>
  <c r="M39" i="29"/>
  <c r="L39" i="29"/>
  <c r="K39" i="29"/>
  <c r="J39" i="29"/>
  <c r="I39" i="29"/>
  <c r="H39" i="29"/>
  <c r="G39" i="29"/>
  <c r="F39" i="29"/>
  <c r="E39" i="29"/>
  <c r="D39" i="29"/>
  <c r="M38" i="29"/>
  <c r="L38" i="29"/>
  <c r="K38" i="29"/>
  <c r="J38" i="29"/>
  <c r="I38" i="29"/>
  <c r="H38" i="29"/>
  <c r="G38" i="29"/>
  <c r="F38" i="29"/>
  <c r="E38" i="29"/>
  <c r="D38" i="29"/>
  <c r="M37" i="29"/>
  <c r="L37" i="29"/>
  <c r="K37" i="29"/>
  <c r="J37" i="29"/>
  <c r="P37" i="29" s="1"/>
  <c r="I37" i="29"/>
  <c r="H37" i="29"/>
  <c r="G37" i="29"/>
  <c r="F37" i="29"/>
  <c r="E37" i="29"/>
  <c r="D37" i="29"/>
  <c r="O37" i="29" s="1"/>
  <c r="M36" i="29"/>
  <c r="L36" i="29"/>
  <c r="K36" i="29"/>
  <c r="J36" i="29"/>
  <c r="I36" i="29"/>
  <c r="H36" i="29"/>
  <c r="G36" i="29"/>
  <c r="F36" i="29"/>
  <c r="E36" i="29"/>
  <c r="D36" i="29"/>
  <c r="O36" i="29" s="1"/>
  <c r="M35" i="29"/>
  <c r="L35" i="29"/>
  <c r="K35" i="29"/>
  <c r="J35" i="29"/>
  <c r="P35" i="29" s="1"/>
  <c r="I35" i="29"/>
  <c r="H35" i="29"/>
  <c r="G35" i="29"/>
  <c r="F35" i="29"/>
  <c r="E35" i="29"/>
  <c r="D35" i="29"/>
  <c r="O35" i="29" s="1"/>
  <c r="M34" i="29"/>
  <c r="L34" i="29"/>
  <c r="K34" i="29"/>
  <c r="J34" i="29"/>
  <c r="P34" i="29" s="1"/>
  <c r="I34" i="29"/>
  <c r="H34" i="29"/>
  <c r="G34" i="29"/>
  <c r="F34" i="29"/>
  <c r="E34" i="29"/>
  <c r="D34" i="29"/>
  <c r="O34" i="29" s="1"/>
  <c r="M33" i="29"/>
  <c r="L33" i="29"/>
  <c r="K33" i="29"/>
  <c r="J33" i="29"/>
  <c r="P33" i="29" s="1"/>
  <c r="I33" i="29"/>
  <c r="H33" i="29"/>
  <c r="G33" i="29"/>
  <c r="F33" i="29"/>
  <c r="E33" i="29"/>
  <c r="D33" i="29"/>
  <c r="O33" i="29" s="1"/>
  <c r="M32" i="29"/>
  <c r="L32" i="29"/>
  <c r="K32" i="29"/>
  <c r="J32" i="29"/>
  <c r="P32" i="29" s="1"/>
  <c r="I32" i="29"/>
  <c r="H32" i="29"/>
  <c r="G32" i="29"/>
  <c r="F32" i="29"/>
  <c r="E32" i="29"/>
  <c r="D32" i="29"/>
  <c r="O32" i="29" s="1"/>
  <c r="M31" i="29"/>
  <c r="L31" i="29"/>
  <c r="K31" i="29"/>
  <c r="J31" i="29"/>
  <c r="P31" i="29" s="1"/>
  <c r="I31" i="29"/>
  <c r="H31" i="29"/>
  <c r="G31" i="29"/>
  <c r="F31" i="29"/>
  <c r="E31" i="29"/>
  <c r="D31" i="29"/>
  <c r="O31" i="29" s="1"/>
  <c r="M30" i="29"/>
  <c r="L30" i="29"/>
  <c r="K30" i="29"/>
  <c r="J30" i="29"/>
  <c r="P30" i="29" s="1"/>
  <c r="I30" i="29"/>
  <c r="H30" i="29"/>
  <c r="G30" i="29"/>
  <c r="F30" i="29"/>
  <c r="E30" i="29"/>
  <c r="D30" i="29"/>
  <c r="O30" i="29" s="1"/>
  <c r="M29" i="29"/>
  <c r="L29" i="29"/>
  <c r="K29" i="29"/>
  <c r="J29" i="29"/>
  <c r="P29" i="29" s="1"/>
  <c r="I29" i="29"/>
  <c r="H29" i="29"/>
  <c r="G29" i="29"/>
  <c r="F29" i="29"/>
  <c r="E29" i="29"/>
  <c r="D29" i="29"/>
  <c r="O29" i="29" s="1"/>
  <c r="M28" i="29"/>
  <c r="L28" i="29"/>
  <c r="K28" i="29"/>
  <c r="J28" i="29"/>
  <c r="P28" i="29" s="1"/>
  <c r="I28" i="29"/>
  <c r="H28" i="29"/>
  <c r="G28" i="29"/>
  <c r="F28" i="29"/>
  <c r="E28" i="29"/>
  <c r="D28" i="29"/>
  <c r="O28" i="29" s="1"/>
  <c r="M27" i="29"/>
  <c r="L27" i="29"/>
  <c r="K27" i="29"/>
  <c r="J27" i="29"/>
  <c r="P27" i="29" s="1"/>
  <c r="I27" i="29"/>
  <c r="H27" i="29"/>
  <c r="G27" i="29"/>
  <c r="F27" i="29"/>
  <c r="E27" i="29"/>
  <c r="D27" i="29"/>
  <c r="O27" i="29" s="1"/>
  <c r="M26" i="29"/>
  <c r="L26" i="29"/>
  <c r="K26" i="29"/>
  <c r="J26" i="29"/>
  <c r="I26" i="29"/>
  <c r="H26" i="29"/>
  <c r="G26" i="29"/>
  <c r="F26" i="29"/>
  <c r="E26" i="29"/>
  <c r="M25" i="29"/>
  <c r="L25" i="29"/>
  <c r="K25" i="29"/>
  <c r="J25" i="29"/>
  <c r="I25" i="29"/>
  <c r="H25" i="29"/>
  <c r="G25" i="29"/>
  <c r="F25" i="29"/>
  <c r="E25" i="29"/>
  <c r="M24" i="29"/>
  <c r="L24" i="29"/>
  <c r="K24" i="29"/>
  <c r="J24" i="29"/>
  <c r="P24" i="29" s="1"/>
  <c r="I24" i="29"/>
  <c r="H24" i="29"/>
  <c r="G24" i="29"/>
  <c r="F24" i="29"/>
  <c r="E24" i="29"/>
  <c r="D24" i="29"/>
  <c r="O24" i="29" s="1"/>
  <c r="M23" i="29"/>
  <c r="L23" i="29"/>
  <c r="K23" i="29"/>
  <c r="J23" i="29"/>
  <c r="P23" i="29" s="1"/>
  <c r="I23" i="29"/>
  <c r="H23" i="29"/>
  <c r="G23" i="29"/>
  <c r="F23" i="29"/>
  <c r="E23" i="29"/>
  <c r="D23" i="29"/>
  <c r="O23" i="29" s="1"/>
  <c r="M22" i="29"/>
  <c r="L22" i="29"/>
  <c r="K22" i="29"/>
  <c r="J22" i="29"/>
  <c r="P22" i="29" s="1"/>
  <c r="I22" i="29"/>
  <c r="H22" i="29"/>
  <c r="G22" i="29"/>
  <c r="F22" i="29"/>
  <c r="E22" i="29"/>
  <c r="D22" i="29"/>
  <c r="O22" i="29" s="1"/>
  <c r="M20" i="29"/>
  <c r="L20" i="29"/>
  <c r="K20" i="29"/>
  <c r="J20" i="29"/>
  <c r="P20" i="29" s="1"/>
  <c r="I20" i="29"/>
  <c r="H20" i="29"/>
  <c r="G20" i="29"/>
  <c r="F20" i="29"/>
  <c r="E20" i="29"/>
  <c r="D20" i="29"/>
  <c r="O20" i="29" s="1"/>
  <c r="M16" i="29"/>
  <c r="L16" i="29"/>
  <c r="K16" i="29"/>
  <c r="J16" i="29"/>
  <c r="P16" i="29" s="1"/>
  <c r="I16" i="29"/>
  <c r="H16" i="29"/>
  <c r="G16" i="29"/>
  <c r="F16" i="29"/>
  <c r="E16" i="29"/>
  <c r="D16" i="29"/>
  <c r="M8" i="29"/>
  <c r="L8" i="29"/>
  <c r="K8" i="29"/>
  <c r="J8" i="29"/>
  <c r="P8" i="29" s="1"/>
  <c r="I8" i="29"/>
  <c r="H8" i="29"/>
  <c r="G8" i="29"/>
  <c r="F8" i="29"/>
  <c r="E8" i="29"/>
  <c r="D8" i="29"/>
  <c r="O8" i="29" s="1"/>
  <c r="N138" i="29"/>
  <c r="M138" i="29"/>
  <c r="L138" i="29"/>
  <c r="B114" i="29"/>
  <c r="B89" i="29" s="1"/>
  <c r="B42" i="29" s="1"/>
  <c r="F76" i="29"/>
  <c r="P41" i="29"/>
  <c r="O41" i="29"/>
  <c r="P40" i="29"/>
  <c r="O40" i="29"/>
  <c r="P39" i="29"/>
  <c r="O39" i="29"/>
  <c r="P38" i="29"/>
  <c r="O38" i="29"/>
  <c r="K48" i="29"/>
  <c r="B62" i="29"/>
  <c r="A49" i="29"/>
  <c r="P21" i="29"/>
  <c r="O21" i="29"/>
  <c r="A48" i="29"/>
  <c r="P19" i="29"/>
  <c r="O19" i="29"/>
  <c r="P18" i="29"/>
  <c r="P17" i="29"/>
  <c r="O17" i="29"/>
  <c r="P15" i="29"/>
  <c r="O15" i="29"/>
  <c r="P14" i="29"/>
  <c r="P13" i="29"/>
  <c r="O13" i="29"/>
  <c r="P12" i="29"/>
  <c r="P11" i="29"/>
  <c r="O11" i="29"/>
  <c r="P10" i="29"/>
  <c r="O9" i="29"/>
  <c r="P9" i="29"/>
  <c r="O7" i="29"/>
  <c r="P7" i="29"/>
  <c r="P6" i="29"/>
  <c r="O6" i="29"/>
  <c r="O5" i="29"/>
  <c r="P5" i="29"/>
  <c r="P4" i="29"/>
  <c r="O4" i="29"/>
  <c r="O3" i="29"/>
  <c r="P2" i="29"/>
  <c r="O2" i="29"/>
  <c r="P42" i="29"/>
  <c r="P89" i="29" s="1"/>
  <c r="P152" i="29" s="1"/>
  <c r="F62" i="29"/>
  <c r="F142" i="28"/>
  <c r="E142" i="28"/>
  <c r="N141" i="28" s="1"/>
  <c r="D142" i="28"/>
  <c r="M141" i="28" s="1"/>
  <c r="C142" i="28"/>
  <c r="L141" i="28" s="1"/>
  <c r="F141" i="28"/>
  <c r="E141" i="28"/>
  <c r="N140" i="28" s="1"/>
  <c r="D141" i="28"/>
  <c r="M140" i="28" s="1"/>
  <c r="C141" i="28"/>
  <c r="L140" i="28" s="1"/>
  <c r="F140" i="28"/>
  <c r="E140" i="28"/>
  <c r="N139" i="28" s="1"/>
  <c r="D140" i="28"/>
  <c r="M139" i="28" s="1"/>
  <c r="C140" i="28"/>
  <c r="L139" i="28" s="1"/>
  <c r="F139" i="28"/>
  <c r="E139" i="28"/>
  <c r="D139" i="28"/>
  <c r="C139" i="28"/>
  <c r="F138" i="28"/>
  <c r="E138" i="28"/>
  <c r="D138" i="28"/>
  <c r="C138" i="28"/>
  <c r="F135" i="28"/>
  <c r="E135" i="28"/>
  <c r="D135" i="28"/>
  <c r="C135" i="28"/>
  <c r="F134" i="28"/>
  <c r="E134" i="28"/>
  <c r="D134" i="28"/>
  <c r="C134" i="28"/>
  <c r="F133" i="28"/>
  <c r="E133" i="28"/>
  <c r="D133" i="28"/>
  <c r="C133" i="28"/>
  <c r="F132" i="28"/>
  <c r="E132" i="28"/>
  <c r="D132" i="28"/>
  <c r="C132" i="28"/>
  <c r="F130" i="28"/>
  <c r="E130" i="28"/>
  <c r="D130" i="28"/>
  <c r="C130" i="28"/>
  <c r="F126" i="28"/>
  <c r="E126" i="28"/>
  <c r="D126" i="28"/>
  <c r="C126" i="28"/>
  <c r="M41" i="28"/>
  <c r="L41" i="28"/>
  <c r="K41" i="28"/>
  <c r="J41" i="28"/>
  <c r="I41" i="28"/>
  <c r="H41" i="28"/>
  <c r="G41" i="28"/>
  <c r="F41" i="28"/>
  <c r="E41" i="28"/>
  <c r="D41" i="28"/>
  <c r="K40" i="28"/>
  <c r="J40" i="28"/>
  <c r="I40" i="28"/>
  <c r="H40" i="28"/>
  <c r="G40" i="28"/>
  <c r="E40" i="28"/>
  <c r="K39" i="28"/>
  <c r="J39" i="28"/>
  <c r="I39" i="28"/>
  <c r="H39" i="28"/>
  <c r="G39" i="28"/>
  <c r="F39" i="28"/>
  <c r="E39" i="28"/>
  <c r="D39" i="28"/>
  <c r="M38" i="28"/>
  <c r="L38" i="28"/>
  <c r="K38" i="28"/>
  <c r="J38" i="28"/>
  <c r="I38" i="28"/>
  <c r="H38" i="28"/>
  <c r="G38" i="28"/>
  <c r="F38" i="28"/>
  <c r="E38" i="28"/>
  <c r="D38" i="28"/>
  <c r="M37" i="28"/>
  <c r="L37" i="28"/>
  <c r="K37" i="28"/>
  <c r="J37" i="28"/>
  <c r="P37" i="28" s="1"/>
  <c r="I37" i="28"/>
  <c r="H37" i="28"/>
  <c r="G37" i="28"/>
  <c r="F37" i="28"/>
  <c r="E37" i="28"/>
  <c r="D37" i="28"/>
  <c r="O37" i="28" s="1"/>
  <c r="M36" i="28"/>
  <c r="L36" i="28"/>
  <c r="K36" i="28"/>
  <c r="J36" i="28"/>
  <c r="P36" i="28" s="1"/>
  <c r="I36" i="28"/>
  <c r="H36" i="28"/>
  <c r="G36" i="28"/>
  <c r="F36" i="28"/>
  <c r="E36" i="28"/>
  <c r="D36" i="28"/>
  <c r="O36" i="28" s="1"/>
  <c r="M35" i="28"/>
  <c r="L35" i="28"/>
  <c r="K35" i="28"/>
  <c r="J35" i="28"/>
  <c r="P35" i="28" s="1"/>
  <c r="I35" i="28"/>
  <c r="H35" i="28"/>
  <c r="G35" i="28"/>
  <c r="F35" i="28"/>
  <c r="E35" i="28"/>
  <c r="D35" i="28"/>
  <c r="O35" i="28" s="1"/>
  <c r="M34" i="28"/>
  <c r="L34" i="28"/>
  <c r="K34" i="28"/>
  <c r="J34" i="28"/>
  <c r="P34" i="28" s="1"/>
  <c r="I34" i="28"/>
  <c r="H34" i="28"/>
  <c r="G34" i="28"/>
  <c r="F34" i="28"/>
  <c r="E34" i="28"/>
  <c r="D34" i="28"/>
  <c r="O34" i="28" s="1"/>
  <c r="M33" i="28"/>
  <c r="L33" i="28"/>
  <c r="K33" i="28"/>
  <c r="J33" i="28"/>
  <c r="P33" i="28" s="1"/>
  <c r="I33" i="28"/>
  <c r="H33" i="28"/>
  <c r="G33" i="28"/>
  <c r="F33" i="28"/>
  <c r="E33" i="28"/>
  <c r="D33" i="28"/>
  <c r="O33" i="28" s="1"/>
  <c r="M32" i="28"/>
  <c r="L32" i="28"/>
  <c r="K32" i="28"/>
  <c r="J32" i="28"/>
  <c r="P32" i="28" s="1"/>
  <c r="I32" i="28"/>
  <c r="H32" i="28"/>
  <c r="G32" i="28"/>
  <c r="F32" i="28"/>
  <c r="E32" i="28"/>
  <c r="D32" i="28"/>
  <c r="O32" i="28" s="1"/>
  <c r="M31" i="28"/>
  <c r="L31" i="28"/>
  <c r="K31" i="28"/>
  <c r="J31" i="28"/>
  <c r="P31" i="28" s="1"/>
  <c r="I31" i="28"/>
  <c r="H31" i="28"/>
  <c r="G31" i="28"/>
  <c r="F31" i="28"/>
  <c r="E31" i="28"/>
  <c r="D31" i="28"/>
  <c r="O31" i="28" s="1"/>
  <c r="M30" i="28"/>
  <c r="L30" i="28"/>
  <c r="K30" i="28"/>
  <c r="J30" i="28"/>
  <c r="P30" i="28" s="1"/>
  <c r="I30" i="28"/>
  <c r="H30" i="28"/>
  <c r="G30" i="28"/>
  <c r="F30" i="28"/>
  <c r="E30" i="28"/>
  <c r="D30" i="28"/>
  <c r="O30" i="28" s="1"/>
  <c r="M29" i="28"/>
  <c r="L29" i="28"/>
  <c r="K29" i="28"/>
  <c r="J29" i="28"/>
  <c r="P29" i="28" s="1"/>
  <c r="I29" i="28"/>
  <c r="H29" i="28"/>
  <c r="G29" i="28"/>
  <c r="F29" i="28"/>
  <c r="E29" i="28"/>
  <c r="D29" i="28"/>
  <c r="O29" i="28" s="1"/>
  <c r="K28" i="28"/>
  <c r="J28" i="28"/>
  <c r="I28" i="28"/>
  <c r="H28" i="28"/>
  <c r="G28" i="28"/>
  <c r="F28" i="28"/>
  <c r="E28" i="28"/>
  <c r="D28" i="28"/>
  <c r="M27" i="28"/>
  <c r="L27" i="28"/>
  <c r="K27" i="28"/>
  <c r="J27" i="28"/>
  <c r="P27" i="28" s="1"/>
  <c r="I27" i="28"/>
  <c r="H27" i="28"/>
  <c r="G27" i="28"/>
  <c r="F27" i="28"/>
  <c r="E27" i="28"/>
  <c r="D27" i="28"/>
  <c r="O27" i="28" s="1"/>
  <c r="M26" i="28"/>
  <c r="L26" i="28"/>
  <c r="K26" i="28"/>
  <c r="J26" i="28"/>
  <c r="I26" i="28"/>
  <c r="H26" i="28"/>
  <c r="G26" i="28"/>
  <c r="F26" i="28"/>
  <c r="E26" i="28"/>
  <c r="M25" i="28"/>
  <c r="L25" i="28"/>
  <c r="K25" i="28"/>
  <c r="J25" i="28"/>
  <c r="I25" i="28"/>
  <c r="H25" i="28"/>
  <c r="G25" i="28"/>
  <c r="F25" i="28"/>
  <c r="E25" i="28"/>
  <c r="M24" i="28"/>
  <c r="L24" i="28"/>
  <c r="K24" i="28"/>
  <c r="J24" i="28"/>
  <c r="P24" i="28" s="1"/>
  <c r="I24" i="28"/>
  <c r="H24" i="28"/>
  <c r="G24" i="28"/>
  <c r="F24" i="28"/>
  <c r="E24" i="28"/>
  <c r="D24" i="28"/>
  <c r="O24" i="28" s="1"/>
  <c r="M23" i="28"/>
  <c r="L23" i="28"/>
  <c r="K23" i="28"/>
  <c r="J23" i="28"/>
  <c r="P23" i="28" s="1"/>
  <c r="I23" i="28"/>
  <c r="H23" i="28"/>
  <c r="G23" i="28"/>
  <c r="F23" i="28"/>
  <c r="E23" i="28"/>
  <c r="D23" i="28"/>
  <c r="O23" i="28" s="1"/>
  <c r="M22" i="28"/>
  <c r="L22" i="28"/>
  <c r="K22" i="28"/>
  <c r="J22" i="28"/>
  <c r="P22" i="28" s="1"/>
  <c r="I22" i="28"/>
  <c r="H22" i="28"/>
  <c r="G22" i="28"/>
  <c r="F22" i="28"/>
  <c r="E22" i="28"/>
  <c r="D22" i="28"/>
  <c r="O22" i="28" s="1"/>
  <c r="M20" i="28"/>
  <c r="L20" i="28"/>
  <c r="K20" i="28"/>
  <c r="J20" i="28"/>
  <c r="P20" i="28" s="1"/>
  <c r="I20" i="28"/>
  <c r="H20" i="28"/>
  <c r="G20" i="28"/>
  <c r="F20" i="28"/>
  <c r="E20" i="28"/>
  <c r="D20" i="28"/>
  <c r="O20" i="28" s="1"/>
  <c r="M16" i="28"/>
  <c r="L16" i="28"/>
  <c r="K16" i="28"/>
  <c r="J16" i="28"/>
  <c r="P16" i="28" s="1"/>
  <c r="I16" i="28"/>
  <c r="H16" i="28"/>
  <c r="G16" i="28"/>
  <c r="F16" i="28"/>
  <c r="E16" i="28"/>
  <c r="D16" i="28"/>
  <c r="M8" i="28"/>
  <c r="L8" i="28"/>
  <c r="K8" i="28"/>
  <c r="J8" i="28"/>
  <c r="P8" i="28" s="1"/>
  <c r="I8" i="28"/>
  <c r="H8" i="28"/>
  <c r="G8" i="28"/>
  <c r="F8" i="28"/>
  <c r="E8" i="28"/>
  <c r="D8" i="28"/>
  <c r="O8" i="28" s="1"/>
  <c r="N138" i="28"/>
  <c r="M138" i="28"/>
  <c r="L138" i="28"/>
  <c r="B114" i="28"/>
  <c r="B89" i="28" s="1"/>
  <c r="B42" i="28" s="1"/>
  <c r="F76" i="28"/>
  <c r="P41" i="28"/>
  <c r="O41" i="28"/>
  <c r="P40" i="28"/>
  <c r="O40" i="28"/>
  <c r="P39" i="28"/>
  <c r="O39" i="28"/>
  <c r="P38" i="28"/>
  <c r="O38" i="28"/>
  <c r="O28" i="28"/>
  <c r="P28" i="28"/>
  <c r="K48" i="28"/>
  <c r="B62" i="28"/>
  <c r="A49" i="28"/>
  <c r="P21" i="28"/>
  <c r="O21" i="28"/>
  <c r="A48" i="28"/>
  <c r="P19" i="28"/>
  <c r="O19" i="28"/>
  <c r="P18" i="28"/>
  <c r="P17" i="28"/>
  <c r="O17" i="28"/>
  <c r="P15" i="28"/>
  <c r="O15" i="28"/>
  <c r="P14" i="28"/>
  <c r="P13" i="28"/>
  <c r="O13" i="28"/>
  <c r="P12" i="28"/>
  <c r="P11" i="28"/>
  <c r="O11" i="28"/>
  <c r="P10" i="28"/>
  <c r="O9" i="28"/>
  <c r="P9" i="28"/>
  <c r="O7" i="28"/>
  <c r="P7" i="28"/>
  <c r="P6" i="28"/>
  <c r="O6" i="28"/>
  <c r="O5" i="28"/>
  <c r="P5" i="28"/>
  <c r="P4" i="28"/>
  <c r="O4" i="28"/>
  <c r="O3" i="28"/>
  <c r="P2" i="28"/>
  <c r="O2" i="28"/>
  <c r="P42" i="28"/>
  <c r="P89" i="28" s="1"/>
  <c r="P152" i="28" s="1"/>
  <c r="F62" i="28"/>
  <c r="F142" i="27"/>
  <c r="E142" i="27"/>
  <c r="N141" i="27" s="1"/>
  <c r="D142" i="27"/>
  <c r="M141" i="27" s="1"/>
  <c r="C142" i="27"/>
  <c r="L141" i="27" s="1"/>
  <c r="F141" i="27"/>
  <c r="E141" i="27"/>
  <c r="N140" i="27" s="1"/>
  <c r="D141" i="27"/>
  <c r="M140" i="27" s="1"/>
  <c r="C141" i="27"/>
  <c r="L140" i="27" s="1"/>
  <c r="F140" i="27"/>
  <c r="E140" i="27"/>
  <c r="N139" i="27" s="1"/>
  <c r="D140" i="27"/>
  <c r="M139" i="27" s="1"/>
  <c r="C140" i="27"/>
  <c r="L139" i="27" s="1"/>
  <c r="F139" i="27"/>
  <c r="E139" i="27"/>
  <c r="D139" i="27"/>
  <c r="C139" i="27"/>
  <c r="F138" i="27"/>
  <c r="E138" i="27"/>
  <c r="D138" i="27"/>
  <c r="C138" i="27"/>
  <c r="F135" i="27"/>
  <c r="E135" i="27"/>
  <c r="D135" i="27"/>
  <c r="C135" i="27"/>
  <c r="F134" i="27"/>
  <c r="E134" i="27"/>
  <c r="D134" i="27"/>
  <c r="C134" i="27"/>
  <c r="F133" i="27"/>
  <c r="E133" i="27"/>
  <c r="D133" i="27"/>
  <c r="C133" i="27"/>
  <c r="F132" i="27"/>
  <c r="E132" i="27"/>
  <c r="D132" i="27"/>
  <c r="C132" i="27"/>
  <c r="F130" i="27"/>
  <c r="E130" i="27"/>
  <c r="D130" i="27"/>
  <c r="C130" i="27"/>
  <c r="F126" i="27"/>
  <c r="E126" i="27"/>
  <c r="D126" i="27"/>
  <c r="C126" i="27"/>
  <c r="M41" i="27"/>
  <c r="L41" i="27"/>
  <c r="K41" i="27"/>
  <c r="J41" i="27"/>
  <c r="I41" i="27"/>
  <c r="H41" i="27"/>
  <c r="G41" i="27"/>
  <c r="F41" i="27"/>
  <c r="E41" i="27"/>
  <c r="D41" i="27"/>
  <c r="M40" i="27"/>
  <c r="L40" i="27"/>
  <c r="K40" i="27"/>
  <c r="J40" i="27"/>
  <c r="I40" i="27"/>
  <c r="H40" i="27"/>
  <c r="G40" i="27"/>
  <c r="F40" i="27"/>
  <c r="M39" i="27"/>
  <c r="L39" i="27"/>
  <c r="K39" i="27"/>
  <c r="J39" i="27"/>
  <c r="I39" i="27"/>
  <c r="H39" i="27"/>
  <c r="G39" i="27"/>
  <c r="F39" i="27"/>
  <c r="E39" i="27"/>
  <c r="D39" i="27"/>
  <c r="M38" i="27"/>
  <c r="L38" i="27"/>
  <c r="K38" i="27"/>
  <c r="J38" i="27"/>
  <c r="I38" i="27"/>
  <c r="H38" i="27"/>
  <c r="G38" i="27"/>
  <c r="F38" i="27"/>
  <c r="E38" i="27"/>
  <c r="D38" i="27"/>
  <c r="M37" i="27"/>
  <c r="L37" i="27"/>
  <c r="K37" i="27"/>
  <c r="J37" i="27"/>
  <c r="P37" i="27" s="1"/>
  <c r="I37" i="27"/>
  <c r="H37" i="27"/>
  <c r="G37" i="27"/>
  <c r="F37" i="27"/>
  <c r="E37" i="27"/>
  <c r="D37" i="27"/>
  <c r="O37" i="27" s="1"/>
  <c r="M36" i="27"/>
  <c r="L36" i="27"/>
  <c r="K36" i="27"/>
  <c r="J36" i="27"/>
  <c r="I36" i="27"/>
  <c r="H36" i="27"/>
  <c r="G36" i="27"/>
  <c r="F36" i="27"/>
  <c r="E36" i="27"/>
  <c r="D36" i="27"/>
  <c r="M35" i="27"/>
  <c r="L35" i="27"/>
  <c r="K35" i="27"/>
  <c r="J35" i="27"/>
  <c r="P35" i="27" s="1"/>
  <c r="I35" i="27"/>
  <c r="H35" i="27"/>
  <c r="G35" i="27"/>
  <c r="F35" i="27"/>
  <c r="E35" i="27"/>
  <c r="D35" i="27"/>
  <c r="O35" i="27" s="1"/>
  <c r="M34" i="27"/>
  <c r="L34" i="27"/>
  <c r="K34" i="27"/>
  <c r="J34" i="27"/>
  <c r="P34" i="27" s="1"/>
  <c r="I34" i="27"/>
  <c r="H34" i="27"/>
  <c r="G34" i="27"/>
  <c r="F34" i="27"/>
  <c r="E34" i="27"/>
  <c r="D34" i="27"/>
  <c r="O34" i="27" s="1"/>
  <c r="M33" i="27"/>
  <c r="L33" i="27"/>
  <c r="K33" i="27"/>
  <c r="J33" i="27"/>
  <c r="P33" i="27" s="1"/>
  <c r="I33" i="27"/>
  <c r="H33" i="27"/>
  <c r="G33" i="27"/>
  <c r="F33" i="27"/>
  <c r="E33" i="27"/>
  <c r="D33" i="27"/>
  <c r="O33" i="27" s="1"/>
  <c r="M32" i="27"/>
  <c r="L32" i="27"/>
  <c r="K32" i="27"/>
  <c r="J32" i="27"/>
  <c r="P32" i="27" s="1"/>
  <c r="I32" i="27"/>
  <c r="H32" i="27"/>
  <c r="G32" i="27"/>
  <c r="F32" i="27"/>
  <c r="E32" i="27"/>
  <c r="D32" i="27"/>
  <c r="O32" i="27" s="1"/>
  <c r="M31" i="27"/>
  <c r="L31" i="27"/>
  <c r="K31" i="27"/>
  <c r="J31" i="27"/>
  <c r="P31" i="27" s="1"/>
  <c r="I31" i="27"/>
  <c r="H31" i="27"/>
  <c r="G31" i="27"/>
  <c r="F31" i="27"/>
  <c r="E31" i="27"/>
  <c r="D31" i="27"/>
  <c r="O31" i="27" s="1"/>
  <c r="M30" i="27"/>
  <c r="L30" i="27"/>
  <c r="K30" i="27"/>
  <c r="J30" i="27"/>
  <c r="P30" i="27" s="1"/>
  <c r="I30" i="27"/>
  <c r="H30" i="27"/>
  <c r="G30" i="27"/>
  <c r="F30" i="27"/>
  <c r="E30" i="27"/>
  <c r="D30" i="27"/>
  <c r="O30" i="27" s="1"/>
  <c r="M29" i="27"/>
  <c r="L29" i="27"/>
  <c r="K29" i="27"/>
  <c r="J29" i="27"/>
  <c r="P29" i="27" s="1"/>
  <c r="I29" i="27"/>
  <c r="H29" i="27"/>
  <c r="G29" i="27"/>
  <c r="F29" i="27"/>
  <c r="E29" i="27"/>
  <c r="D29" i="27"/>
  <c r="O29" i="27" s="1"/>
  <c r="M28" i="27"/>
  <c r="K28" i="27"/>
  <c r="J28" i="27"/>
  <c r="P28" i="27" s="1"/>
  <c r="I28" i="27"/>
  <c r="H28" i="27"/>
  <c r="G28" i="27"/>
  <c r="F28" i="27"/>
  <c r="D28" i="27"/>
  <c r="O28" i="27" s="1"/>
  <c r="M27" i="27"/>
  <c r="L27" i="27"/>
  <c r="K27" i="27"/>
  <c r="J27" i="27"/>
  <c r="P27" i="27" s="1"/>
  <c r="I27" i="27"/>
  <c r="H27" i="27"/>
  <c r="G27" i="27"/>
  <c r="F27" i="27"/>
  <c r="E27" i="27"/>
  <c r="D27" i="27"/>
  <c r="O27" i="27" s="1"/>
  <c r="M26" i="27"/>
  <c r="L26" i="27"/>
  <c r="K26" i="27"/>
  <c r="J26" i="27"/>
  <c r="I26" i="27"/>
  <c r="H26" i="27"/>
  <c r="G26" i="27"/>
  <c r="F26" i="27"/>
  <c r="E26" i="27"/>
  <c r="M25" i="27"/>
  <c r="L25" i="27"/>
  <c r="K25" i="27"/>
  <c r="J25" i="27"/>
  <c r="I25" i="27"/>
  <c r="H25" i="27"/>
  <c r="G25" i="27"/>
  <c r="F25" i="27"/>
  <c r="E25" i="27"/>
  <c r="M24" i="27"/>
  <c r="L24" i="27"/>
  <c r="K24" i="27"/>
  <c r="J24" i="27"/>
  <c r="P24" i="27" s="1"/>
  <c r="I24" i="27"/>
  <c r="H24" i="27"/>
  <c r="G24" i="27"/>
  <c r="F24" i="27"/>
  <c r="E24" i="27"/>
  <c r="D24" i="27"/>
  <c r="O24" i="27" s="1"/>
  <c r="M23" i="27"/>
  <c r="L23" i="27"/>
  <c r="K23" i="27"/>
  <c r="J23" i="27"/>
  <c r="P23" i="27" s="1"/>
  <c r="I23" i="27"/>
  <c r="H23" i="27"/>
  <c r="G23" i="27"/>
  <c r="F23" i="27"/>
  <c r="E23" i="27"/>
  <c r="D23" i="27"/>
  <c r="O23" i="27" s="1"/>
  <c r="M22" i="27"/>
  <c r="L22" i="27"/>
  <c r="K22" i="27"/>
  <c r="J22" i="27"/>
  <c r="P22" i="27" s="1"/>
  <c r="I22" i="27"/>
  <c r="H22" i="27"/>
  <c r="G22" i="27"/>
  <c r="F22" i="27"/>
  <c r="E22" i="27"/>
  <c r="D22" i="27"/>
  <c r="O22" i="27" s="1"/>
  <c r="M20" i="27"/>
  <c r="L20" i="27"/>
  <c r="K20" i="27"/>
  <c r="J20" i="27"/>
  <c r="P20" i="27" s="1"/>
  <c r="I20" i="27"/>
  <c r="H20" i="27"/>
  <c r="G20" i="27"/>
  <c r="F20" i="27"/>
  <c r="E20" i="27"/>
  <c r="D20" i="27"/>
  <c r="O20" i="27" s="1"/>
  <c r="M16" i="27"/>
  <c r="L16" i="27"/>
  <c r="K16" i="27"/>
  <c r="J16" i="27"/>
  <c r="P16" i="27" s="1"/>
  <c r="I16" i="27"/>
  <c r="H16" i="27"/>
  <c r="G16" i="27"/>
  <c r="F16" i="27"/>
  <c r="E16" i="27"/>
  <c r="D16" i="27"/>
  <c r="M8" i="27"/>
  <c r="L8" i="27"/>
  <c r="K8" i="27"/>
  <c r="J8" i="27"/>
  <c r="P8" i="27" s="1"/>
  <c r="I8" i="27"/>
  <c r="H8" i="27"/>
  <c r="G8" i="27"/>
  <c r="F8" i="27"/>
  <c r="E8" i="27"/>
  <c r="D8" i="27"/>
  <c r="O8" i="27" s="1"/>
  <c r="N138" i="27"/>
  <c r="M138" i="27"/>
  <c r="L138" i="27"/>
  <c r="B114" i="27"/>
  <c r="R89" i="27" s="1"/>
  <c r="F114" i="27" s="1"/>
  <c r="B152" i="27" s="1"/>
  <c r="F76" i="27"/>
  <c r="P41" i="27"/>
  <c r="O41" i="27"/>
  <c r="P40" i="27"/>
  <c r="O40" i="27"/>
  <c r="P39" i="27"/>
  <c r="O39" i="27"/>
  <c r="P38" i="27"/>
  <c r="O38" i="27"/>
  <c r="K48" i="27"/>
  <c r="B62" i="27"/>
  <c r="A49" i="27"/>
  <c r="P21" i="27"/>
  <c r="O21" i="27"/>
  <c r="A48" i="27"/>
  <c r="P19" i="27"/>
  <c r="P18" i="27"/>
  <c r="O17" i="27"/>
  <c r="P17" i="27"/>
  <c r="P15" i="27"/>
  <c r="O15" i="27"/>
  <c r="P14" i="27"/>
  <c r="P13" i="27"/>
  <c r="O13" i="27"/>
  <c r="P12" i="27"/>
  <c r="P11" i="27"/>
  <c r="O11" i="27"/>
  <c r="P10" i="27"/>
  <c r="O9" i="27"/>
  <c r="P9" i="27"/>
  <c r="O7" i="27"/>
  <c r="P7" i="27"/>
  <c r="P6" i="27"/>
  <c r="O6" i="27"/>
  <c r="O5" i="27"/>
  <c r="P5" i="27"/>
  <c r="P4" i="27"/>
  <c r="O4" i="27"/>
  <c r="O3" i="27"/>
  <c r="P2" i="27"/>
  <c r="O2" i="27"/>
  <c r="P42" i="27"/>
  <c r="P89" i="27" s="1"/>
  <c r="P152" i="27" s="1"/>
  <c r="F62" i="27"/>
  <c r="F142" i="26"/>
  <c r="E142" i="26"/>
  <c r="N141" i="26" s="1"/>
  <c r="D142" i="26"/>
  <c r="M141" i="26" s="1"/>
  <c r="C142" i="26"/>
  <c r="L141" i="26" s="1"/>
  <c r="F141" i="26"/>
  <c r="E141" i="26"/>
  <c r="N140" i="26" s="1"/>
  <c r="D141" i="26"/>
  <c r="M140" i="26" s="1"/>
  <c r="C141" i="26"/>
  <c r="L140" i="26" s="1"/>
  <c r="F140" i="26"/>
  <c r="E140" i="26"/>
  <c r="N139" i="26" s="1"/>
  <c r="D140" i="26"/>
  <c r="M139" i="26" s="1"/>
  <c r="C140" i="26"/>
  <c r="L139" i="26" s="1"/>
  <c r="F139" i="26"/>
  <c r="E139" i="26"/>
  <c r="D139" i="26"/>
  <c r="C139" i="26"/>
  <c r="F138" i="26"/>
  <c r="E138" i="26"/>
  <c r="D138" i="26"/>
  <c r="C138" i="26"/>
  <c r="F135" i="26"/>
  <c r="E135" i="26"/>
  <c r="D135" i="26"/>
  <c r="C135" i="26"/>
  <c r="F134" i="26"/>
  <c r="E134" i="26"/>
  <c r="D134" i="26"/>
  <c r="C134" i="26"/>
  <c r="F133" i="26"/>
  <c r="E133" i="26"/>
  <c r="D133" i="26"/>
  <c r="C133" i="26"/>
  <c r="F132" i="26"/>
  <c r="E132" i="26"/>
  <c r="D132" i="26"/>
  <c r="C132" i="26"/>
  <c r="F130" i="26"/>
  <c r="E130" i="26"/>
  <c r="D130" i="26"/>
  <c r="C130" i="26"/>
  <c r="F126" i="26"/>
  <c r="E126" i="26"/>
  <c r="D126" i="26"/>
  <c r="C126" i="26"/>
  <c r="M41" i="26"/>
  <c r="L41" i="26"/>
  <c r="K41" i="26"/>
  <c r="J41" i="26"/>
  <c r="I41" i="26"/>
  <c r="H41" i="26"/>
  <c r="G41" i="26"/>
  <c r="F41" i="26"/>
  <c r="E41" i="26"/>
  <c r="D41" i="26"/>
  <c r="M40" i="26"/>
  <c r="L40" i="26"/>
  <c r="K40" i="26"/>
  <c r="J40" i="26"/>
  <c r="I40" i="26"/>
  <c r="H40" i="26"/>
  <c r="G40" i="26"/>
  <c r="F40" i="26"/>
  <c r="E40" i="26"/>
  <c r="M39" i="26"/>
  <c r="L39" i="26"/>
  <c r="K39" i="26"/>
  <c r="J39" i="26"/>
  <c r="I39" i="26"/>
  <c r="H39" i="26"/>
  <c r="G39" i="26"/>
  <c r="F39" i="26"/>
  <c r="E39" i="26"/>
  <c r="D39" i="26"/>
  <c r="M38" i="26"/>
  <c r="L38" i="26"/>
  <c r="K38" i="26"/>
  <c r="J38" i="26"/>
  <c r="I38" i="26"/>
  <c r="H38" i="26"/>
  <c r="G38" i="26"/>
  <c r="F38" i="26"/>
  <c r="E38" i="26"/>
  <c r="D38" i="26"/>
  <c r="M37" i="26"/>
  <c r="L37" i="26"/>
  <c r="K37" i="26"/>
  <c r="J37" i="26"/>
  <c r="P37" i="26" s="1"/>
  <c r="I37" i="26"/>
  <c r="H37" i="26"/>
  <c r="G37" i="26"/>
  <c r="F37" i="26"/>
  <c r="E37" i="26"/>
  <c r="D37" i="26"/>
  <c r="O37" i="26" s="1"/>
  <c r="M36" i="26"/>
  <c r="L36" i="26"/>
  <c r="K36" i="26"/>
  <c r="J36" i="26"/>
  <c r="P36" i="26" s="1"/>
  <c r="I36" i="26"/>
  <c r="H36" i="26"/>
  <c r="G36" i="26"/>
  <c r="F36" i="26"/>
  <c r="E36" i="26"/>
  <c r="D36" i="26"/>
  <c r="O36" i="26" s="1"/>
  <c r="M35" i="26"/>
  <c r="L35" i="26"/>
  <c r="K35" i="26"/>
  <c r="J35" i="26"/>
  <c r="P35" i="26" s="1"/>
  <c r="I35" i="26"/>
  <c r="H35" i="26"/>
  <c r="G35" i="26"/>
  <c r="F35" i="26"/>
  <c r="E35" i="26"/>
  <c r="D35" i="26"/>
  <c r="O35" i="26" s="1"/>
  <c r="M34" i="26"/>
  <c r="L34" i="26"/>
  <c r="K34" i="26"/>
  <c r="J34" i="26"/>
  <c r="P34" i="26" s="1"/>
  <c r="I34" i="26"/>
  <c r="H34" i="26"/>
  <c r="G34" i="26"/>
  <c r="F34" i="26"/>
  <c r="E34" i="26"/>
  <c r="D34" i="26"/>
  <c r="O34" i="26" s="1"/>
  <c r="M33" i="26"/>
  <c r="L33" i="26"/>
  <c r="K33" i="26"/>
  <c r="J33" i="26"/>
  <c r="P33" i="26" s="1"/>
  <c r="I33" i="26"/>
  <c r="H33" i="26"/>
  <c r="G33" i="26"/>
  <c r="F33" i="26"/>
  <c r="E33" i="26"/>
  <c r="D33" i="26"/>
  <c r="O33" i="26" s="1"/>
  <c r="M32" i="26"/>
  <c r="L32" i="26"/>
  <c r="K32" i="26"/>
  <c r="J32" i="26"/>
  <c r="P32" i="26" s="1"/>
  <c r="I32" i="26"/>
  <c r="H32" i="26"/>
  <c r="G32" i="26"/>
  <c r="F32" i="26"/>
  <c r="E32" i="26"/>
  <c r="D32" i="26"/>
  <c r="O32" i="26" s="1"/>
  <c r="M31" i="26"/>
  <c r="L31" i="26"/>
  <c r="K31" i="26"/>
  <c r="J31" i="26"/>
  <c r="P31" i="26" s="1"/>
  <c r="I31" i="26"/>
  <c r="H31" i="26"/>
  <c r="G31" i="26"/>
  <c r="F31" i="26"/>
  <c r="E31" i="26"/>
  <c r="D31" i="26"/>
  <c r="O31" i="26" s="1"/>
  <c r="M30" i="26"/>
  <c r="L30" i="26"/>
  <c r="K30" i="26"/>
  <c r="J30" i="26"/>
  <c r="P30" i="26" s="1"/>
  <c r="I30" i="26"/>
  <c r="H30" i="26"/>
  <c r="G30" i="26"/>
  <c r="F30" i="26"/>
  <c r="E30" i="26"/>
  <c r="D30" i="26"/>
  <c r="O30" i="26" s="1"/>
  <c r="M29" i="26"/>
  <c r="L29" i="26"/>
  <c r="K29" i="26"/>
  <c r="J29" i="26"/>
  <c r="P29" i="26" s="1"/>
  <c r="I29" i="26"/>
  <c r="H29" i="26"/>
  <c r="G29" i="26"/>
  <c r="F29" i="26"/>
  <c r="E29" i="26"/>
  <c r="D29" i="26"/>
  <c r="O29" i="26" s="1"/>
  <c r="M28" i="26"/>
  <c r="L28" i="26"/>
  <c r="K28" i="26"/>
  <c r="J28" i="26"/>
  <c r="P28" i="26" s="1"/>
  <c r="I28" i="26"/>
  <c r="H28" i="26"/>
  <c r="G28" i="26"/>
  <c r="F28" i="26"/>
  <c r="E28" i="26"/>
  <c r="D28" i="26"/>
  <c r="O28" i="26" s="1"/>
  <c r="M27" i="26"/>
  <c r="L27" i="26"/>
  <c r="K27" i="26"/>
  <c r="J27" i="26"/>
  <c r="P27" i="26" s="1"/>
  <c r="I27" i="26"/>
  <c r="H27" i="26"/>
  <c r="G27" i="26"/>
  <c r="F27" i="26"/>
  <c r="E27" i="26"/>
  <c r="D27" i="26"/>
  <c r="O27" i="26" s="1"/>
  <c r="M26" i="26"/>
  <c r="L26" i="26"/>
  <c r="K26" i="26"/>
  <c r="J26" i="26"/>
  <c r="I26" i="26"/>
  <c r="H26" i="26"/>
  <c r="G26" i="26"/>
  <c r="F26" i="26"/>
  <c r="E26" i="26"/>
  <c r="M25" i="26"/>
  <c r="L25" i="26"/>
  <c r="K25" i="26"/>
  <c r="J25" i="26"/>
  <c r="I25" i="26"/>
  <c r="H25" i="26"/>
  <c r="G25" i="26"/>
  <c r="F25" i="26"/>
  <c r="E25" i="26"/>
  <c r="M24" i="26"/>
  <c r="L24" i="26"/>
  <c r="K24" i="26"/>
  <c r="J24" i="26"/>
  <c r="P24" i="26" s="1"/>
  <c r="I24" i="26"/>
  <c r="H24" i="26"/>
  <c r="G24" i="26"/>
  <c r="F24" i="26"/>
  <c r="E24" i="26"/>
  <c r="D24" i="26"/>
  <c r="O24" i="26" s="1"/>
  <c r="M23" i="26"/>
  <c r="L23" i="26"/>
  <c r="K23" i="26"/>
  <c r="J23" i="26"/>
  <c r="P23" i="26" s="1"/>
  <c r="I23" i="26"/>
  <c r="H23" i="26"/>
  <c r="G23" i="26"/>
  <c r="F23" i="26"/>
  <c r="E23" i="26"/>
  <c r="D23" i="26"/>
  <c r="O23" i="26" s="1"/>
  <c r="M22" i="26"/>
  <c r="L22" i="26"/>
  <c r="K22" i="26"/>
  <c r="J22" i="26"/>
  <c r="P22" i="26" s="1"/>
  <c r="I22" i="26"/>
  <c r="H22" i="26"/>
  <c r="G22" i="26"/>
  <c r="F22" i="26"/>
  <c r="E22" i="26"/>
  <c r="D22" i="26"/>
  <c r="O22" i="26" s="1"/>
  <c r="M20" i="26"/>
  <c r="L20" i="26"/>
  <c r="K20" i="26"/>
  <c r="J20" i="26"/>
  <c r="P20" i="26" s="1"/>
  <c r="I20" i="26"/>
  <c r="H20" i="26"/>
  <c r="G20" i="26"/>
  <c r="F20" i="26"/>
  <c r="E20" i="26"/>
  <c r="D20" i="26"/>
  <c r="O20" i="26" s="1"/>
  <c r="M16" i="26"/>
  <c r="L16" i="26"/>
  <c r="K16" i="26"/>
  <c r="J16" i="26"/>
  <c r="P16" i="26" s="1"/>
  <c r="I16" i="26"/>
  <c r="H16" i="26"/>
  <c r="G16" i="26"/>
  <c r="F16" i="26"/>
  <c r="E16" i="26"/>
  <c r="D16" i="26"/>
  <c r="M8" i="26"/>
  <c r="L8" i="26"/>
  <c r="K8" i="26"/>
  <c r="J8" i="26"/>
  <c r="P8" i="26" s="1"/>
  <c r="I8" i="26"/>
  <c r="H8" i="26"/>
  <c r="G8" i="26"/>
  <c r="F8" i="26"/>
  <c r="E8" i="26"/>
  <c r="D8" i="26"/>
  <c r="O8" i="26" s="1"/>
  <c r="N138" i="26"/>
  <c r="M138" i="26"/>
  <c r="L138" i="26"/>
  <c r="B114" i="26"/>
  <c r="B89" i="26" s="1"/>
  <c r="B42" i="26" s="1"/>
  <c r="F76" i="26"/>
  <c r="P41" i="26"/>
  <c r="O41" i="26"/>
  <c r="P40" i="26"/>
  <c r="O40" i="26"/>
  <c r="P39" i="26"/>
  <c r="O39" i="26"/>
  <c r="P38" i="26"/>
  <c r="O38" i="26"/>
  <c r="K48" i="26"/>
  <c r="B62" i="26"/>
  <c r="A49" i="26"/>
  <c r="P21" i="26"/>
  <c r="O21" i="26"/>
  <c r="A48" i="26"/>
  <c r="P19" i="26"/>
  <c r="O19" i="26"/>
  <c r="P18" i="26"/>
  <c r="P17" i="26"/>
  <c r="O17" i="26"/>
  <c r="P15" i="26"/>
  <c r="O15" i="26"/>
  <c r="P14" i="26"/>
  <c r="P13" i="26"/>
  <c r="O13" i="26"/>
  <c r="P12" i="26"/>
  <c r="P11" i="26"/>
  <c r="O11" i="26"/>
  <c r="P10" i="26"/>
  <c r="O9" i="26"/>
  <c r="P9" i="26"/>
  <c r="O7" i="26"/>
  <c r="P7" i="26"/>
  <c r="P6" i="26"/>
  <c r="O6" i="26"/>
  <c r="O5" i="26"/>
  <c r="P5" i="26"/>
  <c r="P4" i="26"/>
  <c r="O4" i="26"/>
  <c r="O3" i="26"/>
  <c r="P2" i="26"/>
  <c r="O2" i="26"/>
  <c r="P42" i="26"/>
  <c r="P89" i="26" s="1"/>
  <c r="P152" i="26" s="1"/>
  <c r="F62" i="26"/>
  <c r="F142" i="25"/>
  <c r="E142" i="25"/>
  <c r="N141" i="25" s="1"/>
  <c r="D142" i="25"/>
  <c r="M141" i="25" s="1"/>
  <c r="C142" i="25"/>
  <c r="L141" i="25" s="1"/>
  <c r="F141" i="25"/>
  <c r="E141" i="25"/>
  <c r="N140" i="25" s="1"/>
  <c r="D141" i="25"/>
  <c r="M140" i="25" s="1"/>
  <c r="C141" i="25"/>
  <c r="L140" i="25" s="1"/>
  <c r="F140" i="25"/>
  <c r="E140" i="25"/>
  <c r="N139" i="25" s="1"/>
  <c r="D140" i="25"/>
  <c r="M139" i="25" s="1"/>
  <c r="C140" i="25"/>
  <c r="L139" i="25" s="1"/>
  <c r="F139" i="25"/>
  <c r="E139" i="25"/>
  <c r="D139" i="25"/>
  <c r="C139" i="25"/>
  <c r="F138" i="25"/>
  <c r="E138" i="25"/>
  <c r="D138" i="25"/>
  <c r="C138" i="25"/>
  <c r="F135" i="25"/>
  <c r="E135" i="25"/>
  <c r="D135" i="25"/>
  <c r="C135" i="25"/>
  <c r="F134" i="25"/>
  <c r="E134" i="25"/>
  <c r="D134" i="25"/>
  <c r="C134" i="25"/>
  <c r="F133" i="25"/>
  <c r="E133" i="25"/>
  <c r="D133" i="25"/>
  <c r="C133" i="25"/>
  <c r="F132" i="25"/>
  <c r="E132" i="25"/>
  <c r="D132" i="25"/>
  <c r="C132" i="25"/>
  <c r="F130" i="25"/>
  <c r="E130" i="25"/>
  <c r="D130" i="25"/>
  <c r="C130" i="25"/>
  <c r="F126" i="25"/>
  <c r="E126" i="25"/>
  <c r="D126" i="25"/>
  <c r="C126" i="25"/>
  <c r="M41" i="25"/>
  <c r="L41" i="25"/>
  <c r="K41" i="25"/>
  <c r="J41" i="25"/>
  <c r="I41" i="25"/>
  <c r="H41" i="25"/>
  <c r="G41" i="25"/>
  <c r="F41" i="25"/>
  <c r="E41" i="25"/>
  <c r="D41" i="25"/>
  <c r="M40" i="25"/>
  <c r="L40" i="25"/>
  <c r="K40" i="25"/>
  <c r="J40" i="25"/>
  <c r="I40" i="25"/>
  <c r="H40" i="25"/>
  <c r="G40" i="25"/>
  <c r="F40" i="25"/>
  <c r="E40" i="25"/>
  <c r="M39" i="25"/>
  <c r="L39" i="25"/>
  <c r="K39" i="25"/>
  <c r="J39" i="25"/>
  <c r="I39" i="25"/>
  <c r="H39" i="25"/>
  <c r="G39" i="25"/>
  <c r="F39" i="25"/>
  <c r="E39" i="25"/>
  <c r="D39" i="25"/>
  <c r="M38" i="25"/>
  <c r="L38" i="25"/>
  <c r="K38" i="25"/>
  <c r="J38" i="25"/>
  <c r="I38" i="25"/>
  <c r="H38" i="25"/>
  <c r="G38" i="25"/>
  <c r="F38" i="25"/>
  <c r="E38" i="25"/>
  <c r="D38" i="25"/>
  <c r="M37" i="25"/>
  <c r="L37" i="25"/>
  <c r="K37" i="25"/>
  <c r="J37" i="25"/>
  <c r="P37" i="25" s="1"/>
  <c r="I37" i="25"/>
  <c r="H37" i="25"/>
  <c r="G37" i="25"/>
  <c r="F37" i="25"/>
  <c r="E37" i="25"/>
  <c r="D37" i="25"/>
  <c r="O37" i="25" s="1"/>
  <c r="M36" i="25"/>
  <c r="L36" i="25"/>
  <c r="K36" i="25"/>
  <c r="J36" i="25"/>
  <c r="P36" i="25" s="1"/>
  <c r="I36" i="25"/>
  <c r="H36" i="25"/>
  <c r="G36" i="25"/>
  <c r="F36" i="25"/>
  <c r="E36" i="25"/>
  <c r="D36" i="25"/>
  <c r="O36" i="25" s="1"/>
  <c r="M35" i="25"/>
  <c r="L35" i="25"/>
  <c r="K35" i="25"/>
  <c r="J35" i="25"/>
  <c r="P35" i="25" s="1"/>
  <c r="I35" i="25"/>
  <c r="H35" i="25"/>
  <c r="G35" i="25"/>
  <c r="F35" i="25"/>
  <c r="E35" i="25"/>
  <c r="D35" i="25"/>
  <c r="O35" i="25" s="1"/>
  <c r="M34" i="25"/>
  <c r="L34" i="25"/>
  <c r="K34" i="25"/>
  <c r="J34" i="25"/>
  <c r="P34" i="25" s="1"/>
  <c r="I34" i="25"/>
  <c r="H34" i="25"/>
  <c r="G34" i="25"/>
  <c r="F34" i="25"/>
  <c r="E34" i="25"/>
  <c r="D34" i="25"/>
  <c r="O34" i="25" s="1"/>
  <c r="M33" i="25"/>
  <c r="L33" i="25"/>
  <c r="K33" i="25"/>
  <c r="J33" i="25"/>
  <c r="P33" i="25" s="1"/>
  <c r="I33" i="25"/>
  <c r="H33" i="25"/>
  <c r="G33" i="25"/>
  <c r="F33" i="25"/>
  <c r="E33" i="25"/>
  <c r="D33" i="25"/>
  <c r="O33" i="25" s="1"/>
  <c r="M32" i="25"/>
  <c r="L32" i="25"/>
  <c r="K32" i="25"/>
  <c r="J32" i="25"/>
  <c r="P32" i="25" s="1"/>
  <c r="I32" i="25"/>
  <c r="H32" i="25"/>
  <c r="G32" i="25"/>
  <c r="F32" i="25"/>
  <c r="E32" i="25"/>
  <c r="D32" i="25"/>
  <c r="O32" i="25" s="1"/>
  <c r="M31" i="25"/>
  <c r="L31" i="25"/>
  <c r="K31" i="25"/>
  <c r="J31" i="25"/>
  <c r="P31" i="25" s="1"/>
  <c r="I31" i="25"/>
  <c r="H31" i="25"/>
  <c r="G31" i="25"/>
  <c r="F31" i="25"/>
  <c r="E31" i="25"/>
  <c r="D31" i="25"/>
  <c r="O31" i="25" s="1"/>
  <c r="M30" i="25"/>
  <c r="L30" i="25"/>
  <c r="K30" i="25"/>
  <c r="J30" i="25"/>
  <c r="P30" i="25" s="1"/>
  <c r="I30" i="25"/>
  <c r="H30" i="25"/>
  <c r="G30" i="25"/>
  <c r="F30" i="25"/>
  <c r="E30" i="25"/>
  <c r="D30" i="25"/>
  <c r="O30" i="25" s="1"/>
  <c r="M29" i="25"/>
  <c r="L29" i="25"/>
  <c r="K29" i="25"/>
  <c r="J29" i="25"/>
  <c r="P29" i="25" s="1"/>
  <c r="I29" i="25"/>
  <c r="H29" i="25"/>
  <c r="G29" i="25"/>
  <c r="F29" i="25"/>
  <c r="E29" i="25"/>
  <c r="D29" i="25"/>
  <c r="O29" i="25" s="1"/>
  <c r="M28" i="25"/>
  <c r="L28" i="25"/>
  <c r="K28" i="25"/>
  <c r="J28" i="25"/>
  <c r="P28" i="25" s="1"/>
  <c r="I28" i="25"/>
  <c r="H28" i="25"/>
  <c r="G28" i="25"/>
  <c r="F28" i="25"/>
  <c r="E28" i="25"/>
  <c r="D28" i="25"/>
  <c r="O28" i="25" s="1"/>
  <c r="M27" i="25"/>
  <c r="L27" i="25"/>
  <c r="K27" i="25"/>
  <c r="J27" i="25"/>
  <c r="P27" i="25" s="1"/>
  <c r="I27" i="25"/>
  <c r="H27" i="25"/>
  <c r="G27" i="25"/>
  <c r="F27" i="25"/>
  <c r="E27" i="25"/>
  <c r="D27" i="25"/>
  <c r="O27" i="25" s="1"/>
  <c r="M26" i="25"/>
  <c r="L26" i="25"/>
  <c r="K26" i="25"/>
  <c r="J26" i="25"/>
  <c r="I26" i="25"/>
  <c r="H26" i="25"/>
  <c r="G26" i="25"/>
  <c r="F26" i="25"/>
  <c r="E26" i="25"/>
  <c r="M25" i="25"/>
  <c r="L25" i="25"/>
  <c r="K25" i="25"/>
  <c r="J25" i="25"/>
  <c r="I25" i="25"/>
  <c r="H25" i="25"/>
  <c r="G25" i="25"/>
  <c r="F25" i="25"/>
  <c r="E25" i="25"/>
  <c r="M24" i="25"/>
  <c r="L24" i="25"/>
  <c r="K24" i="25"/>
  <c r="J24" i="25"/>
  <c r="P24" i="25" s="1"/>
  <c r="I24" i="25"/>
  <c r="H24" i="25"/>
  <c r="G24" i="25"/>
  <c r="F24" i="25"/>
  <c r="E24" i="25"/>
  <c r="D24" i="25"/>
  <c r="O24" i="25" s="1"/>
  <c r="M23" i="25"/>
  <c r="L23" i="25"/>
  <c r="K23" i="25"/>
  <c r="J23" i="25"/>
  <c r="P23" i="25" s="1"/>
  <c r="I23" i="25"/>
  <c r="H23" i="25"/>
  <c r="G23" i="25"/>
  <c r="F23" i="25"/>
  <c r="E23" i="25"/>
  <c r="D23" i="25"/>
  <c r="O23" i="25" s="1"/>
  <c r="M22" i="25"/>
  <c r="L22" i="25"/>
  <c r="K22" i="25"/>
  <c r="J22" i="25"/>
  <c r="P22" i="25" s="1"/>
  <c r="I22" i="25"/>
  <c r="H22" i="25"/>
  <c r="G22" i="25"/>
  <c r="F22" i="25"/>
  <c r="E22" i="25"/>
  <c r="D22" i="25"/>
  <c r="O22" i="25" s="1"/>
  <c r="M20" i="25"/>
  <c r="L20" i="25"/>
  <c r="K20" i="25"/>
  <c r="J20" i="25"/>
  <c r="P20" i="25" s="1"/>
  <c r="I20" i="25"/>
  <c r="H20" i="25"/>
  <c r="G20" i="25"/>
  <c r="F20" i="25"/>
  <c r="E20" i="25"/>
  <c r="D20" i="25"/>
  <c r="O20" i="25" s="1"/>
  <c r="M16" i="25"/>
  <c r="L16" i="25"/>
  <c r="K16" i="25"/>
  <c r="J16" i="25"/>
  <c r="P16" i="25" s="1"/>
  <c r="I16" i="25"/>
  <c r="H16" i="25"/>
  <c r="G16" i="25"/>
  <c r="F16" i="25"/>
  <c r="E16" i="25"/>
  <c r="D16" i="25"/>
  <c r="M8" i="25"/>
  <c r="L8" i="25"/>
  <c r="K8" i="25"/>
  <c r="J8" i="25"/>
  <c r="P8" i="25" s="1"/>
  <c r="I8" i="25"/>
  <c r="H8" i="25"/>
  <c r="G8" i="25"/>
  <c r="F8" i="25"/>
  <c r="E8" i="25"/>
  <c r="D8" i="25"/>
  <c r="O8" i="25" s="1"/>
  <c r="N138" i="25"/>
  <c r="M138" i="25"/>
  <c r="L138" i="25"/>
  <c r="B114" i="25"/>
  <c r="B89" i="25" s="1"/>
  <c r="B42" i="25" s="1"/>
  <c r="F76" i="25"/>
  <c r="P41" i="25"/>
  <c r="O41" i="25"/>
  <c r="P40" i="25"/>
  <c r="O40" i="25"/>
  <c r="P39" i="25"/>
  <c r="O39" i="25"/>
  <c r="P38" i="25"/>
  <c r="O38" i="25"/>
  <c r="K48" i="25"/>
  <c r="B62" i="25"/>
  <c r="A49" i="25"/>
  <c r="P21" i="25"/>
  <c r="O21" i="25"/>
  <c r="A48" i="25"/>
  <c r="P19" i="25"/>
  <c r="P18" i="25"/>
  <c r="O17" i="25"/>
  <c r="P17" i="25"/>
  <c r="P15" i="25"/>
  <c r="O15" i="25"/>
  <c r="P14" i="25"/>
  <c r="P13" i="25"/>
  <c r="O13" i="25"/>
  <c r="P12" i="25"/>
  <c r="P11" i="25"/>
  <c r="O11" i="25"/>
  <c r="P10" i="25"/>
  <c r="O9" i="25"/>
  <c r="P9" i="25"/>
  <c r="O7" i="25"/>
  <c r="P7" i="25"/>
  <c r="P6" i="25"/>
  <c r="O6" i="25"/>
  <c r="O5" i="25"/>
  <c r="P5" i="25"/>
  <c r="P4" i="25"/>
  <c r="O4" i="25"/>
  <c r="O3" i="25"/>
  <c r="P2" i="25"/>
  <c r="O2" i="25"/>
  <c r="P42" i="25"/>
  <c r="P89" i="25" s="1"/>
  <c r="P152" i="25" s="1"/>
  <c r="F62" i="25"/>
  <c r="M41" i="23"/>
  <c r="L41" i="23"/>
  <c r="K41" i="23"/>
  <c r="J41" i="23"/>
  <c r="I41" i="23"/>
  <c r="H41" i="23"/>
  <c r="G41" i="23"/>
  <c r="F41" i="23"/>
  <c r="E41" i="23"/>
  <c r="D41" i="23"/>
  <c r="M40" i="23"/>
  <c r="L40" i="23"/>
  <c r="K40" i="23"/>
  <c r="J40" i="23"/>
  <c r="I40" i="23"/>
  <c r="H40" i="23"/>
  <c r="G40" i="23"/>
  <c r="F40" i="23"/>
  <c r="M39" i="23"/>
  <c r="L39" i="23"/>
  <c r="K39" i="23"/>
  <c r="J39" i="23"/>
  <c r="I39" i="23"/>
  <c r="H39" i="23"/>
  <c r="G39" i="23"/>
  <c r="F39" i="23"/>
  <c r="E39" i="23"/>
  <c r="D39" i="23"/>
  <c r="M38" i="23"/>
  <c r="L38" i="23"/>
  <c r="K38" i="23"/>
  <c r="J38" i="23"/>
  <c r="I38" i="23"/>
  <c r="H38" i="23"/>
  <c r="G38" i="23"/>
  <c r="F38" i="23"/>
  <c r="E38" i="23"/>
  <c r="D38" i="23"/>
  <c r="M37" i="23"/>
  <c r="L37" i="23"/>
  <c r="K37" i="23"/>
  <c r="J37" i="23"/>
  <c r="P37" i="23" s="1"/>
  <c r="I37" i="23"/>
  <c r="H37" i="23"/>
  <c r="G37" i="23"/>
  <c r="F37" i="23"/>
  <c r="E37" i="23"/>
  <c r="D37" i="23"/>
  <c r="O37" i="23" s="1"/>
  <c r="M36" i="23"/>
  <c r="L36" i="23"/>
  <c r="K36" i="23"/>
  <c r="J36" i="23"/>
  <c r="I36" i="23"/>
  <c r="H36" i="23"/>
  <c r="G36" i="23"/>
  <c r="F36" i="23"/>
  <c r="E36" i="23"/>
  <c r="D36" i="23"/>
  <c r="M35" i="23"/>
  <c r="L35" i="23"/>
  <c r="K35" i="23"/>
  <c r="J35" i="23"/>
  <c r="P35" i="23" s="1"/>
  <c r="I35" i="23"/>
  <c r="H35" i="23"/>
  <c r="G35" i="23"/>
  <c r="F35" i="23"/>
  <c r="E35" i="23"/>
  <c r="D35" i="23"/>
  <c r="O35" i="23" s="1"/>
  <c r="M34" i="23"/>
  <c r="L34" i="23"/>
  <c r="K34" i="23"/>
  <c r="J34" i="23"/>
  <c r="P34" i="23" s="1"/>
  <c r="I34" i="23"/>
  <c r="H34" i="23"/>
  <c r="G34" i="23"/>
  <c r="F34" i="23"/>
  <c r="E34" i="23"/>
  <c r="D34" i="23"/>
  <c r="O34" i="23" s="1"/>
  <c r="M33" i="23"/>
  <c r="L33" i="23"/>
  <c r="K33" i="23"/>
  <c r="J33" i="23"/>
  <c r="P33" i="23" s="1"/>
  <c r="I33" i="23"/>
  <c r="H33" i="23"/>
  <c r="G33" i="23"/>
  <c r="F33" i="23"/>
  <c r="E33" i="23"/>
  <c r="D33" i="23"/>
  <c r="O33" i="23" s="1"/>
  <c r="M32" i="23"/>
  <c r="L32" i="23"/>
  <c r="K32" i="23"/>
  <c r="J32" i="23"/>
  <c r="P32" i="23" s="1"/>
  <c r="I32" i="23"/>
  <c r="H32" i="23"/>
  <c r="G32" i="23"/>
  <c r="F32" i="23"/>
  <c r="E32" i="23"/>
  <c r="D32" i="23"/>
  <c r="O32" i="23" s="1"/>
  <c r="M31" i="23"/>
  <c r="L31" i="23"/>
  <c r="K31" i="23"/>
  <c r="J31" i="23"/>
  <c r="P31" i="23" s="1"/>
  <c r="I31" i="23"/>
  <c r="H31" i="23"/>
  <c r="G31" i="23"/>
  <c r="F31" i="23"/>
  <c r="E31" i="23"/>
  <c r="D31" i="23"/>
  <c r="O31" i="23" s="1"/>
  <c r="M30" i="23"/>
  <c r="L30" i="23"/>
  <c r="K30" i="23"/>
  <c r="J30" i="23"/>
  <c r="P30" i="23" s="1"/>
  <c r="I30" i="23"/>
  <c r="H30" i="23"/>
  <c r="G30" i="23"/>
  <c r="F30" i="23"/>
  <c r="E30" i="23"/>
  <c r="D30" i="23"/>
  <c r="O30" i="23" s="1"/>
  <c r="M29" i="23"/>
  <c r="L29" i="23"/>
  <c r="K29" i="23"/>
  <c r="J29" i="23"/>
  <c r="P29" i="23" s="1"/>
  <c r="I29" i="23"/>
  <c r="H29" i="23"/>
  <c r="G29" i="23"/>
  <c r="F29" i="23"/>
  <c r="E29" i="23"/>
  <c r="D29" i="23"/>
  <c r="O29" i="23" s="1"/>
  <c r="M28" i="23"/>
  <c r="L28" i="23"/>
  <c r="K28" i="23"/>
  <c r="J28" i="23"/>
  <c r="P28" i="23" s="1"/>
  <c r="I28" i="23"/>
  <c r="H28" i="23"/>
  <c r="G28" i="23"/>
  <c r="F28" i="23"/>
  <c r="E28" i="23"/>
  <c r="D28" i="23"/>
  <c r="O28" i="23" s="1"/>
  <c r="M27" i="23"/>
  <c r="L27" i="23"/>
  <c r="K27" i="23"/>
  <c r="J27" i="23"/>
  <c r="P27" i="23" s="1"/>
  <c r="I27" i="23"/>
  <c r="H27" i="23"/>
  <c r="G27" i="23"/>
  <c r="F27" i="23"/>
  <c r="E27" i="23"/>
  <c r="D27" i="23"/>
  <c r="O27" i="23" s="1"/>
  <c r="M26" i="23"/>
  <c r="L26" i="23"/>
  <c r="K26" i="23"/>
  <c r="J26" i="23"/>
  <c r="I26" i="23"/>
  <c r="H26" i="23"/>
  <c r="G26" i="23"/>
  <c r="F26" i="23"/>
  <c r="E26" i="23"/>
  <c r="M25" i="23"/>
  <c r="L25" i="23"/>
  <c r="K25" i="23"/>
  <c r="J25" i="23"/>
  <c r="I25" i="23"/>
  <c r="H25" i="23"/>
  <c r="G25" i="23"/>
  <c r="F25" i="23"/>
  <c r="E25" i="23"/>
  <c r="M24" i="23"/>
  <c r="L24" i="23"/>
  <c r="K24" i="23"/>
  <c r="J24" i="23"/>
  <c r="P24" i="23" s="1"/>
  <c r="I24" i="23"/>
  <c r="H24" i="23"/>
  <c r="G24" i="23"/>
  <c r="F24" i="23"/>
  <c r="E24" i="23"/>
  <c r="D24" i="23"/>
  <c r="O24" i="23" s="1"/>
  <c r="M23" i="23"/>
  <c r="L23" i="23"/>
  <c r="K23" i="23"/>
  <c r="J23" i="23"/>
  <c r="P23" i="23" s="1"/>
  <c r="I23" i="23"/>
  <c r="H23" i="23"/>
  <c r="G23" i="23"/>
  <c r="F23" i="23"/>
  <c r="E23" i="23"/>
  <c r="D23" i="23"/>
  <c r="O23" i="23" s="1"/>
  <c r="M22" i="23"/>
  <c r="L22" i="23"/>
  <c r="K22" i="23"/>
  <c r="J22" i="23"/>
  <c r="P22" i="23" s="1"/>
  <c r="I22" i="23"/>
  <c r="H22" i="23"/>
  <c r="G22" i="23"/>
  <c r="F22" i="23"/>
  <c r="E22" i="23"/>
  <c r="D22" i="23"/>
  <c r="O22" i="23" s="1"/>
  <c r="M20" i="23"/>
  <c r="L20" i="23"/>
  <c r="K20" i="23"/>
  <c r="J20" i="23"/>
  <c r="P20" i="23" s="1"/>
  <c r="I20" i="23"/>
  <c r="H20" i="23"/>
  <c r="G20" i="23"/>
  <c r="F20" i="23"/>
  <c r="E20" i="23"/>
  <c r="D20" i="23"/>
  <c r="O20" i="23" s="1"/>
  <c r="M16" i="23"/>
  <c r="L16" i="23"/>
  <c r="K16" i="23"/>
  <c r="J16" i="23"/>
  <c r="P16" i="23" s="1"/>
  <c r="I16" i="23"/>
  <c r="H16" i="23"/>
  <c r="G16" i="23"/>
  <c r="F16" i="23"/>
  <c r="E16" i="23"/>
  <c r="D16" i="23"/>
  <c r="O16" i="23" s="1"/>
  <c r="M8" i="23"/>
  <c r="L8" i="23"/>
  <c r="K8" i="23"/>
  <c r="J8" i="23"/>
  <c r="P8" i="23" s="1"/>
  <c r="I8" i="23"/>
  <c r="H8" i="23"/>
  <c r="G8" i="23"/>
  <c r="F8" i="23"/>
  <c r="E8" i="23"/>
  <c r="D8" i="23"/>
  <c r="O8" i="23" s="1"/>
  <c r="B114" i="23"/>
  <c r="B89" i="23" s="1"/>
  <c r="B42" i="23" s="1"/>
  <c r="F76" i="23"/>
  <c r="P41" i="23"/>
  <c r="O41" i="23"/>
  <c r="P40" i="23"/>
  <c r="O40" i="23"/>
  <c r="P39" i="23"/>
  <c r="O39" i="23"/>
  <c r="P38" i="23"/>
  <c r="O38" i="23"/>
  <c r="K48" i="23"/>
  <c r="B62" i="23"/>
  <c r="A49" i="23"/>
  <c r="P21" i="23"/>
  <c r="O21" i="23"/>
  <c r="A48" i="23"/>
  <c r="P19" i="23"/>
  <c r="O18" i="23"/>
  <c r="P18" i="23"/>
  <c r="P17" i="23"/>
  <c r="P15" i="23"/>
  <c r="P14" i="23"/>
  <c r="O14" i="23"/>
  <c r="P13" i="23"/>
  <c r="P12" i="23"/>
  <c r="O12" i="23"/>
  <c r="P11" i="23"/>
  <c r="P10" i="23"/>
  <c r="O10" i="23"/>
  <c r="O9" i="23"/>
  <c r="P9" i="23"/>
  <c r="O7" i="23"/>
  <c r="P7" i="23"/>
  <c r="P6" i="23"/>
  <c r="O6" i="23"/>
  <c r="O5" i="23"/>
  <c r="P5" i="23"/>
  <c r="P4" i="23"/>
  <c r="O4" i="23"/>
  <c r="O3" i="23"/>
  <c r="P2" i="23"/>
  <c r="O2" i="23"/>
  <c r="P42" i="23"/>
  <c r="P89" i="23" s="1"/>
  <c r="F62" i="23"/>
  <c r="F142" i="22"/>
  <c r="E142" i="22"/>
  <c r="N141" i="22" s="1"/>
  <c r="D142" i="22"/>
  <c r="M141" i="22" s="1"/>
  <c r="C142" i="22"/>
  <c r="F141" i="22"/>
  <c r="E141" i="22"/>
  <c r="N140" i="22" s="1"/>
  <c r="D141" i="22"/>
  <c r="M140" i="22" s="1"/>
  <c r="C141" i="22"/>
  <c r="L140" i="22" s="1"/>
  <c r="F140" i="22"/>
  <c r="E140" i="22"/>
  <c r="N139" i="22" s="1"/>
  <c r="D140" i="22"/>
  <c r="M139" i="22" s="1"/>
  <c r="C140" i="22"/>
  <c r="L139" i="22" s="1"/>
  <c r="F139" i="22"/>
  <c r="E139" i="22"/>
  <c r="D139" i="22"/>
  <c r="C139" i="22"/>
  <c r="F138" i="22"/>
  <c r="E138" i="22"/>
  <c r="D138" i="22"/>
  <c r="C138" i="22"/>
  <c r="F135" i="22"/>
  <c r="E135" i="22"/>
  <c r="D135" i="22"/>
  <c r="C135" i="22"/>
  <c r="F134" i="22"/>
  <c r="E134" i="22"/>
  <c r="D134" i="22"/>
  <c r="C134" i="22"/>
  <c r="F133" i="22"/>
  <c r="E133" i="22"/>
  <c r="D133" i="22"/>
  <c r="C133" i="22"/>
  <c r="F132" i="22"/>
  <c r="E132" i="22"/>
  <c r="D132" i="22"/>
  <c r="C132" i="22"/>
  <c r="F130" i="22"/>
  <c r="E130" i="22"/>
  <c r="D130" i="22"/>
  <c r="C130" i="22"/>
  <c r="F126" i="22"/>
  <c r="E126" i="22"/>
  <c r="D126" i="22"/>
  <c r="C126" i="22"/>
  <c r="M41" i="22"/>
  <c r="L41" i="22"/>
  <c r="K41" i="22"/>
  <c r="J41" i="22"/>
  <c r="I41" i="22"/>
  <c r="H41" i="22"/>
  <c r="G41" i="22"/>
  <c r="F41" i="22"/>
  <c r="E41" i="22"/>
  <c r="D41" i="22"/>
  <c r="M40" i="22"/>
  <c r="L40" i="22"/>
  <c r="K40" i="22"/>
  <c r="J40" i="22"/>
  <c r="I40" i="22"/>
  <c r="H40" i="22"/>
  <c r="G40" i="22"/>
  <c r="F40" i="22"/>
  <c r="E40" i="22"/>
  <c r="M39" i="22"/>
  <c r="L39" i="22"/>
  <c r="K39" i="22"/>
  <c r="J39" i="22"/>
  <c r="I39" i="22"/>
  <c r="H39" i="22"/>
  <c r="G39" i="22"/>
  <c r="F39" i="22"/>
  <c r="E39" i="22"/>
  <c r="D39" i="22"/>
  <c r="M38" i="22"/>
  <c r="L38" i="22"/>
  <c r="K38" i="22"/>
  <c r="J38" i="22"/>
  <c r="I38" i="22"/>
  <c r="H38" i="22"/>
  <c r="G38" i="22"/>
  <c r="F38" i="22"/>
  <c r="E38" i="22"/>
  <c r="D38" i="22"/>
  <c r="M37" i="22"/>
  <c r="L37" i="22"/>
  <c r="K37" i="22"/>
  <c r="J37" i="22"/>
  <c r="P37" i="22" s="1"/>
  <c r="I37" i="22"/>
  <c r="H37" i="22"/>
  <c r="G37" i="22"/>
  <c r="F37" i="22"/>
  <c r="E37" i="22"/>
  <c r="D37" i="22"/>
  <c r="O37" i="22" s="1"/>
  <c r="M36" i="22"/>
  <c r="L36" i="22"/>
  <c r="K36" i="22"/>
  <c r="J36" i="22"/>
  <c r="P36" i="22" s="1"/>
  <c r="I36" i="22"/>
  <c r="H36" i="22"/>
  <c r="G36" i="22"/>
  <c r="F36" i="22"/>
  <c r="E36" i="22"/>
  <c r="D36" i="22"/>
  <c r="O36" i="22" s="1"/>
  <c r="M35" i="22"/>
  <c r="L35" i="22"/>
  <c r="K35" i="22"/>
  <c r="J35" i="22"/>
  <c r="P35" i="22" s="1"/>
  <c r="I35" i="22"/>
  <c r="H35" i="22"/>
  <c r="G35" i="22"/>
  <c r="F35" i="22"/>
  <c r="E35" i="22"/>
  <c r="D35" i="22"/>
  <c r="O35" i="22" s="1"/>
  <c r="M34" i="22"/>
  <c r="L34" i="22"/>
  <c r="K34" i="22"/>
  <c r="J34" i="22"/>
  <c r="P34" i="22" s="1"/>
  <c r="I34" i="22"/>
  <c r="H34" i="22"/>
  <c r="G34" i="22"/>
  <c r="F34" i="22"/>
  <c r="E34" i="22"/>
  <c r="D34" i="22"/>
  <c r="O34" i="22" s="1"/>
  <c r="M33" i="22"/>
  <c r="L33" i="22"/>
  <c r="K33" i="22"/>
  <c r="J33" i="22"/>
  <c r="P33" i="22" s="1"/>
  <c r="I33" i="22"/>
  <c r="H33" i="22"/>
  <c r="G33" i="22"/>
  <c r="F33" i="22"/>
  <c r="E33" i="22"/>
  <c r="D33" i="22"/>
  <c r="O33" i="22" s="1"/>
  <c r="M32" i="22"/>
  <c r="L32" i="22"/>
  <c r="K32" i="22"/>
  <c r="J32" i="22"/>
  <c r="P32" i="22" s="1"/>
  <c r="I32" i="22"/>
  <c r="H32" i="22"/>
  <c r="G32" i="22"/>
  <c r="F32" i="22"/>
  <c r="E32" i="22"/>
  <c r="D32" i="22"/>
  <c r="O32" i="22" s="1"/>
  <c r="M31" i="22"/>
  <c r="L31" i="22"/>
  <c r="K31" i="22"/>
  <c r="J31" i="22"/>
  <c r="P31" i="22" s="1"/>
  <c r="I31" i="22"/>
  <c r="H31" i="22"/>
  <c r="G31" i="22"/>
  <c r="F31" i="22"/>
  <c r="E31" i="22"/>
  <c r="D31" i="22"/>
  <c r="O31" i="22" s="1"/>
  <c r="M30" i="22"/>
  <c r="L30" i="22"/>
  <c r="K30" i="22"/>
  <c r="J30" i="22"/>
  <c r="P30" i="22" s="1"/>
  <c r="I30" i="22"/>
  <c r="H30" i="22"/>
  <c r="G30" i="22"/>
  <c r="F30" i="22"/>
  <c r="E30" i="22"/>
  <c r="D30" i="22"/>
  <c r="O30" i="22" s="1"/>
  <c r="M29" i="22"/>
  <c r="L29" i="22"/>
  <c r="K29" i="22"/>
  <c r="J29" i="22"/>
  <c r="P29" i="22" s="1"/>
  <c r="I29" i="22"/>
  <c r="H29" i="22"/>
  <c r="G29" i="22"/>
  <c r="F29" i="22"/>
  <c r="E29" i="22"/>
  <c r="D29" i="22"/>
  <c r="O29" i="22" s="1"/>
  <c r="M28" i="22"/>
  <c r="L28" i="22"/>
  <c r="K28" i="22"/>
  <c r="J28" i="22"/>
  <c r="P28" i="22" s="1"/>
  <c r="I28" i="22"/>
  <c r="H28" i="22"/>
  <c r="G28" i="22"/>
  <c r="F28" i="22"/>
  <c r="E28" i="22"/>
  <c r="D28" i="22"/>
  <c r="O28" i="22" s="1"/>
  <c r="M27" i="22"/>
  <c r="L27" i="22"/>
  <c r="K27" i="22"/>
  <c r="J27" i="22"/>
  <c r="P27" i="22" s="1"/>
  <c r="I27" i="22"/>
  <c r="H27" i="22"/>
  <c r="G27" i="22"/>
  <c r="F27" i="22"/>
  <c r="E27" i="22"/>
  <c r="D27" i="22"/>
  <c r="O27" i="22" s="1"/>
  <c r="M26" i="22"/>
  <c r="L26" i="22"/>
  <c r="K26" i="22"/>
  <c r="J26" i="22"/>
  <c r="I26" i="22"/>
  <c r="H26" i="22"/>
  <c r="G26" i="22"/>
  <c r="F26" i="22"/>
  <c r="E26" i="22"/>
  <c r="M25" i="22"/>
  <c r="L25" i="22"/>
  <c r="K25" i="22"/>
  <c r="J25" i="22"/>
  <c r="I25" i="22"/>
  <c r="H25" i="22"/>
  <c r="G25" i="22"/>
  <c r="F25" i="22"/>
  <c r="E25" i="22"/>
  <c r="M24" i="22"/>
  <c r="L24" i="22"/>
  <c r="K24" i="22"/>
  <c r="J24" i="22"/>
  <c r="P24" i="22" s="1"/>
  <c r="I24" i="22"/>
  <c r="H24" i="22"/>
  <c r="G24" i="22"/>
  <c r="F24" i="22"/>
  <c r="E24" i="22"/>
  <c r="D24" i="22"/>
  <c r="O24" i="22" s="1"/>
  <c r="M23" i="22"/>
  <c r="L23" i="22"/>
  <c r="K23" i="22"/>
  <c r="J23" i="22"/>
  <c r="P23" i="22" s="1"/>
  <c r="I23" i="22"/>
  <c r="H23" i="22"/>
  <c r="G23" i="22"/>
  <c r="F23" i="22"/>
  <c r="E23" i="22"/>
  <c r="D23" i="22"/>
  <c r="O23" i="22" s="1"/>
  <c r="M22" i="22"/>
  <c r="L22" i="22"/>
  <c r="K22" i="22"/>
  <c r="J22" i="22"/>
  <c r="P22" i="22" s="1"/>
  <c r="I22" i="22"/>
  <c r="H22" i="22"/>
  <c r="G22" i="22"/>
  <c r="F22" i="22"/>
  <c r="E22" i="22"/>
  <c r="D22" i="22"/>
  <c r="O22" i="22" s="1"/>
  <c r="M20" i="22"/>
  <c r="L20" i="22"/>
  <c r="K20" i="22"/>
  <c r="J20" i="22"/>
  <c r="P20" i="22" s="1"/>
  <c r="I20" i="22"/>
  <c r="H20" i="22"/>
  <c r="G20" i="22"/>
  <c r="F20" i="22"/>
  <c r="E20" i="22"/>
  <c r="D20" i="22"/>
  <c r="O20" i="22" s="1"/>
  <c r="M16" i="22"/>
  <c r="L16" i="22"/>
  <c r="K16" i="22"/>
  <c r="J16" i="22"/>
  <c r="P16" i="22" s="1"/>
  <c r="I16" i="22"/>
  <c r="H16" i="22"/>
  <c r="G16" i="22"/>
  <c r="F16" i="22"/>
  <c r="E16" i="22"/>
  <c r="D16" i="22"/>
  <c r="M8" i="22"/>
  <c r="L8" i="22"/>
  <c r="K8" i="22"/>
  <c r="J8" i="22"/>
  <c r="P8" i="22" s="1"/>
  <c r="I8" i="22"/>
  <c r="H8" i="22"/>
  <c r="G8" i="22"/>
  <c r="F8" i="22"/>
  <c r="E8" i="22"/>
  <c r="D8" i="22"/>
  <c r="O8" i="22" s="1"/>
  <c r="L141" i="22"/>
  <c r="N138" i="22"/>
  <c r="M138" i="22"/>
  <c r="L138" i="22"/>
  <c r="B114" i="22"/>
  <c r="B89" i="22" s="1"/>
  <c r="B42" i="22" s="1"/>
  <c r="F76" i="22"/>
  <c r="P41" i="22"/>
  <c r="O41" i="22"/>
  <c r="P40" i="22"/>
  <c r="O40" i="22"/>
  <c r="P39" i="22"/>
  <c r="O39" i="22"/>
  <c r="P38" i="22"/>
  <c r="O38" i="22"/>
  <c r="K48" i="22"/>
  <c r="B62" i="22"/>
  <c r="A49" i="22"/>
  <c r="P21" i="22"/>
  <c r="O21" i="22"/>
  <c r="A48" i="22"/>
  <c r="P19" i="22"/>
  <c r="O19" i="22"/>
  <c r="P18" i="22"/>
  <c r="P17" i="22"/>
  <c r="O17" i="22"/>
  <c r="P15" i="22"/>
  <c r="O15" i="22"/>
  <c r="P14" i="22"/>
  <c r="P13" i="22"/>
  <c r="O13" i="22"/>
  <c r="P12" i="22"/>
  <c r="P11" i="22"/>
  <c r="O11" i="22"/>
  <c r="P10" i="22"/>
  <c r="O9" i="22"/>
  <c r="P9" i="22"/>
  <c r="O7" i="22"/>
  <c r="P7" i="22"/>
  <c r="P6" i="22"/>
  <c r="O6" i="22"/>
  <c r="O5" i="22"/>
  <c r="P5" i="22"/>
  <c r="P4" i="22"/>
  <c r="O4" i="22"/>
  <c r="O3" i="22"/>
  <c r="P2" i="22"/>
  <c r="O2" i="22"/>
  <c r="P42" i="22"/>
  <c r="P89" i="22" s="1"/>
  <c r="P152" i="22" s="1"/>
  <c r="F62" i="22"/>
  <c r="M41" i="21"/>
  <c r="L41" i="21"/>
  <c r="K41" i="21"/>
  <c r="J41" i="21"/>
  <c r="I41" i="21"/>
  <c r="H41" i="21"/>
  <c r="G41" i="21"/>
  <c r="F41" i="21"/>
  <c r="E41" i="21"/>
  <c r="D41" i="21"/>
  <c r="M40" i="21"/>
  <c r="L40" i="21"/>
  <c r="K40" i="21"/>
  <c r="J40" i="21"/>
  <c r="I40" i="21"/>
  <c r="H40" i="21"/>
  <c r="G40" i="21"/>
  <c r="E40" i="21"/>
  <c r="M39" i="21"/>
  <c r="L39" i="21"/>
  <c r="K39" i="21"/>
  <c r="J39" i="21"/>
  <c r="I39" i="21"/>
  <c r="H39" i="21"/>
  <c r="G39" i="21"/>
  <c r="F39" i="21"/>
  <c r="E39" i="21"/>
  <c r="D39" i="21"/>
  <c r="M38" i="21"/>
  <c r="L38" i="21"/>
  <c r="K38" i="21"/>
  <c r="J38" i="21"/>
  <c r="I38" i="21"/>
  <c r="H38" i="21"/>
  <c r="G38" i="21"/>
  <c r="F38" i="21"/>
  <c r="E38" i="21"/>
  <c r="D38" i="21"/>
  <c r="M37" i="21"/>
  <c r="L37" i="21"/>
  <c r="K37" i="21"/>
  <c r="J37" i="21"/>
  <c r="P37" i="21" s="1"/>
  <c r="I37" i="21"/>
  <c r="H37" i="21"/>
  <c r="G37" i="21"/>
  <c r="F37" i="21"/>
  <c r="E37" i="21"/>
  <c r="D37" i="21"/>
  <c r="O37" i="21" s="1"/>
  <c r="M36" i="21"/>
  <c r="L36" i="21"/>
  <c r="K36" i="21"/>
  <c r="J36" i="21"/>
  <c r="P36" i="21" s="1"/>
  <c r="I36" i="21"/>
  <c r="H36" i="21"/>
  <c r="G36" i="21"/>
  <c r="F36" i="21"/>
  <c r="E36" i="21"/>
  <c r="D36" i="21"/>
  <c r="O36" i="21" s="1"/>
  <c r="M35" i="21"/>
  <c r="L35" i="21"/>
  <c r="K35" i="21"/>
  <c r="J35" i="21"/>
  <c r="P35" i="21" s="1"/>
  <c r="I35" i="21"/>
  <c r="H35" i="21"/>
  <c r="G35" i="21"/>
  <c r="F35" i="21"/>
  <c r="E35" i="21"/>
  <c r="D35" i="21"/>
  <c r="O35" i="21" s="1"/>
  <c r="M34" i="21"/>
  <c r="L34" i="21"/>
  <c r="K34" i="21"/>
  <c r="J34" i="21"/>
  <c r="P34" i="21" s="1"/>
  <c r="I34" i="21"/>
  <c r="H34" i="21"/>
  <c r="G34" i="21"/>
  <c r="F34" i="21"/>
  <c r="E34" i="21"/>
  <c r="D34" i="21"/>
  <c r="O34" i="21" s="1"/>
  <c r="M33" i="21"/>
  <c r="L33" i="21"/>
  <c r="K33" i="21"/>
  <c r="J33" i="21"/>
  <c r="P33" i="21" s="1"/>
  <c r="I33" i="21"/>
  <c r="H33" i="21"/>
  <c r="G33" i="21"/>
  <c r="F33" i="21"/>
  <c r="E33" i="21"/>
  <c r="D33" i="21"/>
  <c r="O33" i="21" s="1"/>
  <c r="M32" i="21"/>
  <c r="L32" i="21"/>
  <c r="K32" i="21"/>
  <c r="J32" i="21"/>
  <c r="P32" i="21" s="1"/>
  <c r="I32" i="21"/>
  <c r="H32" i="21"/>
  <c r="G32" i="21"/>
  <c r="F32" i="21"/>
  <c r="E32" i="21"/>
  <c r="D32" i="21"/>
  <c r="O32" i="21" s="1"/>
  <c r="M31" i="21"/>
  <c r="L31" i="21"/>
  <c r="K31" i="21"/>
  <c r="J31" i="21"/>
  <c r="P31" i="21" s="1"/>
  <c r="I31" i="21"/>
  <c r="H31" i="21"/>
  <c r="G31" i="21"/>
  <c r="F31" i="21"/>
  <c r="E31" i="21"/>
  <c r="D31" i="21"/>
  <c r="O31" i="21" s="1"/>
  <c r="M30" i="21"/>
  <c r="L30" i="21"/>
  <c r="K30" i="21"/>
  <c r="J30" i="21"/>
  <c r="P30" i="21" s="1"/>
  <c r="I30" i="21"/>
  <c r="H30" i="21"/>
  <c r="G30" i="21"/>
  <c r="F30" i="21"/>
  <c r="E30" i="21"/>
  <c r="D30" i="21"/>
  <c r="O30" i="21" s="1"/>
  <c r="M29" i="21"/>
  <c r="L29" i="21"/>
  <c r="K29" i="21"/>
  <c r="J29" i="21"/>
  <c r="P29" i="21" s="1"/>
  <c r="I29" i="21"/>
  <c r="H29" i="21"/>
  <c r="G29" i="21"/>
  <c r="F29" i="21"/>
  <c r="E29" i="21"/>
  <c r="D29" i="21"/>
  <c r="O29" i="21" s="1"/>
  <c r="M28" i="21"/>
  <c r="L28" i="21"/>
  <c r="K28" i="21"/>
  <c r="J28" i="21"/>
  <c r="P28" i="21" s="1"/>
  <c r="I28" i="21"/>
  <c r="H28" i="21"/>
  <c r="G28" i="21"/>
  <c r="F28" i="21"/>
  <c r="E28" i="21"/>
  <c r="D28" i="21"/>
  <c r="O28" i="21" s="1"/>
  <c r="M27" i="21"/>
  <c r="L27" i="21"/>
  <c r="K27" i="21"/>
  <c r="J27" i="21"/>
  <c r="P27" i="21" s="1"/>
  <c r="I27" i="21"/>
  <c r="H27" i="21"/>
  <c r="G27" i="21"/>
  <c r="F27" i="21"/>
  <c r="E27" i="21"/>
  <c r="D27" i="21"/>
  <c r="O27" i="21" s="1"/>
  <c r="M26" i="21"/>
  <c r="L26" i="21"/>
  <c r="K26" i="21"/>
  <c r="J26" i="21"/>
  <c r="I26" i="21"/>
  <c r="H26" i="21"/>
  <c r="G26" i="21"/>
  <c r="F26" i="21"/>
  <c r="E26" i="21"/>
  <c r="M25" i="21"/>
  <c r="L25" i="21"/>
  <c r="K25" i="21"/>
  <c r="J25" i="21"/>
  <c r="I25" i="21"/>
  <c r="H25" i="21"/>
  <c r="G25" i="21"/>
  <c r="F25" i="21"/>
  <c r="E25" i="21"/>
  <c r="M24" i="21"/>
  <c r="L24" i="21"/>
  <c r="K24" i="21"/>
  <c r="J24" i="21"/>
  <c r="P24" i="21" s="1"/>
  <c r="I24" i="21"/>
  <c r="H24" i="21"/>
  <c r="G24" i="21"/>
  <c r="F24" i="21"/>
  <c r="E24" i="21"/>
  <c r="D24" i="21"/>
  <c r="O24" i="21" s="1"/>
  <c r="M23" i="21"/>
  <c r="L23" i="21"/>
  <c r="K23" i="21"/>
  <c r="J23" i="21"/>
  <c r="P23" i="21" s="1"/>
  <c r="I23" i="21"/>
  <c r="H23" i="21"/>
  <c r="G23" i="21"/>
  <c r="F23" i="21"/>
  <c r="E23" i="21"/>
  <c r="D23" i="21"/>
  <c r="O23" i="21" s="1"/>
  <c r="M22" i="21"/>
  <c r="L22" i="21"/>
  <c r="K22" i="21"/>
  <c r="J22" i="21"/>
  <c r="P22" i="21" s="1"/>
  <c r="I22" i="21"/>
  <c r="H22" i="21"/>
  <c r="G22" i="21"/>
  <c r="F22" i="21"/>
  <c r="E22" i="21"/>
  <c r="D22" i="21"/>
  <c r="O22" i="21" s="1"/>
  <c r="M20" i="21"/>
  <c r="L20" i="21"/>
  <c r="K20" i="21"/>
  <c r="J20" i="21"/>
  <c r="P20" i="21" s="1"/>
  <c r="I20" i="21"/>
  <c r="H20" i="21"/>
  <c r="G20" i="21"/>
  <c r="F20" i="21"/>
  <c r="E20" i="21"/>
  <c r="D20" i="21"/>
  <c r="O20" i="21" s="1"/>
  <c r="M16" i="21"/>
  <c r="L16" i="21"/>
  <c r="K16" i="21"/>
  <c r="J16" i="21"/>
  <c r="P16" i="21" s="1"/>
  <c r="I16" i="21"/>
  <c r="H16" i="21"/>
  <c r="G16" i="21"/>
  <c r="F16" i="21"/>
  <c r="E16" i="21"/>
  <c r="D16" i="21"/>
  <c r="M8" i="21"/>
  <c r="L8" i="21"/>
  <c r="K8" i="21"/>
  <c r="J8" i="21"/>
  <c r="P8" i="21" s="1"/>
  <c r="I8" i="21"/>
  <c r="H8" i="21"/>
  <c r="G8" i="21"/>
  <c r="F8" i="21"/>
  <c r="E8" i="21"/>
  <c r="D8" i="21"/>
  <c r="O8" i="21" s="1"/>
  <c r="B114" i="21"/>
  <c r="B89" i="21" s="1"/>
  <c r="B42" i="21" s="1"/>
  <c r="F76" i="21"/>
  <c r="P41" i="21"/>
  <c r="O41" i="21"/>
  <c r="P40" i="21"/>
  <c r="O40" i="21"/>
  <c r="P39" i="21"/>
  <c r="O39" i="21"/>
  <c r="P38" i="21"/>
  <c r="O38" i="21"/>
  <c r="K48" i="21"/>
  <c r="B62" i="21"/>
  <c r="A49" i="21"/>
  <c r="P21" i="21"/>
  <c r="O21" i="21"/>
  <c r="A48" i="21"/>
  <c r="P19" i="21"/>
  <c r="O19" i="21"/>
  <c r="P18" i="21"/>
  <c r="P17" i="21"/>
  <c r="O17" i="21"/>
  <c r="P15" i="21"/>
  <c r="O15" i="21"/>
  <c r="P14" i="21"/>
  <c r="P13" i="21"/>
  <c r="O13" i="21"/>
  <c r="P12" i="21"/>
  <c r="P11" i="21"/>
  <c r="O11" i="21"/>
  <c r="P10" i="21"/>
  <c r="O9" i="21"/>
  <c r="P9" i="21"/>
  <c r="O7" i="21"/>
  <c r="P7" i="21"/>
  <c r="P6" i="21"/>
  <c r="O6" i="21"/>
  <c r="O5" i="21"/>
  <c r="P5" i="21"/>
  <c r="P4" i="21"/>
  <c r="O4" i="21"/>
  <c r="O3" i="21"/>
  <c r="P2" i="21"/>
  <c r="O2" i="21"/>
  <c r="P42" i="21"/>
  <c r="P89" i="21" s="1"/>
  <c r="F62" i="21"/>
  <c r="F142" i="20"/>
  <c r="E142" i="20"/>
  <c r="N141" i="20" s="1"/>
  <c r="D142" i="20"/>
  <c r="M141" i="20" s="1"/>
  <c r="C142" i="20"/>
  <c r="L141" i="20" s="1"/>
  <c r="F141" i="20"/>
  <c r="E141" i="20"/>
  <c r="N140" i="20" s="1"/>
  <c r="D141" i="20"/>
  <c r="M140" i="20" s="1"/>
  <c r="C141" i="20"/>
  <c r="L140" i="20" s="1"/>
  <c r="F140" i="20"/>
  <c r="E140" i="20"/>
  <c r="N139" i="20" s="1"/>
  <c r="D140" i="20"/>
  <c r="M139" i="20" s="1"/>
  <c r="C140" i="20"/>
  <c r="L139" i="20" s="1"/>
  <c r="F139" i="20"/>
  <c r="E139" i="20"/>
  <c r="D139" i="20"/>
  <c r="C139" i="20"/>
  <c r="F138" i="20"/>
  <c r="E138" i="20"/>
  <c r="D138" i="20"/>
  <c r="C138" i="20"/>
  <c r="F135" i="20"/>
  <c r="E135" i="20"/>
  <c r="D135" i="20"/>
  <c r="C135" i="20"/>
  <c r="F134" i="20"/>
  <c r="E134" i="20"/>
  <c r="D134" i="20"/>
  <c r="C134" i="20"/>
  <c r="F133" i="20"/>
  <c r="E133" i="20"/>
  <c r="D133" i="20"/>
  <c r="C133" i="20"/>
  <c r="F132" i="20"/>
  <c r="E132" i="20"/>
  <c r="D132" i="20"/>
  <c r="C132" i="20"/>
  <c r="F130" i="20"/>
  <c r="E130" i="20"/>
  <c r="D130" i="20"/>
  <c r="C130" i="20"/>
  <c r="F126" i="20"/>
  <c r="E126" i="20"/>
  <c r="D126" i="20"/>
  <c r="C126" i="20"/>
  <c r="M41" i="20"/>
  <c r="L41" i="20"/>
  <c r="K41" i="20"/>
  <c r="J41" i="20"/>
  <c r="I41" i="20"/>
  <c r="H41" i="20"/>
  <c r="G41" i="20"/>
  <c r="F41" i="20"/>
  <c r="E41" i="20"/>
  <c r="D41" i="20"/>
  <c r="M40" i="20"/>
  <c r="L40" i="20"/>
  <c r="K40" i="20"/>
  <c r="J40" i="20"/>
  <c r="I40" i="20"/>
  <c r="H40" i="20"/>
  <c r="G40" i="20"/>
  <c r="F40" i="20"/>
  <c r="E40" i="20"/>
  <c r="M39" i="20"/>
  <c r="L39" i="20"/>
  <c r="K39" i="20"/>
  <c r="J39" i="20"/>
  <c r="I39" i="20"/>
  <c r="H39" i="20"/>
  <c r="G39" i="20"/>
  <c r="F39" i="20"/>
  <c r="E39" i="20"/>
  <c r="D39" i="20"/>
  <c r="M38" i="20"/>
  <c r="L38" i="20"/>
  <c r="K38" i="20"/>
  <c r="J38" i="20"/>
  <c r="I38" i="20"/>
  <c r="H38" i="20"/>
  <c r="G38" i="20"/>
  <c r="F38" i="20"/>
  <c r="E38" i="20"/>
  <c r="D38" i="20"/>
  <c r="M37" i="20"/>
  <c r="L37" i="20"/>
  <c r="K37" i="20"/>
  <c r="J37" i="20"/>
  <c r="P37" i="20" s="1"/>
  <c r="I37" i="20"/>
  <c r="H37" i="20"/>
  <c r="G37" i="20"/>
  <c r="F37" i="20"/>
  <c r="E37" i="20"/>
  <c r="D37" i="20"/>
  <c r="O37" i="20" s="1"/>
  <c r="M36" i="20"/>
  <c r="L36" i="20"/>
  <c r="K36" i="20"/>
  <c r="J36" i="20"/>
  <c r="I36" i="20"/>
  <c r="H36" i="20"/>
  <c r="G36" i="20"/>
  <c r="F36" i="20"/>
  <c r="E36" i="20"/>
  <c r="D36" i="20"/>
  <c r="M35" i="20"/>
  <c r="L35" i="20"/>
  <c r="K35" i="20"/>
  <c r="J35" i="20"/>
  <c r="P35" i="20" s="1"/>
  <c r="I35" i="20"/>
  <c r="H35" i="20"/>
  <c r="G35" i="20"/>
  <c r="F35" i="20"/>
  <c r="E35" i="20"/>
  <c r="D35" i="20"/>
  <c r="M34" i="20"/>
  <c r="L34" i="20"/>
  <c r="K34" i="20"/>
  <c r="J34" i="20"/>
  <c r="P34" i="20" s="1"/>
  <c r="I34" i="20"/>
  <c r="H34" i="20"/>
  <c r="G34" i="20"/>
  <c r="F34" i="20"/>
  <c r="E34" i="20"/>
  <c r="D34" i="20"/>
  <c r="O34" i="20" s="1"/>
  <c r="M33" i="20"/>
  <c r="L33" i="20"/>
  <c r="K33" i="20"/>
  <c r="J33" i="20"/>
  <c r="P33" i="20" s="1"/>
  <c r="I33" i="20"/>
  <c r="H33" i="20"/>
  <c r="G33" i="20"/>
  <c r="F33" i="20"/>
  <c r="E33" i="20"/>
  <c r="D33" i="20"/>
  <c r="O33" i="20" s="1"/>
  <c r="M32" i="20"/>
  <c r="L32" i="20"/>
  <c r="K32" i="20"/>
  <c r="J32" i="20"/>
  <c r="P32" i="20" s="1"/>
  <c r="I32" i="20"/>
  <c r="H32" i="20"/>
  <c r="G32" i="20"/>
  <c r="F32" i="20"/>
  <c r="E32" i="20"/>
  <c r="D32" i="20"/>
  <c r="O32" i="20" s="1"/>
  <c r="M31" i="20"/>
  <c r="L31" i="20"/>
  <c r="K31" i="20"/>
  <c r="J31" i="20"/>
  <c r="P31" i="20" s="1"/>
  <c r="I31" i="20"/>
  <c r="H31" i="20"/>
  <c r="G31" i="20"/>
  <c r="F31" i="20"/>
  <c r="E31" i="20"/>
  <c r="D31" i="20"/>
  <c r="O31" i="20" s="1"/>
  <c r="M30" i="20"/>
  <c r="L30" i="20"/>
  <c r="K30" i="20"/>
  <c r="J30" i="20"/>
  <c r="P30" i="20" s="1"/>
  <c r="I30" i="20"/>
  <c r="H30" i="20"/>
  <c r="G30" i="20"/>
  <c r="F30" i="20"/>
  <c r="E30" i="20"/>
  <c r="D30" i="20"/>
  <c r="O30" i="20" s="1"/>
  <c r="M29" i="20"/>
  <c r="L29" i="20"/>
  <c r="K29" i="20"/>
  <c r="J29" i="20"/>
  <c r="P29" i="20" s="1"/>
  <c r="I29" i="20"/>
  <c r="H29" i="20"/>
  <c r="G29" i="20"/>
  <c r="F29" i="20"/>
  <c r="E29" i="20"/>
  <c r="D29" i="20"/>
  <c r="O29" i="20" s="1"/>
  <c r="M28" i="20"/>
  <c r="L28" i="20"/>
  <c r="K28" i="20"/>
  <c r="J28" i="20"/>
  <c r="P28" i="20" s="1"/>
  <c r="I28" i="20"/>
  <c r="H28" i="20"/>
  <c r="G28" i="20"/>
  <c r="F28" i="20"/>
  <c r="E28" i="20"/>
  <c r="D28" i="20"/>
  <c r="O28" i="20" s="1"/>
  <c r="M27" i="20"/>
  <c r="L27" i="20"/>
  <c r="K27" i="20"/>
  <c r="J27" i="20"/>
  <c r="P27" i="20" s="1"/>
  <c r="I27" i="20"/>
  <c r="H27" i="20"/>
  <c r="G27" i="20"/>
  <c r="F27" i="20"/>
  <c r="E27" i="20"/>
  <c r="D27" i="20"/>
  <c r="O27" i="20" s="1"/>
  <c r="M26" i="20"/>
  <c r="L26" i="20"/>
  <c r="K26" i="20"/>
  <c r="J26" i="20"/>
  <c r="I26" i="20"/>
  <c r="H26" i="20"/>
  <c r="G26" i="20"/>
  <c r="F26" i="20"/>
  <c r="E26" i="20"/>
  <c r="M25" i="20"/>
  <c r="L25" i="20"/>
  <c r="K25" i="20"/>
  <c r="J25" i="20"/>
  <c r="I25" i="20"/>
  <c r="H25" i="20"/>
  <c r="G25" i="20"/>
  <c r="F25" i="20"/>
  <c r="E25" i="20"/>
  <c r="M24" i="20"/>
  <c r="L24" i="20"/>
  <c r="K24" i="20"/>
  <c r="J24" i="20"/>
  <c r="P24" i="20" s="1"/>
  <c r="I24" i="20"/>
  <c r="H24" i="20"/>
  <c r="G24" i="20"/>
  <c r="F24" i="20"/>
  <c r="E24" i="20"/>
  <c r="D24" i="20"/>
  <c r="O24" i="20" s="1"/>
  <c r="M23" i="20"/>
  <c r="L23" i="20"/>
  <c r="K23" i="20"/>
  <c r="J23" i="20"/>
  <c r="P23" i="20" s="1"/>
  <c r="I23" i="20"/>
  <c r="H23" i="20"/>
  <c r="G23" i="20"/>
  <c r="F23" i="20"/>
  <c r="E23" i="20"/>
  <c r="D23" i="20"/>
  <c r="O23" i="20" s="1"/>
  <c r="M22" i="20"/>
  <c r="L22" i="20"/>
  <c r="K22" i="20"/>
  <c r="J22" i="20"/>
  <c r="P22" i="20" s="1"/>
  <c r="I22" i="20"/>
  <c r="H22" i="20"/>
  <c r="G22" i="20"/>
  <c r="F22" i="20"/>
  <c r="E22" i="20"/>
  <c r="D22" i="20"/>
  <c r="O22" i="20" s="1"/>
  <c r="M20" i="20"/>
  <c r="L20" i="20"/>
  <c r="K20" i="20"/>
  <c r="J20" i="20"/>
  <c r="P20" i="20" s="1"/>
  <c r="I20" i="20"/>
  <c r="H20" i="20"/>
  <c r="G20" i="20"/>
  <c r="F20" i="20"/>
  <c r="E20" i="20"/>
  <c r="D20" i="20"/>
  <c r="O20" i="20" s="1"/>
  <c r="M16" i="20"/>
  <c r="L16" i="20"/>
  <c r="K16" i="20"/>
  <c r="J16" i="20"/>
  <c r="P16" i="20" s="1"/>
  <c r="I16" i="20"/>
  <c r="H16" i="20"/>
  <c r="G16" i="20"/>
  <c r="F16" i="20"/>
  <c r="E16" i="20"/>
  <c r="D16" i="20"/>
  <c r="M8" i="20"/>
  <c r="L8" i="20"/>
  <c r="K8" i="20"/>
  <c r="J8" i="20"/>
  <c r="P8" i="20" s="1"/>
  <c r="I8" i="20"/>
  <c r="H8" i="20"/>
  <c r="G8" i="20"/>
  <c r="F8" i="20"/>
  <c r="E8" i="20"/>
  <c r="D8" i="20"/>
  <c r="O8" i="20" s="1"/>
  <c r="N138" i="20"/>
  <c r="M138" i="20"/>
  <c r="L138" i="20"/>
  <c r="B114" i="20"/>
  <c r="B89" i="20" s="1"/>
  <c r="B42" i="20" s="1"/>
  <c r="F76" i="20"/>
  <c r="P41" i="20"/>
  <c r="O41" i="20"/>
  <c r="P40" i="20"/>
  <c r="O40" i="20"/>
  <c r="P39" i="20"/>
  <c r="O39" i="20"/>
  <c r="P38" i="20"/>
  <c r="O38" i="20"/>
  <c r="O35" i="20"/>
  <c r="K48" i="20"/>
  <c r="B62" i="20"/>
  <c r="A49" i="20"/>
  <c r="P21" i="20"/>
  <c r="O21" i="20"/>
  <c r="A48" i="20"/>
  <c r="P19" i="20"/>
  <c r="O18" i="20"/>
  <c r="P18" i="20"/>
  <c r="P17" i="20"/>
  <c r="P15" i="20"/>
  <c r="O14" i="20"/>
  <c r="P14" i="20"/>
  <c r="P13" i="20"/>
  <c r="P12" i="20"/>
  <c r="P11" i="20"/>
  <c r="P10" i="20"/>
  <c r="O9" i="20"/>
  <c r="P9" i="20"/>
  <c r="O7" i="20"/>
  <c r="P7" i="20"/>
  <c r="P6" i="20"/>
  <c r="O6" i="20"/>
  <c r="O5" i="20"/>
  <c r="P5" i="20"/>
  <c r="P4" i="20"/>
  <c r="O4" i="20"/>
  <c r="O3" i="20"/>
  <c r="P2" i="20"/>
  <c r="O2" i="20"/>
  <c r="P42" i="20"/>
  <c r="P89" i="20" s="1"/>
  <c r="P152" i="20" s="1"/>
  <c r="F62" i="20"/>
  <c r="F142" i="19"/>
  <c r="E142" i="19"/>
  <c r="N141" i="19" s="1"/>
  <c r="D142" i="19"/>
  <c r="M141" i="19" s="1"/>
  <c r="C142" i="19"/>
  <c r="L141" i="19" s="1"/>
  <c r="F141" i="19"/>
  <c r="E141" i="19"/>
  <c r="N140" i="19" s="1"/>
  <c r="D141" i="19"/>
  <c r="M140" i="19" s="1"/>
  <c r="C141" i="19"/>
  <c r="L140" i="19" s="1"/>
  <c r="F140" i="19"/>
  <c r="E140" i="19"/>
  <c r="N139" i="19" s="1"/>
  <c r="D140" i="19"/>
  <c r="M139" i="19" s="1"/>
  <c r="C140" i="19"/>
  <c r="L139" i="19" s="1"/>
  <c r="F139" i="19"/>
  <c r="E139" i="19"/>
  <c r="D139" i="19"/>
  <c r="C139" i="19"/>
  <c r="F138" i="19"/>
  <c r="E138" i="19"/>
  <c r="D138" i="19"/>
  <c r="C138" i="19"/>
  <c r="F135" i="19"/>
  <c r="E135" i="19"/>
  <c r="D135" i="19"/>
  <c r="C135" i="19"/>
  <c r="F134" i="19"/>
  <c r="E134" i="19"/>
  <c r="D134" i="19"/>
  <c r="C134" i="19"/>
  <c r="F133" i="19"/>
  <c r="E133" i="19"/>
  <c r="D133" i="19"/>
  <c r="C133" i="19"/>
  <c r="F132" i="19"/>
  <c r="E132" i="19"/>
  <c r="D132" i="19"/>
  <c r="C132" i="19"/>
  <c r="F130" i="19"/>
  <c r="E130" i="19"/>
  <c r="D130" i="19"/>
  <c r="C130" i="19"/>
  <c r="F126" i="19"/>
  <c r="E126" i="19"/>
  <c r="D126" i="19"/>
  <c r="C126" i="19"/>
  <c r="M41" i="19"/>
  <c r="L41" i="19"/>
  <c r="K41" i="19"/>
  <c r="J41" i="19"/>
  <c r="I41" i="19"/>
  <c r="H41" i="19"/>
  <c r="G41" i="19"/>
  <c r="F41" i="19"/>
  <c r="E41" i="19"/>
  <c r="D41" i="19"/>
  <c r="M40" i="19"/>
  <c r="L40" i="19"/>
  <c r="K40" i="19"/>
  <c r="J40" i="19"/>
  <c r="I40" i="19"/>
  <c r="H40" i="19"/>
  <c r="G40" i="19"/>
  <c r="F40" i="19"/>
  <c r="E40" i="19"/>
  <c r="M39" i="19"/>
  <c r="L39" i="19"/>
  <c r="K39" i="19"/>
  <c r="J39" i="19"/>
  <c r="I39" i="19"/>
  <c r="H39" i="19"/>
  <c r="G39" i="19"/>
  <c r="F39" i="19"/>
  <c r="E39" i="19"/>
  <c r="D39" i="19"/>
  <c r="M38" i="19"/>
  <c r="L38" i="19"/>
  <c r="K38" i="19"/>
  <c r="J38" i="19"/>
  <c r="I38" i="19"/>
  <c r="H38" i="19"/>
  <c r="G38" i="19"/>
  <c r="F38" i="19"/>
  <c r="E38" i="19"/>
  <c r="D38" i="19"/>
  <c r="M37" i="19"/>
  <c r="L37" i="19"/>
  <c r="K37" i="19"/>
  <c r="J37" i="19"/>
  <c r="P37" i="19" s="1"/>
  <c r="I37" i="19"/>
  <c r="H37" i="19"/>
  <c r="G37" i="19"/>
  <c r="F37" i="19"/>
  <c r="E37" i="19"/>
  <c r="D37" i="19"/>
  <c r="O37" i="19" s="1"/>
  <c r="M36" i="19"/>
  <c r="L36" i="19"/>
  <c r="K36" i="19"/>
  <c r="J36" i="19"/>
  <c r="P36" i="19" s="1"/>
  <c r="I36" i="19"/>
  <c r="H36" i="19"/>
  <c r="G36" i="19"/>
  <c r="F36" i="19"/>
  <c r="E36" i="19"/>
  <c r="D36" i="19"/>
  <c r="O36" i="19" s="1"/>
  <c r="M35" i="19"/>
  <c r="L35" i="19"/>
  <c r="K35" i="19"/>
  <c r="J35" i="19"/>
  <c r="P35" i="19" s="1"/>
  <c r="I35" i="19"/>
  <c r="H35" i="19"/>
  <c r="G35" i="19"/>
  <c r="F35" i="19"/>
  <c r="E35" i="19"/>
  <c r="D35" i="19"/>
  <c r="O35" i="19" s="1"/>
  <c r="M34" i="19"/>
  <c r="L34" i="19"/>
  <c r="K34" i="19"/>
  <c r="J34" i="19"/>
  <c r="P34" i="19" s="1"/>
  <c r="I34" i="19"/>
  <c r="H34" i="19"/>
  <c r="G34" i="19"/>
  <c r="F34" i="19"/>
  <c r="E34" i="19"/>
  <c r="D34" i="19"/>
  <c r="O34" i="19" s="1"/>
  <c r="M33" i="19"/>
  <c r="L33" i="19"/>
  <c r="K33" i="19"/>
  <c r="J33" i="19"/>
  <c r="P33" i="19" s="1"/>
  <c r="I33" i="19"/>
  <c r="H33" i="19"/>
  <c r="G33" i="19"/>
  <c r="F33" i="19"/>
  <c r="E33" i="19"/>
  <c r="D33" i="19"/>
  <c r="O33" i="19" s="1"/>
  <c r="M32" i="19"/>
  <c r="L32" i="19"/>
  <c r="K32" i="19"/>
  <c r="J32" i="19"/>
  <c r="P32" i="19" s="1"/>
  <c r="I32" i="19"/>
  <c r="H32" i="19"/>
  <c r="G32" i="19"/>
  <c r="F32" i="19"/>
  <c r="E32" i="19"/>
  <c r="D32" i="19"/>
  <c r="O32" i="19" s="1"/>
  <c r="M31" i="19"/>
  <c r="L31" i="19"/>
  <c r="K31" i="19"/>
  <c r="J31" i="19"/>
  <c r="P31" i="19" s="1"/>
  <c r="I31" i="19"/>
  <c r="H31" i="19"/>
  <c r="G31" i="19"/>
  <c r="F31" i="19"/>
  <c r="E31" i="19"/>
  <c r="D31" i="19"/>
  <c r="O31" i="19" s="1"/>
  <c r="M30" i="19"/>
  <c r="L30" i="19"/>
  <c r="K30" i="19"/>
  <c r="J30" i="19"/>
  <c r="P30" i="19" s="1"/>
  <c r="I30" i="19"/>
  <c r="H30" i="19"/>
  <c r="G30" i="19"/>
  <c r="F30" i="19"/>
  <c r="E30" i="19"/>
  <c r="D30" i="19"/>
  <c r="O30" i="19" s="1"/>
  <c r="M29" i="19"/>
  <c r="L29" i="19"/>
  <c r="K29" i="19"/>
  <c r="J29" i="19"/>
  <c r="P29" i="19" s="1"/>
  <c r="I29" i="19"/>
  <c r="H29" i="19"/>
  <c r="G29" i="19"/>
  <c r="F29" i="19"/>
  <c r="E29" i="19"/>
  <c r="D29" i="19"/>
  <c r="O29" i="19" s="1"/>
  <c r="M28" i="19"/>
  <c r="L28" i="19"/>
  <c r="K28" i="19"/>
  <c r="J28" i="19"/>
  <c r="P28" i="19" s="1"/>
  <c r="I28" i="19"/>
  <c r="H28" i="19"/>
  <c r="G28" i="19"/>
  <c r="F28" i="19"/>
  <c r="E28" i="19"/>
  <c r="D28" i="19"/>
  <c r="O28" i="19" s="1"/>
  <c r="M27" i="19"/>
  <c r="L27" i="19"/>
  <c r="K27" i="19"/>
  <c r="J27" i="19"/>
  <c r="P27" i="19" s="1"/>
  <c r="I27" i="19"/>
  <c r="H27" i="19"/>
  <c r="G27" i="19"/>
  <c r="F27" i="19"/>
  <c r="E27" i="19"/>
  <c r="D27" i="19"/>
  <c r="O27" i="19" s="1"/>
  <c r="M26" i="19"/>
  <c r="L26" i="19"/>
  <c r="K26" i="19"/>
  <c r="J26" i="19"/>
  <c r="I26" i="19"/>
  <c r="H26" i="19"/>
  <c r="G26" i="19"/>
  <c r="F26" i="19"/>
  <c r="E26" i="19"/>
  <c r="M25" i="19"/>
  <c r="L25" i="19"/>
  <c r="K25" i="19"/>
  <c r="J25" i="19"/>
  <c r="I25" i="19"/>
  <c r="H25" i="19"/>
  <c r="G25" i="19"/>
  <c r="F25" i="19"/>
  <c r="E25" i="19"/>
  <c r="M24" i="19"/>
  <c r="L24" i="19"/>
  <c r="K24" i="19"/>
  <c r="J24" i="19"/>
  <c r="P24" i="19" s="1"/>
  <c r="I24" i="19"/>
  <c r="H24" i="19"/>
  <c r="G24" i="19"/>
  <c r="F24" i="19"/>
  <c r="E24" i="19"/>
  <c r="D24" i="19"/>
  <c r="O24" i="19" s="1"/>
  <c r="M23" i="19"/>
  <c r="L23" i="19"/>
  <c r="K23" i="19"/>
  <c r="J23" i="19"/>
  <c r="P23" i="19" s="1"/>
  <c r="I23" i="19"/>
  <c r="H23" i="19"/>
  <c r="G23" i="19"/>
  <c r="F23" i="19"/>
  <c r="E23" i="19"/>
  <c r="D23" i="19"/>
  <c r="O23" i="19" s="1"/>
  <c r="M22" i="19"/>
  <c r="L22" i="19"/>
  <c r="K22" i="19"/>
  <c r="J22" i="19"/>
  <c r="P22" i="19" s="1"/>
  <c r="I22" i="19"/>
  <c r="H22" i="19"/>
  <c r="G22" i="19"/>
  <c r="F22" i="19"/>
  <c r="E22" i="19"/>
  <c r="D22" i="19"/>
  <c r="O22" i="19" s="1"/>
  <c r="M20" i="19"/>
  <c r="L20" i="19"/>
  <c r="K20" i="19"/>
  <c r="J20" i="19"/>
  <c r="P20" i="19" s="1"/>
  <c r="I20" i="19"/>
  <c r="H20" i="19"/>
  <c r="G20" i="19"/>
  <c r="F20" i="19"/>
  <c r="E20" i="19"/>
  <c r="D20" i="19"/>
  <c r="O20" i="19" s="1"/>
  <c r="M16" i="19"/>
  <c r="L16" i="19"/>
  <c r="K16" i="19"/>
  <c r="J16" i="19"/>
  <c r="P16" i="19" s="1"/>
  <c r="I16" i="19"/>
  <c r="H16" i="19"/>
  <c r="G16" i="19"/>
  <c r="F16" i="19"/>
  <c r="E16" i="19"/>
  <c r="D16" i="19"/>
  <c r="M8" i="19"/>
  <c r="L8" i="19"/>
  <c r="K8" i="19"/>
  <c r="J8" i="19"/>
  <c r="P8" i="19" s="1"/>
  <c r="I8" i="19"/>
  <c r="H8" i="19"/>
  <c r="G8" i="19"/>
  <c r="F8" i="19"/>
  <c r="E8" i="19"/>
  <c r="D8" i="19"/>
  <c r="O8" i="19" s="1"/>
  <c r="N138" i="19"/>
  <c r="M138" i="19"/>
  <c r="L138" i="19"/>
  <c r="B114" i="19"/>
  <c r="B89" i="19" s="1"/>
  <c r="B42" i="19" s="1"/>
  <c r="F76" i="19"/>
  <c r="P41" i="19"/>
  <c r="O41" i="19"/>
  <c r="P40" i="19"/>
  <c r="O40" i="19"/>
  <c r="P39" i="19"/>
  <c r="O39" i="19"/>
  <c r="P38" i="19"/>
  <c r="O38" i="19"/>
  <c r="K48" i="19"/>
  <c r="B62" i="19"/>
  <c r="A49" i="19"/>
  <c r="P21" i="19"/>
  <c r="O21" i="19"/>
  <c r="A48" i="19"/>
  <c r="P19" i="19"/>
  <c r="O19" i="19"/>
  <c r="P18" i="19"/>
  <c r="P17" i="19"/>
  <c r="O17" i="19"/>
  <c r="P15" i="19"/>
  <c r="O15" i="19"/>
  <c r="P14" i="19"/>
  <c r="P13" i="19"/>
  <c r="O13" i="19"/>
  <c r="P12" i="19"/>
  <c r="P11" i="19"/>
  <c r="O11" i="19"/>
  <c r="P10" i="19"/>
  <c r="O9" i="19"/>
  <c r="P9" i="19"/>
  <c r="O7" i="19"/>
  <c r="P7" i="19"/>
  <c r="P6" i="19"/>
  <c r="O6" i="19"/>
  <c r="O5" i="19"/>
  <c r="P5" i="19"/>
  <c r="P4" i="19"/>
  <c r="O4" i="19"/>
  <c r="O3" i="19"/>
  <c r="P2" i="19"/>
  <c r="O2" i="19"/>
  <c r="P42" i="19"/>
  <c r="P89" i="19" s="1"/>
  <c r="P152" i="19" s="1"/>
  <c r="F62" i="19"/>
  <c r="F142" i="18"/>
  <c r="E142" i="18"/>
  <c r="N141" i="18" s="1"/>
  <c r="D142" i="18"/>
  <c r="M141" i="18" s="1"/>
  <c r="C142" i="18"/>
  <c r="L141" i="18" s="1"/>
  <c r="F141" i="18"/>
  <c r="E141" i="18"/>
  <c r="N140" i="18" s="1"/>
  <c r="D141" i="18"/>
  <c r="M140" i="18" s="1"/>
  <c r="C141" i="18"/>
  <c r="L140" i="18" s="1"/>
  <c r="F140" i="18"/>
  <c r="E140" i="18"/>
  <c r="N139" i="18" s="1"/>
  <c r="D140" i="18"/>
  <c r="M139" i="18" s="1"/>
  <c r="C140" i="18"/>
  <c r="L139" i="18" s="1"/>
  <c r="F139" i="18"/>
  <c r="E139" i="18"/>
  <c r="D139" i="18"/>
  <c r="C139" i="18"/>
  <c r="F138" i="18"/>
  <c r="E138" i="18"/>
  <c r="D138" i="18"/>
  <c r="C138" i="18"/>
  <c r="F135" i="18"/>
  <c r="E135" i="18"/>
  <c r="D135" i="18"/>
  <c r="C135" i="18"/>
  <c r="F134" i="18"/>
  <c r="E134" i="18"/>
  <c r="D134" i="18"/>
  <c r="C134" i="18"/>
  <c r="F133" i="18"/>
  <c r="E133" i="18"/>
  <c r="D133" i="18"/>
  <c r="C133" i="18"/>
  <c r="F132" i="18"/>
  <c r="E132" i="18"/>
  <c r="D132" i="18"/>
  <c r="C132" i="18"/>
  <c r="F130" i="18"/>
  <c r="E130" i="18"/>
  <c r="D130" i="18"/>
  <c r="C130" i="18"/>
  <c r="F126" i="18"/>
  <c r="E126" i="18"/>
  <c r="D126" i="18"/>
  <c r="C126" i="18"/>
  <c r="L41" i="18"/>
  <c r="K41" i="18"/>
  <c r="J41" i="18"/>
  <c r="I41" i="18"/>
  <c r="H41" i="18"/>
  <c r="G41" i="18"/>
  <c r="F41" i="18"/>
  <c r="E41" i="18"/>
  <c r="D41" i="18"/>
  <c r="M40" i="18"/>
  <c r="L40" i="18"/>
  <c r="K40" i="18"/>
  <c r="J40" i="18"/>
  <c r="I40" i="18"/>
  <c r="H40" i="18"/>
  <c r="G40" i="18"/>
  <c r="F40" i="18"/>
  <c r="E40" i="18"/>
  <c r="M39" i="18"/>
  <c r="L39" i="18"/>
  <c r="K39" i="18"/>
  <c r="J39" i="18"/>
  <c r="I39" i="18"/>
  <c r="H39" i="18"/>
  <c r="G39" i="18"/>
  <c r="F39" i="18"/>
  <c r="E39" i="18"/>
  <c r="D39" i="18"/>
  <c r="M38" i="18"/>
  <c r="L38" i="18"/>
  <c r="K38" i="18"/>
  <c r="J38" i="18"/>
  <c r="I38" i="18"/>
  <c r="H38" i="18"/>
  <c r="G38" i="18"/>
  <c r="F38" i="18"/>
  <c r="E38" i="18"/>
  <c r="D38" i="18"/>
  <c r="M37" i="18"/>
  <c r="L37" i="18"/>
  <c r="K37" i="18"/>
  <c r="J37" i="18"/>
  <c r="P37" i="18" s="1"/>
  <c r="I37" i="18"/>
  <c r="H37" i="18"/>
  <c r="G37" i="18"/>
  <c r="F37" i="18"/>
  <c r="E37" i="18"/>
  <c r="D37" i="18"/>
  <c r="O37" i="18" s="1"/>
  <c r="M36" i="18"/>
  <c r="L36" i="18"/>
  <c r="K36" i="18"/>
  <c r="J36" i="18"/>
  <c r="P36" i="18" s="1"/>
  <c r="I36" i="18"/>
  <c r="H36" i="18"/>
  <c r="G36" i="18"/>
  <c r="F36" i="18"/>
  <c r="E36" i="18"/>
  <c r="D36" i="18"/>
  <c r="O36" i="18" s="1"/>
  <c r="M35" i="18"/>
  <c r="L35" i="18"/>
  <c r="K35" i="18"/>
  <c r="J35" i="18"/>
  <c r="P35" i="18" s="1"/>
  <c r="I35" i="18"/>
  <c r="H35" i="18"/>
  <c r="G35" i="18"/>
  <c r="F35" i="18"/>
  <c r="E35" i="18"/>
  <c r="D35" i="18"/>
  <c r="O35" i="18" s="1"/>
  <c r="M34" i="18"/>
  <c r="L34" i="18"/>
  <c r="K34" i="18"/>
  <c r="J34" i="18"/>
  <c r="P34" i="18" s="1"/>
  <c r="I34" i="18"/>
  <c r="H34" i="18"/>
  <c r="G34" i="18"/>
  <c r="F34" i="18"/>
  <c r="E34" i="18"/>
  <c r="D34" i="18"/>
  <c r="O34" i="18" s="1"/>
  <c r="M33" i="18"/>
  <c r="L33" i="18"/>
  <c r="K33" i="18"/>
  <c r="J33" i="18"/>
  <c r="P33" i="18" s="1"/>
  <c r="I33" i="18"/>
  <c r="H33" i="18"/>
  <c r="G33" i="18"/>
  <c r="F33" i="18"/>
  <c r="E33" i="18"/>
  <c r="D33" i="18"/>
  <c r="O33" i="18" s="1"/>
  <c r="M32" i="18"/>
  <c r="L32" i="18"/>
  <c r="K32" i="18"/>
  <c r="J32" i="18"/>
  <c r="P32" i="18" s="1"/>
  <c r="I32" i="18"/>
  <c r="H32" i="18"/>
  <c r="G32" i="18"/>
  <c r="F32" i="18"/>
  <c r="E32" i="18"/>
  <c r="D32" i="18"/>
  <c r="O32" i="18" s="1"/>
  <c r="M31" i="18"/>
  <c r="L31" i="18"/>
  <c r="K31" i="18"/>
  <c r="J31" i="18"/>
  <c r="P31" i="18" s="1"/>
  <c r="I31" i="18"/>
  <c r="H31" i="18"/>
  <c r="G31" i="18"/>
  <c r="F31" i="18"/>
  <c r="E31" i="18"/>
  <c r="D31" i="18"/>
  <c r="O31" i="18" s="1"/>
  <c r="M30" i="18"/>
  <c r="L30" i="18"/>
  <c r="K30" i="18"/>
  <c r="J30" i="18"/>
  <c r="P30" i="18" s="1"/>
  <c r="I30" i="18"/>
  <c r="H30" i="18"/>
  <c r="G30" i="18"/>
  <c r="F30" i="18"/>
  <c r="E30" i="18"/>
  <c r="D30" i="18"/>
  <c r="O30" i="18" s="1"/>
  <c r="M29" i="18"/>
  <c r="L29" i="18"/>
  <c r="K29" i="18"/>
  <c r="J29" i="18"/>
  <c r="P29" i="18" s="1"/>
  <c r="I29" i="18"/>
  <c r="H29" i="18"/>
  <c r="G29" i="18"/>
  <c r="F29" i="18"/>
  <c r="E29" i="18"/>
  <c r="D29" i="18"/>
  <c r="O29" i="18" s="1"/>
  <c r="M28" i="18"/>
  <c r="L28" i="18"/>
  <c r="K28" i="18"/>
  <c r="J28" i="18"/>
  <c r="P28" i="18" s="1"/>
  <c r="I28" i="18"/>
  <c r="H28" i="18"/>
  <c r="G28" i="18"/>
  <c r="F28" i="18"/>
  <c r="E28" i="18"/>
  <c r="D28" i="18"/>
  <c r="O28" i="18" s="1"/>
  <c r="M27" i="18"/>
  <c r="L27" i="18"/>
  <c r="K27" i="18"/>
  <c r="J27" i="18"/>
  <c r="P27" i="18" s="1"/>
  <c r="I27" i="18"/>
  <c r="H27" i="18"/>
  <c r="G27" i="18"/>
  <c r="F27" i="18"/>
  <c r="E27" i="18"/>
  <c r="D27" i="18"/>
  <c r="O27" i="18" s="1"/>
  <c r="M26" i="18"/>
  <c r="L26" i="18"/>
  <c r="K26" i="18"/>
  <c r="J26" i="18"/>
  <c r="I26" i="18"/>
  <c r="H26" i="18"/>
  <c r="G26" i="18"/>
  <c r="F26" i="18"/>
  <c r="E26" i="18"/>
  <c r="M25" i="18"/>
  <c r="L25" i="18"/>
  <c r="K25" i="18"/>
  <c r="J25" i="18"/>
  <c r="I25" i="18"/>
  <c r="H25" i="18"/>
  <c r="G25" i="18"/>
  <c r="F25" i="18"/>
  <c r="E25" i="18"/>
  <c r="M24" i="18"/>
  <c r="L24" i="18"/>
  <c r="K24" i="18"/>
  <c r="J24" i="18"/>
  <c r="P24" i="18" s="1"/>
  <c r="I24" i="18"/>
  <c r="H24" i="18"/>
  <c r="G24" i="18"/>
  <c r="F24" i="18"/>
  <c r="E24" i="18"/>
  <c r="D24" i="18"/>
  <c r="O24" i="18" s="1"/>
  <c r="M23" i="18"/>
  <c r="L23" i="18"/>
  <c r="K23" i="18"/>
  <c r="J23" i="18"/>
  <c r="P23" i="18" s="1"/>
  <c r="I23" i="18"/>
  <c r="H23" i="18"/>
  <c r="G23" i="18"/>
  <c r="F23" i="18"/>
  <c r="E23" i="18"/>
  <c r="D23" i="18"/>
  <c r="O23" i="18" s="1"/>
  <c r="M22" i="18"/>
  <c r="L22" i="18"/>
  <c r="K22" i="18"/>
  <c r="J22" i="18"/>
  <c r="P22" i="18" s="1"/>
  <c r="I22" i="18"/>
  <c r="H22" i="18"/>
  <c r="G22" i="18"/>
  <c r="F22" i="18"/>
  <c r="E22" i="18"/>
  <c r="D22" i="18"/>
  <c r="O22" i="18" s="1"/>
  <c r="M20" i="18"/>
  <c r="L20" i="18"/>
  <c r="K20" i="18"/>
  <c r="J20" i="18"/>
  <c r="P20" i="18" s="1"/>
  <c r="I20" i="18"/>
  <c r="H20" i="18"/>
  <c r="G20" i="18"/>
  <c r="F20" i="18"/>
  <c r="E20" i="18"/>
  <c r="D20" i="18"/>
  <c r="O20" i="18" s="1"/>
  <c r="M16" i="18"/>
  <c r="L16" i="18"/>
  <c r="K16" i="18"/>
  <c r="J16" i="18"/>
  <c r="P16" i="18" s="1"/>
  <c r="I16" i="18"/>
  <c r="H16" i="18"/>
  <c r="G16" i="18"/>
  <c r="F16" i="18"/>
  <c r="E16" i="18"/>
  <c r="D16" i="18"/>
  <c r="M8" i="18"/>
  <c r="L8" i="18"/>
  <c r="K8" i="18"/>
  <c r="J8" i="18"/>
  <c r="P8" i="18" s="1"/>
  <c r="I8" i="18"/>
  <c r="H8" i="18"/>
  <c r="G8" i="18"/>
  <c r="F8" i="18"/>
  <c r="E8" i="18"/>
  <c r="D8" i="18"/>
  <c r="O8" i="18" s="1"/>
  <c r="N138" i="18"/>
  <c r="M138" i="18"/>
  <c r="L138" i="18"/>
  <c r="B114" i="18"/>
  <c r="B89" i="18" s="1"/>
  <c r="B42" i="18" s="1"/>
  <c r="F76" i="18"/>
  <c r="P41" i="18"/>
  <c r="O41" i="18"/>
  <c r="P40" i="18"/>
  <c r="O40" i="18"/>
  <c r="P39" i="18"/>
  <c r="O39" i="18"/>
  <c r="P38" i="18"/>
  <c r="O38" i="18"/>
  <c r="K48" i="18"/>
  <c r="B62" i="18"/>
  <c r="A49" i="18"/>
  <c r="P21" i="18"/>
  <c r="O21" i="18"/>
  <c r="A48" i="18"/>
  <c r="P19" i="18"/>
  <c r="P18" i="18"/>
  <c r="O17" i="18"/>
  <c r="P17" i="18"/>
  <c r="P15" i="18"/>
  <c r="O15" i="18"/>
  <c r="P14" i="18"/>
  <c r="P13" i="18"/>
  <c r="O13" i="18"/>
  <c r="P12" i="18"/>
  <c r="P11" i="18"/>
  <c r="O11" i="18"/>
  <c r="P10" i="18"/>
  <c r="O9" i="18"/>
  <c r="P9" i="18"/>
  <c r="O7" i="18"/>
  <c r="P7" i="18"/>
  <c r="P6" i="18"/>
  <c r="O6" i="18"/>
  <c r="O5" i="18"/>
  <c r="P5" i="18"/>
  <c r="P4" i="18"/>
  <c r="O4" i="18"/>
  <c r="O3" i="18"/>
  <c r="P2" i="18"/>
  <c r="O2" i="18"/>
  <c r="P42" i="18"/>
  <c r="P89" i="18" s="1"/>
  <c r="P152" i="18" s="1"/>
  <c r="F62" i="18"/>
  <c r="F142" i="17"/>
  <c r="E142" i="17"/>
  <c r="N141" i="17" s="1"/>
  <c r="D142" i="17"/>
  <c r="M141" i="17" s="1"/>
  <c r="C142" i="17"/>
  <c r="L141" i="17" s="1"/>
  <c r="F141" i="17"/>
  <c r="E141" i="17"/>
  <c r="N140" i="17" s="1"/>
  <c r="D141" i="17"/>
  <c r="M140" i="17" s="1"/>
  <c r="C141" i="17"/>
  <c r="L140" i="17" s="1"/>
  <c r="F140" i="17"/>
  <c r="E140" i="17"/>
  <c r="N139" i="17" s="1"/>
  <c r="D140" i="17"/>
  <c r="M139" i="17" s="1"/>
  <c r="C140" i="17"/>
  <c r="F139" i="17"/>
  <c r="E139" i="17"/>
  <c r="D139" i="17"/>
  <c r="C139" i="17"/>
  <c r="F138" i="17"/>
  <c r="E138" i="17"/>
  <c r="D138" i="17"/>
  <c r="C138" i="17"/>
  <c r="F135" i="17"/>
  <c r="E135" i="17"/>
  <c r="D135" i="17"/>
  <c r="C135" i="17"/>
  <c r="F134" i="17"/>
  <c r="E134" i="17"/>
  <c r="D134" i="17"/>
  <c r="C134" i="17"/>
  <c r="F133" i="17"/>
  <c r="E133" i="17"/>
  <c r="D133" i="17"/>
  <c r="C133" i="17"/>
  <c r="F132" i="17"/>
  <c r="E132" i="17"/>
  <c r="D132" i="17"/>
  <c r="C132" i="17"/>
  <c r="F130" i="17"/>
  <c r="E130" i="17"/>
  <c r="D130" i="17"/>
  <c r="C130" i="17"/>
  <c r="F126" i="17"/>
  <c r="E126" i="17"/>
  <c r="D126" i="17"/>
  <c r="C126" i="17"/>
  <c r="M41" i="17"/>
  <c r="L41" i="17"/>
  <c r="K41" i="17"/>
  <c r="J41" i="17"/>
  <c r="I41" i="17"/>
  <c r="H41" i="17"/>
  <c r="G41" i="17"/>
  <c r="F41" i="17"/>
  <c r="E41" i="17"/>
  <c r="D41" i="17"/>
  <c r="M40" i="17"/>
  <c r="L40" i="17"/>
  <c r="K40" i="17"/>
  <c r="J40" i="17"/>
  <c r="I40" i="17"/>
  <c r="H40" i="17"/>
  <c r="G40" i="17"/>
  <c r="F40" i="17"/>
  <c r="E40" i="17"/>
  <c r="M39" i="17"/>
  <c r="L39" i="17"/>
  <c r="K39" i="17"/>
  <c r="J39" i="17"/>
  <c r="I39" i="17"/>
  <c r="H39" i="17"/>
  <c r="G39" i="17"/>
  <c r="F39" i="17"/>
  <c r="E39" i="17"/>
  <c r="D39" i="17"/>
  <c r="M38" i="17"/>
  <c r="L38" i="17"/>
  <c r="K38" i="17"/>
  <c r="J38" i="17"/>
  <c r="I38" i="17"/>
  <c r="H38" i="17"/>
  <c r="G38" i="17"/>
  <c r="F38" i="17"/>
  <c r="E38" i="17"/>
  <c r="D38" i="17"/>
  <c r="M37" i="17"/>
  <c r="L37" i="17"/>
  <c r="K37" i="17"/>
  <c r="J37" i="17"/>
  <c r="P37" i="17" s="1"/>
  <c r="I37" i="17"/>
  <c r="H37" i="17"/>
  <c r="G37" i="17"/>
  <c r="F37" i="17"/>
  <c r="E37" i="17"/>
  <c r="D37" i="17"/>
  <c r="O37" i="17" s="1"/>
  <c r="M36" i="17"/>
  <c r="L36" i="17"/>
  <c r="K36" i="17"/>
  <c r="J36" i="17"/>
  <c r="I36" i="17"/>
  <c r="H36" i="17"/>
  <c r="G36" i="17"/>
  <c r="F36" i="17"/>
  <c r="E36" i="17"/>
  <c r="D36" i="17"/>
  <c r="M35" i="17"/>
  <c r="L35" i="17"/>
  <c r="K35" i="17"/>
  <c r="J35" i="17"/>
  <c r="P35" i="17" s="1"/>
  <c r="I35" i="17"/>
  <c r="H35" i="17"/>
  <c r="G35" i="17"/>
  <c r="F35" i="17"/>
  <c r="E35" i="17"/>
  <c r="D35" i="17"/>
  <c r="O35" i="17" s="1"/>
  <c r="M34" i="17"/>
  <c r="L34" i="17"/>
  <c r="K34" i="17"/>
  <c r="J34" i="17"/>
  <c r="P34" i="17" s="1"/>
  <c r="I34" i="17"/>
  <c r="H34" i="17"/>
  <c r="G34" i="17"/>
  <c r="F34" i="17"/>
  <c r="E34" i="17"/>
  <c r="D34" i="17"/>
  <c r="O34" i="17" s="1"/>
  <c r="M33" i="17"/>
  <c r="L33" i="17"/>
  <c r="K33" i="17"/>
  <c r="J33" i="17"/>
  <c r="P33" i="17" s="1"/>
  <c r="I33" i="17"/>
  <c r="H33" i="17"/>
  <c r="G33" i="17"/>
  <c r="F33" i="17"/>
  <c r="E33" i="17"/>
  <c r="D33" i="17"/>
  <c r="O33" i="17" s="1"/>
  <c r="M32" i="17"/>
  <c r="L32" i="17"/>
  <c r="K32" i="17"/>
  <c r="J32" i="17"/>
  <c r="P32" i="17" s="1"/>
  <c r="I32" i="17"/>
  <c r="H32" i="17"/>
  <c r="G32" i="17"/>
  <c r="F32" i="17"/>
  <c r="E32" i="17"/>
  <c r="D32" i="17"/>
  <c r="O32" i="17" s="1"/>
  <c r="M31" i="17"/>
  <c r="L31" i="17"/>
  <c r="K31" i="17"/>
  <c r="J31" i="17"/>
  <c r="P31" i="17" s="1"/>
  <c r="I31" i="17"/>
  <c r="H31" i="17"/>
  <c r="G31" i="17"/>
  <c r="F31" i="17"/>
  <c r="E31" i="17"/>
  <c r="D31" i="17"/>
  <c r="O31" i="17" s="1"/>
  <c r="M30" i="17"/>
  <c r="L30" i="17"/>
  <c r="K30" i="17"/>
  <c r="J30" i="17"/>
  <c r="P30" i="17" s="1"/>
  <c r="I30" i="17"/>
  <c r="H30" i="17"/>
  <c r="G30" i="17"/>
  <c r="F30" i="17"/>
  <c r="E30" i="17"/>
  <c r="D30" i="17"/>
  <c r="O30" i="17" s="1"/>
  <c r="M29" i="17"/>
  <c r="L29" i="17"/>
  <c r="K29" i="17"/>
  <c r="J29" i="17"/>
  <c r="P29" i="17" s="1"/>
  <c r="I29" i="17"/>
  <c r="H29" i="17"/>
  <c r="G29" i="17"/>
  <c r="F29" i="17"/>
  <c r="E29" i="17"/>
  <c r="D29" i="17"/>
  <c r="O29" i="17" s="1"/>
  <c r="M28" i="17"/>
  <c r="L28" i="17"/>
  <c r="K28" i="17"/>
  <c r="J28" i="17"/>
  <c r="P28" i="17" s="1"/>
  <c r="I28" i="17"/>
  <c r="H28" i="17"/>
  <c r="G28" i="17"/>
  <c r="F28" i="17"/>
  <c r="E28" i="17"/>
  <c r="D28" i="17"/>
  <c r="O28" i="17" s="1"/>
  <c r="M27" i="17"/>
  <c r="L27" i="17"/>
  <c r="K27" i="17"/>
  <c r="J27" i="17"/>
  <c r="P27" i="17" s="1"/>
  <c r="I27" i="17"/>
  <c r="H27" i="17"/>
  <c r="G27" i="17"/>
  <c r="F27" i="17"/>
  <c r="E27" i="17"/>
  <c r="D27" i="17"/>
  <c r="O27" i="17" s="1"/>
  <c r="M26" i="17"/>
  <c r="L26" i="17"/>
  <c r="K26" i="17"/>
  <c r="J26" i="17"/>
  <c r="I26" i="17"/>
  <c r="H26" i="17"/>
  <c r="G26" i="17"/>
  <c r="F26" i="17"/>
  <c r="E26" i="17"/>
  <c r="M25" i="17"/>
  <c r="L25" i="17"/>
  <c r="K25" i="17"/>
  <c r="J25" i="17"/>
  <c r="I25" i="17"/>
  <c r="H25" i="17"/>
  <c r="G25" i="17"/>
  <c r="F25" i="17"/>
  <c r="E25" i="17"/>
  <c r="M24" i="17"/>
  <c r="L24" i="17"/>
  <c r="K24" i="17"/>
  <c r="J24" i="17"/>
  <c r="P24" i="17" s="1"/>
  <c r="I24" i="17"/>
  <c r="H24" i="17"/>
  <c r="G24" i="17"/>
  <c r="F24" i="17"/>
  <c r="E24" i="17"/>
  <c r="D24" i="17"/>
  <c r="O24" i="17" s="1"/>
  <c r="M23" i="17"/>
  <c r="L23" i="17"/>
  <c r="K23" i="17"/>
  <c r="J23" i="17"/>
  <c r="P23" i="17" s="1"/>
  <c r="I23" i="17"/>
  <c r="H23" i="17"/>
  <c r="G23" i="17"/>
  <c r="F23" i="17"/>
  <c r="E23" i="17"/>
  <c r="D23" i="17"/>
  <c r="O23" i="17" s="1"/>
  <c r="M22" i="17"/>
  <c r="L22" i="17"/>
  <c r="K22" i="17"/>
  <c r="J22" i="17"/>
  <c r="P22" i="17" s="1"/>
  <c r="I22" i="17"/>
  <c r="H22" i="17"/>
  <c r="G22" i="17"/>
  <c r="F22" i="17"/>
  <c r="E22" i="17"/>
  <c r="D22" i="17"/>
  <c r="O22" i="17" s="1"/>
  <c r="M20" i="17"/>
  <c r="L20" i="17"/>
  <c r="K20" i="17"/>
  <c r="J20" i="17"/>
  <c r="P20" i="17" s="1"/>
  <c r="I20" i="17"/>
  <c r="H20" i="17"/>
  <c r="G20" i="17"/>
  <c r="F20" i="17"/>
  <c r="E20" i="17"/>
  <c r="D20" i="17"/>
  <c r="O20" i="17" s="1"/>
  <c r="M16" i="17"/>
  <c r="L16" i="17"/>
  <c r="K16" i="17"/>
  <c r="J16" i="17"/>
  <c r="P16" i="17" s="1"/>
  <c r="I16" i="17"/>
  <c r="H16" i="17"/>
  <c r="G16" i="17"/>
  <c r="F16" i="17"/>
  <c r="E16" i="17"/>
  <c r="D16" i="17"/>
  <c r="M8" i="17"/>
  <c r="L8" i="17"/>
  <c r="K8" i="17"/>
  <c r="J8" i="17"/>
  <c r="P8" i="17" s="1"/>
  <c r="I8" i="17"/>
  <c r="H8" i="17"/>
  <c r="G8" i="17"/>
  <c r="F8" i="17"/>
  <c r="E8" i="17"/>
  <c r="D8" i="17"/>
  <c r="O8" i="17" s="1"/>
  <c r="L139" i="17"/>
  <c r="N138" i="17"/>
  <c r="M138" i="17"/>
  <c r="L138" i="17"/>
  <c r="B114" i="17"/>
  <c r="B89" i="17" s="1"/>
  <c r="B42" i="17" s="1"/>
  <c r="F76" i="17"/>
  <c r="P41" i="17"/>
  <c r="O41" i="17"/>
  <c r="P40" i="17"/>
  <c r="O40" i="17"/>
  <c r="P39" i="17"/>
  <c r="O39" i="17"/>
  <c r="P38" i="17"/>
  <c r="O38" i="17"/>
  <c r="K48" i="17"/>
  <c r="B62" i="17"/>
  <c r="A49" i="17"/>
  <c r="P21" i="17"/>
  <c r="O21" i="17"/>
  <c r="A48" i="17"/>
  <c r="P19" i="17"/>
  <c r="P18" i="17"/>
  <c r="P17" i="17"/>
  <c r="P15" i="17"/>
  <c r="P14" i="17"/>
  <c r="P13" i="17"/>
  <c r="P12" i="17"/>
  <c r="P11" i="17"/>
  <c r="P10" i="17"/>
  <c r="O9" i="17"/>
  <c r="P9" i="17"/>
  <c r="O7" i="17"/>
  <c r="P7" i="17"/>
  <c r="P6" i="17"/>
  <c r="O6" i="17"/>
  <c r="O5" i="17"/>
  <c r="P5" i="17"/>
  <c r="P4" i="17"/>
  <c r="O4" i="17"/>
  <c r="O3" i="17"/>
  <c r="P2" i="17"/>
  <c r="O2" i="17"/>
  <c r="P42" i="17"/>
  <c r="P89" i="17" s="1"/>
  <c r="P152" i="17" s="1"/>
  <c r="F62" i="17"/>
  <c r="F142" i="16"/>
  <c r="E142" i="16"/>
  <c r="N141" i="16" s="1"/>
  <c r="D142" i="16"/>
  <c r="M141" i="16" s="1"/>
  <c r="C142" i="16"/>
  <c r="L141" i="16" s="1"/>
  <c r="F141" i="16"/>
  <c r="E141" i="16"/>
  <c r="N140" i="16" s="1"/>
  <c r="D141" i="16"/>
  <c r="M140" i="16" s="1"/>
  <c r="C141" i="16"/>
  <c r="L140" i="16" s="1"/>
  <c r="F140" i="16"/>
  <c r="E140" i="16"/>
  <c r="N139" i="16" s="1"/>
  <c r="D140" i="16"/>
  <c r="M139" i="16" s="1"/>
  <c r="C140" i="16"/>
  <c r="L139" i="16" s="1"/>
  <c r="F139" i="16"/>
  <c r="E139" i="16"/>
  <c r="D139" i="16"/>
  <c r="C139" i="16"/>
  <c r="F138" i="16"/>
  <c r="E138" i="16"/>
  <c r="D138" i="16"/>
  <c r="C138" i="16"/>
  <c r="F135" i="16"/>
  <c r="E135" i="16"/>
  <c r="D135" i="16"/>
  <c r="C135" i="16"/>
  <c r="F134" i="16"/>
  <c r="E134" i="16"/>
  <c r="D134" i="16"/>
  <c r="C134" i="16"/>
  <c r="F133" i="16"/>
  <c r="E133" i="16"/>
  <c r="D133" i="16"/>
  <c r="C133" i="16"/>
  <c r="F132" i="16"/>
  <c r="E132" i="16"/>
  <c r="D132" i="16"/>
  <c r="C132" i="16"/>
  <c r="F130" i="16"/>
  <c r="E130" i="16"/>
  <c r="D130" i="16"/>
  <c r="C130" i="16"/>
  <c r="F126" i="16"/>
  <c r="E126" i="16"/>
  <c r="D126" i="16"/>
  <c r="C126" i="16"/>
  <c r="M41" i="16"/>
  <c r="L41" i="16"/>
  <c r="K41" i="16"/>
  <c r="J41" i="16"/>
  <c r="I41" i="16"/>
  <c r="H41" i="16"/>
  <c r="G41" i="16"/>
  <c r="F41" i="16"/>
  <c r="E41" i="16"/>
  <c r="D41" i="16"/>
  <c r="M40" i="16"/>
  <c r="L40" i="16"/>
  <c r="K40" i="16"/>
  <c r="J40" i="16"/>
  <c r="I40" i="16"/>
  <c r="H40" i="16"/>
  <c r="G40" i="16"/>
  <c r="F40" i="16"/>
  <c r="E40" i="16"/>
  <c r="G39" i="16"/>
  <c r="F39" i="16"/>
  <c r="E39" i="16"/>
  <c r="M38" i="16"/>
  <c r="L38" i="16"/>
  <c r="K38" i="16"/>
  <c r="J38" i="16"/>
  <c r="I38" i="16"/>
  <c r="H38" i="16"/>
  <c r="G38" i="16"/>
  <c r="F38" i="16"/>
  <c r="E38" i="16"/>
  <c r="D38" i="16"/>
  <c r="M37" i="16"/>
  <c r="L37" i="16"/>
  <c r="K37" i="16"/>
  <c r="J37" i="16"/>
  <c r="P37" i="16" s="1"/>
  <c r="I37" i="16"/>
  <c r="H37" i="16"/>
  <c r="G37" i="16"/>
  <c r="F37" i="16"/>
  <c r="E37" i="16"/>
  <c r="D37" i="16"/>
  <c r="M36" i="16"/>
  <c r="L36" i="16"/>
  <c r="K36" i="16"/>
  <c r="J36" i="16"/>
  <c r="I36" i="16"/>
  <c r="H36" i="16"/>
  <c r="G36" i="16"/>
  <c r="F36" i="16"/>
  <c r="E36" i="16"/>
  <c r="D36" i="16"/>
  <c r="M35" i="16"/>
  <c r="L35" i="16"/>
  <c r="K35" i="16"/>
  <c r="J35" i="16"/>
  <c r="P35" i="16" s="1"/>
  <c r="I35" i="16"/>
  <c r="H35" i="16"/>
  <c r="G35" i="16"/>
  <c r="F35" i="16"/>
  <c r="E35" i="16"/>
  <c r="D35" i="16"/>
  <c r="M34" i="16"/>
  <c r="L34" i="16"/>
  <c r="K34" i="16"/>
  <c r="J34" i="16"/>
  <c r="P34" i="16" s="1"/>
  <c r="I34" i="16"/>
  <c r="H34" i="16"/>
  <c r="G34" i="16"/>
  <c r="F34" i="16"/>
  <c r="E34" i="16"/>
  <c r="D34" i="16"/>
  <c r="O34" i="16" s="1"/>
  <c r="M33" i="16"/>
  <c r="L33" i="16"/>
  <c r="K33" i="16"/>
  <c r="J33" i="16"/>
  <c r="P33" i="16" s="1"/>
  <c r="I33" i="16"/>
  <c r="H33" i="16"/>
  <c r="G33" i="16"/>
  <c r="F33" i="16"/>
  <c r="E33" i="16"/>
  <c r="D33" i="16"/>
  <c r="M32" i="16"/>
  <c r="L32" i="16"/>
  <c r="K32" i="16"/>
  <c r="J32" i="16"/>
  <c r="P32" i="16" s="1"/>
  <c r="I32" i="16"/>
  <c r="H32" i="16"/>
  <c r="G32" i="16"/>
  <c r="F32" i="16"/>
  <c r="E32" i="16"/>
  <c r="D32" i="16"/>
  <c r="O32" i="16" s="1"/>
  <c r="M31" i="16"/>
  <c r="L31" i="16"/>
  <c r="K31" i="16"/>
  <c r="J31" i="16"/>
  <c r="I31" i="16"/>
  <c r="H31" i="16"/>
  <c r="G31" i="16"/>
  <c r="F31" i="16"/>
  <c r="E31" i="16"/>
  <c r="D31" i="16"/>
  <c r="M30" i="16"/>
  <c r="L30" i="16"/>
  <c r="K30" i="16"/>
  <c r="J30" i="16"/>
  <c r="P30" i="16" s="1"/>
  <c r="I30" i="16"/>
  <c r="H30" i="16"/>
  <c r="G30" i="16"/>
  <c r="F30" i="16"/>
  <c r="E30" i="16"/>
  <c r="D30" i="16"/>
  <c r="O30" i="16" s="1"/>
  <c r="M29" i="16"/>
  <c r="L29" i="16"/>
  <c r="K29" i="16"/>
  <c r="J29" i="16"/>
  <c r="P29" i="16" s="1"/>
  <c r="I29" i="16"/>
  <c r="H29" i="16"/>
  <c r="G29" i="16"/>
  <c r="F29" i="16"/>
  <c r="E29" i="16"/>
  <c r="D29" i="16"/>
  <c r="M28" i="16"/>
  <c r="L28" i="16"/>
  <c r="K28" i="16"/>
  <c r="J28" i="16"/>
  <c r="P28" i="16" s="1"/>
  <c r="I28" i="16"/>
  <c r="H28" i="16"/>
  <c r="G28" i="16"/>
  <c r="F28" i="16"/>
  <c r="E28" i="16"/>
  <c r="M27" i="16"/>
  <c r="L27" i="16"/>
  <c r="K27" i="16"/>
  <c r="J27" i="16"/>
  <c r="P27" i="16" s="1"/>
  <c r="I27" i="16"/>
  <c r="H27" i="16"/>
  <c r="G27" i="16"/>
  <c r="F27" i="16"/>
  <c r="E27" i="16"/>
  <c r="D27" i="16"/>
  <c r="M26" i="16"/>
  <c r="L26" i="16"/>
  <c r="K26" i="16"/>
  <c r="J26" i="16"/>
  <c r="I26" i="16"/>
  <c r="H26" i="16"/>
  <c r="G26" i="16"/>
  <c r="F26" i="16"/>
  <c r="E26" i="16"/>
  <c r="M25" i="16"/>
  <c r="L25" i="16"/>
  <c r="K25" i="16"/>
  <c r="J25" i="16"/>
  <c r="P25" i="16" s="1"/>
  <c r="I25" i="16"/>
  <c r="H25" i="16"/>
  <c r="G25" i="16"/>
  <c r="F25" i="16"/>
  <c r="E25" i="16"/>
  <c r="M24" i="16"/>
  <c r="L24" i="16"/>
  <c r="K24" i="16"/>
  <c r="J24" i="16"/>
  <c r="P24" i="16" s="1"/>
  <c r="I24" i="16"/>
  <c r="H24" i="16"/>
  <c r="G24" i="16"/>
  <c r="F24" i="16"/>
  <c r="E24" i="16"/>
  <c r="D24" i="16"/>
  <c r="O24" i="16" s="1"/>
  <c r="M23" i="16"/>
  <c r="L23" i="16"/>
  <c r="K23" i="16"/>
  <c r="J23" i="16"/>
  <c r="P23" i="16" s="1"/>
  <c r="I23" i="16"/>
  <c r="H23" i="16"/>
  <c r="G23" i="16"/>
  <c r="F23" i="16"/>
  <c r="E23" i="16"/>
  <c r="D23" i="16"/>
  <c r="M22" i="16"/>
  <c r="L22" i="16"/>
  <c r="K22" i="16"/>
  <c r="J22" i="16"/>
  <c r="P22" i="16" s="1"/>
  <c r="I22" i="16"/>
  <c r="H22" i="16"/>
  <c r="G22" i="16"/>
  <c r="F22" i="16"/>
  <c r="E22" i="16"/>
  <c r="D22" i="16"/>
  <c r="O22" i="16" s="1"/>
  <c r="M20" i="16"/>
  <c r="L20" i="16"/>
  <c r="K20" i="16"/>
  <c r="J20" i="16"/>
  <c r="P20" i="16" s="1"/>
  <c r="I20" i="16"/>
  <c r="H20" i="16"/>
  <c r="G20" i="16"/>
  <c r="F20" i="16"/>
  <c r="E20" i="16"/>
  <c r="D20" i="16"/>
  <c r="O20" i="16" s="1"/>
  <c r="M16" i="16"/>
  <c r="L16" i="16"/>
  <c r="K16" i="16"/>
  <c r="J16" i="16"/>
  <c r="P16" i="16" s="1"/>
  <c r="I16" i="16"/>
  <c r="H16" i="16"/>
  <c r="G16" i="16"/>
  <c r="F16" i="16"/>
  <c r="E16" i="16"/>
  <c r="D16" i="16"/>
  <c r="O16" i="16" s="1"/>
  <c r="M8" i="16"/>
  <c r="L8" i="16"/>
  <c r="K8" i="16"/>
  <c r="J8" i="16"/>
  <c r="P8" i="16" s="1"/>
  <c r="I8" i="16"/>
  <c r="H8" i="16"/>
  <c r="G8" i="16"/>
  <c r="F8" i="16"/>
  <c r="E8" i="16"/>
  <c r="D8" i="16"/>
  <c r="N138" i="16"/>
  <c r="M138" i="16"/>
  <c r="L138" i="16"/>
  <c r="B114" i="16"/>
  <c r="B89" i="16" s="1"/>
  <c r="B42" i="16" s="1"/>
  <c r="K62" i="16"/>
  <c r="A49" i="16"/>
  <c r="P41" i="16"/>
  <c r="O41" i="16"/>
  <c r="P40" i="16"/>
  <c r="O40" i="16"/>
  <c r="P39" i="16"/>
  <c r="O39" i="16"/>
  <c r="P38" i="16"/>
  <c r="O38" i="16"/>
  <c r="O28" i="16"/>
  <c r="K48" i="16"/>
  <c r="B62" i="16"/>
  <c r="P21" i="16"/>
  <c r="A48" i="16"/>
  <c r="O19" i="16"/>
  <c r="P19" i="16"/>
  <c r="O18" i="16"/>
  <c r="P18" i="16"/>
  <c r="P17" i="16"/>
  <c r="O17" i="16"/>
  <c r="P15" i="16"/>
  <c r="O15" i="16"/>
  <c r="O14" i="16"/>
  <c r="P14" i="16"/>
  <c r="P13" i="16"/>
  <c r="O13" i="16"/>
  <c r="O12" i="16"/>
  <c r="P12" i="16"/>
  <c r="P11" i="16"/>
  <c r="O11" i="16"/>
  <c r="O10" i="16"/>
  <c r="P10" i="16"/>
  <c r="P9" i="16"/>
  <c r="O9" i="16"/>
  <c r="P7" i="16"/>
  <c r="O7" i="16"/>
  <c r="P6" i="16"/>
  <c r="P5" i="16"/>
  <c r="O5" i="16"/>
  <c r="P4" i="16"/>
  <c r="P3" i="16"/>
  <c r="O3" i="16"/>
  <c r="P2" i="16"/>
  <c r="O2" i="16"/>
  <c r="P42" i="16"/>
  <c r="P89" i="16" s="1"/>
  <c r="P152" i="16" s="1"/>
  <c r="F62" i="16"/>
  <c r="L41" i="15"/>
  <c r="K41" i="15"/>
  <c r="J41" i="15"/>
  <c r="I41" i="15"/>
  <c r="H41" i="15"/>
  <c r="G41" i="15"/>
  <c r="F41" i="15"/>
  <c r="E41" i="15"/>
  <c r="D41" i="15"/>
  <c r="L40" i="15"/>
  <c r="K40" i="15"/>
  <c r="J40" i="15"/>
  <c r="I40" i="15"/>
  <c r="L39" i="15"/>
  <c r="K39" i="15"/>
  <c r="J39" i="15"/>
  <c r="I39" i="15"/>
  <c r="H39" i="15"/>
  <c r="G39" i="15"/>
  <c r="F39" i="15"/>
  <c r="E39" i="15"/>
  <c r="D39" i="15"/>
  <c r="L38" i="15"/>
  <c r="K38" i="15"/>
  <c r="J38" i="15"/>
  <c r="I38" i="15"/>
  <c r="H38" i="15"/>
  <c r="G38" i="15"/>
  <c r="F38" i="15"/>
  <c r="E38" i="15"/>
  <c r="D38" i="15"/>
  <c r="M37" i="15"/>
  <c r="L37" i="15"/>
  <c r="K37" i="15"/>
  <c r="J37" i="15"/>
  <c r="P37" i="15" s="1"/>
  <c r="I37" i="15"/>
  <c r="H37" i="15"/>
  <c r="G37" i="15"/>
  <c r="F37" i="15"/>
  <c r="E37" i="15"/>
  <c r="D37" i="15"/>
  <c r="M36" i="15"/>
  <c r="L36" i="15"/>
  <c r="K36" i="15"/>
  <c r="J36" i="15"/>
  <c r="I36" i="15"/>
  <c r="H36" i="15"/>
  <c r="G36" i="15"/>
  <c r="F36" i="15"/>
  <c r="E36" i="15"/>
  <c r="D36" i="15"/>
  <c r="M35" i="15"/>
  <c r="L35" i="15"/>
  <c r="K35" i="15"/>
  <c r="J35" i="15"/>
  <c r="P35" i="15" s="1"/>
  <c r="I35" i="15"/>
  <c r="H35" i="15"/>
  <c r="G35" i="15"/>
  <c r="F35" i="15"/>
  <c r="E35" i="15"/>
  <c r="D35" i="15"/>
  <c r="M34" i="15"/>
  <c r="L34" i="15"/>
  <c r="K34" i="15"/>
  <c r="J34" i="15"/>
  <c r="P34" i="15" s="1"/>
  <c r="I34" i="15"/>
  <c r="H34" i="15"/>
  <c r="G34" i="15"/>
  <c r="F34" i="15"/>
  <c r="E34" i="15"/>
  <c r="D34" i="15"/>
  <c r="O34" i="15" s="1"/>
  <c r="M33" i="15"/>
  <c r="L33" i="15"/>
  <c r="K33" i="15"/>
  <c r="J33" i="15"/>
  <c r="P33" i="15" s="1"/>
  <c r="I33" i="15"/>
  <c r="H33" i="15"/>
  <c r="G33" i="15"/>
  <c r="F33" i="15"/>
  <c r="E33" i="15"/>
  <c r="D33" i="15"/>
  <c r="M32" i="15"/>
  <c r="L32" i="15"/>
  <c r="K32" i="15"/>
  <c r="J32" i="15"/>
  <c r="P32" i="15" s="1"/>
  <c r="I32" i="15"/>
  <c r="H32" i="15"/>
  <c r="G32" i="15"/>
  <c r="F32" i="15"/>
  <c r="E32" i="15"/>
  <c r="D32" i="15"/>
  <c r="O32" i="15" s="1"/>
  <c r="M31" i="15"/>
  <c r="L31" i="15"/>
  <c r="K31" i="15"/>
  <c r="J31" i="15"/>
  <c r="I31" i="15"/>
  <c r="H31" i="15"/>
  <c r="G31" i="15"/>
  <c r="F31" i="15"/>
  <c r="E31" i="15"/>
  <c r="D31" i="15"/>
  <c r="M30" i="15"/>
  <c r="L30" i="15"/>
  <c r="K30" i="15"/>
  <c r="J30" i="15"/>
  <c r="P30" i="15" s="1"/>
  <c r="I30" i="15"/>
  <c r="H30" i="15"/>
  <c r="G30" i="15"/>
  <c r="F30" i="15"/>
  <c r="E30" i="15"/>
  <c r="D30" i="15"/>
  <c r="O30" i="15" s="1"/>
  <c r="M29" i="15"/>
  <c r="L29" i="15"/>
  <c r="K29" i="15"/>
  <c r="J29" i="15"/>
  <c r="P29" i="15" s="1"/>
  <c r="I29" i="15"/>
  <c r="H29" i="15"/>
  <c r="G29" i="15"/>
  <c r="F29" i="15"/>
  <c r="E29" i="15"/>
  <c r="D29" i="15"/>
  <c r="M28" i="15"/>
  <c r="L28" i="15"/>
  <c r="K28" i="15"/>
  <c r="J28" i="15"/>
  <c r="P28" i="15" s="1"/>
  <c r="I28" i="15"/>
  <c r="H28" i="15"/>
  <c r="G28" i="15"/>
  <c r="F28" i="15"/>
  <c r="E28" i="15"/>
  <c r="D28" i="15"/>
  <c r="O28" i="15" s="1"/>
  <c r="M27" i="15"/>
  <c r="L27" i="15"/>
  <c r="K27" i="15"/>
  <c r="J27" i="15"/>
  <c r="P27" i="15" s="1"/>
  <c r="I27" i="15"/>
  <c r="H27" i="15"/>
  <c r="G27" i="15"/>
  <c r="F27" i="15"/>
  <c r="E27" i="15"/>
  <c r="D27" i="15"/>
  <c r="M26" i="15"/>
  <c r="L26" i="15"/>
  <c r="K26" i="15"/>
  <c r="J26" i="15"/>
  <c r="I26" i="15"/>
  <c r="H26" i="15"/>
  <c r="G26" i="15"/>
  <c r="F26" i="15"/>
  <c r="E26" i="15"/>
  <c r="M25" i="15"/>
  <c r="L25" i="15"/>
  <c r="K25" i="15"/>
  <c r="J25" i="15"/>
  <c r="P25" i="15" s="1"/>
  <c r="I25" i="15"/>
  <c r="H25" i="15"/>
  <c r="G25" i="15"/>
  <c r="F25" i="15"/>
  <c r="E25" i="15"/>
  <c r="M24" i="15"/>
  <c r="L24" i="15"/>
  <c r="K24" i="15"/>
  <c r="J24" i="15"/>
  <c r="P24" i="15" s="1"/>
  <c r="I24" i="15"/>
  <c r="H24" i="15"/>
  <c r="G24" i="15"/>
  <c r="F24" i="15"/>
  <c r="E24" i="15"/>
  <c r="D24" i="15"/>
  <c r="O24" i="15" s="1"/>
  <c r="M23" i="15"/>
  <c r="L23" i="15"/>
  <c r="K23" i="15"/>
  <c r="J23" i="15"/>
  <c r="P23" i="15" s="1"/>
  <c r="I23" i="15"/>
  <c r="H23" i="15"/>
  <c r="G23" i="15"/>
  <c r="F23" i="15"/>
  <c r="E23" i="15"/>
  <c r="D23" i="15"/>
  <c r="M22" i="15"/>
  <c r="L22" i="15"/>
  <c r="K22" i="15"/>
  <c r="J22" i="15"/>
  <c r="P22" i="15" s="1"/>
  <c r="I22" i="15"/>
  <c r="H22" i="15"/>
  <c r="G22" i="15"/>
  <c r="F22" i="15"/>
  <c r="E22" i="15"/>
  <c r="D22" i="15"/>
  <c r="O22" i="15" s="1"/>
  <c r="M20" i="15"/>
  <c r="L20" i="15"/>
  <c r="K20" i="15"/>
  <c r="J20" i="15"/>
  <c r="P20" i="15" s="1"/>
  <c r="I20" i="15"/>
  <c r="H20" i="15"/>
  <c r="G20" i="15"/>
  <c r="F20" i="15"/>
  <c r="E20" i="15"/>
  <c r="D20" i="15"/>
  <c r="O20" i="15" s="1"/>
  <c r="M16" i="15"/>
  <c r="L16" i="15"/>
  <c r="K16" i="15"/>
  <c r="J16" i="15"/>
  <c r="P16" i="15" s="1"/>
  <c r="I16" i="15"/>
  <c r="H16" i="15"/>
  <c r="G16" i="15"/>
  <c r="F16" i="15"/>
  <c r="E16" i="15"/>
  <c r="D16" i="15"/>
  <c r="O16" i="15" s="1"/>
  <c r="M8" i="15"/>
  <c r="L8" i="15"/>
  <c r="K8" i="15"/>
  <c r="J8" i="15"/>
  <c r="P8" i="15" s="1"/>
  <c r="I8" i="15"/>
  <c r="H8" i="15"/>
  <c r="G8" i="15"/>
  <c r="F8" i="15"/>
  <c r="E8" i="15"/>
  <c r="D8" i="15"/>
  <c r="B114" i="15"/>
  <c r="B89" i="15" s="1"/>
  <c r="B42" i="15" s="1"/>
  <c r="K62" i="15"/>
  <c r="A49" i="15"/>
  <c r="P41" i="15"/>
  <c r="O41" i="15"/>
  <c r="P40" i="15"/>
  <c r="O40" i="15"/>
  <c r="P39" i="15"/>
  <c r="O39" i="15"/>
  <c r="P38" i="15"/>
  <c r="O38" i="15"/>
  <c r="K48" i="15"/>
  <c r="B62" i="15"/>
  <c r="P21" i="15"/>
  <c r="A48" i="15"/>
  <c r="O19" i="15"/>
  <c r="P19" i="15"/>
  <c r="P18" i="15"/>
  <c r="O18" i="15"/>
  <c r="O17" i="15"/>
  <c r="P17" i="15"/>
  <c r="O15" i="15"/>
  <c r="P15" i="15"/>
  <c r="P14" i="15"/>
  <c r="O14" i="15"/>
  <c r="O13" i="15"/>
  <c r="P13" i="15"/>
  <c r="P12" i="15"/>
  <c r="O12" i="15"/>
  <c r="O11" i="15"/>
  <c r="P11" i="15"/>
  <c r="P10" i="15"/>
  <c r="O10" i="15"/>
  <c r="P9" i="15"/>
  <c r="O9" i="15"/>
  <c r="P7" i="15"/>
  <c r="O7" i="15"/>
  <c r="P6" i="15"/>
  <c r="P5" i="15"/>
  <c r="O5" i="15"/>
  <c r="P4" i="15"/>
  <c r="P3" i="15"/>
  <c r="O3" i="15"/>
  <c r="P2" i="15"/>
  <c r="O2" i="15"/>
  <c r="P42" i="15"/>
  <c r="P89" i="15" s="1"/>
  <c r="F62" i="15"/>
  <c r="F142" i="13"/>
  <c r="E142" i="13"/>
  <c r="N141" i="13" s="1"/>
  <c r="D142" i="13"/>
  <c r="M141" i="13" s="1"/>
  <c r="C142" i="13"/>
  <c r="L141" i="13" s="1"/>
  <c r="F141" i="13"/>
  <c r="E141" i="13"/>
  <c r="N140" i="13" s="1"/>
  <c r="D141" i="13"/>
  <c r="M140" i="13" s="1"/>
  <c r="C141" i="13"/>
  <c r="L140" i="13" s="1"/>
  <c r="F140" i="13"/>
  <c r="E140" i="13"/>
  <c r="N139" i="13" s="1"/>
  <c r="D140" i="13"/>
  <c r="M139" i="13" s="1"/>
  <c r="C140" i="13"/>
  <c r="L139" i="13" s="1"/>
  <c r="F139" i="13"/>
  <c r="E139" i="13"/>
  <c r="D139" i="13"/>
  <c r="C139" i="13"/>
  <c r="F138" i="13"/>
  <c r="E138" i="13"/>
  <c r="D138" i="13"/>
  <c r="C138" i="13"/>
  <c r="F135" i="13"/>
  <c r="E135" i="13"/>
  <c r="D135" i="13"/>
  <c r="C135" i="13"/>
  <c r="F134" i="13"/>
  <c r="E134" i="13"/>
  <c r="D134" i="13"/>
  <c r="C134" i="13"/>
  <c r="F133" i="13"/>
  <c r="E133" i="13"/>
  <c r="D133" i="13"/>
  <c r="C133" i="13"/>
  <c r="F132" i="13"/>
  <c r="E132" i="13"/>
  <c r="D132" i="13"/>
  <c r="C132" i="13"/>
  <c r="F130" i="13"/>
  <c r="E130" i="13"/>
  <c r="D130" i="13"/>
  <c r="C130" i="13"/>
  <c r="F126" i="13"/>
  <c r="E126" i="13"/>
  <c r="D126" i="13"/>
  <c r="C126" i="13"/>
  <c r="M41" i="13"/>
  <c r="L41" i="13"/>
  <c r="K41" i="13"/>
  <c r="J41" i="13"/>
  <c r="I41" i="13"/>
  <c r="H41" i="13"/>
  <c r="G41" i="13"/>
  <c r="F41" i="13"/>
  <c r="E41" i="13"/>
  <c r="J40" i="13"/>
  <c r="H40" i="13"/>
  <c r="G40" i="13"/>
  <c r="K39" i="13"/>
  <c r="M38" i="13"/>
  <c r="L38" i="13"/>
  <c r="K38" i="13"/>
  <c r="J38" i="13"/>
  <c r="I38" i="13"/>
  <c r="H38" i="13"/>
  <c r="G38" i="13"/>
  <c r="F38" i="13"/>
  <c r="E38" i="13"/>
  <c r="M37" i="13"/>
  <c r="L37" i="13"/>
  <c r="K37" i="13"/>
  <c r="J37" i="13"/>
  <c r="P37" i="13" s="1"/>
  <c r="H37" i="13"/>
  <c r="G37" i="13"/>
  <c r="F37" i="13"/>
  <c r="E37" i="13"/>
  <c r="D37" i="13"/>
  <c r="M36" i="13"/>
  <c r="L36" i="13"/>
  <c r="K36" i="13"/>
  <c r="J36" i="13"/>
  <c r="I36" i="13"/>
  <c r="H36" i="13"/>
  <c r="G36" i="13"/>
  <c r="F36" i="13"/>
  <c r="E36" i="13"/>
  <c r="D36" i="13"/>
  <c r="M35" i="13"/>
  <c r="L35" i="13"/>
  <c r="K35" i="13"/>
  <c r="J35" i="13"/>
  <c r="P35" i="13" s="1"/>
  <c r="I35" i="13"/>
  <c r="H35" i="13"/>
  <c r="G35" i="13"/>
  <c r="F35" i="13"/>
  <c r="E35" i="13"/>
  <c r="D35" i="13"/>
  <c r="M34" i="13"/>
  <c r="L34" i="13"/>
  <c r="K34" i="13"/>
  <c r="J34" i="13"/>
  <c r="P34" i="13" s="1"/>
  <c r="I34" i="13"/>
  <c r="H34" i="13"/>
  <c r="G34" i="13"/>
  <c r="F34" i="13"/>
  <c r="E34" i="13"/>
  <c r="D34" i="13"/>
  <c r="O34" i="13" s="1"/>
  <c r="M33" i="13"/>
  <c r="L33" i="13"/>
  <c r="K33" i="13"/>
  <c r="J33" i="13"/>
  <c r="P33" i="13" s="1"/>
  <c r="I33" i="13"/>
  <c r="H33" i="13"/>
  <c r="G33" i="13"/>
  <c r="F33" i="13"/>
  <c r="E33" i="13"/>
  <c r="D33" i="13"/>
  <c r="M32" i="13"/>
  <c r="L32" i="13"/>
  <c r="K32" i="13"/>
  <c r="J32" i="13"/>
  <c r="P32" i="13" s="1"/>
  <c r="I32" i="13"/>
  <c r="H32" i="13"/>
  <c r="G32" i="13"/>
  <c r="F32" i="13"/>
  <c r="E32" i="13"/>
  <c r="D32" i="13"/>
  <c r="O32" i="13" s="1"/>
  <c r="M31" i="13"/>
  <c r="L31" i="13"/>
  <c r="K31" i="13"/>
  <c r="J31" i="13"/>
  <c r="I31" i="13"/>
  <c r="H31" i="13"/>
  <c r="G31" i="13"/>
  <c r="F31" i="13"/>
  <c r="E31" i="13"/>
  <c r="D31" i="13"/>
  <c r="M30" i="13"/>
  <c r="L30" i="13"/>
  <c r="K30" i="13"/>
  <c r="J30" i="13"/>
  <c r="P30" i="13" s="1"/>
  <c r="I30" i="13"/>
  <c r="H30" i="13"/>
  <c r="G30" i="13"/>
  <c r="F30" i="13"/>
  <c r="E30" i="13"/>
  <c r="D30" i="13"/>
  <c r="O30" i="13" s="1"/>
  <c r="M29" i="13"/>
  <c r="L29" i="13"/>
  <c r="K29" i="13"/>
  <c r="J29" i="13"/>
  <c r="P29" i="13" s="1"/>
  <c r="I29" i="13"/>
  <c r="H29" i="13"/>
  <c r="G29" i="13"/>
  <c r="F29" i="13"/>
  <c r="E29" i="13"/>
  <c r="D29" i="13"/>
  <c r="M28" i="13"/>
  <c r="L28" i="13"/>
  <c r="K28" i="13"/>
  <c r="J28" i="13"/>
  <c r="P28" i="13" s="1"/>
  <c r="I28" i="13"/>
  <c r="H28" i="13"/>
  <c r="G28" i="13"/>
  <c r="E28" i="13"/>
  <c r="D28" i="13"/>
  <c r="O28" i="13" s="1"/>
  <c r="M27" i="13"/>
  <c r="L27" i="13"/>
  <c r="K27" i="13"/>
  <c r="J27" i="13"/>
  <c r="P27" i="13" s="1"/>
  <c r="I27" i="13"/>
  <c r="H27" i="13"/>
  <c r="G27" i="13"/>
  <c r="F27" i="13"/>
  <c r="E27" i="13"/>
  <c r="D27" i="13"/>
  <c r="M26" i="13"/>
  <c r="L26" i="13"/>
  <c r="K26" i="13"/>
  <c r="J26" i="13"/>
  <c r="H26" i="13"/>
  <c r="G26" i="13"/>
  <c r="F26" i="13"/>
  <c r="E26" i="13"/>
  <c r="M25" i="13"/>
  <c r="L25" i="13"/>
  <c r="K25" i="13"/>
  <c r="J25" i="13"/>
  <c r="P25" i="13" s="1"/>
  <c r="I25" i="13"/>
  <c r="H25" i="13"/>
  <c r="G25" i="13"/>
  <c r="F25" i="13"/>
  <c r="E25" i="13"/>
  <c r="M24" i="13"/>
  <c r="L24" i="13"/>
  <c r="K24" i="13"/>
  <c r="J24" i="13"/>
  <c r="P24" i="13" s="1"/>
  <c r="I24" i="13"/>
  <c r="H24" i="13"/>
  <c r="G24" i="13"/>
  <c r="F24" i="13"/>
  <c r="E24" i="13"/>
  <c r="D24" i="13"/>
  <c r="O24" i="13" s="1"/>
  <c r="M23" i="13"/>
  <c r="L23" i="13"/>
  <c r="K23" i="13"/>
  <c r="J23" i="13"/>
  <c r="P23" i="13" s="1"/>
  <c r="I23" i="13"/>
  <c r="H23" i="13"/>
  <c r="G23" i="13"/>
  <c r="F23" i="13"/>
  <c r="E23" i="13"/>
  <c r="D23" i="13"/>
  <c r="M22" i="13"/>
  <c r="L22" i="13"/>
  <c r="K22" i="13"/>
  <c r="J22" i="13"/>
  <c r="P22" i="13" s="1"/>
  <c r="I22" i="13"/>
  <c r="H22" i="13"/>
  <c r="G22" i="13"/>
  <c r="F22" i="13"/>
  <c r="E22" i="13"/>
  <c r="D22" i="13"/>
  <c r="O22" i="13" s="1"/>
  <c r="M20" i="13"/>
  <c r="L20" i="13"/>
  <c r="K20" i="13"/>
  <c r="J20" i="13"/>
  <c r="P20" i="13" s="1"/>
  <c r="I20" i="13"/>
  <c r="H20" i="13"/>
  <c r="G20" i="13"/>
  <c r="F20" i="13"/>
  <c r="E20" i="13"/>
  <c r="D20" i="13"/>
  <c r="O20" i="13" s="1"/>
  <c r="M16" i="13"/>
  <c r="L16" i="13"/>
  <c r="K16" i="13"/>
  <c r="J16" i="13"/>
  <c r="P16" i="13" s="1"/>
  <c r="I16" i="13"/>
  <c r="H16" i="13"/>
  <c r="G16" i="13"/>
  <c r="F16" i="13"/>
  <c r="E16" i="13"/>
  <c r="D16" i="13"/>
  <c r="O16" i="13" s="1"/>
  <c r="M8" i="13"/>
  <c r="L8" i="13"/>
  <c r="K8" i="13"/>
  <c r="J8" i="13"/>
  <c r="P8" i="13" s="1"/>
  <c r="I8" i="13"/>
  <c r="H8" i="13"/>
  <c r="G8" i="13"/>
  <c r="F8" i="13"/>
  <c r="E8" i="13"/>
  <c r="D8" i="13"/>
  <c r="N138" i="13"/>
  <c r="M138" i="13"/>
  <c r="L138" i="13"/>
  <c r="B114" i="13"/>
  <c r="R89" i="13" s="1"/>
  <c r="F114" i="13" s="1"/>
  <c r="B152" i="13" s="1"/>
  <c r="A76" i="13"/>
  <c r="K62" i="13"/>
  <c r="A50" i="13"/>
  <c r="A49" i="13"/>
  <c r="P41" i="13"/>
  <c r="O41" i="13"/>
  <c r="P40" i="13"/>
  <c r="O40" i="13"/>
  <c r="P39" i="13"/>
  <c r="O39" i="13"/>
  <c r="P38" i="13"/>
  <c r="O38" i="13"/>
  <c r="K48" i="13"/>
  <c r="B62" i="13"/>
  <c r="P21" i="13"/>
  <c r="A48" i="13"/>
  <c r="P19" i="13"/>
  <c r="P18" i="13"/>
  <c r="O18" i="13"/>
  <c r="P17" i="13"/>
  <c r="P15" i="13"/>
  <c r="P14" i="13"/>
  <c r="O14" i="13"/>
  <c r="P13" i="13"/>
  <c r="P12" i="13"/>
  <c r="O12" i="13"/>
  <c r="P11" i="13"/>
  <c r="P10" i="13"/>
  <c r="O10" i="13"/>
  <c r="P9" i="13"/>
  <c r="O9" i="13"/>
  <c r="P7" i="13"/>
  <c r="O7" i="13"/>
  <c r="P6" i="13"/>
  <c r="P5" i="13"/>
  <c r="O5" i="13"/>
  <c r="P4" i="13"/>
  <c r="P3" i="13"/>
  <c r="O3" i="13"/>
  <c r="P2" i="13"/>
  <c r="P42" i="13"/>
  <c r="P89" i="13" s="1"/>
  <c r="P152" i="13" s="1"/>
  <c r="F62" i="13"/>
  <c r="F142" i="12"/>
  <c r="E142" i="12"/>
  <c r="N141" i="12" s="1"/>
  <c r="D142" i="12"/>
  <c r="C142" i="12"/>
  <c r="L141" i="12" s="1"/>
  <c r="F141" i="12"/>
  <c r="E141" i="12"/>
  <c r="N140" i="12" s="1"/>
  <c r="D141" i="12"/>
  <c r="M140" i="12" s="1"/>
  <c r="C141" i="12"/>
  <c r="L140" i="12" s="1"/>
  <c r="F140" i="12"/>
  <c r="E140" i="12"/>
  <c r="N139" i="12" s="1"/>
  <c r="D140" i="12"/>
  <c r="M139" i="12" s="1"/>
  <c r="C140" i="12"/>
  <c r="L139" i="12" s="1"/>
  <c r="F139" i="12"/>
  <c r="E139" i="12"/>
  <c r="D139" i="12"/>
  <c r="C139" i="12"/>
  <c r="F138" i="12"/>
  <c r="E138" i="12"/>
  <c r="D138" i="12"/>
  <c r="C138" i="12"/>
  <c r="F135" i="12"/>
  <c r="E135" i="12"/>
  <c r="D135" i="12"/>
  <c r="C135" i="12"/>
  <c r="F134" i="12"/>
  <c r="E134" i="12"/>
  <c r="D134" i="12"/>
  <c r="C134" i="12"/>
  <c r="F133" i="12"/>
  <c r="E133" i="12"/>
  <c r="D133" i="12"/>
  <c r="C133" i="12"/>
  <c r="F132" i="12"/>
  <c r="E132" i="12"/>
  <c r="D132" i="12"/>
  <c r="C132" i="12"/>
  <c r="F130" i="12"/>
  <c r="E130" i="12"/>
  <c r="D130" i="12"/>
  <c r="C130" i="12"/>
  <c r="F126" i="12"/>
  <c r="E126" i="12"/>
  <c r="D126" i="12"/>
  <c r="C126" i="12"/>
  <c r="M41" i="12"/>
  <c r="L41" i="12"/>
  <c r="K41" i="12"/>
  <c r="J41" i="12"/>
  <c r="I41" i="12"/>
  <c r="H41" i="12"/>
  <c r="G41" i="12"/>
  <c r="F41" i="12"/>
  <c r="E41" i="12"/>
  <c r="D41" i="12"/>
  <c r="M40" i="12"/>
  <c r="J40" i="12"/>
  <c r="F40" i="12"/>
  <c r="J39" i="12"/>
  <c r="H39" i="12"/>
  <c r="G39" i="12"/>
  <c r="E39" i="12"/>
  <c r="M38" i="12"/>
  <c r="L38" i="12"/>
  <c r="K38" i="12"/>
  <c r="J38" i="12"/>
  <c r="I38" i="12"/>
  <c r="H38" i="12"/>
  <c r="G38" i="12"/>
  <c r="F38" i="12"/>
  <c r="E38" i="12"/>
  <c r="D38" i="12"/>
  <c r="M37" i="12"/>
  <c r="L37" i="12"/>
  <c r="K37" i="12"/>
  <c r="J37" i="12"/>
  <c r="P37" i="12" s="1"/>
  <c r="I37" i="12"/>
  <c r="H37" i="12"/>
  <c r="G37" i="12"/>
  <c r="F37" i="12"/>
  <c r="E37" i="12"/>
  <c r="D37" i="12"/>
  <c r="M36" i="12"/>
  <c r="L36" i="12"/>
  <c r="K36" i="12"/>
  <c r="J36" i="12"/>
  <c r="I36" i="12"/>
  <c r="H36" i="12"/>
  <c r="G36" i="12"/>
  <c r="E36" i="12"/>
  <c r="D36" i="12"/>
  <c r="M35" i="12"/>
  <c r="L35" i="12"/>
  <c r="K35" i="12"/>
  <c r="J35" i="12"/>
  <c r="P35" i="12" s="1"/>
  <c r="I35" i="12"/>
  <c r="H35" i="12"/>
  <c r="G35" i="12"/>
  <c r="F35" i="12"/>
  <c r="E35" i="12"/>
  <c r="D35" i="12"/>
  <c r="M34" i="12"/>
  <c r="L34" i="12"/>
  <c r="K34" i="12"/>
  <c r="J34" i="12"/>
  <c r="P34" i="12" s="1"/>
  <c r="I34" i="12"/>
  <c r="H34" i="12"/>
  <c r="G34" i="12"/>
  <c r="F34" i="12"/>
  <c r="E34" i="12"/>
  <c r="D34" i="12"/>
  <c r="O34" i="12" s="1"/>
  <c r="M33" i="12"/>
  <c r="L33" i="12"/>
  <c r="K33" i="12"/>
  <c r="J33" i="12"/>
  <c r="P33" i="12" s="1"/>
  <c r="I33" i="12"/>
  <c r="H33" i="12"/>
  <c r="G33" i="12"/>
  <c r="F33" i="12"/>
  <c r="E33" i="12"/>
  <c r="D33" i="12"/>
  <c r="M32" i="12"/>
  <c r="L32" i="12"/>
  <c r="K32" i="12"/>
  <c r="J32" i="12"/>
  <c r="P32" i="12" s="1"/>
  <c r="I32" i="12"/>
  <c r="H32" i="12"/>
  <c r="G32" i="12"/>
  <c r="F32" i="12"/>
  <c r="E32" i="12"/>
  <c r="D32" i="12"/>
  <c r="O32" i="12" s="1"/>
  <c r="M31" i="12"/>
  <c r="L31" i="12"/>
  <c r="K31" i="12"/>
  <c r="J31" i="12"/>
  <c r="I31" i="12"/>
  <c r="H31" i="12"/>
  <c r="G31" i="12"/>
  <c r="F31" i="12"/>
  <c r="E31" i="12"/>
  <c r="D31" i="12"/>
  <c r="M30" i="12"/>
  <c r="L30" i="12"/>
  <c r="K30" i="12"/>
  <c r="J30" i="12"/>
  <c r="P30" i="12" s="1"/>
  <c r="I30" i="12"/>
  <c r="H30" i="12"/>
  <c r="G30" i="12"/>
  <c r="F30" i="12"/>
  <c r="E30" i="12"/>
  <c r="D30" i="12"/>
  <c r="O30" i="12" s="1"/>
  <c r="M29" i="12"/>
  <c r="L29" i="12"/>
  <c r="K29" i="12"/>
  <c r="J29" i="12"/>
  <c r="P29" i="12" s="1"/>
  <c r="I29" i="12"/>
  <c r="H29" i="12"/>
  <c r="G29" i="12"/>
  <c r="F29" i="12"/>
  <c r="E29" i="12"/>
  <c r="D29" i="12"/>
  <c r="M28" i="12"/>
  <c r="L28" i="12"/>
  <c r="K28" i="12"/>
  <c r="J28" i="12"/>
  <c r="P28" i="12" s="1"/>
  <c r="I28" i="12"/>
  <c r="H28" i="12"/>
  <c r="G28" i="12"/>
  <c r="F28" i="12"/>
  <c r="E28" i="12"/>
  <c r="D28" i="12"/>
  <c r="O28" i="12" s="1"/>
  <c r="M27" i="12"/>
  <c r="L27" i="12"/>
  <c r="K27" i="12"/>
  <c r="J27" i="12"/>
  <c r="P27" i="12" s="1"/>
  <c r="I27" i="12"/>
  <c r="H27" i="12"/>
  <c r="G27" i="12"/>
  <c r="F27" i="12"/>
  <c r="E27" i="12"/>
  <c r="D27" i="12"/>
  <c r="M26" i="12"/>
  <c r="L26" i="12"/>
  <c r="K26" i="12"/>
  <c r="J26" i="12"/>
  <c r="I26" i="12"/>
  <c r="H26" i="12"/>
  <c r="G26" i="12"/>
  <c r="F26" i="12"/>
  <c r="E26" i="12"/>
  <c r="M25" i="12"/>
  <c r="L25" i="12"/>
  <c r="K25" i="12"/>
  <c r="J25" i="12"/>
  <c r="P25" i="12" s="1"/>
  <c r="I25" i="12"/>
  <c r="H25" i="12"/>
  <c r="G25" i="12"/>
  <c r="F25" i="12"/>
  <c r="E25" i="12"/>
  <c r="M24" i="12"/>
  <c r="L24" i="12"/>
  <c r="K24" i="12"/>
  <c r="J24" i="12"/>
  <c r="P24" i="12" s="1"/>
  <c r="I24" i="12"/>
  <c r="H24" i="12"/>
  <c r="G24" i="12"/>
  <c r="F24" i="12"/>
  <c r="E24" i="12"/>
  <c r="D24" i="12"/>
  <c r="O24" i="12" s="1"/>
  <c r="M23" i="12"/>
  <c r="L23" i="12"/>
  <c r="K23" i="12"/>
  <c r="J23" i="12"/>
  <c r="P23" i="12" s="1"/>
  <c r="I23" i="12"/>
  <c r="H23" i="12"/>
  <c r="G23" i="12"/>
  <c r="F23" i="12"/>
  <c r="E23" i="12"/>
  <c r="D23" i="12"/>
  <c r="M22" i="12"/>
  <c r="L22" i="12"/>
  <c r="K22" i="12"/>
  <c r="J22" i="12"/>
  <c r="P22" i="12" s="1"/>
  <c r="I22" i="12"/>
  <c r="H22" i="12"/>
  <c r="G22" i="12"/>
  <c r="F22" i="12"/>
  <c r="E22" i="12"/>
  <c r="D22" i="12"/>
  <c r="O22" i="12" s="1"/>
  <c r="M20" i="12"/>
  <c r="L20" i="12"/>
  <c r="K20" i="12"/>
  <c r="J20" i="12"/>
  <c r="P20" i="12" s="1"/>
  <c r="I20" i="12"/>
  <c r="H20" i="12"/>
  <c r="G20" i="12"/>
  <c r="F20" i="12"/>
  <c r="E20" i="12"/>
  <c r="D20" i="12"/>
  <c r="O20" i="12" s="1"/>
  <c r="M16" i="12"/>
  <c r="L16" i="12"/>
  <c r="K16" i="12"/>
  <c r="J16" i="12"/>
  <c r="P16" i="12" s="1"/>
  <c r="I16" i="12"/>
  <c r="H16" i="12"/>
  <c r="G16" i="12"/>
  <c r="F16" i="12"/>
  <c r="E16" i="12"/>
  <c r="D16" i="12"/>
  <c r="O16" i="12" s="1"/>
  <c r="M8" i="12"/>
  <c r="L8" i="12"/>
  <c r="K8" i="12"/>
  <c r="J8" i="12"/>
  <c r="P8" i="12" s="1"/>
  <c r="I8" i="12"/>
  <c r="H8" i="12"/>
  <c r="G8" i="12"/>
  <c r="F8" i="12"/>
  <c r="E8" i="12"/>
  <c r="D8" i="12"/>
  <c r="M141" i="12"/>
  <c r="N138" i="12"/>
  <c r="M138" i="12"/>
  <c r="L138" i="12"/>
  <c r="B114" i="12"/>
  <c r="R89" i="12" s="1"/>
  <c r="F114" i="12" s="1"/>
  <c r="B152" i="12" s="1"/>
  <c r="A76" i="12"/>
  <c r="K62" i="12"/>
  <c r="A49" i="12"/>
  <c r="P41" i="12"/>
  <c r="O41" i="12"/>
  <c r="P40" i="12"/>
  <c r="O40" i="12"/>
  <c r="P39" i="12"/>
  <c r="O39" i="12"/>
  <c r="P38" i="12"/>
  <c r="O38" i="12"/>
  <c r="K48" i="12"/>
  <c r="B62" i="12"/>
  <c r="P21" i="12"/>
  <c r="A48" i="12"/>
  <c r="O19" i="12"/>
  <c r="P19" i="12"/>
  <c r="O18" i="12"/>
  <c r="P18" i="12"/>
  <c r="O17" i="12"/>
  <c r="P17" i="12"/>
  <c r="O15" i="12"/>
  <c r="P15" i="12"/>
  <c r="O14" i="12"/>
  <c r="P14" i="12"/>
  <c r="O13" i="12"/>
  <c r="P13" i="12"/>
  <c r="O12" i="12"/>
  <c r="P12" i="12"/>
  <c r="O11" i="12"/>
  <c r="P11" i="12"/>
  <c r="O10" i="12"/>
  <c r="P10" i="12"/>
  <c r="P9" i="12"/>
  <c r="O9" i="12"/>
  <c r="P7" i="12"/>
  <c r="O7" i="12"/>
  <c r="P6" i="12"/>
  <c r="P5" i="12"/>
  <c r="O5" i="12"/>
  <c r="P4" i="12"/>
  <c r="P3" i="12"/>
  <c r="O3" i="12"/>
  <c r="P2" i="12"/>
  <c r="O2" i="12"/>
  <c r="P42" i="12"/>
  <c r="P89" i="12" s="1"/>
  <c r="P152" i="12" s="1"/>
  <c r="F62" i="12"/>
  <c r="F142" i="11"/>
  <c r="E142" i="11"/>
  <c r="N141" i="11" s="1"/>
  <c r="D142" i="11"/>
  <c r="M141" i="11" s="1"/>
  <c r="C142" i="11"/>
  <c r="L141" i="11" s="1"/>
  <c r="F141" i="11"/>
  <c r="E141" i="11"/>
  <c r="N140" i="11" s="1"/>
  <c r="D141" i="11"/>
  <c r="M140" i="11" s="1"/>
  <c r="C141" i="11"/>
  <c r="L140" i="11" s="1"/>
  <c r="F140" i="11"/>
  <c r="E140" i="11"/>
  <c r="N139" i="11" s="1"/>
  <c r="D140" i="11"/>
  <c r="M139" i="11" s="1"/>
  <c r="C140" i="11"/>
  <c r="L139" i="11" s="1"/>
  <c r="F139" i="11"/>
  <c r="E139" i="11"/>
  <c r="D139" i="11"/>
  <c r="C139" i="11"/>
  <c r="F138" i="11"/>
  <c r="E138" i="11"/>
  <c r="D138" i="11"/>
  <c r="C138" i="11"/>
  <c r="F135" i="11"/>
  <c r="E135" i="11"/>
  <c r="D135" i="11"/>
  <c r="C135" i="11"/>
  <c r="F134" i="11"/>
  <c r="E134" i="11"/>
  <c r="D134" i="11"/>
  <c r="C134" i="11"/>
  <c r="F133" i="11"/>
  <c r="E133" i="11"/>
  <c r="D133" i="11"/>
  <c r="C133" i="11"/>
  <c r="F132" i="11"/>
  <c r="E132" i="11"/>
  <c r="D132" i="11"/>
  <c r="C132" i="11"/>
  <c r="F130" i="11"/>
  <c r="E130" i="11"/>
  <c r="D130" i="11"/>
  <c r="C130" i="11"/>
  <c r="F126" i="11"/>
  <c r="E126" i="11"/>
  <c r="D126" i="11"/>
  <c r="C126" i="11"/>
  <c r="M41" i="11"/>
  <c r="L41" i="11"/>
  <c r="K41" i="11"/>
  <c r="J41" i="11"/>
  <c r="I41" i="11"/>
  <c r="H41" i="11"/>
  <c r="F41" i="11"/>
  <c r="E41" i="11"/>
  <c r="D41" i="11"/>
  <c r="M40" i="11"/>
  <c r="L40" i="11"/>
  <c r="K40" i="11"/>
  <c r="J40" i="11"/>
  <c r="I40" i="11"/>
  <c r="H40" i="11"/>
  <c r="F40" i="11"/>
  <c r="M39" i="11"/>
  <c r="L39" i="11"/>
  <c r="K39" i="11"/>
  <c r="J39" i="11"/>
  <c r="I39" i="11"/>
  <c r="F39" i="11"/>
  <c r="M38" i="11"/>
  <c r="L38" i="11"/>
  <c r="K38" i="11"/>
  <c r="J38" i="11"/>
  <c r="I38" i="11"/>
  <c r="H38" i="11"/>
  <c r="F38" i="11"/>
  <c r="E38" i="11"/>
  <c r="D38" i="11"/>
  <c r="M37" i="11"/>
  <c r="L37" i="11"/>
  <c r="K37" i="11"/>
  <c r="J37" i="11"/>
  <c r="P37" i="11" s="1"/>
  <c r="I37" i="11"/>
  <c r="H37" i="11"/>
  <c r="G37" i="11"/>
  <c r="F37" i="11"/>
  <c r="E37" i="11"/>
  <c r="D37" i="11"/>
  <c r="O37" i="11" s="1"/>
  <c r="M36" i="11"/>
  <c r="L36" i="11"/>
  <c r="K36" i="11"/>
  <c r="J36" i="11"/>
  <c r="I36" i="11"/>
  <c r="H36" i="11"/>
  <c r="G36" i="11"/>
  <c r="F36" i="11"/>
  <c r="E36" i="11"/>
  <c r="D36" i="11"/>
  <c r="M35" i="11"/>
  <c r="L35" i="11"/>
  <c r="K35" i="11"/>
  <c r="J35" i="11"/>
  <c r="P35" i="11" s="1"/>
  <c r="I35" i="11"/>
  <c r="H35" i="11"/>
  <c r="G35" i="11"/>
  <c r="F35" i="11"/>
  <c r="E35" i="11"/>
  <c r="D35" i="11"/>
  <c r="O35" i="11" s="1"/>
  <c r="M34" i="11"/>
  <c r="L34" i="11"/>
  <c r="K34" i="11"/>
  <c r="J34" i="11"/>
  <c r="I34" i="11"/>
  <c r="H34" i="11"/>
  <c r="G34" i="11"/>
  <c r="F34" i="11"/>
  <c r="E34" i="11"/>
  <c r="D34" i="11"/>
  <c r="O34" i="11" s="1"/>
  <c r="M33" i="11"/>
  <c r="L33" i="11"/>
  <c r="K33" i="11"/>
  <c r="J33" i="11"/>
  <c r="P33" i="11" s="1"/>
  <c r="I33" i="11"/>
  <c r="H33" i="11"/>
  <c r="G33" i="11"/>
  <c r="F33" i="11"/>
  <c r="E33" i="11"/>
  <c r="D33" i="11"/>
  <c r="O33" i="11" s="1"/>
  <c r="M32" i="11"/>
  <c r="L32" i="11"/>
  <c r="K32" i="11"/>
  <c r="J32" i="11"/>
  <c r="I32" i="11"/>
  <c r="H32" i="11"/>
  <c r="G32" i="11"/>
  <c r="F32" i="11"/>
  <c r="E32" i="11"/>
  <c r="D32" i="11"/>
  <c r="O32" i="11" s="1"/>
  <c r="M31" i="11"/>
  <c r="L31" i="11"/>
  <c r="K31" i="11"/>
  <c r="J31" i="11"/>
  <c r="P31" i="11" s="1"/>
  <c r="I31" i="11"/>
  <c r="H31" i="11"/>
  <c r="G31" i="11"/>
  <c r="F31" i="11"/>
  <c r="E31" i="11"/>
  <c r="D31" i="11"/>
  <c r="O31" i="11" s="1"/>
  <c r="M30" i="11"/>
  <c r="L30" i="11"/>
  <c r="K30" i="11"/>
  <c r="J30" i="11"/>
  <c r="I30" i="11"/>
  <c r="H30" i="11"/>
  <c r="G30" i="11"/>
  <c r="F30" i="11"/>
  <c r="E30" i="11"/>
  <c r="D30" i="11"/>
  <c r="O30" i="11" s="1"/>
  <c r="M29" i="11"/>
  <c r="L29" i="11"/>
  <c r="K29" i="11"/>
  <c r="J29" i="11"/>
  <c r="P29" i="11" s="1"/>
  <c r="I29" i="11"/>
  <c r="H29" i="11"/>
  <c r="G29" i="11"/>
  <c r="F29" i="11"/>
  <c r="E29" i="11"/>
  <c r="D29" i="11"/>
  <c r="O29" i="11" s="1"/>
  <c r="M28" i="11"/>
  <c r="L28" i="11"/>
  <c r="K28" i="11"/>
  <c r="J28" i="11"/>
  <c r="I28" i="11"/>
  <c r="H28" i="11"/>
  <c r="G28" i="11"/>
  <c r="F28" i="11"/>
  <c r="E28" i="11"/>
  <c r="D28" i="11"/>
  <c r="O28" i="11" s="1"/>
  <c r="M27" i="11"/>
  <c r="L27" i="11"/>
  <c r="K27" i="11"/>
  <c r="J27" i="11"/>
  <c r="P27" i="11" s="1"/>
  <c r="I27" i="11"/>
  <c r="H27" i="11"/>
  <c r="G27" i="11"/>
  <c r="F27" i="11"/>
  <c r="E27" i="11"/>
  <c r="D27" i="11"/>
  <c r="O27" i="11" s="1"/>
  <c r="M26" i="11"/>
  <c r="L26" i="11"/>
  <c r="K26" i="11"/>
  <c r="J26" i="11"/>
  <c r="I26" i="11"/>
  <c r="H26" i="11"/>
  <c r="G26" i="11"/>
  <c r="F26" i="11"/>
  <c r="E26" i="11"/>
  <c r="M25" i="11"/>
  <c r="L25" i="11"/>
  <c r="K25" i="11"/>
  <c r="J25" i="11"/>
  <c r="I25" i="11"/>
  <c r="H25" i="11"/>
  <c r="G25" i="11"/>
  <c r="F25" i="11"/>
  <c r="E25" i="11"/>
  <c r="M24" i="11"/>
  <c r="L24" i="11"/>
  <c r="K24" i="11"/>
  <c r="J24" i="11"/>
  <c r="I24" i="11"/>
  <c r="H24" i="11"/>
  <c r="G24" i="11"/>
  <c r="F24" i="11"/>
  <c r="E24" i="11"/>
  <c r="D24" i="11"/>
  <c r="O24" i="11" s="1"/>
  <c r="M23" i="11"/>
  <c r="L23" i="11"/>
  <c r="K23" i="11"/>
  <c r="J23" i="11"/>
  <c r="P23" i="11" s="1"/>
  <c r="I23" i="11"/>
  <c r="H23" i="11"/>
  <c r="G23" i="11"/>
  <c r="F23" i="11"/>
  <c r="E23" i="11"/>
  <c r="D23" i="11"/>
  <c r="O23" i="11" s="1"/>
  <c r="M22" i="11"/>
  <c r="L22" i="11"/>
  <c r="K22" i="11"/>
  <c r="J22" i="11"/>
  <c r="I22" i="11"/>
  <c r="H22" i="11"/>
  <c r="G22" i="11"/>
  <c r="F22" i="11"/>
  <c r="E22" i="11"/>
  <c r="D22" i="11"/>
  <c r="O22" i="11" s="1"/>
  <c r="M20" i="11"/>
  <c r="L20" i="11"/>
  <c r="K20" i="11"/>
  <c r="J20" i="11"/>
  <c r="I20" i="11"/>
  <c r="H20" i="11"/>
  <c r="G20" i="11"/>
  <c r="F20" i="11"/>
  <c r="E20" i="11"/>
  <c r="D20" i="11"/>
  <c r="O20" i="11" s="1"/>
  <c r="M16" i="11"/>
  <c r="L16" i="11"/>
  <c r="K16" i="11"/>
  <c r="J16" i="11"/>
  <c r="P16" i="11" s="1"/>
  <c r="I16" i="11"/>
  <c r="H16" i="11"/>
  <c r="G16" i="11"/>
  <c r="F16" i="11"/>
  <c r="E16" i="11"/>
  <c r="D16" i="11"/>
  <c r="O16" i="11" s="1"/>
  <c r="M8" i="11"/>
  <c r="L8" i="11"/>
  <c r="K8" i="11"/>
  <c r="J8" i="11"/>
  <c r="P8" i="11" s="1"/>
  <c r="I8" i="11"/>
  <c r="H8" i="11"/>
  <c r="G8" i="11"/>
  <c r="F8" i="11"/>
  <c r="E8" i="11"/>
  <c r="D8" i="11"/>
  <c r="O8" i="11" s="1"/>
  <c r="N138" i="11"/>
  <c r="M138" i="11"/>
  <c r="L138" i="11"/>
  <c r="B114" i="11"/>
  <c r="R89" i="11" s="1"/>
  <c r="F114" i="11" s="1"/>
  <c r="B152" i="11" s="1"/>
  <c r="P41" i="11"/>
  <c r="O41" i="11"/>
  <c r="P40" i="11"/>
  <c r="O40" i="11"/>
  <c r="P39" i="11"/>
  <c r="O39" i="11"/>
  <c r="P38" i="11"/>
  <c r="O38" i="11"/>
  <c r="K48" i="11"/>
  <c r="B62" i="11"/>
  <c r="A49" i="11"/>
  <c r="P21" i="11"/>
  <c r="O21" i="11"/>
  <c r="A48" i="11"/>
  <c r="O19" i="11"/>
  <c r="P19" i="11"/>
  <c r="O18" i="11"/>
  <c r="P18" i="11"/>
  <c r="O17" i="11"/>
  <c r="P17" i="11"/>
  <c r="O15" i="11"/>
  <c r="P15" i="11"/>
  <c r="O14" i="11"/>
  <c r="P14" i="11"/>
  <c r="O13" i="11"/>
  <c r="P13" i="11"/>
  <c r="O12" i="11"/>
  <c r="P12" i="11"/>
  <c r="O11" i="11"/>
  <c r="P11" i="11"/>
  <c r="P10" i="11"/>
  <c r="O9" i="11"/>
  <c r="O7" i="11"/>
  <c r="P6" i="11"/>
  <c r="O6" i="11"/>
  <c r="O5" i="11"/>
  <c r="P4" i="11"/>
  <c r="O4" i="11"/>
  <c r="O3" i="11"/>
  <c r="P2" i="11"/>
  <c r="O2" i="11"/>
  <c r="P42" i="11"/>
  <c r="P89" i="11" s="1"/>
  <c r="P152" i="11" s="1"/>
  <c r="F62" i="11"/>
  <c r="F142" i="9"/>
  <c r="E142" i="9"/>
  <c r="N141" i="9" s="1"/>
  <c r="D142" i="9"/>
  <c r="M141" i="9" s="1"/>
  <c r="C142" i="9"/>
  <c r="L141" i="9" s="1"/>
  <c r="F141" i="9"/>
  <c r="E141" i="9"/>
  <c r="N140" i="9" s="1"/>
  <c r="D141" i="9"/>
  <c r="M140" i="9" s="1"/>
  <c r="C141" i="9"/>
  <c r="L140" i="9" s="1"/>
  <c r="F140" i="9"/>
  <c r="E140" i="9"/>
  <c r="N139" i="9" s="1"/>
  <c r="D140" i="9"/>
  <c r="M139" i="9" s="1"/>
  <c r="C140" i="9"/>
  <c r="L139" i="9" s="1"/>
  <c r="F139" i="9"/>
  <c r="E139" i="9"/>
  <c r="D139" i="9"/>
  <c r="C139" i="9"/>
  <c r="F138" i="9"/>
  <c r="E138" i="9"/>
  <c r="D138" i="9"/>
  <c r="C138" i="9"/>
  <c r="F135" i="9"/>
  <c r="E135" i="9"/>
  <c r="D135" i="9"/>
  <c r="C135" i="9"/>
  <c r="F134" i="9"/>
  <c r="E134" i="9"/>
  <c r="D134" i="9"/>
  <c r="C134" i="9"/>
  <c r="F133" i="9"/>
  <c r="E133" i="9"/>
  <c r="D133" i="9"/>
  <c r="C133" i="9"/>
  <c r="F132" i="9"/>
  <c r="E132" i="9"/>
  <c r="D132" i="9"/>
  <c r="C132" i="9"/>
  <c r="F130" i="9"/>
  <c r="E130" i="9"/>
  <c r="D130" i="9"/>
  <c r="C130" i="9"/>
  <c r="F126" i="9"/>
  <c r="E126" i="9"/>
  <c r="D126" i="9"/>
  <c r="C126" i="9"/>
  <c r="M41" i="9"/>
  <c r="L41" i="9"/>
  <c r="K41" i="9"/>
  <c r="J41" i="9"/>
  <c r="I41" i="9"/>
  <c r="H41" i="9"/>
  <c r="G41" i="9"/>
  <c r="F41" i="9"/>
  <c r="E41" i="9"/>
  <c r="D41" i="9"/>
  <c r="L40" i="9"/>
  <c r="K40" i="9"/>
  <c r="J40" i="9"/>
  <c r="E40" i="9"/>
  <c r="M39" i="9"/>
  <c r="L39" i="9"/>
  <c r="K39" i="9"/>
  <c r="J39" i="9"/>
  <c r="G39" i="9"/>
  <c r="F39" i="9"/>
  <c r="E39" i="9"/>
  <c r="D39" i="9"/>
  <c r="M38" i="9"/>
  <c r="L38" i="9"/>
  <c r="K38" i="9"/>
  <c r="J38" i="9"/>
  <c r="I38" i="9"/>
  <c r="H38" i="9"/>
  <c r="G38" i="9"/>
  <c r="F38" i="9"/>
  <c r="E38" i="9"/>
  <c r="D38" i="9"/>
  <c r="M37" i="9"/>
  <c r="L37" i="9"/>
  <c r="K37" i="9"/>
  <c r="J37" i="9"/>
  <c r="P37" i="9" s="1"/>
  <c r="I37" i="9"/>
  <c r="H37" i="9"/>
  <c r="G37" i="9"/>
  <c r="F37" i="9"/>
  <c r="E37" i="9"/>
  <c r="D37" i="9"/>
  <c r="O37" i="9" s="1"/>
  <c r="M36" i="9"/>
  <c r="L36" i="9"/>
  <c r="K36" i="9"/>
  <c r="J36" i="9"/>
  <c r="P36" i="9" s="1"/>
  <c r="I36" i="9"/>
  <c r="H36" i="9"/>
  <c r="G36" i="9"/>
  <c r="F36" i="9"/>
  <c r="E36" i="9"/>
  <c r="D36" i="9"/>
  <c r="O36" i="9" s="1"/>
  <c r="M35" i="9"/>
  <c r="L35" i="9"/>
  <c r="K35" i="9"/>
  <c r="J35" i="9"/>
  <c r="P35" i="9" s="1"/>
  <c r="I35" i="9"/>
  <c r="H35" i="9"/>
  <c r="G35" i="9"/>
  <c r="F35" i="9"/>
  <c r="E35" i="9"/>
  <c r="D35" i="9"/>
  <c r="O35" i="9" s="1"/>
  <c r="M34" i="9"/>
  <c r="L34" i="9"/>
  <c r="K34" i="9"/>
  <c r="J34" i="9"/>
  <c r="P34" i="9" s="1"/>
  <c r="I34" i="9"/>
  <c r="H34" i="9"/>
  <c r="G34" i="9"/>
  <c r="F34" i="9"/>
  <c r="E34" i="9"/>
  <c r="D34" i="9"/>
  <c r="O34" i="9" s="1"/>
  <c r="M33" i="9"/>
  <c r="L33" i="9"/>
  <c r="K33" i="9"/>
  <c r="J33" i="9"/>
  <c r="P33" i="9" s="1"/>
  <c r="I33" i="9"/>
  <c r="H33" i="9"/>
  <c r="G33" i="9"/>
  <c r="F33" i="9"/>
  <c r="E33" i="9"/>
  <c r="D33" i="9"/>
  <c r="O33" i="9" s="1"/>
  <c r="M32" i="9"/>
  <c r="L32" i="9"/>
  <c r="K32" i="9"/>
  <c r="J32" i="9"/>
  <c r="P32" i="9" s="1"/>
  <c r="I32" i="9"/>
  <c r="H32" i="9"/>
  <c r="G32" i="9"/>
  <c r="F32" i="9"/>
  <c r="E32" i="9"/>
  <c r="D32" i="9"/>
  <c r="O32" i="9" s="1"/>
  <c r="M31" i="9"/>
  <c r="L31" i="9"/>
  <c r="K31" i="9"/>
  <c r="J31" i="9"/>
  <c r="P31" i="9" s="1"/>
  <c r="I31" i="9"/>
  <c r="H31" i="9"/>
  <c r="G31" i="9"/>
  <c r="F31" i="9"/>
  <c r="E31" i="9"/>
  <c r="D31" i="9"/>
  <c r="O31" i="9" s="1"/>
  <c r="M30" i="9"/>
  <c r="L30" i="9"/>
  <c r="K30" i="9"/>
  <c r="J30" i="9"/>
  <c r="P30" i="9" s="1"/>
  <c r="I30" i="9"/>
  <c r="H30" i="9"/>
  <c r="G30" i="9"/>
  <c r="F30" i="9"/>
  <c r="E30" i="9"/>
  <c r="D30" i="9"/>
  <c r="O30" i="9" s="1"/>
  <c r="M29" i="9"/>
  <c r="L29" i="9"/>
  <c r="K29" i="9"/>
  <c r="J29" i="9"/>
  <c r="P29" i="9" s="1"/>
  <c r="I29" i="9"/>
  <c r="H29" i="9"/>
  <c r="G29" i="9"/>
  <c r="F29" i="9"/>
  <c r="E29" i="9"/>
  <c r="D29" i="9"/>
  <c r="O29" i="9" s="1"/>
  <c r="M28" i="9"/>
  <c r="K28" i="9"/>
  <c r="J28" i="9"/>
  <c r="P28" i="9" s="1"/>
  <c r="G28" i="9"/>
  <c r="D28" i="9"/>
  <c r="O28" i="9" s="1"/>
  <c r="M27" i="9"/>
  <c r="L27" i="9"/>
  <c r="K27" i="9"/>
  <c r="J27" i="9"/>
  <c r="P27" i="9" s="1"/>
  <c r="I27" i="9"/>
  <c r="H27" i="9"/>
  <c r="G27" i="9"/>
  <c r="F27" i="9"/>
  <c r="E27" i="9"/>
  <c r="D27" i="9"/>
  <c r="O27" i="9" s="1"/>
  <c r="M26" i="9"/>
  <c r="L26" i="9"/>
  <c r="K26" i="9"/>
  <c r="J26" i="9"/>
  <c r="I26" i="9"/>
  <c r="H26" i="9"/>
  <c r="G26" i="9"/>
  <c r="F26" i="9"/>
  <c r="E26" i="9"/>
  <c r="M25" i="9"/>
  <c r="L25" i="9"/>
  <c r="K25" i="9"/>
  <c r="J25" i="9"/>
  <c r="I25" i="9"/>
  <c r="H25" i="9"/>
  <c r="G25" i="9"/>
  <c r="F25" i="9"/>
  <c r="E25" i="9"/>
  <c r="M24" i="9"/>
  <c r="L24" i="9"/>
  <c r="K24" i="9"/>
  <c r="J24" i="9"/>
  <c r="P24" i="9" s="1"/>
  <c r="I24" i="9"/>
  <c r="H24" i="9"/>
  <c r="G24" i="9"/>
  <c r="F24" i="9"/>
  <c r="E24" i="9"/>
  <c r="D24" i="9"/>
  <c r="O24" i="9" s="1"/>
  <c r="M23" i="9"/>
  <c r="L23" i="9"/>
  <c r="K23" i="9"/>
  <c r="J23" i="9"/>
  <c r="P23" i="9" s="1"/>
  <c r="I23" i="9"/>
  <c r="H23" i="9"/>
  <c r="G23" i="9"/>
  <c r="F23" i="9"/>
  <c r="E23" i="9"/>
  <c r="D23" i="9"/>
  <c r="O23" i="9" s="1"/>
  <c r="M22" i="9"/>
  <c r="L22" i="9"/>
  <c r="K22" i="9"/>
  <c r="J22" i="9"/>
  <c r="P22" i="9" s="1"/>
  <c r="I22" i="9"/>
  <c r="H22" i="9"/>
  <c r="G22" i="9"/>
  <c r="F22" i="9"/>
  <c r="E22" i="9"/>
  <c r="D22" i="9"/>
  <c r="O22" i="9" s="1"/>
  <c r="M20" i="9"/>
  <c r="L20" i="9"/>
  <c r="K20" i="9"/>
  <c r="J20" i="9"/>
  <c r="P20" i="9" s="1"/>
  <c r="I20" i="9"/>
  <c r="H20" i="9"/>
  <c r="G20" i="9"/>
  <c r="F20" i="9"/>
  <c r="E20" i="9"/>
  <c r="D20" i="9"/>
  <c r="O20" i="9" s="1"/>
  <c r="M16" i="9"/>
  <c r="L16" i="9"/>
  <c r="K16" i="9"/>
  <c r="J16" i="9"/>
  <c r="P16" i="9" s="1"/>
  <c r="I16" i="9"/>
  <c r="H16" i="9"/>
  <c r="G16" i="9"/>
  <c r="F16" i="9"/>
  <c r="E16" i="9"/>
  <c r="D16" i="9"/>
  <c r="M8" i="9"/>
  <c r="L8" i="9"/>
  <c r="K8" i="9"/>
  <c r="J8" i="9"/>
  <c r="P8" i="9" s="1"/>
  <c r="I8" i="9"/>
  <c r="H8" i="9"/>
  <c r="G8" i="9"/>
  <c r="F8" i="9"/>
  <c r="E8" i="9"/>
  <c r="D8" i="9"/>
  <c r="O8" i="9" s="1"/>
  <c r="N138" i="9"/>
  <c r="M138" i="9"/>
  <c r="L138" i="9"/>
  <c r="B114" i="9"/>
  <c r="B89" i="9" s="1"/>
  <c r="B42" i="9" s="1"/>
  <c r="F76" i="9"/>
  <c r="P41" i="9"/>
  <c r="O41" i="9"/>
  <c r="P40" i="9"/>
  <c r="O40" i="9"/>
  <c r="P39" i="9"/>
  <c r="O39" i="9"/>
  <c r="P38" i="9"/>
  <c r="O38" i="9"/>
  <c r="K48" i="9"/>
  <c r="B62" i="9"/>
  <c r="A49" i="9"/>
  <c r="P21" i="9"/>
  <c r="O21" i="9"/>
  <c r="A48" i="9"/>
  <c r="P19" i="9"/>
  <c r="O19" i="9"/>
  <c r="P18" i="9"/>
  <c r="P17" i="9"/>
  <c r="O17" i="9"/>
  <c r="P15" i="9"/>
  <c r="O15" i="9"/>
  <c r="P14" i="9"/>
  <c r="P13" i="9"/>
  <c r="O13" i="9"/>
  <c r="P12" i="9"/>
  <c r="P11" i="9"/>
  <c r="O11" i="9"/>
  <c r="P10" i="9"/>
  <c r="O9" i="9"/>
  <c r="P9" i="9"/>
  <c r="O7" i="9"/>
  <c r="P7" i="9"/>
  <c r="P6" i="9"/>
  <c r="O6" i="9"/>
  <c r="O5" i="9"/>
  <c r="P5" i="9"/>
  <c r="P4" i="9"/>
  <c r="O4" i="9"/>
  <c r="O3" i="9"/>
  <c r="P2" i="9"/>
  <c r="O2" i="9"/>
  <c r="P42" i="9"/>
  <c r="P89" i="9" s="1"/>
  <c r="P152" i="9" s="1"/>
  <c r="F62" i="9"/>
  <c r="F142" i="8"/>
  <c r="E142" i="8"/>
  <c r="N141" i="8" s="1"/>
  <c r="D142" i="8"/>
  <c r="M141" i="8" s="1"/>
  <c r="C142" i="8"/>
  <c r="L141" i="8" s="1"/>
  <c r="F141" i="8"/>
  <c r="E141" i="8"/>
  <c r="N140" i="8" s="1"/>
  <c r="D141" i="8"/>
  <c r="M140" i="8" s="1"/>
  <c r="C141" i="8"/>
  <c r="L140" i="8" s="1"/>
  <c r="F140" i="8"/>
  <c r="E140" i="8"/>
  <c r="N139" i="8" s="1"/>
  <c r="D140" i="8"/>
  <c r="M139" i="8" s="1"/>
  <c r="C140" i="8"/>
  <c r="L139" i="8" s="1"/>
  <c r="F139" i="8"/>
  <c r="E139" i="8"/>
  <c r="D139" i="8"/>
  <c r="C139" i="8"/>
  <c r="F138" i="8"/>
  <c r="E138" i="8"/>
  <c r="D138" i="8"/>
  <c r="C138" i="8"/>
  <c r="F135" i="8"/>
  <c r="E135" i="8"/>
  <c r="D135" i="8"/>
  <c r="C135" i="8"/>
  <c r="F134" i="8"/>
  <c r="E134" i="8"/>
  <c r="D134" i="8"/>
  <c r="C134" i="8"/>
  <c r="F133" i="8"/>
  <c r="E133" i="8"/>
  <c r="D133" i="8"/>
  <c r="C133" i="8"/>
  <c r="F132" i="8"/>
  <c r="E132" i="8"/>
  <c r="D132" i="8"/>
  <c r="C132" i="8"/>
  <c r="F130" i="8"/>
  <c r="E130" i="8"/>
  <c r="D130" i="8"/>
  <c r="C130" i="8"/>
  <c r="F126" i="8"/>
  <c r="E126" i="8"/>
  <c r="D126" i="8"/>
  <c r="C126" i="8"/>
  <c r="M41" i="8"/>
  <c r="L41" i="8"/>
  <c r="K41" i="8"/>
  <c r="J41" i="8"/>
  <c r="I41" i="8"/>
  <c r="H41" i="8"/>
  <c r="G41" i="8"/>
  <c r="F41" i="8"/>
  <c r="E41" i="8"/>
  <c r="D41" i="8"/>
  <c r="M40" i="8"/>
  <c r="L40" i="8"/>
  <c r="K40" i="8"/>
  <c r="J40" i="8"/>
  <c r="I40" i="8"/>
  <c r="H40" i="8"/>
  <c r="G40" i="8"/>
  <c r="F40" i="8"/>
  <c r="E40" i="8"/>
  <c r="M39" i="8"/>
  <c r="L39" i="8"/>
  <c r="K39" i="8"/>
  <c r="J39" i="8"/>
  <c r="I39" i="8"/>
  <c r="H39" i="8"/>
  <c r="G39" i="8"/>
  <c r="F39" i="8"/>
  <c r="E39" i="8"/>
  <c r="D39" i="8"/>
  <c r="M38" i="8"/>
  <c r="L38" i="8"/>
  <c r="K38" i="8"/>
  <c r="J38" i="8"/>
  <c r="I38" i="8"/>
  <c r="H38" i="8"/>
  <c r="G38" i="8"/>
  <c r="F38" i="8"/>
  <c r="E38" i="8"/>
  <c r="D38" i="8"/>
  <c r="M37" i="8"/>
  <c r="L37" i="8"/>
  <c r="K37" i="8"/>
  <c r="J37" i="8"/>
  <c r="P37" i="8" s="1"/>
  <c r="I37" i="8"/>
  <c r="H37" i="8"/>
  <c r="G37" i="8"/>
  <c r="F37" i="8"/>
  <c r="E37" i="8"/>
  <c r="D37" i="8"/>
  <c r="O37" i="8" s="1"/>
  <c r="M36" i="8"/>
  <c r="L36" i="8"/>
  <c r="K36" i="8"/>
  <c r="J36" i="8"/>
  <c r="P36" i="8" s="1"/>
  <c r="I36" i="8"/>
  <c r="H36" i="8"/>
  <c r="G36" i="8"/>
  <c r="F36" i="8"/>
  <c r="E36" i="8"/>
  <c r="D36" i="8"/>
  <c r="O36" i="8" s="1"/>
  <c r="M35" i="8"/>
  <c r="L35" i="8"/>
  <c r="K35" i="8"/>
  <c r="J35" i="8"/>
  <c r="P35" i="8" s="1"/>
  <c r="I35" i="8"/>
  <c r="H35" i="8"/>
  <c r="G35" i="8"/>
  <c r="F35" i="8"/>
  <c r="E35" i="8"/>
  <c r="D35" i="8"/>
  <c r="O35" i="8" s="1"/>
  <c r="M34" i="8"/>
  <c r="L34" i="8"/>
  <c r="K34" i="8"/>
  <c r="J34" i="8"/>
  <c r="P34" i="8" s="1"/>
  <c r="I34" i="8"/>
  <c r="H34" i="8"/>
  <c r="G34" i="8"/>
  <c r="F34" i="8"/>
  <c r="E34" i="8"/>
  <c r="D34" i="8"/>
  <c r="O34" i="8" s="1"/>
  <c r="M33" i="8"/>
  <c r="L33" i="8"/>
  <c r="K33" i="8"/>
  <c r="J33" i="8"/>
  <c r="P33" i="8" s="1"/>
  <c r="I33" i="8"/>
  <c r="H33" i="8"/>
  <c r="G33" i="8"/>
  <c r="F33" i="8"/>
  <c r="E33" i="8"/>
  <c r="D33" i="8"/>
  <c r="O33" i="8" s="1"/>
  <c r="M32" i="8"/>
  <c r="L32" i="8"/>
  <c r="K32" i="8"/>
  <c r="J32" i="8"/>
  <c r="P32" i="8" s="1"/>
  <c r="I32" i="8"/>
  <c r="H32" i="8"/>
  <c r="G32" i="8"/>
  <c r="F32" i="8"/>
  <c r="E32" i="8"/>
  <c r="D32" i="8"/>
  <c r="O32" i="8" s="1"/>
  <c r="M31" i="8"/>
  <c r="L31" i="8"/>
  <c r="K31" i="8"/>
  <c r="J31" i="8"/>
  <c r="P31" i="8" s="1"/>
  <c r="I31" i="8"/>
  <c r="H31" i="8"/>
  <c r="G31" i="8"/>
  <c r="F31" i="8"/>
  <c r="E31" i="8"/>
  <c r="D31" i="8"/>
  <c r="O31" i="8" s="1"/>
  <c r="M30" i="8"/>
  <c r="L30" i="8"/>
  <c r="K30" i="8"/>
  <c r="J30" i="8"/>
  <c r="P30" i="8" s="1"/>
  <c r="I30" i="8"/>
  <c r="H30" i="8"/>
  <c r="G30" i="8"/>
  <c r="F30" i="8"/>
  <c r="E30" i="8"/>
  <c r="D30" i="8"/>
  <c r="O30" i="8" s="1"/>
  <c r="M29" i="8"/>
  <c r="L29" i="8"/>
  <c r="K29" i="8"/>
  <c r="J29" i="8"/>
  <c r="P29" i="8" s="1"/>
  <c r="I29" i="8"/>
  <c r="H29" i="8"/>
  <c r="G29" i="8"/>
  <c r="F29" i="8"/>
  <c r="E29" i="8"/>
  <c r="D29" i="8"/>
  <c r="O29" i="8" s="1"/>
  <c r="M28" i="8"/>
  <c r="L28" i="8"/>
  <c r="K28" i="8"/>
  <c r="J28" i="8"/>
  <c r="P28" i="8" s="1"/>
  <c r="I28" i="8"/>
  <c r="H28" i="8"/>
  <c r="F28" i="8"/>
  <c r="E28" i="8"/>
  <c r="D28" i="8"/>
  <c r="O28" i="8" s="1"/>
  <c r="M27" i="8"/>
  <c r="L27" i="8"/>
  <c r="K27" i="8"/>
  <c r="J27" i="8"/>
  <c r="P27" i="8" s="1"/>
  <c r="I27" i="8"/>
  <c r="H27" i="8"/>
  <c r="G27" i="8"/>
  <c r="F27" i="8"/>
  <c r="E27" i="8"/>
  <c r="D27" i="8"/>
  <c r="O27" i="8" s="1"/>
  <c r="M26" i="8"/>
  <c r="L26" i="8"/>
  <c r="K26" i="8"/>
  <c r="J26" i="8"/>
  <c r="I26" i="8"/>
  <c r="H26" i="8"/>
  <c r="G26" i="8"/>
  <c r="F26" i="8"/>
  <c r="E26" i="8"/>
  <c r="M25" i="8"/>
  <c r="L25" i="8"/>
  <c r="K25" i="8"/>
  <c r="J25" i="8"/>
  <c r="I25" i="8"/>
  <c r="H25" i="8"/>
  <c r="G25" i="8"/>
  <c r="F25" i="8"/>
  <c r="E25" i="8"/>
  <c r="M24" i="8"/>
  <c r="L24" i="8"/>
  <c r="K24" i="8"/>
  <c r="J24" i="8"/>
  <c r="P24" i="8" s="1"/>
  <c r="I24" i="8"/>
  <c r="H24" i="8"/>
  <c r="G24" i="8"/>
  <c r="F24" i="8"/>
  <c r="E24" i="8"/>
  <c r="D24" i="8"/>
  <c r="O24" i="8" s="1"/>
  <c r="M23" i="8"/>
  <c r="L23" i="8"/>
  <c r="K23" i="8"/>
  <c r="J23" i="8"/>
  <c r="P23" i="8" s="1"/>
  <c r="I23" i="8"/>
  <c r="H23" i="8"/>
  <c r="G23" i="8"/>
  <c r="F23" i="8"/>
  <c r="E23" i="8"/>
  <c r="D23" i="8"/>
  <c r="O23" i="8" s="1"/>
  <c r="M22" i="8"/>
  <c r="L22" i="8"/>
  <c r="K22" i="8"/>
  <c r="J22" i="8"/>
  <c r="P22" i="8" s="1"/>
  <c r="I22" i="8"/>
  <c r="H22" i="8"/>
  <c r="G22" i="8"/>
  <c r="F22" i="8"/>
  <c r="E22" i="8"/>
  <c r="D22" i="8"/>
  <c r="O22" i="8" s="1"/>
  <c r="M20" i="8"/>
  <c r="L20" i="8"/>
  <c r="K20" i="8"/>
  <c r="J20" i="8"/>
  <c r="P20" i="8" s="1"/>
  <c r="I20" i="8"/>
  <c r="H20" i="8"/>
  <c r="G20" i="8"/>
  <c r="F20" i="8"/>
  <c r="E20" i="8"/>
  <c r="D20" i="8"/>
  <c r="O20" i="8" s="1"/>
  <c r="M16" i="8"/>
  <c r="L16" i="8"/>
  <c r="K16" i="8"/>
  <c r="J16" i="8"/>
  <c r="P16" i="8" s="1"/>
  <c r="I16" i="8"/>
  <c r="H16" i="8"/>
  <c r="G16" i="8"/>
  <c r="F16" i="8"/>
  <c r="E16" i="8"/>
  <c r="D16" i="8"/>
  <c r="M8" i="8"/>
  <c r="L8" i="8"/>
  <c r="K8" i="8"/>
  <c r="J8" i="8"/>
  <c r="P8" i="8" s="1"/>
  <c r="I8" i="8"/>
  <c r="H8" i="8"/>
  <c r="G8" i="8"/>
  <c r="F8" i="8"/>
  <c r="E8" i="8"/>
  <c r="D8" i="8"/>
  <c r="O8" i="8" s="1"/>
  <c r="N138" i="8"/>
  <c r="M138" i="8"/>
  <c r="L138" i="8"/>
  <c r="B114" i="8"/>
  <c r="B89" i="8" s="1"/>
  <c r="B42" i="8" s="1"/>
  <c r="F76" i="8"/>
  <c r="P41" i="8"/>
  <c r="O41" i="8"/>
  <c r="P40" i="8"/>
  <c r="O40" i="8"/>
  <c r="P39" i="8"/>
  <c r="O39" i="8"/>
  <c r="P38" i="8"/>
  <c r="O38" i="8"/>
  <c r="K48" i="8"/>
  <c r="B62" i="8"/>
  <c r="A49" i="8"/>
  <c r="P21" i="8"/>
  <c r="O21" i="8"/>
  <c r="A48" i="8"/>
  <c r="P19" i="8"/>
  <c r="O19" i="8"/>
  <c r="P18" i="8"/>
  <c r="P17" i="8"/>
  <c r="O17" i="8"/>
  <c r="P15" i="8"/>
  <c r="O15" i="8"/>
  <c r="P14" i="8"/>
  <c r="P13" i="8"/>
  <c r="O13" i="8"/>
  <c r="P12" i="8"/>
  <c r="P11" i="8"/>
  <c r="O11" i="8"/>
  <c r="P10" i="8"/>
  <c r="O9" i="8"/>
  <c r="P9" i="8"/>
  <c r="O7" i="8"/>
  <c r="P7" i="8"/>
  <c r="P6" i="8"/>
  <c r="O6" i="8"/>
  <c r="O5" i="8"/>
  <c r="P5" i="8"/>
  <c r="P4" i="8"/>
  <c r="O4" i="8"/>
  <c r="O3" i="8"/>
  <c r="P2" i="8"/>
  <c r="O2" i="8"/>
  <c r="P42" i="8"/>
  <c r="P89" i="8" s="1"/>
  <c r="P152" i="8" s="1"/>
  <c r="F62" i="8"/>
  <c r="M41" i="7"/>
  <c r="L41" i="7"/>
  <c r="G41" i="7"/>
  <c r="F41" i="7"/>
  <c r="E41" i="7"/>
  <c r="M39" i="7"/>
  <c r="G39" i="7"/>
  <c r="F39" i="7"/>
  <c r="E39" i="7"/>
  <c r="L38" i="7"/>
  <c r="G38" i="7"/>
  <c r="F38" i="7"/>
  <c r="E38" i="7"/>
  <c r="M37" i="7"/>
  <c r="L37" i="7"/>
  <c r="K37" i="7"/>
  <c r="J37" i="7"/>
  <c r="P37" i="7" s="1"/>
  <c r="I37" i="7"/>
  <c r="H37" i="7"/>
  <c r="G37" i="7"/>
  <c r="F37" i="7"/>
  <c r="E37" i="7"/>
  <c r="D37" i="7"/>
  <c r="M36" i="7"/>
  <c r="L36" i="7"/>
  <c r="K36" i="7"/>
  <c r="J36" i="7"/>
  <c r="I36" i="7"/>
  <c r="H36" i="7"/>
  <c r="G36" i="7"/>
  <c r="F36" i="7"/>
  <c r="E36" i="7"/>
  <c r="D36" i="7"/>
  <c r="M35" i="7"/>
  <c r="L35" i="7"/>
  <c r="K35" i="7"/>
  <c r="J35" i="7"/>
  <c r="P35" i="7" s="1"/>
  <c r="I35" i="7"/>
  <c r="H35" i="7"/>
  <c r="G35" i="7"/>
  <c r="F35" i="7"/>
  <c r="E35" i="7"/>
  <c r="D35" i="7"/>
  <c r="M34" i="7"/>
  <c r="L34" i="7"/>
  <c r="K34" i="7"/>
  <c r="J34" i="7"/>
  <c r="P34" i="7" s="1"/>
  <c r="I34" i="7"/>
  <c r="H34" i="7"/>
  <c r="G34" i="7"/>
  <c r="F34" i="7"/>
  <c r="E34" i="7"/>
  <c r="D34" i="7"/>
  <c r="O34" i="7" s="1"/>
  <c r="M33" i="7"/>
  <c r="L33" i="7"/>
  <c r="K33" i="7"/>
  <c r="J33" i="7"/>
  <c r="P33" i="7" s="1"/>
  <c r="I33" i="7"/>
  <c r="H33" i="7"/>
  <c r="G33" i="7"/>
  <c r="F33" i="7"/>
  <c r="E33" i="7"/>
  <c r="D33" i="7"/>
  <c r="M32" i="7"/>
  <c r="L32" i="7"/>
  <c r="K32" i="7"/>
  <c r="J32" i="7"/>
  <c r="P32" i="7" s="1"/>
  <c r="I32" i="7"/>
  <c r="H32" i="7"/>
  <c r="G32" i="7"/>
  <c r="F32" i="7"/>
  <c r="E32" i="7"/>
  <c r="D32" i="7"/>
  <c r="O32" i="7" s="1"/>
  <c r="M31" i="7"/>
  <c r="L31" i="7"/>
  <c r="K31" i="7"/>
  <c r="J31" i="7"/>
  <c r="I31" i="7"/>
  <c r="H31" i="7"/>
  <c r="G31" i="7"/>
  <c r="F31" i="7"/>
  <c r="E31" i="7"/>
  <c r="D31" i="7"/>
  <c r="M30" i="7"/>
  <c r="L30" i="7"/>
  <c r="K30" i="7"/>
  <c r="J30" i="7"/>
  <c r="P30" i="7" s="1"/>
  <c r="I30" i="7"/>
  <c r="H30" i="7"/>
  <c r="G30" i="7"/>
  <c r="F30" i="7"/>
  <c r="E30" i="7"/>
  <c r="D30" i="7"/>
  <c r="O30" i="7" s="1"/>
  <c r="M29" i="7"/>
  <c r="L29" i="7"/>
  <c r="K29" i="7"/>
  <c r="J29" i="7"/>
  <c r="P29" i="7" s="1"/>
  <c r="I29" i="7"/>
  <c r="H29" i="7"/>
  <c r="G29" i="7"/>
  <c r="F29" i="7"/>
  <c r="E29" i="7"/>
  <c r="D29" i="7"/>
  <c r="M28" i="7"/>
  <c r="L28" i="7"/>
  <c r="K28" i="7"/>
  <c r="J28" i="7"/>
  <c r="P28" i="7" s="1"/>
  <c r="I28" i="7"/>
  <c r="H28" i="7"/>
  <c r="G28" i="7"/>
  <c r="F28" i="7"/>
  <c r="E28" i="7"/>
  <c r="D28" i="7"/>
  <c r="O28" i="7" s="1"/>
  <c r="M27" i="7"/>
  <c r="L27" i="7"/>
  <c r="K27" i="7"/>
  <c r="J27" i="7"/>
  <c r="P27" i="7" s="1"/>
  <c r="I27" i="7"/>
  <c r="H27" i="7"/>
  <c r="G27" i="7"/>
  <c r="F27" i="7"/>
  <c r="E27" i="7"/>
  <c r="D27" i="7"/>
  <c r="M26" i="7"/>
  <c r="L26" i="7"/>
  <c r="K26" i="7"/>
  <c r="J26" i="7"/>
  <c r="I26" i="7"/>
  <c r="H26" i="7"/>
  <c r="G26" i="7"/>
  <c r="F26" i="7"/>
  <c r="E26" i="7"/>
  <c r="M25" i="7"/>
  <c r="L25" i="7"/>
  <c r="K25" i="7"/>
  <c r="J25" i="7"/>
  <c r="P25" i="7" s="1"/>
  <c r="I25" i="7"/>
  <c r="H25" i="7"/>
  <c r="G25" i="7"/>
  <c r="F25" i="7"/>
  <c r="E25" i="7"/>
  <c r="M24" i="7"/>
  <c r="L24" i="7"/>
  <c r="K24" i="7"/>
  <c r="J24" i="7"/>
  <c r="P24" i="7" s="1"/>
  <c r="I24" i="7"/>
  <c r="H24" i="7"/>
  <c r="G24" i="7"/>
  <c r="F24" i="7"/>
  <c r="E24" i="7"/>
  <c r="D24" i="7"/>
  <c r="O24" i="7" s="1"/>
  <c r="M23" i="7"/>
  <c r="L23" i="7"/>
  <c r="K23" i="7"/>
  <c r="J23" i="7"/>
  <c r="P23" i="7" s="1"/>
  <c r="I23" i="7"/>
  <c r="H23" i="7"/>
  <c r="G23" i="7"/>
  <c r="F23" i="7"/>
  <c r="E23" i="7"/>
  <c r="D23" i="7"/>
  <c r="M22" i="7"/>
  <c r="L22" i="7"/>
  <c r="K22" i="7"/>
  <c r="J22" i="7"/>
  <c r="P22" i="7" s="1"/>
  <c r="I22" i="7"/>
  <c r="H22" i="7"/>
  <c r="G22" i="7"/>
  <c r="F22" i="7"/>
  <c r="E22" i="7"/>
  <c r="D22" i="7"/>
  <c r="O22" i="7" s="1"/>
  <c r="M20" i="7"/>
  <c r="L20" i="7"/>
  <c r="K20" i="7"/>
  <c r="J20" i="7"/>
  <c r="P20" i="7" s="1"/>
  <c r="I20" i="7"/>
  <c r="H20" i="7"/>
  <c r="G20" i="7"/>
  <c r="F20" i="7"/>
  <c r="E20" i="7"/>
  <c r="D20" i="7"/>
  <c r="O20" i="7" s="1"/>
  <c r="M16" i="7"/>
  <c r="L16" i="7"/>
  <c r="K16" i="7"/>
  <c r="J16" i="7"/>
  <c r="P16" i="7" s="1"/>
  <c r="I16" i="7"/>
  <c r="H16" i="7"/>
  <c r="G16" i="7"/>
  <c r="F16" i="7"/>
  <c r="E16" i="7"/>
  <c r="D16" i="7"/>
  <c r="O16" i="7" s="1"/>
  <c r="M8" i="7"/>
  <c r="L8" i="7"/>
  <c r="K8" i="7"/>
  <c r="J8" i="7"/>
  <c r="P8" i="7" s="1"/>
  <c r="I8" i="7"/>
  <c r="H8" i="7"/>
  <c r="G8" i="7"/>
  <c r="F8" i="7"/>
  <c r="E8" i="7"/>
  <c r="D8" i="7"/>
  <c r="B114" i="7"/>
  <c r="B89" i="7" s="1"/>
  <c r="B42" i="7" s="1"/>
  <c r="F76" i="7"/>
  <c r="K62" i="7"/>
  <c r="A49" i="7"/>
  <c r="P41" i="7"/>
  <c r="O41" i="7"/>
  <c r="P40" i="7"/>
  <c r="O40" i="7"/>
  <c r="P39" i="7"/>
  <c r="O39" i="7"/>
  <c r="P38" i="7"/>
  <c r="O38" i="7"/>
  <c r="K48" i="7"/>
  <c r="B62" i="7"/>
  <c r="P21" i="7"/>
  <c r="A48" i="7"/>
  <c r="P19" i="7"/>
  <c r="O19" i="7"/>
  <c r="O18" i="7"/>
  <c r="P18" i="7"/>
  <c r="P17" i="7"/>
  <c r="O17" i="7"/>
  <c r="P15" i="7"/>
  <c r="O15" i="7"/>
  <c r="O14" i="7"/>
  <c r="P14" i="7"/>
  <c r="P13" i="7"/>
  <c r="O13" i="7"/>
  <c r="O12" i="7"/>
  <c r="P12" i="7"/>
  <c r="P11" i="7"/>
  <c r="O11" i="7"/>
  <c r="O10" i="7"/>
  <c r="P10" i="7"/>
  <c r="P9" i="7"/>
  <c r="O9" i="7"/>
  <c r="P7" i="7"/>
  <c r="O7" i="7"/>
  <c r="P6" i="7"/>
  <c r="P5" i="7"/>
  <c r="O5" i="7"/>
  <c r="P4" i="7"/>
  <c r="P3" i="7"/>
  <c r="O3" i="7"/>
  <c r="P2" i="7"/>
  <c r="O2" i="7"/>
  <c r="P42" i="7"/>
  <c r="P89" i="7" s="1"/>
  <c r="F62" i="7"/>
  <c r="F142" i="6"/>
  <c r="E142" i="6"/>
  <c r="N141" i="6" s="1"/>
  <c r="D142" i="6"/>
  <c r="M141" i="6" s="1"/>
  <c r="C142" i="6"/>
  <c r="L141" i="6" s="1"/>
  <c r="F141" i="6"/>
  <c r="E141" i="6"/>
  <c r="N140" i="6" s="1"/>
  <c r="D141" i="6"/>
  <c r="M140" i="6" s="1"/>
  <c r="C141" i="6"/>
  <c r="L140" i="6" s="1"/>
  <c r="F140" i="6"/>
  <c r="E140" i="6"/>
  <c r="N139" i="6" s="1"/>
  <c r="D140" i="6"/>
  <c r="M139" i="6" s="1"/>
  <c r="C140" i="6"/>
  <c r="L139" i="6" s="1"/>
  <c r="F139" i="6"/>
  <c r="E139" i="6"/>
  <c r="D139" i="6"/>
  <c r="C139" i="6"/>
  <c r="F138" i="6"/>
  <c r="E138" i="6"/>
  <c r="D138" i="6"/>
  <c r="C138" i="6"/>
  <c r="F135" i="6"/>
  <c r="E135" i="6"/>
  <c r="D135" i="6"/>
  <c r="C135" i="6"/>
  <c r="F134" i="6"/>
  <c r="E134" i="6"/>
  <c r="D134" i="6"/>
  <c r="C134" i="6"/>
  <c r="F133" i="6"/>
  <c r="E133" i="6"/>
  <c r="D133" i="6"/>
  <c r="C133" i="6"/>
  <c r="F132" i="6"/>
  <c r="E132" i="6"/>
  <c r="D132" i="6"/>
  <c r="C132" i="6"/>
  <c r="F130" i="6"/>
  <c r="E130" i="6"/>
  <c r="D130" i="6"/>
  <c r="C130" i="6"/>
  <c r="F126" i="6"/>
  <c r="E126" i="6"/>
  <c r="D126" i="6"/>
  <c r="C126" i="6"/>
  <c r="M41" i="6"/>
  <c r="L41" i="6"/>
  <c r="K41" i="6"/>
  <c r="J41" i="6"/>
  <c r="I41" i="6"/>
  <c r="H41" i="6"/>
  <c r="G41" i="6"/>
  <c r="F41" i="6"/>
  <c r="E41" i="6"/>
  <c r="D41" i="6"/>
  <c r="M40" i="6"/>
  <c r="L40" i="6"/>
  <c r="K40" i="6"/>
  <c r="J40" i="6"/>
  <c r="I40" i="6"/>
  <c r="H40" i="6"/>
  <c r="G40" i="6"/>
  <c r="E40" i="6"/>
  <c r="M39" i="6"/>
  <c r="L39" i="6"/>
  <c r="K39" i="6"/>
  <c r="J39" i="6"/>
  <c r="I39" i="6"/>
  <c r="H39" i="6"/>
  <c r="G39" i="6"/>
  <c r="F39" i="6"/>
  <c r="E39" i="6"/>
  <c r="D39" i="6"/>
  <c r="M38" i="6"/>
  <c r="L38" i="6"/>
  <c r="K38" i="6"/>
  <c r="J38" i="6"/>
  <c r="I38" i="6"/>
  <c r="H38" i="6"/>
  <c r="G38" i="6"/>
  <c r="F38" i="6"/>
  <c r="E38" i="6"/>
  <c r="D38" i="6"/>
  <c r="M37" i="6"/>
  <c r="L37" i="6"/>
  <c r="K37" i="6"/>
  <c r="J37" i="6"/>
  <c r="P37" i="6" s="1"/>
  <c r="I37" i="6"/>
  <c r="H37" i="6"/>
  <c r="G37" i="6"/>
  <c r="F37" i="6"/>
  <c r="E37" i="6"/>
  <c r="D37" i="6"/>
  <c r="M36" i="6"/>
  <c r="L36" i="6"/>
  <c r="K36" i="6"/>
  <c r="J36" i="6"/>
  <c r="I36" i="6"/>
  <c r="H36" i="6"/>
  <c r="G36" i="6"/>
  <c r="F36" i="6"/>
  <c r="E36" i="6"/>
  <c r="D36" i="6"/>
  <c r="M35" i="6"/>
  <c r="L35" i="6"/>
  <c r="K35" i="6"/>
  <c r="J35" i="6"/>
  <c r="P35" i="6" s="1"/>
  <c r="I35" i="6"/>
  <c r="H35" i="6"/>
  <c r="G35" i="6"/>
  <c r="F35" i="6"/>
  <c r="E35" i="6"/>
  <c r="D35" i="6"/>
  <c r="M34" i="6"/>
  <c r="L34" i="6"/>
  <c r="K34" i="6"/>
  <c r="J34" i="6"/>
  <c r="P34" i="6" s="1"/>
  <c r="I34" i="6"/>
  <c r="H34" i="6"/>
  <c r="G34" i="6"/>
  <c r="F34" i="6"/>
  <c r="E34" i="6"/>
  <c r="D34" i="6"/>
  <c r="O34" i="6" s="1"/>
  <c r="M33" i="6"/>
  <c r="L33" i="6"/>
  <c r="K33" i="6"/>
  <c r="J33" i="6"/>
  <c r="P33" i="6" s="1"/>
  <c r="I33" i="6"/>
  <c r="H33" i="6"/>
  <c r="G33" i="6"/>
  <c r="F33" i="6"/>
  <c r="E33" i="6"/>
  <c r="D33" i="6"/>
  <c r="M32" i="6"/>
  <c r="L32" i="6"/>
  <c r="K32" i="6"/>
  <c r="J32" i="6"/>
  <c r="P32" i="6" s="1"/>
  <c r="I32" i="6"/>
  <c r="H32" i="6"/>
  <c r="G32" i="6"/>
  <c r="F32" i="6"/>
  <c r="E32" i="6"/>
  <c r="D32" i="6"/>
  <c r="O32" i="6" s="1"/>
  <c r="M31" i="6"/>
  <c r="L31" i="6"/>
  <c r="K31" i="6"/>
  <c r="J31" i="6"/>
  <c r="I31" i="6"/>
  <c r="H31" i="6"/>
  <c r="G31" i="6"/>
  <c r="F31" i="6"/>
  <c r="E31" i="6"/>
  <c r="D31" i="6"/>
  <c r="M30" i="6"/>
  <c r="L30" i="6"/>
  <c r="K30" i="6"/>
  <c r="J30" i="6"/>
  <c r="P30" i="6" s="1"/>
  <c r="I30" i="6"/>
  <c r="H30" i="6"/>
  <c r="G30" i="6"/>
  <c r="F30" i="6"/>
  <c r="E30" i="6"/>
  <c r="D30" i="6"/>
  <c r="O30" i="6" s="1"/>
  <c r="M29" i="6"/>
  <c r="L29" i="6"/>
  <c r="K29" i="6"/>
  <c r="J29" i="6"/>
  <c r="P29" i="6" s="1"/>
  <c r="I29" i="6"/>
  <c r="H29" i="6"/>
  <c r="G29" i="6"/>
  <c r="F29" i="6"/>
  <c r="E29" i="6"/>
  <c r="D29" i="6"/>
  <c r="M28" i="6"/>
  <c r="J28" i="6"/>
  <c r="P28" i="6" s="1"/>
  <c r="I28" i="6"/>
  <c r="H28" i="6"/>
  <c r="F28" i="6"/>
  <c r="E28" i="6"/>
  <c r="D28" i="6"/>
  <c r="O28" i="6" s="1"/>
  <c r="M27" i="6"/>
  <c r="L27" i="6"/>
  <c r="K27" i="6"/>
  <c r="J27" i="6"/>
  <c r="P27" i="6" s="1"/>
  <c r="I27" i="6"/>
  <c r="H27" i="6"/>
  <c r="G27" i="6"/>
  <c r="F27" i="6"/>
  <c r="E27" i="6"/>
  <c r="D27" i="6"/>
  <c r="M26" i="6"/>
  <c r="L26" i="6"/>
  <c r="K26" i="6"/>
  <c r="J26" i="6"/>
  <c r="I26" i="6"/>
  <c r="H26" i="6"/>
  <c r="G26" i="6"/>
  <c r="F26" i="6"/>
  <c r="E26" i="6"/>
  <c r="M25" i="6"/>
  <c r="L25" i="6"/>
  <c r="K25" i="6"/>
  <c r="J25" i="6"/>
  <c r="P25" i="6" s="1"/>
  <c r="I25" i="6"/>
  <c r="H25" i="6"/>
  <c r="G25" i="6"/>
  <c r="F25" i="6"/>
  <c r="E25" i="6"/>
  <c r="M24" i="6"/>
  <c r="L24" i="6"/>
  <c r="K24" i="6"/>
  <c r="J24" i="6"/>
  <c r="P24" i="6" s="1"/>
  <c r="I24" i="6"/>
  <c r="H24" i="6"/>
  <c r="G24" i="6"/>
  <c r="F24" i="6"/>
  <c r="E24" i="6"/>
  <c r="D24" i="6"/>
  <c r="O24" i="6" s="1"/>
  <c r="M23" i="6"/>
  <c r="L23" i="6"/>
  <c r="K23" i="6"/>
  <c r="J23" i="6"/>
  <c r="P23" i="6" s="1"/>
  <c r="I23" i="6"/>
  <c r="H23" i="6"/>
  <c r="G23" i="6"/>
  <c r="F23" i="6"/>
  <c r="E23" i="6"/>
  <c r="D23" i="6"/>
  <c r="M22" i="6"/>
  <c r="L22" i="6"/>
  <c r="K22" i="6"/>
  <c r="J22" i="6"/>
  <c r="P22" i="6" s="1"/>
  <c r="I22" i="6"/>
  <c r="H22" i="6"/>
  <c r="G22" i="6"/>
  <c r="F22" i="6"/>
  <c r="E22" i="6"/>
  <c r="D22" i="6"/>
  <c r="O22" i="6" s="1"/>
  <c r="M20" i="6"/>
  <c r="L20" i="6"/>
  <c r="K20" i="6"/>
  <c r="J20" i="6"/>
  <c r="P20" i="6" s="1"/>
  <c r="I20" i="6"/>
  <c r="H20" i="6"/>
  <c r="G20" i="6"/>
  <c r="F20" i="6"/>
  <c r="E20" i="6"/>
  <c r="D20" i="6"/>
  <c r="O20" i="6" s="1"/>
  <c r="M16" i="6"/>
  <c r="L16" i="6"/>
  <c r="K16" i="6"/>
  <c r="J16" i="6"/>
  <c r="P16" i="6" s="1"/>
  <c r="I16" i="6"/>
  <c r="H16" i="6"/>
  <c r="G16" i="6"/>
  <c r="F16" i="6"/>
  <c r="E16" i="6"/>
  <c r="D16" i="6"/>
  <c r="O16" i="6" s="1"/>
  <c r="M8" i="6"/>
  <c r="L8" i="6"/>
  <c r="K8" i="6"/>
  <c r="J8" i="6"/>
  <c r="P8" i="6" s="1"/>
  <c r="I8" i="6"/>
  <c r="H8" i="6"/>
  <c r="G8" i="6"/>
  <c r="F8" i="6"/>
  <c r="E8" i="6"/>
  <c r="D8" i="6"/>
  <c r="N138" i="6"/>
  <c r="M138" i="6"/>
  <c r="L138" i="6"/>
  <c r="B114" i="6"/>
  <c r="R89" i="6" s="1"/>
  <c r="F114" i="6" s="1"/>
  <c r="B152" i="6" s="1"/>
  <c r="A76" i="6"/>
  <c r="K62" i="6"/>
  <c r="A49" i="6"/>
  <c r="P41" i="6"/>
  <c r="O41" i="6"/>
  <c r="P40" i="6"/>
  <c r="O40" i="6"/>
  <c r="P39" i="6"/>
  <c r="O39" i="6"/>
  <c r="P38" i="6"/>
  <c r="O38" i="6"/>
  <c r="K48" i="6"/>
  <c r="B62" i="6"/>
  <c r="P21" i="6"/>
  <c r="A48" i="6"/>
  <c r="O19" i="6"/>
  <c r="P19" i="6"/>
  <c r="O18" i="6"/>
  <c r="P18" i="6"/>
  <c r="O17" i="6"/>
  <c r="P17" i="6"/>
  <c r="O15" i="6"/>
  <c r="P15" i="6"/>
  <c r="O14" i="6"/>
  <c r="P14" i="6"/>
  <c r="O13" i="6"/>
  <c r="P13" i="6"/>
  <c r="O12" i="6"/>
  <c r="P12" i="6"/>
  <c r="O11" i="6"/>
  <c r="P11" i="6"/>
  <c r="O10" i="6"/>
  <c r="P10" i="6"/>
  <c r="P9" i="6"/>
  <c r="O9" i="6"/>
  <c r="P7" i="6"/>
  <c r="O7" i="6"/>
  <c r="P6" i="6"/>
  <c r="P5" i="6"/>
  <c r="O5" i="6"/>
  <c r="P4" i="6"/>
  <c r="P3" i="6"/>
  <c r="O3" i="6"/>
  <c r="P2" i="6"/>
  <c r="O2" i="6"/>
  <c r="P42" i="6"/>
  <c r="P89" i="6" s="1"/>
  <c r="P152" i="6" s="1"/>
  <c r="F62" i="6"/>
  <c r="F142" i="5"/>
  <c r="E142" i="5"/>
  <c r="N141" i="5" s="1"/>
  <c r="D142" i="5"/>
  <c r="M141" i="5" s="1"/>
  <c r="C142" i="5"/>
  <c r="L141" i="5" s="1"/>
  <c r="F141" i="5"/>
  <c r="E141" i="5"/>
  <c r="N140" i="5" s="1"/>
  <c r="D141" i="5"/>
  <c r="M140" i="5" s="1"/>
  <c r="C141" i="5"/>
  <c r="L140" i="5" s="1"/>
  <c r="F140" i="5"/>
  <c r="E140" i="5"/>
  <c r="N139" i="5" s="1"/>
  <c r="D140" i="5"/>
  <c r="M139" i="5" s="1"/>
  <c r="C140" i="5"/>
  <c r="L139" i="5" s="1"/>
  <c r="F139" i="5"/>
  <c r="E139" i="5"/>
  <c r="D139" i="5"/>
  <c r="C139" i="5"/>
  <c r="F138" i="5"/>
  <c r="E138" i="5"/>
  <c r="D138" i="5"/>
  <c r="C138" i="5"/>
  <c r="F135" i="5"/>
  <c r="E135" i="5"/>
  <c r="D135" i="5"/>
  <c r="C135" i="5"/>
  <c r="F134" i="5"/>
  <c r="E134" i="5"/>
  <c r="D134" i="5"/>
  <c r="C134" i="5"/>
  <c r="F133" i="5"/>
  <c r="E133" i="5"/>
  <c r="D133" i="5"/>
  <c r="C133" i="5"/>
  <c r="F132" i="5"/>
  <c r="E132" i="5"/>
  <c r="D132" i="5"/>
  <c r="C132" i="5"/>
  <c r="F130" i="5"/>
  <c r="E130" i="5"/>
  <c r="D130" i="5"/>
  <c r="C130" i="5"/>
  <c r="F126" i="5"/>
  <c r="E126" i="5"/>
  <c r="D126" i="5"/>
  <c r="C126" i="5"/>
  <c r="M41" i="5"/>
  <c r="L41" i="5"/>
  <c r="K41" i="5"/>
  <c r="J41" i="5"/>
  <c r="I41" i="5"/>
  <c r="H41" i="5"/>
  <c r="G41" i="5"/>
  <c r="F41" i="5"/>
  <c r="E41" i="5"/>
  <c r="D41" i="5"/>
  <c r="M40" i="5"/>
  <c r="L40" i="5"/>
  <c r="K40" i="5"/>
  <c r="J40" i="5"/>
  <c r="I40" i="5"/>
  <c r="H40" i="5"/>
  <c r="G40" i="5"/>
  <c r="E40" i="5"/>
  <c r="M39" i="5"/>
  <c r="L39" i="5"/>
  <c r="K39" i="5"/>
  <c r="J39" i="5"/>
  <c r="I39" i="5"/>
  <c r="H39" i="5"/>
  <c r="G39" i="5"/>
  <c r="F39" i="5"/>
  <c r="E39" i="5"/>
  <c r="D39" i="5"/>
  <c r="M38" i="5"/>
  <c r="L38" i="5"/>
  <c r="K38" i="5"/>
  <c r="J38" i="5"/>
  <c r="I38" i="5"/>
  <c r="H38" i="5"/>
  <c r="G38" i="5"/>
  <c r="F38" i="5"/>
  <c r="E38" i="5"/>
  <c r="D38" i="5"/>
  <c r="M37" i="5"/>
  <c r="L37" i="5"/>
  <c r="K37" i="5"/>
  <c r="J37" i="5"/>
  <c r="P37" i="5" s="1"/>
  <c r="I37" i="5"/>
  <c r="H37" i="5"/>
  <c r="G37" i="5"/>
  <c r="F37" i="5"/>
  <c r="E37" i="5"/>
  <c r="D37" i="5"/>
  <c r="M36" i="5"/>
  <c r="L36" i="5"/>
  <c r="K36" i="5"/>
  <c r="J36" i="5"/>
  <c r="I36" i="5"/>
  <c r="H36" i="5"/>
  <c r="G36" i="5"/>
  <c r="F36" i="5"/>
  <c r="E36" i="5"/>
  <c r="D36" i="5"/>
  <c r="M35" i="5"/>
  <c r="L35" i="5"/>
  <c r="K35" i="5"/>
  <c r="J35" i="5"/>
  <c r="P35" i="5" s="1"/>
  <c r="I35" i="5"/>
  <c r="H35" i="5"/>
  <c r="G35" i="5"/>
  <c r="F35" i="5"/>
  <c r="E35" i="5"/>
  <c r="D35" i="5"/>
  <c r="M34" i="5"/>
  <c r="L34" i="5"/>
  <c r="K34" i="5"/>
  <c r="J34" i="5"/>
  <c r="P34" i="5" s="1"/>
  <c r="I34" i="5"/>
  <c r="H34" i="5"/>
  <c r="G34" i="5"/>
  <c r="F34" i="5"/>
  <c r="E34" i="5"/>
  <c r="D34" i="5"/>
  <c r="O34" i="5" s="1"/>
  <c r="M33" i="5"/>
  <c r="L33" i="5"/>
  <c r="K33" i="5"/>
  <c r="J33" i="5"/>
  <c r="P33" i="5" s="1"/>
  <c r="I33" i="5"/>
  <c r="H33" i="5"/>
  <c r="G33" i="5"/>
  <c r="F33" i="5"/>
  <c r="E33" i="5"/>
  <c r="D33" i="5"/>
  <c r="M32" i="5"/>
  <c r="L32" i="5"/>
  <c r="K32" i="5"/>
  <c r="J32" i="5"/>
  <c r="P32" i="5" s="1"/>
  <c r="I32" i="5"/>
  <c r="H32" i="5"/>
  <c r="G32" i="5"/>
  <c r="F32" i="5"/>
  <c r="E32" i="5"/>
  <c r="D32" i="5"/>
  <c r="O32" i="5" s="1"/>
  <c r="M31" i="5"/>
  <c r="L31" i="5"/>
  <c r="K31" i="5"/>
  <c r="J31" i="5"/>
  <c r="I31" i="5"/>
  <c r="H31" i="5"/>
  <c r="G31" i="5"/>
  <c r="F31" i="5"/>
  <c r="E31" i="5"/>
  <c r="D31" i="5"/>
  <c r="M30" i="5"/>
  <c r="L30" i="5"/>
  <c r="K30" i="5"/>
  <c r="J30" i="5"/>
  <c r="P30" i="5" s="1"/>
  <c r="I30" i="5"/>
  <c r="H30" i="5"/>
  <c r="G30" i="5"/>
  <c r="F30" i="5"/>
  <c r="E30" i="5"/>
  <c r="D30" i="5"/>
  <c r="O30" i="5" s="1"/>
  <c r="M29" i="5"/>
  <c r="L29" i="5"/>
  <c r="K29" i="5"/>
  <c r="J29" i="5"/>
  <c r="P29" i="5" s="1"/>
  <c r="I29" i="5"/>
  <c r="H29" i="5"/>
  <c r="G29" i="5"/>
  <c r="F29" i="5"/>
  <c r="E29" i="5"/>
  <c r="D29" i="5"/>
  <c r="M28" i="5"/>
  <c r="L28" i="5"/>
  <c r="K28" i="5"/>
  <c r="I28" i="5"/>
  <c r="H28" i="5"/>
  <c r="G28" i="5"/>
  <c r="F28" i="5"/>
  <c r="M27" i="5"/>
  <c r="L27" i="5"/>
  <c r="K27" i="5"/>
  <c r="J27" i="5"/>
  <c r="P27" i="5" s="1"/>
  <c r="I27" i="5"/>
  <c r="H27" i="5"/>
  <c r="G27" i="5"/>
  <c r="F27" i="5"/>
  <c r="E27" i="5"/>
  <c r="D27" i="5"/>
  <c r="M26" i="5"/>
  <c r="L26" i="5"/>
  <c r="K26" i="5"/>
  <c r="J26" i="5"/>
  <c r="I26" i="5"/>
  <c r="H26" i="5"/>
  <c r="G26" i="5"/>
  <c r="F26" i="5"/>
  <c r="E26" i="5"/>
  <c r="M25" i="5"/>
  <c r="L25" i="5"/>
  <c r="K25" i="5"/>
  <c r="J25" i="5"/>
  <c r="P25" i="5" s="1"/>
  <c r="I25" i="5"/>
  <c r="H25" i="5"/>
  <c r="G25" i="5"/>
  <c r="F25" i="5"/>
  <c r="E25" i="5"/>
  <c r="M24" i="5"/>
  <c r="L24" i="5"/>
  <c r="K24" i="5"/>
  <c r="J24" i="5"/>
  <c r="P24" i="5" s="1"/>
  <c r="I24" i="5"/>
  <c r="H24" i="5"/>
  <c r="G24" i="5"/>
  <c r="F24" i="5"/>
  <c r="E24" i="5"/>
  <c r="D24" i="5"/>
  <c r="O24" i="5" s="1"/>
  <c r="M23" i="5"/>
  <c r="L23" i="5"/>
  <c r="K23" i="5"/>
  <c r="J23" i="5"/>
  <c r="P23" i="5" s="1"/>
  <c r="I23" i="5"/>
  <c r="H23" i="5"/>
  <c r="G23" i="5"/>
  <c r="F23" i="5"/>
  <c r="E23" i="5"/>
  <c r="D23" i="5"/>
  <c r="M22" i="5"/>
  <c r="L22" i="5"/>
  <c r="K22" i="5"/>
  <c r="J22" i="5"/>
  <c r="P22" i="5" s="1"/>
  <c r="I22" i="5"/>
  <c r="H22" i="5"/>
  <c r="G22" i="5"/>
  <c r="F22" i="5"/>
  <c r="E22" i="5"/>
  <c r="D22" i="5"/>
  <c r="O22" i="5" s="1"/>
  <c r="M20" i="5"/>
  <c r="L20" i="5"/>
  <c r="K20" i="5"/>
  <c r="J20" i="5"/>
  <c r="P20" i="5" s="1"/>
  <c r="I20" i="5"/>
  <c r="H20" i="5"/>
  <c r="G20" i="5"/>
  <c r="F20" i="5"/>
  <c r="E20" i="5"/>
  <c r="D20" i="5"/>
  <c r="O20" i="5" s="1"/>
  <c r="M16" i="5"/>
  <c r="L16" i="5"/>
  <c r="K16" i="5"/>
  <c r="J16" i="5"/>
  <c r="P16" i="5" s="1"/>
  <c r="I16" i="5"/>
  <c r="H16" i="5"/>
  <c r="G16" i="5"/>
  <c r="F16" i="5"/>
  <c r="E16" i="5"/>
  <c r="D16" i="5"/>
  <c r="O16" i="5" s="1"/>
  <c r="M8" i="5"/>
  <c r="L8" i="5"/>
  <c r="K8" i="5"/>
  <c r="J8" i="5"/>
  <c r="P8" i="5" s="1"/>
  <c r="I8" i="5"/>
  <c r="H8" i="5"/>
  <c r="G8" i="5"/>
  <c r="F8" i="5"/>
  <c r="E8" i="5"/>
  <c r="D8" i="5"/>
  <c r="N138" i="5"/>
  <c r="M138" i="5"/>
  <c r="L138" i="5"/>
  <c r="B114" i="5"/>
  <c r="R89" i="5" s="1"/>
  <c r="F114" i="5" s="1"/>
  <c r="B152" i="5" s="1"/>
  <c r="A76" i="5"/>
  <c r="K62" i="5"/>
  <c r="A49" i="5"/>
  <c r="P41" i="5"/>
  <c r="O41" i="5"/>
  <c r="P40" i="5"/>
  <c r="O40" i="5"/>
  <c r="P39" i="5"/>
  <c r="O39" i="5"/>
  <c r="P38" i="5"/>
  <c r="O38" i="5"/>
  <c r="P28" i="5"/>
  <c r="O28" i="5"/>
  <c r="K48" i="5"/>
  <c r="B62" i="5"/>
  <c r="P21" i="5"/>
  <c r="A48" i="5"/>
  <c r="O19" i="5"/>
  <c r="P19" i="5"/>
  <c r="O18" i="5"/>
  <c r="P18" i="5"/>
  <c r="O17" i="5"/>
  <c r="P17" i="5"/>
  <c r="O15" i="5"/>
  <c r="P15" i="5"/>
  <c r="O14" i="5"/>
  <c r="P14" i="5"/>
  <c r="O13" i="5"/>
  <c r="P13" i="5"/>
  <c r="O12" i="5"/>
  <c r="P12" i="5"/>
  <c r="P11" i="5"/>
  <c r="O11" i="5"/>
  <c r="O10" i="5"/>
  <c r="P10" i="5"/>
  <c r="P9" i="5"/>
  <c r="O9" i="5"/>
  <c r="P7" i="5"/>
  <c r="O7" i="5"/>
  <c r="P6" i="5"/>
  <c r="P5" i="5"/>
  <c r="O5" i="5"/>
  <c r="P4" i="5"/>
  <c r="P3" i="5"/>
  <c r="O3" i="5"/>
  <c r="P2" i="5"/>
  <c r="O2" i="5"/>
  <c r="P42" i="5"/>
  <c r="P89" i="5" s="1"/>
  <c r="P152" i="5" s="1"/>
  <c r="F62" i="5"/>
  <c r="M41" i="4"/>
  <c r="L41" i="4"/>
  <c r="K41" i="4"/>
  <c r="J41" i="4"/>
  <c r="I41" i="4"/>
  <c r="G41" i="4"/>
  <c r="F41" i="4"/>
  <c r="E41" i="4"/>
  <c r="D41" i="4"/>
  <c r="M40" i="4"/>
  <c r="M39" i="4"/>
  <c r="L39" i="4"/>
  <c r="K39" i="4"/>
  <c r="I39" i="4"/>
  <c r="F39" i="4"/>
  <c r="E39" i="4"/>
  <c r="D39" i="4"/>
  <c r="M38" i="4"/>
  <c r="L38" i="4"/>
  <c r="K38" i="4"/>
  <c r="J38" i="4"/>
  <c r="I38" i="4"/>
  <c r="G38" i="4"/>
  <c r="F38" i="4"/>
  <c r="E38" i="4"/>
  <c r="D38" i="4"/>
  <c r="M37" i="4"/>
  <c r="L37" i="4"/>
  <c r="K37" i="4"/>
  <c r="J37" i="4"/>
  <c r="P37" i="4" s="1"/>
  <c r="I37" i="4"/>
  <c r="H37" i="4"/>
  <c r="G37" i="4"/>
  <c r="F37" i="4"/>
  <c r="E37" i="4"/>
  <c r="D37" i="4"/>
  <c r="M36" i="4"/>
  <c r="L36" i="4"/>
  <c r="K36" i="4"/>
  <c r="J36" i="4"/>
  <c r="I36" i="4"/>
  <c r="H36" i="4"/>
  <c r="G36" i="4"/>
  <c r="F36" i="4"/>
  <c r="E36" i="4"/>
  <c r="D36" i="4"/>
  <c r="M35" i="4"/>
  <c r="L35" i="4"/>
  <c r="K35" i="4"/>
  <c r="J35" i="4"/>
  <c r="P35" i="4" s="1"/>
  <c r="I35" i="4"/>
  <c r="H35" i="4"/>
  <c r="G35" i="4"/>
  <c r="F35" i="4"/>
  <c r="E35" i="4"/>
  <c r="D35" i="4"/>
  <c r="M34" i="4"/>
  <c r="L34" i="4"/>
  <c r="K34" i="4"/>
  <c r="J34" i="4"/>
  <c r="P34" i="4" s="1"/>
  <c r="I34" i="4"/>
  <c r="H34" i="4"/>
  <c r="G34" i="4"/>
  <c r="F34" i="4"/>
  <c r="E34" i="4"/>
  <c r="D34" i="4"/>
  <c r="O34" i="4" s="1"/>
  <c r="M33" i="4"/>
  <c r="L33" i="4"/>
  <c r="K33" i="4"/>
  <c r="J33" i="4"/>
  <c r="P33" i="4" s="1"/>
  <c r="I33" i="4"/>
  <c r="H33" i="4"/>
  <c r="G33" i="4"/>
  <c r="F33" i="4"/>
  <c r="E33" i="4"/>
  <c r="D33" i="4"/>
  <c r="M32" i="4"/>
  <c r="L32" i="4"/>
  <c r="K32" i="4"/>
  <c r="J32" i="4"/>
  <c r="P32" i="4" s="1"/>
  <c r="I32" i="4"/>
  <c r="H32" i="4"/>
  <c r="G32" i="4"/>
  <c r="F32" i="4"/>
  <c r="E32" i="4"/>
  <c r="D32" i="4"/>
  <c r="O32" i="4" s="1"/>
  <c r="M31" i="4"/>
  <c r="L31" i="4"/>
  <c r="K31" i="4"/>
  <c r="J31" i="4"/>
  <c r="I31" i="4"/>
  <c r="H31" i="4"/>
  <c r="G31" i="4"/>
  <c r="F31" i="4"/>
  <c r="E31" i="4"/>
  <c r="D31" i="4"/>
  <c r="M30" i="4"/>
  <c r="L30" i="4"/>
  <c r="K30" i="4"/>
  <c r="J30" i="4"/>
  <c r="P30" i="4" s="1"/>
  <c r="I30" i="4"/>
  <c r="H30" i="4"/>
  <c r="G30" i="4"/>
  <c r="F30" i="4"/>
  <c r="E30" i="4"/>
  <c r="D30" i="4"/>
  <c r="O30" i="4" s="1"/>
  <c r="M29" i="4"/>
  <c r="L29" i="4"/>
  <c r="K29" i="4"/>
  <c r="J29" i="4"/>
  <c r="P29" i="4" s="1"/>
  <c r="I29" i="4"/>
  <c r="H29" i="4"/>
  <c r="G29" i="4"/>
  <c r="F29" i="4"/>
  <c r="E29" i="4"/>
  <c r="D29" i="4"/>
  <c r="M28" i="4"/>
  <c r="J28" i="4"/>
  <c r="P28" i="4" s="1"/>
  <c r="I28" i="4"/>
  <c r="H28" i="4"/>
  <c r="G28" i="4"/>
  <c r="F28" i="4"/>
  <c r="E28" i="4"/>
  <c r="D28" i="4"/>
  <c r="O28" i="4" s="1"/>
  <c r="M27" i="4"/>
  <c r="L27" i="4"/>
  <c r="K27" i="4"/>
  <c r="J27" i="4"/>
  <c r="P27" i="4" s="1"/>
  <c r="I27" i="4"/>
  <c r="H27" i="4"/>
  <c r="G27" i="4"/>
  <c r="F27" i="4"/>
  <c r="E27" i="4"/>
  <c r="D27" i="4"/>
  <c r="M26" i="4"/>
  <c r="L26" i="4"/>
  <c r="K26" i="4"/>
  <c r="J26" i="4"/>
  <c r="I26" i="4"/>
  <c r="H26" i="4"/>
  <c r="G26" i="4"/>
  <c r="F26" i="4"/>
  <c r="E26" i="4"/>
  <c r="M25" i="4"/>
  <c r="L25" i="4"/>
  <c r="K25" i="4"/>
  <c r="J25" i="4"/>
  <c r="P25" i="4" s="1"/>
  <c r="I25" i="4"/>
  <c r="H25" i="4"/>
  <c r="G25" i="4"/>
  <c r="F25" i="4"/>
  <c r="E25" i="4"/>
  <c r="M24" i="4"/>
  <c r="L24" i="4"/>
  <c r="K24" i="4"/>
  <c r="J24" i="4"/>
  <c r="P24" i="4" s="1"/>
  <c r="I24" i="4"/>
  <c r="H24" i="4"/>
  <c r="G24" i="4"/>
  <c r="F24" i="4"/>
  <c r="E24" i="4"/>
  <c r="D24" i="4"/>
  <c r="O24" i="4" s="1"/>
  <c r="M23" i="4"/>
  <c r="L23" i="4"/>
  <c r="K23" i="4"/>
  <c r="J23" i="4"/>
  <c r="P23" i="4" s="1"/>
  <c r="I23" i="4"/>
  <c r="H23" i="4"/>
  <c r="G23" i="4"/>
  <c r="F23" i="4"/>
  <c r="E23" i="4"/>
  <c r="D23" i="4"/>
  <c r="M22" i="4"/>
  <c r="L22" i="4"/>
  <c r="K22" i="4"/>
  <c r="J22" i="4"/>
  <c r="P22" i="4" s="1"/>
  <c r="I22" i="4"/>
  <c r="H22" i="4"/>
  <c r="G22" i="4"/>
  <c r="F22" i="4"/>
  <c r="E22" i="4"/>
  <c r="D22" i="4"/>
  <c r="O22" i="4" s="1"/>
  <c r="M20" i="4"/>
  <c r="L20" i="4"/>
  <c r="K20" i="4"/>
  <c r="J20" i="4"/>
  <c r="P20" i="4" s="1"/>
  <c r="I20" i="4"/>
  <c r="H20" i="4"/>
  <c r="G20" i="4"/>
  <c r="F20" i="4"/>
  <c r="E20" i="4"/>
  <c r="D20" i="4"/>
  <c r="O20" i="4" s="1"/>
  <c r="M16" i="4"/>
  <c r="L16" i="4"/>
  <c r="K16" i="4"/>
  <c r="J16" i="4"/>
  <c r="P16" i="4" s="1"/>
  <c r="I16" i="4"/>
  <c r="H16" i="4"/>
  <c r="G16" i="4"/>
  <c r="F16" i="4"/>
  <c r="E16" i="4"/>
  <c r="D16" i="4"/>
  <c r="O16" i="4" s="1"/>
  <c r="M8" i="4"/>
  <c r="L8" i="4"/>
  <c r="K8" i="4"/>
  <c r="J8" i="4"/>
  <c r="P8" i="4" s="1"/>
  <c r="I8" i="4"/>
  <c r="H8" i="4"/>
  <c r="G8" i="4"/>
  <c r="F8" i="4"/>
  <c r="E8" i="4"/>
  <c r="D8" i="4"/>
  <c r="B114" i="4"/>
  <c r="R89" i="4" s="1"/>
  <c r="F114" i="4" s="1"/>
  <c r="K62" i="4"/>
  <c r="A49" i="4"/>
  <c r="P41" i="4"/>
  <c r="O41" i="4"/>
  <c r="P40" i="4"/>
  <c r="O40" i="4"/>
  <c r="P39" i="4"/>
  <c r="O39" i="4"/>
  <c r="P38" i="4"/>
  <c r="O38" i="4"/>
  <c r="K48" i="4"/>
  <c r="B62" i="4"/>
  <c r="P21" i="4"/>
  <c r="A48" i="4"/>
  <c r="P19" i="4"/>
  <c r="P18" i="4"/>
  <c r="O18" i="4"/>
  <c r="P17" i="4"/>
  <c r="P15" i="4"/>
  <c r="P14" i="4"/>
  <c r="O14" i="4"/>
  <c r="P13" i="4"/>
  <c r="P12" i="4"/>
  <c r="O12" i="4"/>
  <c r="P11" i="4"/>
  <c r="P10" i="4"/>
  <c r="O10" i="4"/>
  <c r="P9" i="4"/>
  <c r="O9" i="4"/>
  <c r="P7" i="4"/>
  <c r="O7" i="4"/>
  <c r="P6" i="4"/>
  <c r="P5" i="4"/>
  <c r="O5" i="4"/>
  <c r="P4" i="4"/>
  <c r="P3" i="4"/>
  <c r="O3" i="4"/>
  <c r="P2" i="4"/>
  <c r="P42" i="4"/>
  <c r="P89" i="4" s="1"/>
  <c r="F62" i="4"/>
  <c r="L142" i="36" l="1"/>
  <c r="L143" i="36"/>
  <c r="N142" i="35"/>
  <c r="M143" i="36"/>
  <c r="M142" i="36"/>
  <c r="N143" i="36"/>
  <c r="N142" i="36"/>
  <c r="B89" i="36"/>
  <c r="B42" i="36" s="1"/>
  <c r="O36" i="36"/>
  <c r="P36" i="36"/>
  <c r="P26" i="36"/>
  <c r="P3" i="36"/>
  <c r="O10" i="36"/>
  <c r="O12" i="36"/>
  <c r="O14" i="36"/>
  <c r="O16" i="36"/>
  <c r="O18" i="36"/>
  <c r="O26" i="36"/>
  <c r="K62" i="36"/>
  <c r="A50" i="36"/>
  <c r="A76" i="36"/>
  <c r="M143" i="35"/>
  <c r="L142" i="35"/>
  <c r="M142" i="35"/>
  <c r="N143" i="35"/>
  <c r="L143" i="35"/>
  <c r="B89" i="35"/>
  <c r="B42" i="35" s="1"/>
  <c r="O36" i="35"/>
  <c r="P36" i="35"/>
  <c r="P26" i="35"/>
  <c r="P3" i="35"/>
  <c r="O10" i="35"/>
  <c r="O12" i="35"/>
  <c r="O14" i="35"/>
  <c r="O16" i="35"/>
  <c r="O18" i="35"/>
  <c r="O26" i="35"/>
  <c r="K62" i="35"/>
  <c r="A50" i="35"/>
  <c r="A76" i="35"/>
  <c r="N142" i="34"/>
  <c r="L142" i="34"/>
  <c r="N143" i="34"/>
  <c r="M142" i="34"/>
  <c r="L143" i="34"/>
  <c r="B89" i="34"/>
  <c r="B42" i="34" s="1"/>
  <c r="O36" i="34"/>
  <c r="P36" i="34"/>
  <c r="P26" i="34"/>
  <c r="P3" i="34"/>
  <c r="O10" i="34"/>
  <c r="O12" i="34"/>
  <c r="O14" i="34"/>
  <c r="O16" i="34"/>
  <c r="O18" i="34"/>
  <c r="O26" i="34"/>
  <c r="K62" i="34"/>
  <c r="A50" i="34"/>
  <c r="A76" i="34"/>
  <c r="O11" i="34"/>
  <c r="O13" i="34"/>
  <c r="O15" i="34"/>
  <c r="O17" i="34"/>
  <c r="O19" i="34"/>
  <c r="N142" i="33"/>
  <c r="L143" i="33"/>
  <c r="M143" i="33"/>
  <c r="L142" i="33"/>
  <c r="M142" i="33"/>
  <c r="N143" i="33"/>
  <c r="B89" i="33"/>
  <c r="B42" i="33" s="1"/>
  <c r="P26" i="33"/>
  <c r="O36" i="33"/>
  <c r="P36" i="33"/>
  <c r="P3" i="33"/>
  <c r="O10" i="33"/>
  <c r="O12" i="33"/>
  <c r="O14" i="33"/>
  <c r="O16" i="33"/>
  <c r="O18" i="33"/>
  <c r="O26" i="33"/>
  <c r="K62" i="33"/>
  <c r="A50" i="33"/>
  <c r="A76" i="33"/>
  <c r="O15" i="33"/>
  <c r="O17" i="33"/>
  <c r="O19" i="33"/>
  <c r="M143" i="32"/>
  <c r="L142" i="32"/>
  <c r="N142" i="32"/>
  <c r="M142" i="32"/>
  <c r="N143" i="32"/>
  <c r="L143" i="32"/>
  <c r="B89" i="32"/>
  <c r="B42" i="32" s="1"/>
  <c r="P26" i="32"/>
  <c r="P3" i="32"/>
  <c r="O10" i="32"/>
  <c r="O12" i="32"/>
  <c r="O14" i="32"/>
  <c r="O16" i="32"/>
  <c r="O18" i="32"/>
  <c r="O26" i="32"/>
  <c r="K62" i="32"/>
  <c r="A50" i="32"/>
  <c r="A76" i="32"/>
  <c r="N142" i="31"/>
  <c r="M143" i="31"/>
  <c r="L142" i="31"/>
  <c r="R89" i="31"/>
  <c r="F114" i="31" s="1"/>
  <c r="B152" i="31" s="1"/>
  <c r="M142" i="31"/>
  <c r="N143" i="31"/>
  <c r="L143" i="31"/>
  <c r="O36" i="31"/>
  <c r="P36" i="31"/>
  <c r="P26" i="31"/>
  <c r="P3" i="31"/>
  <c r="O10" i="31"/>
  <c r="O12" i="31"/>
  <c r="O14" i="31"/>
  <c r="O16" i="31"/>
  <c r="O18" i="31"/>
  <c r="O26" i="31"/>
  <c r="K62" i="31"/>
  <c r="A50" i="31"/>
  <c r="A76" i="31"/>
  <c r="O13" i="31"/>
  <c r="O15" i="31"/>
  <c r="O17" i="31"/>
  <c r="O19" i="31"/>
  <c r="N142" i="30"/>
  <c r="M143" i="30"/>
  <c r="L142" i="30"/>
  <c r="L143" i="30"/>
  <c r="M142" i="30"/>
  <c r="N143" i="30"/>
  <c r="N142" i="29"/>
  <c r="B89" i="30"/>
  <c r="B42" i="30" s="1"/>
  <c r="O36" i="30"/>
  <c r="P36" i="30"/>
  <c r="P26" i="30"/>
  <c r="P3" i="30"/>
  <c r="O10" i="30"/>
  <c r="O12" i="30"/>
  <c r="O14" i="30"/>
  <c r="O16" i="30"/>
  <c r="O18" i="30"/>
  <c r="O26" i="30"/>
  <c r="K62" i="30"/>
  <c r="A50" i="30"/>
  <c r="A76" i="30"/>
  <c r="O19" i="30"/>
  <c r="L142" i="29"/>
  <c r="M143" i="29"/>
  <c r="M142" i="29"/>
  <c r="N143" i="29"/>
  <c r="L143" i="29"/>
  <c r="R89" i="29"/>
  <c r="F114" i="29" s="1"/>
  <c r="B152" i="29" s="1"/>
  <c r="P36" i="29"/>
  <c r="P26" i="29"/>
  <c r="P3" i="29"/>
  <c r="O10" i="29"/>
  <c r="O12" i="29"/>
  <c r="O14" i="29"/>
  <c r="O16" i="29"/>
  <c r="O18" i="29"/>
  <c r="O26" i="29"/>
  <c r="K62" i="29"/>
  <c r="A50" i="29"/>
  <c r="A76" i="29"/>
  <c r="L142" i="28"/>
  <c r="M143" i="28"/>
  <c r="M142" i="28"/>
  <c r="N143" i="28"/>
  <c r="N142" i="28"/>
  <c r="L143" i="28"/>
  <c r="R89" i="28"/>
  <c r="F114" i="28" s="1"/>
  <c r="B152" i="28" s="1"/>
  <c r="P26" i="28"/>
  <c r="P3" i="28"/>
  <c r="O10" i="28"/>
  <c r="O12" i="28"/>
  <c r="O14" i="28"/>
  <c r="O16" i="28"/>
  <c r="O18" i="28"/>
  <c r="O26" i="28"/>
  <c r="K62" i="28"/>
  <c r="A50" i="28"/>
  <c r="A76" i="28"/>
  <c r="N142" i="27"/>
  <c r="M143" i="27"/>
  <c r="L142" i="27"/>
  <c r="M142" i="27"/>
  <c r="N143" i="27"/>
  <c r="L143" i="27"/>
  <c r="B89" i="27"/>
  <c r="B42" i="27" s="1"/>
  <c r="O36" i="27"/>
  <c r="P36" i="27"/>
  <c r="P26" i="27"/>
  <c r="P3" i="27"/>
  <c r="O10" i="27"/>
  <c r="O12" i="27"/>
  <c r="O14" i="27"/>
  <c r="O16" i="27"/>
  <c r="O18" i="27"/>
  <c r="O26" i="27"/>
  <c r="K62" i="27"/>
  <c r="A50" i="27"/>
  <c r="A76" i="27"/>
  <c r="O19" i="27"/>
  <c r="N142" i="26"/>
  <c r="L142" i="26"/>
  <c r="N143" i="26"/>
  <c r="M143" i="26"/>
  <c r="M142" i="26"/>
  <c r="L143" i="26"/>
  <c r="R89" i="26"/>
  <c r="F114" i="26" s="1"/>
  <c r="B152" i="26" s="1"/>
  <c r="P26" i="26"/>
  <c r="P3" i="26"/>
  <c r="O10" i="26"/>
  <c r="O12" i="26"/>
  <c r="O14" i="26"/>
  <c r="O16" i="26"/>
  <c r="O18" i="26"/>
  <c r="O26" i="26"/>
  <c r="K62" i="26"/>
  <c r="A50" i="26"/>
  <c r="A76" i="26"/>
  <c r="M143" i="25"/>
  <c r="L142" i="25"/>
  <c r="M142" i="25"/>
  <c r="N143" i="25"/>
  <c r="N142" i="25"/>
  <c r="L143" i="25"/>
  <c r="R89" i="25"/>
  <c r="F114" i="25" s="1"/>
  <c r="B152" i="25" s="1"/>
  <c r="P26" i="25"/>
  <c r="P3" i="25"/>
  <c r="O10" i="25"/>
  <c r="O12" i="25"/>
  <c r="O14" i="25"/>
  <c r="O16" i="25"/>
  <c r="O18" i="25"/>
  <c r="O26" i="25"/>
  <c r="K62" i="25"/>
  <c r="A50" i="25"/>
  <c r="A76" i="25"/>
  <c r="O19" i="25"/>
  <c r="R89" i="23"/>
  <c r="F114" i="23" s="1"/>
  <c r="M143" i="22"/>
  <c r="P26" i="23"/>
  <c r="O36" i="23"/>
  <c r="P36" i="23"/>
  <c r="P3" i="23"/>
  <c r="O26" i="23"/>
  <c r="K62" i="23"/>
  <c r="A50" i="23"/>
  <c r="A76" i="23"/>
  <c r="O11" i="23"/>
  <c r="O13" i="23"/>
  <c r="O15" i="23"/>
  <c r="O17" i="23"/>
  <c r="O19" i="23"/>
  <c r="L142" i="22"/>
  <c r="N142" i="22"/>
  <c r="R89" i="22"/>
  <c r="F114" i="22" s="1"/>
  <c r="B152" i="22" s="1"/>
  <c r="M142" i="22"/>
  <c r="N143" i="22"/>
  <c r="L143" i="22"/>
  <c r="P26" i="22"/>
  <c r="P3" i="22"/>
  <c r="O10" i="22"/>
  <c r="O12" i="22"/>
  <c r="O14" i="22"/>
  <c r="O16" i="22"/>
  <c r="O18" i="22"/>
  <c r="O26" i="22"/>
  <c r="K62" i="22"/>
  <c r="A50" i="22"/>
  <c r="A76" i="22"/>
  <c r="M143" i="20"/>
  <c r="R89" i="21"/>
  <c r="F114" i="21" s="1"/>
  <c r="O26" i="21"/>
  <c r="P26" i="21"/>
  <c r="P3" i="21"/>
  <c r="O10" i="21"/>
  <c r="O12" i="21"/>
  <c r="O14" i="21"/>
  <c r="O16" i="21"/>
  <c r="O18" i="21"/>
  <c r="K62" i="21"/>
  <c r="A50" i="21"/>
  <c r="A76" i="21"/>
  <c r="L142" i="20"/>
  <c r="M142" i="20"/>
  <c r="N143" i="20"/>
  <c r="N142" i="20"/>
  <c r="L143" i="20"/>
  <c r="R89" i="20"/>
  <c r="F114" i="20" s="1"/>
  <c r="B152" i="20" s="1"/>
  <c r="O36" i="20"/>
  <c r="P36" i="20"/>
  <c r="P26" i="20"/>
  <c r="P3" i="20"/>
  <c r="O10" i="20"/>
  <c r="O12" i="20"/>
  <c r="O16" i="20"/>
  <c r="O26" i="20"/>
  <c r="K62" i="20"/>
  <c r="A50" i="20"/>
  <c r="A76" i="20"/>
  <c r="O11" i="20"/>
  <c r="O13" i="20"/>
  <c r="O15" i="20"/>
  <c r="O17" i="20"/>
  <c r="O19" i="20"/>
  <c r="M143" i="19"/>
  <c r="L143" i="19"/>
  <c r="L142" i="19"/>
  <c r="M142" i="19"/>
  <c r="N143" i="19"/>
  <c r="N142" i="19"/>
  <c r="R89" i="19"/>
  <c r="F114" i="19" s="1"/>
  <c r="B152" i="19" s="1"/>
  <c r="P26" i="19"/>
  <c r="P3" i="19"/>
  <c r="O10" i="19"/>
  <c r="O12" i="19"/>
  <c r="O14" i="19"/>
  <c r="O16" i="19"/>
  <c r="O18" i="19"/>
  <c r="O26" i="19"/>
  <c r="K62" i="19"/>
  <c r="A50" i="19"/>
  <c r="A76" i="19"/>
  <c r="L142" i="18"/>
  <c r="N143" i="18"/>
  <c r="M142" i="18"/>
  <c r="L143" i="18"/>
  <c r="M143" i="18"/>
  <c r="N142" i="18"/>
  <c r="R89" i="18"/>
  <c r="F114" i="18" s="1"/>
  <c r="B152" i="18" s="1"/>
  <c r="P26" i="18"/>
  <c r="P3" i="18"/>
  <c r="O10" i="18"/>
  <c r="O12" i="18"/>
  <c r="O14" i="18"/>
  <c r="O16" i="18"/>
  <c r="O18" i="18"/>
  <c r="O26" i="18"/>
  <c r="K62" i="18"/>
  <c r="A50" i="18"/>
  <c r="A76" i="18"/>
  <c r="O19" i="18"/>
  <c r="L142" i="17"/>
  <c r="M143" i="17"/>
  <c r="M142" i="17"/>
  <c r="N143" i="17"/>
  <c r="N142" i="17"/>
  <c r="L143" i="17"/>
  <c r="R89" i="17"/>
  <c r="F114" i="17" s="1"/>
  <c r="B152" i="17" s="1"/>
  <c r="O36" i="17"/>
  <c r="P36" i="17"/>
  <c r="P26" i="17"/>
  <c r="P3" i="17"/>
  <c r="O10" i="17"/>
  <c r="O12" i="17"/>
  <c r="O14" i="17"/>
  <c r="O16" i="17"/>
  <c r="O18" i="17"/>
  <c r="O26" i="17"/>
  <c r="K62" i="17"/>
  <c r="A50" i="17"/>
  <c r="A76" i="17"/>
  <c r="O11" i="17"/>
  <c r="O13" i="17"/>
  <c r="O15" i="17"/>
  <c r="O17" i="17"/>
  <c r="O19" i="17"/>
  <c r="N142" i="16"/>
  <c r="L143" i="16"/>
  <c r="N143" i="16"/>
  <c r="M142" i="16"/>
  <c r="R89" i="16"/>
  <c r="F114" i="16" s="1"/>
  <c r="B152" i="16" s="1"/>
  <c r="L142" i="16"/>
  <c r="M143" i="16"/>
  <c r="O36" i="16"/>
  <c r="P36" i="16"/>
  <c r="O4" i="16"/>
  <c r="O6" i="16"/>
  <c r="O8" i="16"/>
  <c r="O21" i="16"/>
  <c r="O23" i="16"/>
  <c r="O25" i="16"/>
  <c r="O27" i="16"/>
  <c r="O29" i="16"/>
  <c r="O31" i="16"/>
  <c r="O33" i="16"/>
  <c r="O35" i="16"/>
  <c r="O37" i="16"/>
  <c r="A50" i="16"/>
  <c r="A76" i="16"/>
  <c r="P31" i="16"/>
  <c r="F76" i="16"/>
  <c r="R89" i="15"/>
  <c r="F114" i="15" s="1"/>
  <c r="O36" i="15"/>
  <c r="P36" i="15"/>
  <c r="O4" i="15"/>
  <c r="O6" i="15"/>
  <c r="O8" i="15"/>
  <c r="O21" i="15"/>
  <c r="O23" i="15"/>
  <c r="O25" i="15"/>
  <c r="O27" i="15"/>
  <c r="O29" i="15"/>
  <c r="O31" i="15"/>
  <c r="O33" i="15"/>
  <c r="O35" i="15"/>
  <c r="O37" i="15"/>
  <c r="A50" i="15"/>
  <c r="A76" i="15"/>
  <c r="P31" i="15"/>
  <c r="F76" i="15"/>
  <c r="N143" i="13"/>
  <c r="N142" i="13"/>
  <c r="M142" i="13"/>
  <c r="L143" i="13"/>
  <c r="L142" i="13"/>
  <c r="M143" i="13"/>
  <c r="O36" i="13"/>
  <c r="P36" i="13"/>
  <c r="B89" i="13"/>
  <c r="B42" i="13" s="1"/>
  <c r="O2" i="13"/>
  <c r="O4" i="13"/>
  <c r="O6" i="13"/>
  <c r="O8" i="13"/>
  <c r="O21" i="13"/>
  <c r="O23" i="13"/>
  <c r="O25" i="13"/>
  <c r="O27" i="13"/>
  <c r="O29" i="13"/>
  <c r="O31" i="13"/>
  <c r="O33" i="13"/>
  <c r="O35" i="13"/>
  <c r="O37" i="13"/>
  <c r="O11" i="13"/>
  <c r="O13" i="13"/>
  <c r="O15" i="13"/>
  <c r="O17" i="13"/>
  <c r="O19" i="13"/>
  <c r="P31" i="13"/>
  <c r="F76" i="13"/>
  <c r="N142" i="12"/>
  <c r="N143" i="12"/>
  <c r="L142" i="12"/>
  <c r="L143" i="12"/>
  <c r="M143" i="12"/>
  <c r="B89" i="12"/>
  <c r="B42" i="12" s="1"/>
  <c r="O36" i="12"/>
  <c r="P36" i="12"/>
  <c r="M142" i="12"/>
  <c r="O4" i="12"/>
  <c r="O6" i="12"/>
  <c r="O8" i="12"/>
  <c r="O21" i="12"/>
  <c r="O23" i="12"/>
  <c r="O25" i="12"/>
  <c r="O27" i="12"/>
  <c r="O29" i="12"/>
  <c r="O31" i="12"/>
  <c r="O33" i="12"/>
  <c r="O35" i="12"/>
  <c r="O37" i="12"/>
  <c r="A50" i="12"/>
  <c r="P31" i="12"/>
  <c r="F76" i="12"/>
  <c r="M142" i="11"/>
  <c r="L143" i="11"/>
  <c r="L142" i="11"/>
  <c r="M143" i="11"/>
  <c r="N143" i="11"/>
  <c r="N142" i="11"/>
  <c r="B89" i="11"/>
  <c r="B42" i="11" s="1"/>
  <c r="O36" i="11"/>
  <c r="P3" i="11"/>
  <c r="P5" i="11"/>
  <c r="P7" i="11"/>
  <c r="P9" i="11"/>
  <c r="O10" i="11"/>
  <c r="P20" i="11"/>
  <c r="P22" i="11"/>
  <c r="P24" i="11"/>
  <c r="P28" i="11"/>
  <c r="P30" i="11"/>
  <c r="P32" i="11"/>
  <c r="P34" i="11"/>
  <c r="P36" i="11"/>
  <c r="K62" i="11"/>
  <c r="A50" i="11"/>
  <c r="A76" i="11"/>
  <c r="F76" i="11"/>
  <c r="N142" i="9"/>
  <c r="M143" i="9"/>
  <c r="L142" i="9"/>
  <c r="M142" i="9"/>
  <c r="N143" i="9"/>
  <c r="L143" i="9"/>
  <c r="R89" i="9"/>
  <c r="F114" i="9" s="1"/>
  <c r="B152" i="9" s="1"/>
  <c r="P26" i="9"/>
  <c r="P3" i="9"/>
  <c r="O10" i="9"/>
  <c r="O12" i="9"/>
  <c r="O14" i="9"/>
  <c r="O16" i="9"/>
  <c r="O18" i="9"/>
  <c r="O26" i="9"/>
  <c r="K62" i="9"/>
  <c r="A50" i="9"/>
  <c r="A76" i="9"/>
  <c r="L142" i="8"/>
  <c r="N142" i="8"/>
  <c r="M143" i="8"/>
  <c r="M142" i="8"/>
  <c r="N143" i="8"/>
  <c r="L143" i="8"/>
  <c r="R89" i="8"/>
  <c r="F114" i="8" s="1"/>
  <c r="B152" i="8" s="1"/>
  <c r="O26" i="8"/>
  <c r="P26" i="8"/>
  <c r="P3" i="8"/>
  <c r="O10" i="8"/>
  <c r="O12" i="8"/>
  <c r="O14" i="8"/>
  <c r="O16" i="8"/>
  <c r="O18" i="8"/>
  <c r="K62" i="8"/>
  <c r="A50" i="8"/>
  <c r="A76" i="8"/>
  <c r="R89" i="7"/>
  <c r="F114" i="7" s="1"/>
  <c r="O36" i="7"/>
  <c r="P36" i="7"/>
  <c r="O4" i="7"/>
  <c r="O6" i="7"/>
  <c r="O8" i="7"/>
  <c r="O21" i="7"/>
  <c r="O23" i="7"/>
  <c r="O27" i="7"/>
  <c r="O29" i="7"/>
  <c r="O31" i="7"/>
  <c r="O33" i="7"/>
  <c r="O35" i="7"/>
  <c r="O37" i="7"/>
  <c r="A50" i="7"/>
  <c r="A76" i="7"/>
  <c r="O25" i="7"/>
  <c r="P31" i="7"/>
  <c r="N142" i="6"/>
  <c r="L142" i="6"/>
  <c r="L143" i="6"/>
  <c r="N143" i="6"/>
  <c r="B89" i="6"/>
  <c r="B42" i="6" s="1"/>
  <c r="O36" i="6"/>
  <c r="P36" i="6"/>
  <c r="M142" i="6"/>
  <c r="M143" i="6"/>
  <c r="O4" i="6"/>
  <c r="O6" i="6"/>
  <c r="O8" i="6"/>
  <c r="O21" i="6"/>
  <c r="O23" i="6"/>
  <c r="O25" i="6"/>
  <c r="O27" i="6"/>
  <c r="O29" i="6"/>
  <c r="O31" i="6"/>
  <c r="O33" i="6"/>
  <c r="O35" i="6"/>
  <c r="O37" i="6"/>
  <c r="A50" i="6"/>
  <c r="P31" i="6"/>
  <c r="F76" i="6"/>
  <c r="L143" i="5"/>
  <c r="N142" i="5"/>
  <c r="N143" i="5"/>
  <c r="L142" i="5"/>
  <c r="M143" i="5"/>
  <c r="B89" i="5"/>
  <c r="B42" i="5" s="1"/>
  <c r="O36" i="5"/>
  <c r="P36" i="5"/>
  <c r="M142" i="5"/>
  <c r="O4" i="5"/>
  <c r="O6" i="5"/>
  <c r="O8" i="5"/>
  <c r="O21" i="5"/>
  <c r="O23" i="5"/>
  <c r="O27" i="5"/>
  <c r="O29" i="5"/>
  <c r="O31" i="5"/>
  <c r="O33" i="5"/>
  <c r="O35" i="5"/>
  <c r="O37" i="5"/>
  <c r="A50" i="5"/>
  <c r="O25" i="5"/>
  <c r="P31" i="5"/>
  <c r="F76" i="5"/>
  <c r="O36" i="4"/>
  <c r="P36" i="4"/>
  <c r="O2" i="4"/>
  <c r="O4" i="4"/>
  <c r="O6" i="4"/>
  <c r="O8" i="4"/>
  <c r="O21" i="4"/>
  <c r="O23" i="4"/>
  <c r="O25" i="4"/>
  <c r="O27" i="4"/>
  <c r="O29" i="4"/>
  <c r="O31" i="4"/>
  <c r="O33" i="4"/>
  <c r="O35" i="4"/>
  <c r="O37" i="4"/>
  <c r="A50" i="4"/>
  <c r="A76" i="4"/>
  <c r="O11" i="4"/>
  <c r="O13" i="4"/>
  <c r="O15" i="4"/>
  <c r="O17" i="4"/>
  <c r="O19" i="4"/>
  <c r="P31" i="4"/>
  <c r="F76" i="4"/>
  <c r="B89" i="4"/>
  <c r="B42" i="4" s="1"/>
  <c r="P25" i="36" l="1"/>
  <c r="O25" i="36"/>
  <c r="P25" i="35"/>
  <c r="O25" i="35"/>
  <c r="P25" i="34"/>
  <c r="O25" i="34"/>
  <c r="P25" i="33"/>
  <c r="O25" i="33"/>
  <c r="P25" i="32"/>
  <c r="O25" i="32"/>
  <c r="P25" i="31"/>
  <c r="O25" i="31"/>
  <c r="P25" i="30"/>
  <c r="O25" i="30"/>
  <c r="P25" i="29"/>
  <c r="O25" i="29"/>
  <c r="P25" i="28"/>
  <c r="O25" i="28"/>
  <c r="P25" i="27"/>
  <c r="O25" i="27"/>
  <c r="P25" i="26"/>
  <c r="O25" i="26"/>
  <c r="P25" i="25"/>
  <c r="O25" i="25"/>
  <c r="P25" i="23"/>
  <c r="O25" i="23"/>
  <c r="P25" i="22"/>
  <c r="O25" i="22"/>
  <c r="P25" i="21"/>
  <c r="O25" i="21"/>
  <c r="P25" i="20"/>
  <c r="O25" i="20"/>
  <c r="P25" i="19"/>
  <c r="O25" i="19"/>
  <c r="P25" i="18"/>
  <c r="O25" i="18"/>
  <c r="P25" i="17"/>
  <c r="O25" i="17"/>
  <c r="O26" i="16"/>
  <c r="P26" i="16"/>
  <c r="O26" i="15"/>
  <c r="P26" i="15"/>
  <c r="O26" i="13"/>
  <c r="P26" i="13"/>
  <c r="O26" i="12"/>
  <c r="P26" i="12"/>
  <c r="P25" i="11"/>
  <c r="O25" i="11"/>
  <c r="O26" i="11"/>
  <c r="P26" i="11"/>
  <c r="P25" i="9"/>
  <c r="O25" i="9"/>
  <c r="P25" i="8"/>
  <c r="O25" i="8"/>
  <c r="O26" i="7"/>
  <c r="P26" i="7"/>
  <c r="O26" i="6"/>
  <c r="P26" i="6"/>
  <c r="O26" i="5"/>
  <c r="P26" i="5"/>
  <c r="O26" i="4"/>
  <c r="P26" i="4"/>
</calcChain>
</file>

<file path=xl/sharedStrings.xml><?xml version="1.0" encoding="utf-8"?>
<sst xmlns="http://schemas.openxmlformats.org/spreadsheetml/2006/main" count="5018" uniqueCount="655">
  <si>
    <t>Contents</t>
  </si>
  <si>
    <t>Segments in this document:</t>
  </si>
  <si>
    <t>Summary Table</t>
  </si>
  <si>
    <t>Back to
home page</t>
  </si>
  <si>
    <t>Fleet segment</t>
  </si>
  <si>
    <t>Main stock by value</t>
  </si>
  <si>
    <t>No. Vessels</t>
  </si>
  <si>
    <t>Average days at sea per vessel</t>
  </si>
  <si>
    <t>Total landings (tonnes)</t>
  </si>
  <si>
    <t>Landing per kW day at sea (kg)</t>
  </si>
  <si>
    <t>Income per kW day at sea (£)</t>
  </si>
  <si>
    <t>Total cost per kW day at sea (£)</t>
  </si>
  <si>
    <t>Operating profit per kW day at sea (£)</t>
  </si>
  <si>
    <t>2018 data only</t>
  </si>
  <si>
    <t>Landing per kW day at sea
2009-2018
(% change)</t>
  </si>
  <si>
    <t>Area VIIA demersal trawl</t>
  </si>
  <si>
    <t>Haddock</t>
  </si>
  <si>
    <t>ô</t>
  </si>
  <si>
    <t>ö</t>
  </si>
  <si>
    <t>Adjusted values (£)</t>
  </si>
  <si>
    <t>Back to home page</t>
  </si>
  <si>
    <t>Variable</t>
  </si>
  <si>
    <t>Segment totals</t>
  </si>
  <si>
    <t>Vessel characteristics
(Average per vessel)</t>
  </si>
  <si>
    <t>Average price per tonne landed (£)</t>
  </si>
  <si>
    <t>Performance indicators</t>
  </si>
  <si>
    <t>Income, costs and profit
(Average per vessel)</t>
  </si>
  <si>
    <t>Notes:</t>
  </si>
  <si>
    <t xml:space="preserve">Sample rate for vessel characteristics and fishing income is 100%, taken from official data. Sample rates for non-fishing income and costs vary due to availability of financial accounts. See sample rate tab for details. </t>
  </si>
  <si>
    <t>Indicator</t>
  </si>
  <si>
    <t>Landings</t>
  </si>
  <si>
    <t>Income</t>
  </si>
  <si>
    <t>Costs</t>
  </si>
  <si>
    <t>Profit</t>
  </si>
  <si>
    <t>(per kilowatt day at sea)</t>
  </si>
  <si>
    <t>Trend</t>
  </si>
  <si>
    <t>Graphical Interpretation</t>
  </si>
  <si>
    <t>adjusted to 2017 prices</t>
  </si>
  <si>
    <t>nominal values</t>
  </si>
  <si>
    <t>Nominal values (£)</t>
  </si>
  <si>
    <t>Quartiles</t>
  </si>
  <si>
    <t>Most
profitable
quartile</t>
  </si>
  <si>
    <t>Middle
two quartiles</t>
  </si>
  <si>
    <t>Least
profitable
quartile</t>
  </si>
  <si>
    <t>Segment
average</t>
  </si>
  <si>
    <t>Fuel efficiency</t>
  </si>
  <si>
    <t>Earnings &amp; Costs</t>
  </si>
  <si>
    <t>Quartiles are based on operating profit margin.</t>
  </si>
  <si>
    <t>Version: March 2019</t>
  </si>
  <si>
    <t>Trend
2008-2018</t>
  </si>
  <si>
    <t>Active vessels (#)</t>
  </si>
  <si>
    <t>Power (kW)</t>
  </si>
  <si>
    <t>Registered Tonnage (GT)</t>
  </si>
  <si>
    <t>VCU (unit)</t>
  </si>
  <si>
    <t>Landings (tonnes)</t>
  </si>
  <si>
    <t>Fishing Income (£ million)</t>
  </si>
  <si>
    <t>Days at Sea (days)</t>
  </si>
  <si>
    <t>FTEs (#)</t>
  </si>
  <si>
    <t>Length (m)</t>
  </si>
  <si>
    <t>Fishing Income (£'000)</t>
  </si>
  <si>
    <t>Vessel Age (year)</t>
  </si>
  <si>
    <t>Landings per day at sea (tonnes)</t>
  </si>
  <si>
    <t>Landings per kW day at sea (kg)</t>
  </si>
  <si>
    <t>Fishing income per kW day at sea (£)</t>
  </si>
  <si>
    <t>Fishing income per FTE (£'000)</t>
  </si>
  <si>
    <t>Operating profit per FTE (£'000)</t>
  </si>
  <si>
    <t>Non Fishing Income (£'000)</t>
  </si>
  <si>
    <t>Total Income (£'000)</t>
  </si>
  <si>
    <t>Fuel (£'000)</t>
  </si>
  <si>
    <t>Crew share (£'000)</t>
  </si>
  <si>
    <t>Other Fishing Costs (£'000)</t>
  </si>
  <si>
    <t>Total Fishing Costs (£'000)</t>
  </si>
  <si>
    <t>Total Vessel Costs (£'000)</t>
  </si>
  <si>
    <t>Total Costs (£'000)</t>
  </si>
  <si>
    <t>Gross Value Added (£'000)</t>
  </si>
  <si>
    <t>Operating Profit (£'000)</t>
  </si>
  <si>
    <t>Depreciation (£'000)</t>
  </si>
  <si>
    <t>Interest (£'000)</t>
  </si>
  <si>
    <t>Other Finance Costs (£'000)</t>
  </si>
  <si>
    <t>Net Profit (£'000)</t>
  </si>
  <si>
    <t>Performance indicators 2009-2018</t>
  </si>
  <si>
    <t>Haddock - 39.4%</t>
  </si>
  <si>
    <t>Haddock - 31.6%</t>
  </si>
  <si>
    <t>Nephrops - 16.1%</t>
  </si>
  <si>
    <t>Nephrops - 22.1%</t>
  </si>
  <si>
    <t>Scallops - 8.9%</t>
  </si>
  <si>
    <t>Scallops - 13.1%</t>
  </si>
  <si>
    <t>Hake - 8.4%</t>
  </si>
  <si>
    <t>Hake - 8.9%</t>
  </si>
  <si>
    <t>Brown Crab - 6.6%</t>
  </si>
  <si>
    <t>Cuttlefish - 8.8%</t>
  </si>
  <si>
    <t>Others - 20.6%</t>
  </si>
  <si>
    <t>Others - 15.4%</t>
  </si>
  <si>
    <t>Nephrops</t>
  </si>
  <si>
    <t>Scallops</t>
  </si>
  <si>
    <t>Hake</t>
  </si>
  <si>
    <t>Cuttlefish</t>
  </si>
  <si>
    <t>Cod</t>
  </si>
  <si>
    <t>Brown Crab</t>
  </si>
  <si>
    <t>Queen Scallops</t>
  </si>
  <si>
    <t>Thornback Ray</t>
  </si>
  <si>
    <t>Others</t>
  </si>
  <si>
    <t>Annual cost of fuel (£'000)</t>
  </si>
  <si>
    <t>Annual fuel use (litre)</t>
  </si>
  <si>
    <t>Fuel use per day (litre)</t>
  </si>
  <si>
    <t>Cost of fuel per day (£)</t>
  </si>
  <si>
    <t>Cost of fuel per tonne landed (£)</t>
  </si>
  <si>
    <t>Total income</t>
  </si>
  <si>
    <t>Total income (£'000)</t>
  </si>
  <si>
    <t>Operating costs</t>
  </si>
  <si>
    <t>Operating costs (£'000)</t>
  </si>
  <si>
    <t>Operating profit</t>
  </si>
  <si>
    <t>Operating profit (£'000)</t>
  </si>
  <si>
    <t>Value in £'000</t>
  </si>
  <si>
    <t>Total income, operating costs and operating profit  in 2017</t>
  </si>
  <si>
    <t>Middle 
two quartiles</t>
  </si>
  <si>
    <t>color</t>
  </si>
  <si>
    <t>Top 5 landed species by volume in 2017</t>
  </si>
  <si>
    <t>Top 5 landed species by value in 2017</t>
  </si>
  <si>
    <t>Pollack</t>
  </si>
  <si>
    <t>Les. Spot. Dog</t>
  </si>
  <si>
    <t>Anglerfish</t>
  </si>
  <si>
    <t>Area VIIA nephrops over 250kW</t>
  </si>
  <si>
    <t>ð</t>
  </si>
  <si>
    <t>Nephrops - 80.9%</t>
  </si>
  <si>
    <t>Nephrops - 89.2%</t>
  </si>
  <si>
    <t>Les. Spot. Dog - 6.9%</t>
  </si>
  <si>
    <t>Anglerfish - 3.5%</t>
  </si>
  <si>
    <t>Haddock - 4.2%</t>
  </si>
  <si>
    <t>Haddock - 2.4%</t>
  </si>
  <si>
    <t>Anglerfish - 3.4%</t>
  </si>
  <si>
    <t>Cuttlefish - 1.4%</t>
  </si>
  <si>
    <t>Cuttlefish - 1.0%</t>
  </si>
  <si>
    <t>Brill - 0.6%</t>
  </si>
  <si>
    <t>Others - 3.7%</t>
  </si>
  <si>
    <t>Others - 2.9%</t>
  </si>
  <si>
    <t>Brill</t>
  </si>
  <si>
    <t>Squid</t>
  </si>
  <si>
    <t>Turbot</t>
  </si>
  <si>
    <t>Albacore</t>
  </si>
  <si>
    <t>Area VIIA nephrops under 250kW</t>
  </si>
  <si>
    <t>Nephrops - 75.9%</t>
  </si>
  <si>
    <t>Nephrops - 83.2%</t>
  </si>
  <si>
    <t>Scallops - 5.7%</t>
  </si>
  <si>
    <t>Scallops - 8.3%</t>
  </si>
  <si>
    <t>Les. Spot. Dog - 4.1%</t>
  </si>
  <si>
    <t>Haddock - 2.0%</t>
  </si>
  <si>
    <t>Haddock - 4.0%</t>
  </si>
  <si>
    <t>Anglerfish - 1.7%</t>
  </si>
  <si>
    <t>Mussels - 3.5%</t>
  </si>
  <si>
    <t>Mussels - 1.2%</t>
  </si>
  <si>
    <t>Others - 6.9%</t>
  </si>
  <si>
    <t>Others - 3.6%</t>
  </si>
  <si>
    <t>Mussels</t>
  </si>
  <si>
    <t>Razor Clam</t>
  </si>
  <si>
    <t>Area VIIBCDEFGHK 24-40m</t>
  </si>
  <si>
    <t>Anglerfish - 38.4%</t>
  </si>
  <si>
    <t>Anglerfish - 43.7%</t>
  </si>
  <si>
    <t>Megrim - 28.8%</t>
  </si>
  <si>
    <t>Megrim - 31.1%</t>
  </si>
  <si>
    <t>Hake - 7.4%</t>
  </si>
  <si>
    <t>Nephrops - 7.8%</t>
  </si>
  <si>
    <t>Nephrops - 4.4%</t>
  </si>
  <si>
    <t>Hake - 4.7%</t>
  </si>
  <si>
    <t>Witch - 3.5%</t>
  </si>
  <si>
    <t>Witch - 2.7%</t>
  </si>
  <si>
    <t>Others - 17.5%</t>
  </si>
  <si>
    <t>Others - 9.9%</t>
  </si>
  <si>
    <t>Megrim</t>
  </si>
  <si>
    <t>Witch</t>
  </si>
  <si>
    <t>Plaice</t>
  </si>
  <si>
    <t>Red Mullet</t>
  </si>
  <si>
    <t>John Dory</t>
  </si>
  <si>
    <t>Area VIIBCDEFGHK trawlers 10-24m</t>
  </si>
  <si>
    <t>ø</t>
  </si>
  <si>
    <t>Sprats - 28.7%</t>
  </si>
  <si>
    <t>Cuttlefish - 35.6%</t>
  </si>
  <si>
    <t>Cuttlefish - 18.9%</t>
  </si>
  <si>
    <t>Lemon Sole - 12.2%</t>
  </si>
  <si>
    <t>Lemon Sole - 4.7%</t>
  </si>
  <si>
    <t>Squid - 7.3%</t>
  </si>
  <si>
    <t>Whiting - 4.6%</t>
  </si>
  <si>
    <t>Anglerfish - 5.8%</t>
  </si>
  <si>
    <t>Pilchards - 4.5%</t>
  </si>
  <si>
    <t>John Dory - 4.0%</t>
  </si>
  <si>
    <t>Others - 38.6%</t>
  </si>
  <si>
    <t>Others - 35.2%</t>
  </si>
  <si>
    <t>Lemon Sole</t>
  </si>
  <si>
    <t>Blonde Ray</t>
  </si>
  <si>
    <t>Bass</t>
  </si>
  <si>
    <t>Sprats</t>
  </si>
  <si>
    <t>Whiting</t>
  </si>
  <si>
    <t>Pilchards</t>
  </si>
  <si>
    <t>Gill netters</t>
  </si>
  <si>
    <t>Anglerfish - 40.3%</t>
  </si>
  <si>
    <t>Anglerfish - 41.4%</t>
  </si>
  <si>
    <t>Pilchards - 21.3%</t>
  </si>
  <si>
    <t>Hake - 27.5%</t>
  </si>
  <si>
    <t>Hake - 19.3%</t>
  </si>
  <si>
    <t>Pollack - 8.4%</t>
  </si>
  <si>
    <t>Pollack - 7.0%</t>
  </si>
  <si>
    <t>Turbot - 8.1%</t>
  </si>
  <si>
    <t>Ling - 1.9%</t>
  </si>
  <si>
    <t>Pilchards - 3.6%</t>
  </si>
  <si>
    <t>Others - 10.3%</t>
  </si>
  <si>
    <t>Others - 11.1%</t>
  </si>
  <si>
    <t>Ling</t>
  </si>
  <si>
    <t>Inactive</t>
  </si>
  <si>
    <t xml:space="preserve"> </t>
  </si>
  <si>
    <t xml:space="preserve"> - </t>
  </si>
  <si>
    <t>Others - 100.0%</t>
  </si>
  <si>
    <t>Longliners</t>
  </si>
  <si>
    <t>Hake - 79.0%</t>
  </si>
  <si>
    <t>Hake - 79.5%</t>
  </si>
  <si>
    <t>Ling - 15.4%</t>
  </si>
  <si>
    <t>Ling - 10.8%</t>
  </si>
  <si>
    <t>Scallops - 2.6%</t>
  </si>
  <si>
    <t>Razor Clam - 4.4%</t>
  </si>
  <si>
    <t>Razor Clam - 1.7%</t>
  </si>
  <si>
    <t>Scallops - 3.3%</t>
  </si>
  <si>
    <t>Blue Mouth Redfish - 0.5%</t>
  </si>
  <si>
    <t>Bass - 0.7%</t>
  </si>
  <si>
    <t>Others - 0.8%</t>
  </si>
  <si>
    <t>Others - 1.2%</t>
  </si>
  <si>
    <t>Blue Mouth Redfish</t>
  </si>
  <si>
    <t>Greater Forked Beard</t>
  </si>
  <si>
    <t>Bream - Ray's</t>
  </si>
  <si>
    <t>Smoothhound</t>
  </si>
  <si>
    <t>Saithe</t>
  </si>
  <si>
    <t>Low activity over 10m</t>
  </si>
  <si>
    <t>Lobsters</t>
  </si>
  <si>
    <t>Pilchards - 58.8%</t>
  </si>
  <si>
    <t>Nephrops - 27.2%</t>
  </si>
  <si>
    <t>Cockles - 8.0%</t>
  </si>
  <si>
    <t>Lobsters - 16.2%</t>
  </si>
  <si>
    <t>Herring - 6.6%</t>
  </si>
  <si>
    <t>Whelks - 8.1%</t>
  </si>
  <si>
    <t>Whelks - 4.3%</t>
  </si>
  <si>
    <t>Cockles - 6.9%</t>
  </si>
  <si>
    <t>Nephrops - 3.8%</t>
  </si>
  <si>
    <t>Brown Shrimps - 6.5%</t>
  </si>
  <si>
    <t>Others - 18.5%</t>
  </si>
  <si>
    <t>Whelks</t>
  </si>
  <si>
    <t>Cockles</t>
  </si>
  <si>
    <t>Brown Shrimps</t>
  </si>
  <si>
    <t>Sole</t>
  </si>
  <si>
    <t>Velvet Crab</t>
  </si>
  <si>
    <t>Herring</t>
  </si>
  <si>
    <t>Anchovy</t>
  </si>
  <si>
    <t>Mullet</t>
  </si>
  <si>
    <t>Low activity under 10m</t>
  </si>
  <si>
    <t>Mackerel - 21.0%</t>
  </si>
  <si>
    <t>Lobsters - 32.0%</t>
  </si>
  <si>
    <t>Brown Crab - 12.5%</t>
  </si>
  <si>
    <t>Bass - 13.3%</t>
  </si>
  <si>
    <t>Lobsters - 7.5%</t>
  </si>
  <si>
    <t>Mackerel - 9.8%</t>
  </si>
  <si>
    <t>Whelks - 6.7%</t>
  </si>
  <si>
    <t>Brown Crab - 6.0%</t>
  </si>
  <si>
    <t>Velvet Crab - 5.9%</t>
  </si>
  <si>
    <t>Velvet Crab - 5.5%</t>
  </si>
  <si>
    <t>Others - 46.5%</t>
  </si>
  <si>
    <t>Others - 33.4%</t>
  </si>
  <si>
    <t>Mackerel</t>
  </si>
  <si>
    <t>Miscellaneous</t>
  </si>
  <si>
    <t>North Sea beam trawl over 300kW</t>
  </si>
  <si>
    <t>Plaice - 84.9%</t>
  </si>
  <si>
    <t>Plaice - 63.3%</t>
  </si>
  <si>
    <t>Sole - 4.0%</t>
  </si>
  <si>
    <t>Sole - 19.0%</t>
  </si>
  <si>
    <t>Turbot - 2.4%</t>
  </si>
  <si>
    <t>Turbot - 8.7%</t>
  </si>
  <si>
    <t>Dabs - 2.2%</t>
  </si>
  <si>
    <t>Lemon Sole - 2.9%</t>
  </si>
  <si>
    <t>Lemon Sole - 1.8%</t>
  </si>
  <si>
    <t>Brill - 2.8%</t>
  </si>
  <si>
    <t>Others - 4.8%</t>
  </si>
  <si>
    <t>Others - 3.3%</t>
  </si>
  <si>
    <t>Dabs</t>
  </si>
  <si>
    <t>North Sea beam trawl under 300kW</t>
  </si>
  <si>
    <t>Brown Shrimps - 95.1%</t>
  </si>
  <si>
    <t>Brown Shrimps - 97.8%</t>
  </si>
  <si>
    <t>Scallops - 2.8%</t>
  </si>
  <si>
    <t>Scallops - 2.0%</t>
  </si>
  <si>
    <t>Cockles - 2.1%</t>
  </si>
  <si>
    <t>Cockles - 0.3%</t>
  </si>
  <si>
    <t>Others - 0.0%</t>
  </si>
  <si>
    <t>Pink Shrimps</t>
  </si>
  <si>
    <t>North Sea nephrops over 300kW</t>
  </si>
  <si>
    <t>Nephrops - 45.3%</t>
  </si>
  <si>
    <t>Nephrops - 61.2%</t>
  </si>
  <si>
    <t>Anglerfish - 11.8%</t>
  </si>
  <si>
    <t>Anglerfish - 14.2%</t>
  </si>
  <si>
    <t>Haddock - 10.6%</t>
  </si>
  <si>
    <t>Cod - 4.8%</t>
  </si>
  <si>
    <t>Whiting - 7.6%</t>
  </si>
  <si>
    <t>Cod - 5.9%</t>
  </si>
  <si>
    <t>Whiting - 3.2%</t>
  </si>
  <si>
    <t>Others - 18.7%</t>
  </si>
  <si>
    <t>Others - 12.4%</t>
  </si>
  <si>
    <t>North Sea nephrops under 300kW</t>
  </si>
  <si>
    <t>Nephrops - 70.1%</t>
  </si>
  <si>
    <t>Nephrops - 82.5%</t>
  </si>
  <si>
    <t>Haddock - 7.2%</t>
  </si>
  <si>
    <t>Haddock - 2.9%</t>
  </si>
  <si>
    <t>Whiting - 4.8%</t>
  </si>
  <si>
    <t>Anglerfish - 2.8%</t>
  </si>
  <si>
    <t>Squid - 3.4%</t>
  </si>
  <si>
    <t>Squid - 2.6%</t>
  </si>
  <si>
    <t>Squid - 2.1%</t>
  </si>
  <si>
    <t>Others - 11.6%</t>
  </si>
  <si>
    <t>Others - 7.2%</t>
  </si>
  <si>
    <t>Red Gurnard</t>
  </si>
  <si>
    <t>NSWOS demersal over 24m</t>
  </si>
  <si>
    <t>Haddock - 25.8%</t>
  </si>
  <si>
    <t>Haddock - 22.3%</t>
  </si>
  <si>
    <t>Cod - 15.1%</t>
  </si>
  <si>
    <t>Cod - 17.8%</t>
  </si>
  <si>
    <t>Saithe - 13.3%</t>
  </si>
  <si>
    <t>Anglerfish - 17.0%</t>
  </si>
  <si>
    <t>Plaice - 12.5%</t>
  </si>
  <si>
    <t>Plaice - 9.4%</t>
  </si>
  <si>
    <t>Anglerfish - 10.5%</t>
  </si>
  <si>
    <t>Saithe - 6.9%</t>
  </si>
  <si>
    <t>Others - 22.9%</t>
  </si>
  <si>
    <t>Others - 26.5%</t>
  </si>
  <si>
    <t>NSWOS demersal pair trawl seine</t>
  </si>
  <si>
    <t>Haddock - 35.8%</t>
  </si>
  <si>
    <t>Haddock - 31.2%</t>
  </si>
  <si>
    <t>Cod - 23.1%</t>
  </si>
  <si>
    <t>Cod - 30.3%</t>
  </si>
  <si>
    <t>Hake - 12.5%</t>
  </si>
  <si>
    <t>Hake - 13.6%</t>
  </si>
  <si>
    <t>Saithe - 10.7%</t>
  </si>
  <si>
    <t>Whiting - 7.4%</t>
  </si>
  <si>
    <t>Whiting - 9.6%</t>
  </si>
  <si>
    <t>Saithe - 6.0%</t>
  </si>
  <si>
    <t>Others - 8.4%</t>
  </si>
  <si>
    <t>Others - 11.4%</t>
  </si>
  <si>
    <t>NSWOS demersal seiners</t>
  </si>
  <si>
    <t>Haddock - 32.4%</t>
  </si>
  <si>
    <t>Haddock - 25.7%</t>
  </si>
  <si>
    <t>Cod - 15.5%</t>
  </si>
  <si>
    <t>Cod - 21.1%</t>
  </si>
  <si>
    <t>Whiting - 15.4%</t>
  </si>
  <si>
    <t>Whiting - 12.1%</t>
  </si>
  <si>
    <t>Plaice - 13.5%</t>
  </si>
  <si>
    <t>Plaice - 10.4%</t>
  </si>
  <si>
    <t>Hake - 4.0%</t>
  </si>
  <si>
    <t>Squid - 6.3%</t>
  </si>
  <si>
    <t>Others - 19.3%</t>
  </si>
  <si>
    <t>Others - 24.4%</t>
  </si>
  <si>
    <t>NSWOS demersal under 24m over 300kW</t>
  </si>
  <si>
    <t>Anglerfish - 21.0%</t>
  </si>
  <si>
    <t>Anglerfish - 28.5%</t>
  </si>
  <si>
    <t>Haddock - 17.3%</t>
  </si>
  <si>
    <t>Cod - 16.7%</t>
  </si>
  <si>
    <t>Cod - 16.4%</t>
  </si>
  <si>
    <t>Nephrops - 11.0%</t>
  </si>
  <si>
    <t>Saithe - 7.3%</t>
  </si>
  <si>
    <t>Haddock - 10.7%</t>
  </si>
  <si>
    <t>Whiting - 7.1%</t>
  </si>
  <si>
    <t>Megrim - 6.0%</t>
  </si>
  <si>
    <t>Others - 31.0%</t>
  </si>
  <si>
    <t>Others - 27.1%</t>
  </si>
  <si>
    <t>NSWOS demersal under 24m under 300kW</t>
  </si>
  <si>
    <t>Anglerfish - 23.8%</t>
  </si>
  <si>
    <t>Squid - 27.5%</t>
  </si>
  <si>
    <t>Squid - 15.6%</t>
  </si>
  <si>
    <t>Anglerfish - 25.4%</t>
  </si>
  <si>
    <t>Cod - 14.3%</t>
  </si>
  <si>
    <t>Cod - 11.6%</t>
  </si>
  <si>
    <t>Haddock - 7.6%</t>
  </si>
  <si>
    <t>Nephrops - 8.6%</t>
  </si>
  <si>
    <t>Nephrops - 7.0%</t>
  </si>
  <si>
    <t>Megrim - 6.6%</t>
  </si>
  <si>
    <t>Others - 31.8%</t>
  </si>
  <si>
    <t>Others - 20.3%</t>
  </si>
  <si>
    <t>Pelagic over 40m</t>
  </si>
  <si>
    <t>Spurdog</t>
  </si>
  <si>
    <t>Pots and traps 10-12m</t>
  </si>
  <si>
    <t>Brown Crab - 43.6%</t>
  </si>
  <si>
    <t>Brown Crab - 30.7%</t>
  </si>
  <si>
    <t>Whelks - 41.4%</t>
  </si>
  <si>
    <t>Lobsters - 30.5%</t>
  </si>
  <si>
    <t>Lobsters - 5.4%</t>
  </si>
  <si>
    <t>Whelks - 19.8%</t>
  </si>
  <si>
    <t>Nephrops - 4.7%</t>
  </si>
  <si>
    <t>Nephrops - 13.5%</t>
  </si>
  <si>
    <t>Velvet Crab - 2.1%</t>
  </si>
  <si>
    <t>Velvet Crab - 2.7%</t>
  </si>
  <si>
    <t>Others - 2.8%</t>
  </si>
  <si>
    <t>Pots and traps over 12m</t>
  </si>
  <si>
    <t>Brown Crab - 69.5%</t>
  </si>
  <si>
    <t>Brown Crab - 65.6%</t>
  </si>
  <si>
    <t>Whelks - 27.3%</t>
  </si>
  <si>
    <t>Whelks - 16.5%</t>
  </si>
  <si>
    <t>Lobsters - 2.1%</t>
  </si>
  <si>
    <t>Lobsters - 15.5%</t>
  </si>
  <si>
    <t>Nephrops - 0.4%</t>
  </si>
  <si>
    <t>Nephrops - 1.7%</t>
  </si>
  <si>
    <t>Scallops - 0.3%</t>
  </si>
  <si>
    <t>Others - 0.3%</t>
  </si>
  <si>
    <t>Others - 0.4%</t>
  </si>
  <si>
    <t>Spider Crabs</t>
  </si>
  <si>
    <t>South West beamers over 250kW</t>
  </si>
  <si>
    <t>Cuttlefish - 31.3%</t>
  </si>
  <si>
    <t>Cuttlefish - 34.4%</t>
  </si>
  <si>
    <t>Anglerfish - 15.9%</t>
  </si>
  <si>
    <t>Sole - 16.7%</t>
  </si>
  <si>
    <t>Scallops - 9.0%</t>
  </si>
  <si>
    <t>Anglerfish - 14.7%</t>
  </si>
  <si>
    <t>Plaice - 8.0%</t>
  </si>
  <si>
    <t>Scallops - 6.0%</t>
  </si>
  <si>
    <t>Megrim - 7.0%</t>
  </si>
  <si>
    <t>Megrim - 5.8%</t>
  </si>
  <si>
    <t>Others - 28.8%</t>
  </si>
  <si>
    <t>Others - 22.4%</t>
  </si>
  <si>
    <t>Gurnard</t>
  </si>
  <si>
    <t>South West beamers under 250kW</t>
  </si>
  <si>
    <t>Cuttlefish - 31.4%</t>
  </si>
  <si>
    <t>Cuttlefish - 32.0%</t>
  </si>
  <si>
    <t>Plaice - 16.2%</t>
  </si>
  <si>
    <t>Sole - 27.2%</t>
  </si>
  <si>
    <t>Anglerfish - 10.7%</t>
  </si>
  <si>
    <t>Anglerfish - 9.3%</t>
  </si>
  <si>
    <t>Sole - 9.5%</t>
  </si>
  <si>
    <t>Plaice - 7.0%</t>
  </si>
  <si>
    <t>Scallops - 5.4%</t>
  </si>
  <si>
    <t>Turbot - 4.9%</t>
  </si>
  <si>
    <t>Others - 26.7%</t>
  </si>
  <si>
    <t>Others - 19.5%</t>
  </si>
  <si>
    <t>UK scallop dredge over 15m</t>
  </si>
  <si>
    <t>Scallops - 76.2%</t>
  </si>
  <si>
    <t>Scallops - 88.6%</t>
  </si>
  <si>
    <t>Queen Scallops - 22.7%</t>
  </si>
  <si>
    <t>Queen Scallops - 9.9%</t>
  </si>
  <si>
    <t>Nephrops - 0.5%</t>
  </si>
  <si>
    <t>Nephrops - 0.6%</t>
  </si>
  <si>
    <t>Anglerfish - 0.1%</t>
  </si>
  <si>
    <t>Turbot - 0.3%</t>
  </si>
  <si>
    <t>Cod - 0.1%</t>
  </si>
  <si>
    <t>Others - 0.5%</t>
  </si>
  <si>
    <t>UK scallop dredge under 15m</t>
  </si>
  <si>
    <t>Scallops - 50.7%</t>
  </si>
  <si>
    <t>Scallops - 70.9%</t>
  </si>
  <si>
    <t>Cockles - 34.0%</t>
  </si>
  <si>
    <t>Cockles - 14.0%</t>
  </si>
  <si>
    <t>Queen Scallops - 6.5%</t>
  </si>
  <si>
    <t>Queen Scallops - 3.4%</t>
  </si>
  <si>
    <t>Mussels - 3.3%</t>
  </si>
  <si>
    <t>Manilla Clam - 1.8%</t>
  </si>
  <si>
    <t>Manilla Clam - 0.8%</t>
  </si>
  <si>
    <t>Mussels - 1.5%</t>
  </si>
  <si>
    <t>Others - 8.5%</t>
  </si>
  <si>
    <t>Manilla Clam</t>
  </si>
  <si>
    <t>Mixed Clams</t>
  </si>
  <si>
    <t>Under 10m demersal trawl/seine</t>
  </si>
  <si>
    <t>Nephrops - 37.0%</t>
  </si>
  <si>
    <t>Nephrops - 47.3%</t>
  </si>
  <si>
    <t>Plaice - 9.7%</t>
  </si>
  <si>
    <t>Cuttlefish - 10.3%</t>
  </si>
  <si>
    <t>Cuttlefish - 7.0%</t>
  </si>
  <si>
    <t>Squid - 7.1%</t>
  </si>
  <si>
    <t>Whiting - 5.8%</t>
  </si>
  <si>
    <t>Sole - 6.9%</t>
  </si>
  <si>
    <t>Squid - 5.2%</t>
  </si>
  <si>
    <t>Scallops - 5.0%</t>
  </si>
  <si>
    <t>Others - 35.3%</t>
  </si>
  <si>
    <t>Others - 23.3%</t>
  </si>
  <si>
    <t>Under 10m drift and/or fixed nets</t>
  </si>
  <si>
    <t>Pilchards - 13.2%</t>
  </si>
  <si>
    <t>Sole - 28.1%</t>
  </si>
  <si>
    <t>Pollack - 13.1%</t>
  </si>
  <si>
    <t>Pollack - 12.0%</t>
  </si>
  <si>
    <t>Whelks - 10.0%</t>
  </si>
  <si>
    <t>Bass - 7.6%</t>
  </si>
  <si>
    <t>Sole - 9.4%</t>
  </si>
  <si>
    <t>Turbot - 7.4%</t>
  </si>
  <si>
    <t>Plaice - 5.6%</t>
  </si>
  <si>
    <t>Anglerfish - 6.9%</t>
  </si>
  <si>
    <t>Others - 48.6%</t>
  </si>
  <si>
    <t>Others - 38.0%</t>
  </si>
  <si>
    <t>Under 10m pots and traps</t>
  </si>
  <si>
    <t>Brown Crab - 38.9%</t>
  </si>
  <si>
    <t>Lobsters - 39.7%</t>
  </si>
  <si>
    <t>Whelks - 35.3%</t>
  </si>
  <si>
    <t>Brown Crab - 23.2%</t>
  </si>
  <si>
    <t>Lobsters - 7.9%</t>
  </si>
  <si>
    <t>Whelks - 14.7%</t>
  </si>
  <si>
    <t>Velvet Crab - 5.6%</t>
  </si>
  <si>
    <t>Nephrops - 8.4%</t>
  </si>
  <si>
    <t>Nephrops - 3.6%</t>
  </si>
  <si>
    <t>Velvet Crab - 6.2%</t>
  </si>
  <si>
    <t>Others - 8.8%</t>
  </si>
  <si>
    <t>Others - 7.7%</t>
  </si>
  <si>
    <t>Under 10m using hooks</t>
  </si>
  <si>
    <t>Mackerel - 42.7%</t>
  </si>
  <si>
    <t>Razor Clam - 26.9%</t>
  </si>
  <si>
    <t>Scallops - 16.6%</t>
  </si>
  <si>
    <t>Bass - 22.1%</t>
  </si>
  <si>
    <t>Razor Clam - 14.2%</t>
  </si>
  <si>
    <t>Scallops - 16.4%</t>
  </si>
  <si>
    <t>Pollack - 7.3%</t>
  </si>
  <si>
    <t>Mackerel - 16.0%</t>
  </si>
  <si>
    <t>Bass - 6.4%</t>
  </si>
  <si>
    <t>Pollack - 6.8%</t>
  </si>
  <si>
    <t>Others - 12.7%</t>
  </si>
  <si>
    <t>Others - 11.8%</t>
  </si>
  <si>
    <t>WOS nephrops over 250kW</t>
  </si>
  <si>
    <t>Nephrops - 66.5%</t>
  </si>
  <si>
    <t>Nephrops - 88.8%</t>
  </si>
  <si>
    <t>Sprats - 21.3%</t>
  </si>
  <si>
    <t>Anglerfish - 2.4%</t>
  </si>
  <si>
    <t>Haddock - 3.6%</t>
  </si>
  <si>
    <t>Sprats - 2.1%</t>
  </si>
  <si>
    <t>Anglerfish - 2.0%</t>
  </si>
  <si>
    <t>Squid - 1.7%</t>
  </si>
  <si>
    <t>Herring - 1.2%</t>
  </si>
  <si>
    <t>Haddock - 1.6%</t>
  </si>
  <si>
    <t>Others - 5.5%</t>
  </si>
  <si>
    <t>Others - 3.4%</t>
  </si>
  <si>
    <t>WOS nephrops under 250kW</t>
  </si>
  <si>
    <t>Nephrops - 95.0%</t>
  </si>
  <si>
    <t>Nephrops - 96.6%</t>
  </si>
  <si>
    <t>Brown Crab - 1.3%</t>
  </si>
  <si>
    <t>Squid - 0.9%</t>
  </si>
  <si>
    <t>Scallops - 0.8%</t>
  </si>
  <si>
    <t>Scallops - 0.9%</t>
  </si>
  <si>
    <t>Squid - 0.8%</t>
  </si>
  <si>
    <t>Brown Crab - 0.8%</t>
  </si>
  <si>
    <t>Haddock - 0.8%</t>
  </si>
  <si>
    <t>Anglerfish - 0.3%</t>
  </si>
  <si>
    <t>Others - 1.3%</t>
  </si>
  <si>
    <t>Others - 0.6%</t>
  </si>
  <si>
    <t>Skates and Rays</t>
  </si>
  <si>
    <t>Net profit margin</t>
  </si>
  <si>
    <t>Segment</t>
  </si>
  <si>
    <t>Operating profit margin</t>
  </si>
  <si>
    <t>2018*</t>
  </si>
  <si>
    <t>* 2018: projection</t>
  </si>
  <si>
    <t>Sample Rates</t>
  </si>
  <si>
    <t>Sample rate for vessel characteristics and fishing income is 100%, taken from official data.
Sample rates on this page are for non-fishing income and costs, taken from financial accounts.</t>
  </si>
  <si>
    <t>Sample rates</t>
  </si>
  <si>
    <t xml:space="preserve">Qualifying criteria for Seafish fleet segments </t>
  </si>
  <si>
    <t>Seafish Segments</t>
  </si>
  <si>
    <t>Main Area</t>
  </si>
  <si>
    <t>Main DAS Gear</t>
  </si>
  <si>
    <t>Main Species by value</t>
  </si>
  <si>
    <t>Main Gear Type</t>
  </si>
  <si>
    <t>Power Main Engine</t>
  </si>
  <si>
    <t>Vessel Length</t>
  </si>
  <si>
    <t>Value of landings</t>
  </si>
  <si>
    <t>Area VIIA demersal trawl over 10m</t>
  </si>
  <si>
    <t>VIIA</t>
  </si>
  <si>
    <t>Demersal trawls and seines</t>
  </si>
  <si>
    <t>&gt;= 10m</t>
  </si>
  <si>
    <t xml:space="preserve">Nephrops </t>
  </si>
  <si>
    <t>&gt;= 250 kW</t>
  </si>
  <si>
    <t>&lt;250 kW</t>
  </si>
  <si>
    <t>Area VIIb-k trawlers 10-24m</t>
  </si>
  <si>
    <t>VIIDE, VIIFG, VII other</t>
  </si>
  <si>
    <t>Not Nephrops</t>
  </si>
  <si>
    <t>&gt;= 10m &amp; &lt;24m</t>
  </si>
  <si>
    <t>Area VIIb-k trawlers 24-40m</t>
  </si>
  <si>
    <t>&gt;= 24m &amp; &lt;40m</t>
  </si>
  <si>
    <t xml:space="preserve">UK Gill netters over 10m </t>
  </si>
  <si>
    <t>Drift Nets and Fixed Nets</t>
  </si>
  <si>
    <t>UK Longliners over 10m</t>
  </si>
  <si>
    <t>Gears using hooks</t>
  </si>
  <si>
    <t>Low activity vessels over 10m</t>
  </si>
  <si>
    <t>&lt; £10,000</t>
  </si>
  <si>
    <t>Low activity vessels under 10m</t>
  </si>
  <si>
    <t>&lt; 10m</t>
  </si>
  <si>
    <t>Miscellaneous vessels over 10m</t>
  </si>
  <si>
    <t>NS</t>
  </si>
  <si>
    <t>Beam Trawl</t>
  </si>
  <si>
    <t>&gt;= 300 kW</t>
  </si>
  <si>
    <t>&lt; 300 kW</t>
  </si>
  <si>
    <t>North Sea nephrops trawl over 300kW</t>
  </si>
  <si>
    <t>North Sea nephrops trawl under 300kW</t>
  </si>
  <si>
    <t>North Sea and West of Scotland demersal trawl over 24m</t>
  </si>
  <si>
    <t>NS, WoS</t>
  </si>
  <si>
    <t>&gt;= 24m</t>
  </si>
  <si>
    <t>North Sea and West of Scotland demersal pair trawls and seines</t>
  </si>
  <si>
    <t>Paired Trawl</t>
  </si>
  <si>
    <t>North Sea and West of Scotland demersal seiners</t>
  </si>
  <si>
    <t>Scottish Seiner</t>
  </si>
  <si>
    <t>North Sea and West of Scotland demersal trawl under 24m, over 300kW</t>
  </si>
  <si>
    <t>North Sea and West of Scotland demersal trawl under 24m, under 300kW</t>
  </si>
  <si>
    <t>UK pelagic trawl over 40m</t>
  </si>
  <si>
    <t>Pelagic: Trawl, Seiner / Purse Seiner</t>
  </si>
  <si>
    <t>&gt;= 40m</t>
  </si>
  <si>
    <t>UK pots and traps 10m-12m</t>
  </si>
  <si>
    <t>Pots and Traps</t>
  </si>
  <si>
    <t>&gt;= 10m &amp; &lt;12m</t>
  </si>
  <si>
    <t>UK Pots and traps over 12m</t>
  </si>
  <si>
    <t>&gt;= 12m</t>
  </si>
  <si>
    <t xml:space="preserve">South West beam trawl under 250kW </t>
  </si>
  <si>
    <t>&lt; 250 kW</t>
  </si>
  <si>
    <t>South West beam trawl over 250kW</t>
  </si>
  <si>
    <t>UK demersal trawls and seines under 10m</t>
  </si>
  <si>
    <t>UK drift and fixed nets under 10m</t>
  </si>
  <si>
    <t>UK pots and traps under 10m</t>
  </si>
  <si>
    <t>UK hooks under 10m</t>
  </si>
  <si>
    <t>West of Scotland nephrops trawl over 250kW</t>
  </si>
  <si>
    <t>WoS</t>
  </si>
  <si>
    <t>West of Scotland nephrops trawl under 250kW</t>
  </si>
  <si>
    <t>Dredges</t>
  </si>
  <si>
    <t>Scallops, queen scallops, cockles</t>
  </si>
  <si>
    <t>&gt;= 15m</t>
  </si>
  <si>
    <t>&lt;= 15m</t>
  </si>
  <si>
    <t>Segmentation Criteria</t>
  </si>
  <si>
    <t>NOTE: All figures remarked upon above are nominal and not adjusted for inflation.</t>
  </si>
  <si>
    <t>Highlights</t>
  </si>
  <si>
    <t>Seafish fleet economic performance dataset 2008 - 2018</t>
  </si>
  <si>
    <t>This dataset contains financial, economic and operational performance indicators for approximately 30 UK fleet segments for the period 2008-2018.  2018 estimates are based on provisional official activity and landings statistics so should be considered as provisional estimates.  Once vessel accounts for 2018 have been collected and official data finalised, Seafish will publish new estimates for the year.</t>
  </si>
  <si>
    <t>How to use the dataset</t>
  </si>
  <si>
    <t xml:space="preserve">For each of the 30 UK fleet segments we have produced one table and nine graphs. </t>
  </si>
  <si>
    <t>Each table has four main sections (Segment totals, Vessel characteristics (average per vessel), productivity indicators and income, costs and profits (average per vessel)).</t>
  </si>
  <si>
    <t xml:space="preserve">Financial values are available as nominal and adjusted to 2018 values. The orange button on the top line allows you to switch between the two. Graphs and trend lines will adjust automatically. </t>
  </si>
  <si>
    <t xml:space="preserve">Adjusted values are calculated using Gross Domestic Product deflators consistent with DEFRA publications. Further details on this method can be found on the HM Treasury website (https://www.gov.uk/government/collections/gdp-deflators-at-market-prices-and-money-gdp). </t>
  </si>
  <si>
    <t>For most segments we have produced a table that details the characteristics of the most and least profitable quartile (by operating profit margin) as well as the two quartiles inbetween.</t>
  </si>
  <si>
    <t>These tables are accompanied by three graphs.</t>
  </si>
  <si>
    <t xml:space="preserve">If a quartile is made-up of less than five vessels we are unable to publish said data due to confidentiality rules. </t>
  </si>
  <si>
    <t>Methodology</t>
  </si>
  <si>
    <t>Seafish produces the dataset by combining costs and earnings information from vessel accounts provide by vessel owners to the annual Seafish UK Fleet Survey with official effort, landings and capacity data for all active UK fishing vessels provided by the UK Marine Management Organisation (MMO).</t>
  </si>
  <si>
    <t>The outputs for all years are produced using a consistent methodology and fleet segmentation criteria so that trends in key indicators can be observed over time.  Note that vessels can be in different segments in different years if they change their gear, area or target species.</t>
  </si>
  <si>
    <t>First developed in 2008, the methodology was used to produce single year estimates that were reported in the 2008, 2009 and 2010 Seafish economic survey reports of the UK fishing fleet.</t>
  </si>
  <si>
    <t>The methodology was again revised in February 2013. The revision involved changing the way that the sample cost structure for each fleet segment was calculated, resulting in a more robust approach when dealing with outlying (far from average) cost data.</t>
  </si>
  <si>
    <t xml:space="preserve">This is a summary of the method we used to estimate the earnings, cost structure and profits of the UK fleet and fleet segments:                                                                                                           </t>
  </si>
  <si>
    <t xml:space="preserve">1. The UK fleet is stratified into approximately 30 relatively homogeneous fleet segments using MMO data on capacity, effort and landings for each vessel (see segmentation criteria worksheet). </t>
  </si>
  <si>
    <t xml:space="preserve">2. Seafish uses a self-selecting stratified sampling approach to obtain an adequate sample size of vessel financial accounts for each fleet segment. </t>
  </si>
  <si>
    <t>3. Costs and earnings data from vessel accounts are allocated to particular fleet segments following the segmentation procedure, giving approximately 30 costs and earnings segment samples. Sample sizes for vessel accounts in each fleet segment and each year can be found at the end of this workbook.</t>
  </si>
  <si>
    <t xml:space="preserve">4. To estimate the cost structure of all vessels in each fleet segment, we:                                                                                                                                                                                                                                                                                                                                  </t>
  </si>
  <si>
    <t xml:space="preserve">a) add together the individual cost and earnings items from vessel accounts within each segment sample to create a 'combined segment sample cost structure'. </t>
  </si>
  <si>
    <t xml:space="preserve">b) calculate the sum of each cost item in the 'combined segment sample cost structure' as a proportion of the sum of fishing income e.g. sum of gear cost is 10% of sum of fishing income, sum of commission is 3% of sum of fishing income etc.       </t>
  </si>
  <si>
    <t xml:space="preserve">c) calculate fuel costs and crew costs differently from the other costs. For crew share, we give a minimum £100 per day in instances where the actual observed amount within the 'combined segment sample cost structure' is lower. For fuel costs, the capacity (VCUs) and monthly fishing effort (days at sea) of each vessel are used to estimate monthly fuel consumption in litres, which is then combined with the average monthly red diesel price (excluding duty) to calculate the fuel cost estimates for each vessel. </t>
  </si>
  <si>
    <t>d) Following calculation of fuel cost and crew share, we apply the proportions from all the other costs within the 'combined segment sample cost structure' to the official declared fishing income for each vessel within each fleet segment, which enables use to calculate Gross Value Added, operating profit and net profit for each vessel.</t>
  </si>
  <si>
    <t>5. UK fleet totals and fleet segment totals and averages are then calculated from the estimates produced for each vessel.</t>
  </si>
  <si>
    <t>Where we have low sample size for a particular segment in a particular year we take into account previous years' estimates along with the reference year fuel price data to estimate costs.</t>
  </si>
  <si>
    <t>FTE Methodology</t>
  </si>
  <si>
    <t>Estimation of employment is based on the survey data collected from vessel owners during summer 2018 combined with MMO employment data. This provides details on the number of engaged crew both full-time and part-time. This sample information is then used to estimate total engaged crew based on the physical characteristics of the individual vessel and the vessels level of activity. Once total engaged crew has been estimated for all types of vessel in the UK fleet, FTE jobs are estimated based on the national and harmonised definitions.</t>
  </si>
  <si>
    <t>Data for the years 2008-2017 are estimates based on same year costs and earnings samples collected by Seafish. Data for 2018 are estimates using provisional official statistics on landings, capacity and effort, along with 2018 fuel price and previous years' cost structures. Therefore, 2018 estimates should be considered preliminary estimates. Seafish will revise these estimates when sufficient 2018 costs and earnings sample data are available later in the year.</t>
  </si>
  <si>
    <t xml:space="preserve">All the costs and profits data contained within these worksheets are Seafish estimates based on the latest available data. Additional vessel accounts data for latter years may become available and be incorporated into future analyses. </t>
  </si>
  <si>
    <t>Notes</t>
  </si>
  <si>
    <t>Seafish 2008 to 2018 fleet economic data set Highlights</t>
  </si>
  <si>
    <t xml:space="preserve">Nb. 2018 estimates are based on provisional official data for 2018, 2018 fuel prices and 2017 cost structure derived from 2017 vessel accounts submitted to Seafish.  </t>
  </si>
  <si>
    <t>Arrow</t>
  </si>
  <si>
    <t>Upward</t>
  </si>
  <si>
    <t>Downward</t>
  </si>
  <si>
    <t>Stable</t>
  </si>
  <si>
    <t>2018 data</t>
  </si>
  <si>
    <t>Ten Year Trend (2009-18)</t>
  </si>
  <si>
    <t>Summary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</si>
</sst>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
  </numFmts>
  <fonts count="33" x14ac:knownFonts="1">
    <font>
      <sz val="11"/>
      <color theme="1"/>
      <name val="Arial"/>
      <family val="2"/>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Arial"/>
      <family val="2"/>
    </font>
    <font>
      <b/>
      <u/>
      <sz val="14"/>
      <color theme="1"/>
      <name val="Arial"/>
      <family val="2"/>
    </font>
    <font>
      <sz val="10"/>
      <color theme="1"/>
      <name val="Arial"/>
      <family val="2"/>
    </font>
    <font>
      <sz val="10"/>
      <color theme="1"/>
      <name val="Calibri"/>
      <family val="2"/>
      <scheme val="minor"/>
    </font>
    <font>
      <b/>
      <sz val="10"/>
      <color theme="1"/>
      <name val="Calibri"/>
      <family val="2"/>
      <scheme val="minor"/>
    </font>
    <font>
      <sz val="11"/>
      <name val="Calibri"/>
      <family val="2"/>
    </font>
    <font>
      <sz val="10"/>
      <name val="Arial"/>
      <family val="2"/>
    </font>
    <font>
      <b/>
      <sz val="14"/>
      <color theme="1"/>
      <name val="Calibri"/>
      <family val="2"/>
      <scheme val="minor"/>
    </font>
    <font>
      <sz val="12"/>
      <color theme="1"/>
      <name val="Wingdings"/>
      <charset val="2"/>
    </font>
    <font>
      <u/>
      <sz val="11"/>
      <color theme="10"/>
      <name val="Arial"/>
      <family val="2"/>
    </font>
    <font>
      <u/>
      <sz val="10"/>
      <name val="Calibri"/>
      <family val="2"/>
    </font>
    <font>
      <u/>
      <sz val="10"/>
      <color indexed="8"/>
      <name val="Calibri"/>
      <family val="2"/>
    </font>
    <font>
      <sz val="10"/>
      <color theme="1"/>
      <name val="Calibri"/>
      <family val="2"/>
    </font>
    <font>
      <sz val="10"/>
      <name val="Calibri"/>
      <family val="2"/>
      <scheme val="minor"/>
    </font>
    <font>
      <sz val="9"/>
      <color theme="1"/>
      <name val="Calibri"/>
      <family val="2"/>
      <scheme val="minor"/>
    </font>
    <font>
      <b/>
      <sz val="9"/>
      <color theme="1"/>
      <name val="Calibri"/>
      <family val="2"/>
      <scheme val="minor"/>
    </font>
    <font>
      <b/>
      <sz val="10"/>
      <color theme="3"/>
      <name val="Calibri"/>
      <family val="2"/>
      <scheme val="minor"/>
    </font>
    <font>
      <b/>
      <u/>
      <sz val="12"/>
      <color theme="1"/>
      <name val="Calibri"/>
      <family val="2"/>
      <scheme val="minor"/>
    </font>
    <font>
      <b/>
      <sz val="11"/>
      <name val="Calibri"/>
      <family val="2"/>
      <scheme val="minor"/>
    </font>
    <font>
      <sz val="8"/>
      <color theme="1"/>
      <name val="Calibri"/>
      <family val="2"/>
      <scheme val="minor"/>
    </font>
    <font>
      <sz val="11"/>
      <name val="Calibri"/>
      <family val="2"/>
      <scheme val="minor"/>
    </font>
    <font>
      <u/>
      <sz val="11"/>
      <name val="Calibri"/>
      <family val="2"/>
    </font>
    <font>
      <i/>
      <sz val="10"/>
      <color theme="1"/>
      <name val="Calibri"/>
      <family val="2"/>
      <scheme val="minor"/>
    </font>
    <font>
      <b/>
      <sz val="10"/>
      <name val="Calibri"/>
      <family val="2"/>
      <scheme val="minor"/>
    </font>
    <font>
      <b/>
      <u/>
      <sz val="11"/>
      <color theme="1"/>
      <name val="Calibri"/>
      <family val="2"/>
      <scheme val="minor"/>
    </font>
    <font>
      <u/>
      <sz val="11"/>
      <color theme="1"/>
      <name val="Calibri"/>
      <family val="2"/>
      <scheme val="minor"/>
    </font>
    <font>
      <b/>
      <sz val="11"/>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2"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rgb="FFFFFFFF"/>
        <bgColor indexed="64"/>
      </patternFill>
    </fill>
    <fill>
      <patternFill patternType="solid">
        <fgColor rgb="FFFFC000"/>
        <bgColor indexed="64"/>
      </patternFill>
    </fill>
  </fills>
  <borders count="28">
    <border>
      <left/>
      <right/>
      <top/>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style="medium">
        <color auto="1"/>
      </top>
      <bottom style="medium">
        <color auto="1"/>
      </bottom>
      <diagonal/>
    </border>
    <border>
      <left/>
      <right/>
      <top style="medium">
        <color auto="1"/>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top style="thin">
        <color auto="1"/>
      </top>
      <bottom style="medium">
        <color auto="1"/>
      </bottom>
      <diagonal/>
    </border>
    <border>
      <left/>
      <right style="thin">
        <color indexed="64"/>
      </right>
      <top style="thin">
        <color auto="1"/>
      </top>
      <bottom style="medium">
        <color auto="1"/>
      </bottom>
      <diagonal/>
    </border>
    <border>
      <left/>
      <right style="medium">
        <color indexed="64"/>
      </right>
      <top/>
      <bottom/>
      <diagonal/>
    </border>
  </borders>
  <cellStyleXfs count="8">
    <xf numFmtId="0" fontId="0" fillId="0" borderId="0"/>
    <xf numFmtId="0" fontId="11" fillId="0" borderId="0"/>
    <xf numFmtId="0" fontId="12" fillId="0" borderId="0"/>
    <xf numFmtId="0" fontId="11" fillId="0" borderId="0"/>
    <xf numFmtId="0" fontId="11" fillId="0" borderId="0"/>
    <xf numFmtId="0" fontId="11" fillId="0" borderId="0"/>
    <xf numFmtId="9" fontId="6" fillId="0" borderId="0" applyFont="0" applyFill="0" applyBorder="0" applyAlignment="0" applyProtection="0"/>
    <xf numFmtId="0" fontId="15" fillId="0" borderId="0" applyNumberFormat="0" applyFill="0" applyBorder="0" applyAlignment="0" applyProtection="0"/>
  </cellStyleXfs>
  <cellXfs count="249">
    <xf numFmtId="0" fontId="0" fillId="0" borderId="0" xfId="0"/>
    <xf numFmtId="0" fontId="7" fillId="2" borderId="0" xfId="0" applyFont="1" applyFill="1"/>
    <xf numFmtId="0" fontId="8" fillId="2" borderId="0" xfId="0" applyFont="1" applyFill="1"/>
    <xf numFmtId="0" fontId="9" fillId="2" borderId="0" xfId="0" applyFont="1" applyFill="1"/>
    <xf numFmtId="0" fontId="10" fillId="2" borderId="0" xfId="0" applyFont="1" applyFill="1"/>
    <xf numFmtId="0" fontId="13" fillId="2" borderId="0" xfId="0" applyFont="1" applyFill="1" applyAlignment="1">
      <alignment horizontal="left" vertical="center"/>
    </xf>
    <xf numFmtId="0" fontId="10" fillId="2" borderId="0" xfId="0" applyFont="1" applyFill="1" applyAlignment="1">
      <alignment horizontal="center" vertical="center"/>
    </xf>
    <xf numFmtId="0" fontId="8" fillId="2" borderId="0" xfId="0" applyFont="1" applyFill="1" applyAlignment="1">
      <alignment horizontal="center"/>
    </xf>
    <xf numFmtId="0" fontId="10" fillId="2" borderId="0" xfId="0" applyFont="1" applyFill="1" applyAlignment="1">
      <alignment horizontal="left" vertical="top"/>
    </xf>
    <xf numFmtId="0" fontId="9" fillId="2" borderId="1" xfId="0" applyFont="1" applyFill="1" applyBorder="1" applyAlignment="1">
      <alignment horizontal="left" wrapText="1"/>
    </xf>
    <xf numFmtId="0" fontId="8" fillId="2" borderId="0" xfId="0" applyFont="1" applyFill="1" applyAlignment="1">
      <alignment horizontal="left"/>
    </xf>
    <xf numFmtId="0" fontId="16" fillId="2" borderId="0" xfId="7" applyFont="1" applyFill="1" applyAlignment="1">
      <alignment horizontal="center" vertical="center" wrapText="1"/>
    </xf>
    <xf numFmtId="0" fontId="17" fillId="2" borderId="0" xfId="7" applyFont="1" applyFill="1" applyAlignment="1">
      <alignment horizontal="left"/>
    </xf>
    <xf numFmtId="0" fontId="13" fillId="2" borderId="0" xfId="0" applyFont="1" applyFill="1" applyAlignment="1">
      <alignment vertical="center"/>
    </xf>
    <xf numFmtId="0" fontId="2" fillId="2" borderId="0" xfId="0" applyFont="1" applyFill="1" applyAlignment="1">
      <alignment vertical="center"/>
    </xf>
    <xf numFmtId="0" fontId="2" fillId="2" borderId="5" xfId="0" applyFont="1" applyFill="1" applyBorder="1" applyAlignment="1">
      <alignment vertical="center" wrapText="1"/>
    </xf>
    <xf numFmtId="0" fontId="10" fillId="2" borderId="5" xfId="0" applyFont="1" applyFill="1" applyBorder="1" applyAlignment="1">
      <alignment vertical="center" wrapText="1"/>
    </xf>
    <xf numFmtId="0" fontId="18" fillId="2" borderId="5" xfId="0" applyFont="1" applyFill="1" applyBorder="1" applyAlignment="1">
      <alignment horizontal="center" vertical="center" wrapText="1"/>
    </xf>
    <xf numFmtId="0" fontId="9" fillId="2" borderId="5" xfId="0" applyFont="1" applyFill="1" applyBorder="1" applyAlignment="1">
      <alignment horizontal="right" vertical="center" wrapText="1"/>
    </xf>
    <xf numFmtId="0" fontId="2" fillId="2" borderId="0" xfId="0" applyFont="1" applyFill="1" applyAlignment="1">
      <alignment vertical="center" wrapText="1"/>
    </xf>
    <xf numFmtId="0" fontId="19" fillId="2" borderId="6" xfId="0" applyFont="1" applyFill="1" applyBorder="1" applyAlignment="1">
      <alignment horizontal="right" vertical="center"/>
    </xf>
    <xf numFmtId="3" fontId="2" fillId="2" borderId="6" xfId="0" applyNumberFormat="1" applyFont="1" applyFill="1" applyBorder="1" applyAlignment="1">
      <alignment vertical="center"/>
    </xf>
    <xf numFmtId="3" fontId="9" fillId="2" borderId="6" xfId="0" applyNumberFormat="1" applyFont="1" applyFill="1" applyBorder="1" applyAlignment="1">
      <alignment vertical="center"/>
    </xf>
    <xf numFmtId="9" fontId="9" fillId="2" borderId="0" xfId="6" applyFont="1" applyFill="1" applyAlignment="1">
      <alignment horizontal="center" vertical="center"/>
    </xf>
    <xf numFmtId="0" fontId="19" fillId="2" borderId="0" xfId="0" applyFont="1" applyFill="1" applyAlignment="1">
      <alignment horizontal="right" vertical="center"/>
    </xf>
    <xf numFmtId="3" fontId="2" fillId="2" borderId="0" xfId="0" applyNumberFormat="1" applyFont="1" applyFill="1" applyAlignment="1">
      <alignment vertical="center"/>
    </xf>
    <xf numFmtId="3" fontId="9" fillId="2" borderId="0" xfId="0" applyNumberFormat="1" applyFont="1" applyFill="1" applyAlignment="1">
      <alignment vertical="center"/>
    </xf>
    <xf numFmtId="164" fontId="2" fillId="2" borderId="0" xfId="0" applyNumberFormat="1" applyFont="1" applyFill="1" applyAlignment="1">
      <alignment vertical="center"/>
    </xf>
    <xf numFmtId="164" fontId="9" fillId="2" borderId="0" xfId="0" applyNumberFormat="1" applyFont="1" applyFill="1" applyAlignment="1">
      <alignment vertical="center"/>
    </xf>
    <xf numFmtId="9" fontId="9" fillId="2" borderId="7" xfId="6" applyFont="1" applyFill="1" applyBorder="1" applyAlignment="1">
      <alignment horizontal="center" vertical="center"/>
    </xf>
    <xf numFmtId="0" fontId="9" fillId="2" borderId="8" xfId="0" applyFont="1" applyFill="1" applyBorder="1" applyAlignment="1">
      <alignment horizontal="right" vertical="center"/>
    </xf>
    <xf numFmtId="164" fontId="2" fillId="2" borderId="8" xfId="0" applyNumberFormat="1" applyFont="1" applyFill="1" applyBorder="1" applyAlignment="1">
      <alignment vertical="center"/>
    </xf>
    <xf numFmtId="164" fontId="9" fillId="2" borderId="8" xfId="0" applyNumberFormat="1" applyFont="1" applyFill="1" applyBorder="1" applyAlignment="1">
      <alignment vertical="center"/>
    </xf>
    <xf numFmtId="0" fontId="9" fillId="2" borderId="0" xfId="0" applyFont="1" applyFill="1" applyAlignment="1">
      <alignment horizontal="right" vertical="center"/>
    </xf>
    <xf numFmtId="4" fontId="9" fillId="2" borderId="0" xfId="0" applyNumberFormat="1" applyFont="1" applyFill="1" applyAlignment="1">
      <alignment vertical="center"/>
    </xf>
    <xf numFmtId="0" fontId="9" fillId="2" borderId="7" xfId="0" applyFont="1" applyFill="1" applyBorder="1" applyAlignment="1">
      <alignment horizontal="right" vertical="center"/>
    </xf>
    <xf numFmtId="3" fontId="2" fillId="2" borderId="7" xfId="0" applyNumberFormat="1" applyFont="1" applyFill="1" applyBorder="1" applyAlignment="1">
      <alignment vertical="center"/>
    </xf>
    <xf numFmtId="3" fontId="9" fillId="2" borderId="7" xfId="0" applyNumberFormat="1" applyFont="1" applyFill="1" applyBorder="1" applyAlignment="1">
      <alignment vertical="center"/>
    </xf>
    <xf numFmtId="3" fontId="2" fillId="2" borderId="8" xfId="0" applyNumberFormat="1" applyFont="1" applyFill="1" applyBorder="1" applyAlignment="1">
      <alignment vertical="center"/>
    </xf>
    <xf numFmtId="4" fontId="9" fillId="2" borderId="8" xfId="0" applyNumberFormat="1" applyFont="1" applyFill="1" applyBorder="1" applyAlignment="1">
      <alignment vertical="center"/>
    </xf>
    <xf numFmtId="4" fontId="2" fillId="2" borderId="0" xfId="0" applyNumberFormat="1" applyFont="1" applyFill="1" applyAlignment="1">
      <alignment vertical="center"/>
    </xf>
    <xf numFmtId="0" fontId="10" fillId="2" borderId="0" xfId="0" applyFont="1" applyFill="1" applyAlignment="1">
      <alignment horizontal="right" vertical="center"/>
    </xf>
    <xf numFmtId="164" fontId="4" fillId="2" borderId="0" xfId="0" applyNumberFormat="1" applyFont="1" applyFill="1" applyAlignment="1">
      <alignment vertical="center"/>
    </xf>
    <xf numFmtId="164" fontId="10" fillId="2" borderId="0" xfId="0" applyNumberFormat="1" applyFont="1" applyFill="1" applyAlignment="1">
      <alignment vertical="center"/>
    </xf>
    <xf numFmtId="0" fontId="10" fillId="2" borderId="1" xfId="0" applyFont="1" applyFill="1" applyBorder="1" applyAlignment="1">
      <alignment horizontal="right" vertical="center"/>
    </xf>
    <xf numFmtId="164" fontId="4" fillId="2" borderId="1" xfId="0" applyNumberFormat="1" applyFont="1" applyFill="1" applyBorder="1" applyAlignment="1">
      <alignment vertical="center"/>
    </xf>
    <xf numFmtId="164" fontId="10" fillId="2" borderId="1" xfId="0" applyNumberFormat="1" applyFont="1" applyFill="1" applyBorder="1" applyAlignment="1">
      <alignment vertical="center"/>
    </xf>
    <xf numFmtId="9" fontId="9" fillId="2" borderId="1" xfId="6" applyFont="1" applyFill="1" applyBorder="1" applyAlignment="1">
      <alignment horizontal="center" vertical="center"/>
    </xf>
    <xf numFmtId="0" fontId="20" fillId="2" borderId="0" xfId="0" applyFont="1" applyFill="1" applyAlignment="1">
      <alignment vertical="center"/>
    </xf>
    <xf numFmtId="0" fontId="5" fillId="2" borderId="0" xfId="0" applyFont="1" applyFill="1" applyAlignment="1">
      <alignment vertical="center"/>
    </xf>
    <xf numFmtId="0" fontId="5" fillId="2" borderId="0" xfId="6" applyNumberFormat="1" applyFont="1" applyFill="1" applyAlignment="1">
      <alignment vertical="center"/>
    </xf>
    <xf numFmtId="0" fontId="24" fillId="2" borderId="0" xfId="0" applyFont="1" applyFill="1" applyAlignment="1">
      <alignment vertical="center"/>
    </xf>
    <xf numFmtId="0" fontId="24" fillId="2" borderId="0" xfId="0" applyFont="1" applyFill="1" applyAlignment="1">
      <alignment horizontal="right" vertical="center"/>
    </xf>
    <xf numFmtId="9" fontId="5" fillId="2" borderId="0" xfId="6" applyFont="1" applyFill="1" applyAlignment="1">
      <alignment vertical="center"/>
    </xf>
    <xf numFmtId="0" fontId="18" fillId="2" borderId="5" xfId="0" applyFont="1" applyFill="1" applyBorder="1" applyAlignment="1">
      <alignment horizontal="right" vertical="center" wrapText="1"/>
    </xf>
    <xf numFmtId="0" fontId="9" fillId="8" borderId="5" xfId="0" applyFont="1" applyFill="1" applyBorder="1" applyAlignment="1">
      <alignment horizontal="right" vertical="center" wrapText="1"/>
    </xf>
    <xf numFmtId="0" fontId="9" fillId="2" borderId="0" xfId="0" applyFont="1" applyFill="1" applyAlignment="1">
      <alignment vertical="center"/>
    </xf>
    <xf numFmtId="0" fontId="9" fillId="8" borderId="0" xfId="0" applyFont="1" applyFill="1" applyAlignment="1">
      <alignment vertical="center"/>
    </xf>
    <xf numFmtId="166" fontId="9" fillId="2" borderId="8" xfId="0" applyNumberFormat="1" applyFont="1" applyFill="1" applyBorder="1" applyAlignment="1">
      <alignment vertical="center"/>
    </xf>
    <xf numFmtId="166" fontId="9" fillId="8" borderId="8" xfId="0" applyNumberFormat="1" applyFont="1" applyFill="1" applyBorder="1" applyAlignment="1">
      <alignment vertical="center"/>
    </xf>
    <xf numFmtId="1" fontId="9" fillId="2" borderId="0" xfId="0" applyNumberFormat="1" applyFont="1" applyFill="1" applyAlignment="1">
      <alignment vertical="center"/>
    </xf>
    <xf numFmtId="1" fontId="9" fillId="8" borderId="0" xfId="0" applyNumberFormat="1" applyFont="1" applyFill="1" applyAlignment="1">
      <alignment vertical="center"/>
    </xf>
    <xf numFmtId="164" fontId="9" fillId="8" borderId="0" xfId="0" applyNumberFormat="1" applyFont="1" applyFill="1" applyAlignment="1">
      <alignment vertical="center"/>
    </xf>
    <xf numFmtId="2" fontId="9" fillId="2" borderId="0" xfId="0" applyNumberFormat="1" applyFont="1" applyFill="1" applyAlignment="1">
      <alignment vertical="center"/>
    </xf>
    <xf numFmtId="2" fontId="9" fillId="8" borderId="0" xfId="0" applyNumberFormat="1" applyFont="1" applyFill="1" applyAlignment="1">
      <alignment vertical="center"/>
    </xf>
    <xf numFmtId="3" fontId="9" fillId="8" borderId="7" xfId="0" applyNumberFormat="1" applyFont="1" applyFill="1" applyBorder="1" applyAlignment="1">
      <alignment vertical="center"/>
    </xf>
    <xf numFmtId="2" fontId="9" fillId="2" borderId="8" xfId="0" applyNumberFormat="1" applyFont="1" applyFill="1" applyBorder="1" applyAlignment="1">
      <alignment vertical="center"/>
    </xf>
    <xf numFmtId="2" fontId="9" fillId="8" borderId="8" xfId="0" applyNumberFormat="1" applyFont="1" applyFill="1" applyBorder="1" applyAlignment="1">
      <alignment vertical="center"/>
    </xf>
    <xf numFmtId="2" fontId="9" fillId="2" borderId="7" xfId="0" applyNumberFormat="1" applyFont="1" applyFill="1" applyBorder="1" applyAlignment="1">
      <alignment vertical="center"/>
    </xf>
    <xf numFmtId="2" fontId="9" fillId="8" borderId="7" xfId="0" applyNumberFormat="1" applyFont="1" applyFill="1" applyBorder="1" applyAlignment="1">
      <alignment vertical="center"/>
    </xf>
    <xf numFmtId="166" fontId="9" fillId="2" borderId="0" xfId="0" applyNumberFormat="1" applyFont="1" applyFill="1" applyAlignment="1">
      <alignment vertical="center"/>
    </xf>
    <xf numFmtId="166" fontId="9" fillId="8" borderId="0" xfId="0" applyNumberFormat="1" applyFont="1" applyFill="1" applyAlignment="1">
      <alignment vertical="center"/>
    </xf>
    <xf numFmtId="3" fontId="9" fillId="8" borderId="0" xfId="0" applyNumberFormat="1" applyFont="1" applyFill="1" applyAlignment="1">
      <alignment vertical="center"/>
    </xf>
    <xf numFmtId="0" fontId="25" fillId="2" borderId="0" xfId="0" applyFont="1" applyFill="1" applyAlignment="1">
      <alignment vertical="center"/>
    </xf>
    <xf numFmtId="3" fontId="25" fillId="2" borderId="0" xfId="0" applyNumberFormat="1" applyFont="1" applyFill="1" applyAlignment="1">
      <alignment vertical="center"/>
    </xf>
    <xf numFmtId="3" fontId="9" fillId="2" borderId="8" xfId="0" applyNumberFormat="1" applyFont="1" applyFill="1" applyBorder="1" applyAlignment="1">
      <alignment vertical="center"/>
    </xf>
    <xf numFmtId="3" fontId="9" fillId="8" borderId="8" xfId="0" applyNumberFormat="1" applyFont="1" applyFill="1" applyBorder="1" applyAlignment="1">
      <alignment vertical="center"/>
    </xf>
    <xf numFmtId="9" fontId="25" fillId="2" borderId="0" xfId="6" applyFont="1" applyFill="1" applyAlignment="1">
      <alignment vertical="center"/>
    </xf>
    <xf numFmtId="0" fontId="26" fillId="2" borderId="0" xfId="0" applyFont="1" applyFill="1" applyAlignment="1">
      <alignment vertical="center"/>
    </xf>
    <xf numFmtId="9" fontId="5" fillId="2" borderId="0" xfId="6" applyFont="1" applyFill="1" applyAlignment="1">
      <alignment vertical="center" wrapText="1"/>
    </xf>
    <xf numFmtId="0" fontId="5" fillId="2" borderId="0" xfId="6" applyNumberFormat="1" applyFont="1" applyFill="1" applyAlignment="1">
      <alignment vertical="center" wrapText="1"/>
    </xf>
    <xf numFmtId="0" fontId="13" fillId="9" borderId="0" xfId="0" applyFont="1" applyFill="1" applyAlignment="1">
      <alignment vertical="center"/>
    </xf>
    <xf numFmtId="0" fontId="4" fillId="9" borderId="0" xfId="0" applyFont="1" applyFill="1" applyAlignment="1">
      <alignment vertical="center"/>
    </xf>
    <xf numFmtId="0" fontId="2" fillId="9" borderId="0" xfId="0" applyFont="1" applyFill="1" applyAlignment="1">
      <alignment vertical="center"/>
    </xf>
    <xf numFmtId="0" fontId="2" fillId="9" borderId="1" xfId="0" applyFont="1" applyFill="1" applyBorder="1" applyAlignment="1">
      <alignment vertical="center"/>
    </xf>
    <xf numFmtId="0" fontId="2" fillId="9" borderId="2" xfId="0" applyFont="1" applyFill="1" applyBorder="1" applyAlignment="1">
      <alignment horizontal="right" vertical="center"/>
    </xf>
    <xf numFmtId="0" fontId="9" fillId="10" borderId="3" xfId="0" applyFont="1" applyFill="1" applyBorder="1" applyAlignment="1">
      <alignment horizontal="center" vertical="center" wrapText="1"/>
    </xf>
    <xf numFmtId="0" fontId="20" fillId="9" borderId="0" xfId="0" applyFont="1" applyFill="1" applyAlignment="1">
      <alignment vertical="center"/>
    </xf>
    <xf numFmtId="0" fontId="21" fillId="9" borderId="0" xfId="0" applyFont="1" applyFill="1" applyAlignment="1">
      <alignment horizontal="right" vertical="center"/>
    </xf>
    <xf numFmtId="164" fontId="22" fillId="9" borderId="0" xfId="0" applyNumberFormat="1" applyFont="1" applyFill="1" applyAlignment="1">
      <alignment vertical="center"/>
    </xf>
    <xf numFmtId="164" fontId="9" fillId="9" borderId="0" xfId="0" applyNumberFormat="1" applyFont="1" applyFill="1" applyAlignment="1">
      <alignment horizontal="center" vertical="center"/>
    </xf>
    <xf numFmtId="164" fontId="10" fillId="9" borderId="0" xfId="0" applyNumberFormat="1" applyFont="1" applyFill="1" applyAlignment="1">
      <alignment vertical="center"/>
    </xf>
    <xf numFmtId="9" fontId="10" fillId="9" borderId="0" xfId="6" applyFont="1" applyFill="1" applyAlignment="1">
      <alignment horizontal="center" vertical="center"/>
    </xf>
    <xf numFmtId="164" fontId="22" fillId="9" borderId="9" xfId="0" applyNumberFormat="1" applyFont="1" applyFill="1" applyBorder="1" applyAlignment="1">
      <alignment vertical="center"/>
    </xf>
    <xf numFmtId="164" fontId="9" fillId="9" borderId="9" xfId="0" applyNumberFormat="1" applyFont="1" applyFill="1" applyBorder="1" applyAlignment="1">
      <alignment horizontal="center" vertical="center"/>
    </xf>
    <xf numFmtId="164" fontId="14" fillId="9" borderId="9" xfId="0" applyNumberFormat="1" applyFont="1" applyFill="1" applyBorder="1" applyAlignment="1">
      <alignment horizontal="center" vertical="center"/>
    </xf>
    <xf numFmtId="0" fontId="23" fillId="9" borderId="0" xfId="0" applyFont="1" applyFill="1"/>
    <xf numFmtId="0" fontId="5" fillId="9" borderId="0" xfId="0" applyFont="1" applyFill="1" applyAlignment="1">
      <alignment vertical="center"/>
    </xf>
    <xf numFmtId="165" fontId="5" fillId="9" borderId="0" xfId="6" applyNumberFormat="1" applyFont="1" applyFill="1" applyAlignment="1">
      <alignment vertical="center"/>
    </xf>
    <xf numFmtId="0" fontId="5" fillId="9" borderId="0" xfId="6" applyNumberFormat="1" applyFont="1" applyFill="1" applyAlignment="1">
      <alignment vertical="center"/>
    </xf>
    <xf numFmtId="0" fontId="24" fillId="9" borderId="0" xfId="0" applyFont="1" applyFill="1" applyAlignment="1">
      <alignment vertical="center"/>
    </xf>
    <xf numFmtId="0" fontId="24" fillId="9" borderId="0" xfId="0" applyFont="1" applyFill="1" applyAlignment="1">
      <alignment horizontal="right" vertical="center"/>
    </xf>
    <xf numFmtId="9" fontId="5" fillId="9" borderId="0" xfId="6" applyFont="1" applyFill="1" applyAlignment="1">
      <alignment vertical="center"/>
    </xf>
    <xf numFmtId="0" fontId="5" fillId="9" borderId="0" xfId="0" applyFont="1" applyFill="1" applyAlignment="1">
      <alignment horizontal="right" vertical="center"/>
    </xf>
    <xf numFmtId="4" fontId="5" fillId="9" borderId="0" xfId="0" applyNumberFormat="1" applyFont="1" applyFill="1" applyAlignment="1">
      <alignment vertical="center"/>
    </xf>
    <xf numFmtId="0" fontId="23" fillId="9" borderId="0" xfId="0" applyFont="1" applyFill="1" applyAlignment="1">
      <alignment horizontal="left"/>
    </xf>
    <xf numFmtId="0" fontId="3" fillId="9" borderId="0" xfId="0" applyFont="1" applyFill="1" applyAlignment="1">
      <alignment vertical="center"/>
    </xf>
    <xf numFmtId="0" fontId="17" fillId="2" borderId="0" xfId="7" applyFont="1" applyFill="1" applyAlignment="1">
      <alignment horizontal="left" indent="2"/>
    </xf>
    <xf numFmtId="0" fontId="8" fillId="2" borderId="0" xfId="0" applyFont="1" applyFill="1" applyAlignment="1">
      <alignment horizontal="right" vertical="center"/>
    </xf>
    <xf numFmtId="0" fontId="8" fillId="2" borderId="0" xfId="0" applyFont="1" applyFill="1" applyAlignment="1">
      <alignment vertical="center"/>
    </xf>
    <xf numFmtId="0" fontId="10" fillId="2" borderId="5" xfId="0" applyFont="1" applyFill="1" applyBorder="1" applyAlignment="1">
      <alignment vertical="center"/>
    </xf>
    <xf numFmtId="0" fontId="9" fillId="2" borderId="5" xfId="0" applyFont="1" applyFill="1" applyBorder="1" applyAlignment="1">
      <alignment horizontal="center" vertical="center"/>
    </xf>
    <xf numFmtId="0" fontId="9" fillId="2" borderId="5" xfId="0" applyFont="1" applyFill="1" applyBorder="1" applyAlignment="1">
      <alignment horizontal="right" vertical="center"/>
    </xf>
    <xf numFmtId="1" fontId="9" fillId="2" borderId="0" xfId="0" applyNumberFormat="1" applyFont="1" applyFill="1" applyAlignment="1">
      <alignment horizontal="left" vertical="center"/>
    </xf>
    <xf numFmtId="9" fontId="9" fillId="2" borderId="0" xfId="6" applyFont="1" applyFill="1" applyAlignment="1">
      <alignment horizontal="right" vertical="center"/>
    </xf>
    <xf numFmtId="0" fontId="9" fillId="2" borderId="0" xfId="0" applyFont="1" applyFill="1" applyAlignment="1">
      <alignment horizontal="left" vertical="center"/>
    </xf>
    <xf numFmtId="0" fontId="9" fillId="2" borderId="1" xfId="0" applyFont="1" applyFill="1" applyBorder="1" applyAlignment="1">
      <alignment horizontal="left" vertical="center"/>
    </xf>
    <xf numFmtId="0" fontId="8" fillId="2" borderId="1" xfId="0" applyFont="1" applyFill="1" applyBorder="1" applyAlignment="1">
      <alignment vertical="center"/>
    </xf>
    <xf numFmtId="9" fontId="9" fillId="2" borderId="1" xfId="6" applyFont="1" applyFill="1" applyBorder="1" applyAlignment="1">
      <alignment horizontal="right" vertical="center"/>
    </xf>
    <xf numFmtId="9" fontId="28" fillId="2" borderId="0" xfId="6" applyFont="1" applyFill="1" applyAlignment="1">
      <alignment horizontal="right" vertical="center"/>
    </xf>
    <xf numFmtId="0" fontId="9" fillId="2" borderId="5" xfId="0" quotePrefix="1" applyFont="1" applyFill="1" applyBorder="1" applyAlignment="1">
      <alignment horizontal="right" vertical="center"/>
    </xf>
    <xf numFmtId="0" fontId="9" fillId="2" borderId="1" xfId="0" applyFont="1" applyFill="1" applyBorder="1" applyAlignment="1">
      <alignment vertical="center"/>
    </xf>
    <xf numFmtId="9" fontId="28" fillId="2" borderId="1" xfId="6" applyFont="1" applyFill="1" applyBorder="1" applyAlignment="1">
      <alignment horizontal="right" vertical="center"/>
    </xf>
    <xf numFmtId="0" fontId="16" fillId="2" borderId="0" xfId="7" applyFont="1" applyFill="1" applyAlignment="1">
      <alignment horizontal="left"/>
    </xf>
    <xf numFmtId="0" fontId="10" fillId="2" borderId="0" xfId="0" applyFont="1" applyFill="1" applyAlignment="1">
      <alignment vertical="center"/>
    </xf>
    <xf numFmtId="0" fontId="10" fillId="2" borderId="1" xfId="0" applyFont="1" applyFill="1" applyBorder="1" applyAlignment="1">
      <alignment vertical="center"/>
    </xf>
    <xf numFmtId="0" fontId="9" fillId="2" borderId="1" xfId="0" applyFont="1" applyFill="1" applyBorder="1" applyAlignment="1">
      <alignment horizontal="right" vertical="center"/>
    </xf>
    <xf numFmtId="0" fontId="9" fillId="2" borderId="12" xfId="0" applyFont="1" applyFill="1" applyBorder="1" applyAlignment="1">
      <alignment horizontal="left" vertical="center"/>
    </xf>
    <xf numFmtId="9" fontId="9" fillId="2" borderId="12" xfId="6" applyFont="1" applyFill="1" applyBorder="1" applyAlignment="1">
      <alignment horizontal="right" vertical="center"/>
    </xf>
    <xf numFmtId="0" fontId="29" fillId="2" borderId="13" xfId="2" applyFont="1" applyFill="1" applyBorder="1" applyAlignment="1">
      <alignment vertical="center"/>
    </xf>
    <xf numFmtId="0" fontId="19" fillId="2" borderId="0" xfId="2" applyFont="1" applyFill="1"/>
    <xf numFmtId="0" fontId="29" fillId="2" borderId="15" xfId="2" applyFont="1" applyFill="1" applyBorder="1" applyAlignment="1">
      <alignment horizontal="center" wrapText="1"/>
    </xf>
    <xf numFmtId="0" fontId="29" fillId="2" borderId="16" xfId="2" applyFont="1" applyFill="1" applyBorder="1" applyAlignment="1">
      <alignment horizontal="center" wrapText="1"/>
    </xf>
    <xf numFmtId="0" fontId="19" fillId="2" borderId="17" xfId="2" applyFont="1" applyFill="1" applyBorder="1" applyAlignment="1">
      <alignment horizontal="center" vertical="center"/>
    </xf>
    <xf numFmtId="0" fontId="19" fillId="2" borderId="18" xfId="2" applyFont="1" applyFill="1" applyBorder="1" applyAlignment="1">
      <alignment vertical="center" wrapText="1"/>
    </xf>
    <xf numFmtId="0" fontId="19" fillId="2" borderId="18" xfId="2" applyFont="1" applyFill="1" applyBorder="1" applyAlignment="1">
      <alignment horizontal="center" vertical="center" wrapText="1"/>
    </xf>
    <xf numFmtId="0" fontId="19" fillId="2" borderId="18" xfId="2" applyFont="1" applyFill="1" applyBorder="1" applyAlignment="1">
      <alignment horizontal="center" vertical="center"/>
    </xf>
    <xf numFmtId="0" fontId="19" fillId="2" borderId="19" xfId="2" applyFont="1" applyFill="1" applyBorder="1" applyAlignment="1">
      <alignment horizontal="center" vertical="center"/>
    </xf>
    <xf numFmtId="0" fontId="19" fillId="2" borderId="9" xfId="2" applyFont="1" applyFill="1" applyBorder="1" applyAlignment="1">
      <alignment vertical="center" wrapText="1"/>
    </xf>
    <xf numFmtId="0" fontId="19" fillId="2" borderId="9" xfId="2" applyFont="1" applyFill="1" applyBorder="1" applyAlignment="1">
      <alignment horizontal="center" vertical="center" wrapText="1"/>
    </xf>
    <xf numFmtId="0" fontId="19" fillId="2" borderId="9" xfId="2" applyFont="1" applyFill="1" applyBorder="1" applyAlignment="1">
      <alignment horizontal="center" vertical="center"/>
    </xf>
    <xf numFmtId="0" fontId="19" fillId="2" borderId="20" xfId="2" applyFont="1" applyFill="1" applyBorder="1" applyAlignment="1">
      <alignment horizontal="center" vertical="center"/>
    </xf>
    <xf numFmtId="0" fontId="19" fillId="2" borderId="21" xfId="2" applyFont="1" applyFill="1" applyBorder="1" applyAlignment="1">
      <alignment vertical="center" wrapText="1"/>
    </xf>
    <xf numFmtId="0" fontId="19" fillId="2" borderId="21" xfId="2" applyFont="1" applyFill="1" applyBorder="1" applyAlignment="1">
      <alignment horizontal="center" vertical="center" wrapText="1"/>
    </xf>
    <xf numFmtId="0" fontId="19" fillId="2" borderId="21" xfId="2" applyFont="1" applyFill="1" applyBorder="1" applyAlignment="1">
      <alignment horizontal="center" vertical="center"/>
    </xf>
    <xf numFmtId="0" fontId="19" fillId="2" borderId="22" xfId="2" applyFont="1" applyFill="1" applyBorder="1" applyAlignment="1">
      <alignment horizontal="center" vertical="center"/>
    </xf>
    <xf numFmtId="0" fontId="19" fillId="2" borderId="23" xfId="2" applyFont="1" applyFill="1" applyBorder="1" applyAlignment="1">
      <alignment vertical="center" wrapText="1"/>
    </xf>
    <xf numFmtId="0" fontId="19" fillId="2" borderId="23" xfId="2" applyFont="1" applyFill="1" applyBorder="1" applyAlignment="1">
      <alignment horizontal="center" vertical="center" wrapText="1"/>
    </xf>
    <xf numFmtId="0" fontId="19" fillId="2" borderId="23" xfId="2" applyFont="1" applyFill="1" applyBorder="1" applyAlignment="1">
      <alignment horizontal="center" vertical="center"/>
    </xf>
    <xf numFmtId="0" fontId="19" fillId="2" borderId="24" xfId="2" applyFont="1" applyFill="1" applyBorder="1" applyAlignment="1">
      <alignment horizontal="center" vertical="center"/>
    </xf>
    <xf numFmtId="0" fontId="19" fillId="2" borderId="0" xfId="2" applyFont="1" applyFill="1" applyAlignment="1">
      <alignment horizontal="center"/>
    </xf>
    <xf numFmtId="0" fontId="19" fillId="2" borderId="0" xfId="2" applyFont="1" applyFill="1" applyAlignment="1">
      <alignment horizontal="center" wrapText="1"/>
    </xf>
    <xf numFmtId="0" fontId="16" fillId="2" borderId="3" xfId="7" applyFont="1" applyFill="1" applyBorder="1" applyAlignment="1">
      <alignment horizontal="center" vertical="center" wrapText="1"/>
    </xf>
    <xf numFmtId="0" fontId="30" fillId="2" borderId="0" xfId="0" applyFont="1" applyFill="1" applyAlignment="1">
      <alignment horizontal="center" vertical="top" wrapText="1"/>
    </xf>
    <xf numFmtId="0" fontId="30" fillId="2" borderId="0" xfId="0" applyFont="1" applyFill="1" applyAlignment="1">
      <alignment horizontal="center" vertical="top"/>
    </xf>
    <xf numFmtId="0" fontId="2" fillId="2" borderId="0" xfId="0" applyFont="1" applyFill="1" applyAlignment="1">
      <alignment horizontal="left" vertical="center" wrapText="1"/>
    </xf>
    <xf numFmtId="0" fontId="2" fillId="2" borderId="0" xfId="0" applyFont="1" applyFill="1" applyAlignment="1">
      <alignment horizontal="left" wrapText="1"/>
    </xf>
    <xf numFmtId="0" fontId="1" fillId="2" borderId="0" xfId="0" applyFont="1" applyFill="1"/>
    <xf numFmtId="0" fontId="1" fillId="2" borderId="0" xfId="0" applyFont="1" applyFill="1" applyAlignment="1">
      <alignment vertical="center" wrapText="1"/>
    </xf>
    <xf numFmtId="0" fontId="9" fillId="2" borderId="9" xfId="0" applyFont="1" applyFill="1" applyBorder="1" applyAlignment="1">
      <alignment horizontal="center" vertical="center" wrapText="1"/>
    </xf>
    <xf numFmtId="0" fontId="14" fillId="2" borderId="9" xfId="0" applyFont="1" applyFill="1" applyBorder="1" applyAlignment="1">
      <alignment horizontal="center"/>
    </xf>
    <xf numFmtId="0" fontId="9" fillId="2" borderId="9" xfId="0" applyFont="1" applyFill="1" applyBorder="1" applyAlignment="1">
      <alignment horizontal="center" wrapText="1"/>
    </xf>
    <xf numFmtId="0" fontId="9" fillId="2" borderId="25" xfId="0" applyFont="1" applyFill="1" applyBorder="1" applyAlignment="1">
      <alignment horizontal="center" wrapText="1"/>
    </xf>
    <xf numFmtId="0" fontId="9" fillId="2" borderId="12" xfId="0" applyFont="1" applyFill="1" applyBorder="1" applyAlignment="1">
      <alignment horizontal="center" wrapText="1"/>
    </xf>
    <xf numFmtId="0" fontId="9" fillId="2" borderId="26" xfId="0" applyFont="1" applyFill="1" applyBorder="1" applyAlignment="1">
      <alignment horizontal="center" wrapText="1"/>
    </xf>
    <xf numFmtId="0" fontId="9" fillId="2" borderId="23" xfId="0" applyFont="1" applyFill="1" applyBorder="1" applyAlignment="1">
      <alignment horizontal="center" wrapText="1"/>
    </xf>
    <xf numFmtId="0" fontId="9" fillId="2" borderId="0" xfId="0" applyFont="1" applyFill="1" applyBorder="1" applyAlignment="1">
      <alignment horizontal="left"/>
    </xf>
    <xf numFmtId="0" fontId="9" fillId="2" borderId="0" xfId="0" applyFont="1" applyFill="1" applyBorder="1" applyAlignment="1">
      <alignment horizontal="center"/>
    </xf>
    <xf numFmtId="3" fontId="9" fillId="2" borderId="0" xfId="0" applyNumberFormat="1" applyFont="1" applyFill="1" applyBorder="1" applyAlignment="1">
      <alignment horizontal="center"/>
    </xf>
    <xf numFmtId="164" fontId="9" fillId="2" borderId="0" xfId="0" applyNumberFormat="1" applyFont="1" applyFill="1" applyBorder="1" applyAlignment="1">
      <alignment horizontal="center"/>
    </xf>
    <xf numFmtId="0" fontId="14" fillId="2" borderId="0" xfId="0" applyFont="1" applyFill="1" applyBorder="1" applyAlignment="1">
      <alignment horizontal="center"/>
    </xf>
    <xf numFmtId="9" fontId="9" fillId="2" borderId="0" xfId="0" applyNumberFormat="1" applyFont="1" applyFill="1" applyBorder="1" applyAlignment="1">
      <alignment horizontal="center"/>
    </xf>
    <xf numFmtId="0" fontId="1" fillId="9" borderId="0" xfId="0" applyFont="1" applyFill="1" applyAlignment="1">
      <alignment vertical="center"/>
    </xf>
    <xf numFmtId="0" fontId="1" fillId="9" borderId="1" xfId="0" applyFont="1" applyFill="1" applyBorder="1" applyAlignment="1">
      <alignment vertical="center"/>
    </xf>
    <xf numFmtId="0" fontId="1" fillId="9" borderId="2" xfId="0" applyFont="1" applyFill="1" applyBorder="1" applyAlignment="1">
      <alignment horizontal="right" vertical="center"/>
    </xf>
    <xf numFmtId="0" fontId="1" fillId="2" borderId="5" xfId="0" applyFont="1" applyFill="1" applyBorder="1" applyAlignment="1">
      <alignment vertical="center" wrapText="1"/>
    </xf>
    <xf numFmtId="0" fontId="18" fillId="2" borderId="5" xfId="0" applyNumberFormat="1" applyFont="1" applyFill="1" applyBorder="1" applyAlignment="1">
      <alignment horizontal="center" vertical="center" wrapText="1"/>
    </xf>
    <xf numFmtId="0" fontId="9" fillId="2" borderId="5" xfId="0" applyNumberFormat="1" applyFont="1" applyFill="1" applyBorder="1" applyAlignment="1">
      <alignment horizontal="right" vertical="center" wrapText="1"/>
    </xf>
    <xf numFmtId="0" fontId="1" fillId="2" borderId="0" xfId="0" applyFont="1" applyFill="1" applyBorder="1" applyAlignment="1">
      <alignment vertical="center" wrapText="1"/>
    </xf>
    <xf numFmtId="3" fontId="1" fillId="2" borderId="6" xfId="0" applyNumberFormat="1" applyFont="1" applyFill="1" applyBorder="1" applyAlignment="1">
      <alignment vertical="center"/>
    </xf>
    <xf numFmtId="9" fontId="9" fillId="2" borderId="0" xfId="6" applyFont="1" applyFill="1" applyBorder="1" applyAlignment="1">
      <alignment horizontal="center" vertical="center"/>
    </xf>
    <xf numFmtId="0" fontId="1" fillId="2" borderId="0" xfId="0" applyFont="1" applyFill="1" applyBorder="1" applyAlignment="1">
      <alignment vertical="center"/>
    </xf>
    <xf numFmtId="0" fontId="19" fillId="2" borderId="0" xfId="0" applyFont="1" applyFill="1" applyBorder="1" applyAlignment="1">
      <alignment horizontal="right" vertical="center"/>
    </xf>
    <xf numFmtId="3" fontId="1" fillId="2" borderId="0" xfId="0" applyNumberFormat="1" applyFont="1" applyFill="1" applyBorder="1" applyAlignment="1">
      <alignment vertical="center"/>
    </xf>
    <xf numFmtId="3" fontId="9" fillId="2" borderId="0" xfId="0" applyNumberFormat="1" applyFont="1" applyFill="1" applyBorder="1" applyAlignment="1">
      <alignment vertical="center"/>
    </xf>
    <xf numFmtId="164" fontId="1" fillId="2" borderId="0" xfId="0" applyNumberFormat="1" applyFont="1" applyFill="1" applyBorder="1" applyAlignment="1">
      <alignment vertical="center"/>
    </xf>
    <xf numFmtId="164" fontId="1" fillId="2" borderId="8" xfId="0" applyNumberFormat="1" applyFont="1" applyFill="1" applyBorder="1" applyAlignment="1">
      <alignment vertical="center"/>
    </xf>
    <xf numFmtId="0" fontId="9" fillId="2" borderId="0" xfId="0" applyFont="1" applyFill="1" applyBorder="1" applyAlignment="1">
      <alignment horizontal="right" vertical="center"/>
    </xf>
    <xf numFmtId="3" fontId="1" fillId="2" borderId="7" xfId="0" applyNumberFormat="1" applyFont="1" applyFill="1" applyBorder="1" applyAlignment="1">
      <alignment vertical="center"/>
    </xf>
    <xf numFmtId="0" fontId="20" fillId="9" borderId="0" xfId="0" applyFont="1" applyFill="1" applyBorder="1" applyAlignment="1">
      <alignment vertical="center"/>
    </xf>
    <xf numFmtId="164" fontId="22" fillId="9" borderId="0" xfId="0" applyNumberFormat="1" applyFont="1" applyFill="1" applyBorder="1" applyAlignment="1">
      <alignment vertical="center"/>
    </xf>
    <xf numFmtId="164" fontId="9" fillId="9" borderId="0" xfId="0" applyNumberFormat="1" applyFont="1" applyFill="1" applyBorder="1" applyAlignment="1">
      <alignment horizontal="center" vertical="center"/>
    </xf>
    <xf numFmtId="164" fontId="10" fillId="9" borderId="0" xfId="0" applyNumberFormat="1" applyFont="1" applyFill="1" applyBorder="1" applyAlignment="1">
      <alignment vertical="center"/>
    </xf>
    <xf numFmtId="9" fontId="10" fillId="9" borderId="0" xfId="6" applyFont="1" applyFill="1" applyBorder="1" applyAlignment="1">
      <alignment horizontal="center" vertical="center"/>
    </xf>
    <xf numFmtId="0" fontId="1" fillId="9" borderId="0" xfId="0" applyFont="1" applyFill="1" applyBorder="1" applyAlignment="1">
      <alignment vertical="center"/>
    </xf>
    <xf numFmtId="0" fontId="32" fillId="9" borderId="0" xfId="0" applyFont="1" applyFill="1" applyAlignment="1">
      <alignment vertical="center"/>
    </xf>
    <xf numFmtId="0" fontId="32" fillId="9" borderId="0" xfId="0" applyFont="1" applyFill="1" applyAlignment="1">
      <alignment horizontal="right" vertical="center"/>
    </xf>
    <xf numFmtId="9" fontId="5" fillId="9" borderId="0" xfId="6" applyNumberFormat="1" applyFont="1" applyFill="1" applyAlignment="1">
      <alignment vertical="center"/>
    </xf>
    <xf numFmtId="0" fontId="32" fillId="2" borderId="0" xfId="0" applyFont="1" applyFill="1" applyAlignment="1">
      <alignment vertical="center"/>
    </xf>
    <xf numFmtId="0" fontId="32" fillId="2" borderId="0" xfId="0" applyFont="1" applyFill="1" applyAlignment="1">
      <alignment horizontal="right" vertical="center"/>
    </xf>
    <xf numFmtId="0" fontId="1" fillId="2" borderId="0" xfId="0" applyFont="1" applyFill="1" applyAlignment="1">
      <alignment vertical="center"/>
    </xf>
    <xf numFmtId="0" fontId="2" fillId="2" borderId="0" xfId="0" applyFont="1" applyFill="1" applyAlignment="1">
      <alignment horizontal="left" vertical="center" wrapText="1"/>
    </xf>
    <xf numFmtId="0" fontId="30" fillId="2" borderId="0" xfId="0" applyFont="1" applyFill="1" applyAlignment="1">
      <alignment horizontal="left" vertical="center" wrapText="1"/>
    </xf>
    <xf numFmtId="0" fontId="31" fillId="2" borderId="0" xfId="0" applyFont="1" applyFill="1" applyAlignment="1">
      <alignment horizontal="left" wrapText="1"/>
    </xf>
    <xf numFmtId="0" fontId="2" fillId="2" borderId="0" xfId="0" applyFont="1" applyFill="1" applyAlignment="1">
      <alignment horizontal="left" wrapText="1"/>
    </xf>
    <xf numFmtId="0" fontId="30" fillId="2" borderId="0" xfId="0" applyFont="1" applyFill="1"/>
    <xf numFmtId="0" fontId="10" fillId="2" borderId="0" xfId="0" applyFont="1" applyFill="1" applyAlignment="1">
      <alignment horizontal="left" vertical="center" wrapText="1"/>
    </xf>
    <xf numFmtId="0" fontId="9" fillId="2" borderId="0" xfId="0" applyFont="1" applyFill="1"/>
    <xf numFmtId="0" fontId="10" fillId="2" borderId="0" xfId="0" applyFont="1" applyFill="1" applyAlignment="1">
      <alignment horizontal="left" wrapText="1"/>
    </xf>
    <xf numFmtId="0" fontId="29" fillId="2" borderId="0" xfId="0" applyFont="1" applyFill="1" applyAlignment="1">
      <alignment horizontal="left" vertical="top" wrapText="1"/>
    </xf>
    <xf numFmtId="0" fontId="29" fillId="2" borderId="0" xfId="0" applyFont="1" applyFill="1" applyAlignment="1">
      <alignment horizontal="left" wrapText="1"/>
    </xf>
    <xf numFmtId="0" fontId="31" fillId="2" borderId="0" xfId="0" applyFont="1" applyFill="1"/>
    <xf numFmtId="0" fontId="11" fillId="0" borderId="0" xfId="0" applyFont="1" applyAlignment="1">
      <alignment horizontal="left" vertical="top" wrapText="1"/>
    </xf>
    <xf numFmtId="0" fontId="1" fillId="2" borderId="0" xfId="0" applyFont="1" applyFill="1" applyAlignment="1">
      <alignment vertical="center" wrapText="1"/>
    </xf>
    <xf numFmtId="0" fontId="1" fillId="2" borderId="0" xfId="0" applyFont="1" applyFill="1"/>
    <xf numFmtId="0" fontId="1" fillId="2" borderId="0" xfId="0" applyFont="1" applyFill="1" applyAlignment="1">
      <alignment wrapText="1"/>
    </xf>
    <xf numFmtId="0" fontId="29" fillId="2" borderId="5" xfId="2" applyFont="1" applyFill="1" applyBorder="1" applyAlignment="1">
      <alignment horizontal="center" vertical="center"/>
    </xf>
    <xf numFmtId="0" fontId="29" fillId="2" borderId="13" xfId="2" applyFont="1" applyFill="1" applyBorder="1" applyAlignment="1">
      <alignment horizontal="center"/>
    </xf>
    <xf numFmtId="0" fontId="29" fillId="2" borderId="14" xfId="2" applyFont="1" applyFill="1" applyBorder="1" applyAlignment="1">
      <alignment horizontal="center"/>
    </xf>
    <xf numFmtId="0" fontId="16" fillId="2" borderId="0" xfId="7" applyFont="1" applyFill="1" applyAlignment="1">
      <alignment horizontal="center" vertical="center" wrapText="1"/>
    </xf>
    <xf numFmtId="0" fontId="9" fillId="2" borderId="9" xfId="0" applyFont="1" applyFill="1" applyBorder="1" applyAlignment="1">
      <alignment horizontal="center" vertical="center"/>
    </xf>
    <xf numFmtId="0" fontId="27" fillId="9" borderId="4" xfId="7" applyFont="1" applyFill="1" applyBorder="1" applyAlignment="1">
      <alignment horizontal="center" vertical="center" wrapText="1"/>
    </xf>
    <xf numFmtId="0" fontId="27" fillId="9" borderId="2" xfId="7" applyFont="1" applyFill="1" applyBorder="1" applyAlignment="1">
      <alignment horizontal="center" vertical="center" wrapText="1"/>
    </xf>
    <xf numFmtId="0" fontId="4" fillId="4" borderId="6" xfId="0" applyFont="1" applyFill="1" applyBorder="1" applyAlignment="1">
      <alignment horizontal="center" vertical="center" textRotation="90" wrapText="1"/>
    </xf>
    <xf numFmtId="0" fontId="4" fillId="4" borderId="0" xfId="0" applyFont="1" applyFill="1" applyAlignment="1">
      <alignment horizontal="center" vertical="center" textRotation="90"/>
    </xf>
    <xf numFmtId="0" fontId="4" fillId="5" borderId="8" xfId="0" applyFont="1" applyFill="1" applyBorder="1" applyAlignment="1">
      <alignment horizontal="center" vertical="center" textRotation="90" wrapText="1"/>
    </xf>
    <xf numFmtId="0" fontId="4" fillId="5" borderId="0" xfId="0" applyFont="1" applyFill="1" applyAlignment="1">
      <alignment horizontal="center" vertical="center" textRotation="90"/>
    </xf>
    <xf numFmtId="0" fontId="4" fillId="5" borderId="7" xfId="0" applyFont="1" applyFill="1" applyBorder="1" applyAlignment="1">
      <alignment horizontal="center" vertical="center" textRotation="90"/>
    </xf>
    <xf numFmtId="0" fontId="4" fillId="6" borderId="0" xfId="0" applyFont="1" applyFill="1" applyAlignment="1">
      <alignment horizontal="center" vertical="center" textRotation="90" wrapText="1"/>
    </xf>
    <xf numFmtId="0" fontId="4" fillId="6" borderId="7" xfId="0" applyFont="1" applyFill="1" applyBorder="1" applyAlignment="1">
      <alignment horizontal="center" vertical="center" textRotation="90" wrapText="1"/>
    </xf>
    <xf numFmtId="0" fontId="4" fillId="7" borderId="8" xfId="0" applyFont="1" applyFill="1" applyBorder="1" applyAlignment="1">
      <alignment horizontal="center" vertical="center" textRotation="90" wrapText="1"/>
    </xf>
    <xf numFmtId="0" fontId="4" fillId="7" borderId="0" xfId="0" applyFont="1" applyFill="1" applyAlignment="1">
      <alignment horizontal="center" vertical="center" textRotation="90"/>
    </xf>
    <xf numFmtId="0" fontId="4" fillId="7" borderId="1" xfId="0" applyFont="1" applyFill="1" applyBorder="1" applyAlignment="1">
      <alignment horizontal="center" vertical="center" textRotation="90"/>
    </xf>
    <xf numFmtId="0" fontId="22" fillId="9" borderId="0" xfId="0" applyFont="1" applyFill="1" applyAlignment="1">
      <alignment horizontal="center" vertical="center"/>
    </xf>
    <xf numFmtId="0" fontId="22" fillId="9" borderId="9" xfId="0" applyFont="1" applyFill="1" applyBorder="1" applyAlignment="1">
      <alignment horizontal="center" vertical="center"/>
    </xf>
    <xf numFmtId="0" fontId="9" fillId="9" borderId="10" xfId="0" applyFont="1" applyFill="1" applyBorder="1" applyAlignment="1">
      <alignment horizontal="center" vertical="center"/>
    </xf>
    <xf numFmtId="0" fontId="9" fillId="9" borderId="11" xfId="0" applyFont="1" applyFill="1" applyBorder="1" applyAlignment="1">
      <alignment horizontal="center" vertical="center"/>
    </xf>
    <xf numFmtId="0" fontId="4" fillId="7" borderId="0" xfId="0" applyFont="1" applyFill="1" applyAlignment="1">
      <alignment horizontal="center" vertical="center" textRotation="90" wrapText="1"/>
    </xf>
    <xf numFmtId="0" fontId="4" fillId="7" borderId="7" xfId="0" applyFont="1" applyFill="1" applyBorder="1" applyAlignment="1">
      <alignment horizontal="center" vertical="center" textRotation="90" wrapText="1"/>
    </xf>
    <xf numFmtId="0" fontId="4" fillId="6" borderId="8" xfId="0" applyFont="1" applyFill="1" applyBorder="1" applyAlignment="1">
      <alignment horizontal="center" vertical="center" textRotation="90" wrapText="1"/>
    </xf>
    <xf numFmtId="0" fontId="4" fillId="3" borderId="8" xfId="0" applyFont="1" applyFill="1" applyBorder="1" applyAlignment="1">
      <alignment horizontal="center" vertical="center" textRotation="90"/>
    </xf>
    <xf numFmtId="0" fontId="4" fillId="3" borderId="0" xfId="0" applyFont="1" applyFill="1" applyAlignment="1">
      <alignment horizontal="center" vertical="center" textRotation="90"/>
    </xf>
    <xf numFmtId="0" fontId="4" fillId="4" borderId="0" xfId="0" applyFont="1" applyFill="1" applyBorder="1" applyAlignment="1">
      <alignment horizontal="center" vertical="center" textRotation="90"/>
    </xf>
    <xf numFmtId="0" fontId="4" fillId="5" borderId="0" xfId="0" applyFont="1" applyFill="1" applyBorder="1" applyAlignment="1">
      <alignment horizontal="center" vertical="center" textRotation="90"/>
    </xf>
    <xf numFmtId="0" fontId="22" fillId="9" borderId="0" xfId="0" applyFont="1" applyFill="1" applyBorder="1" applyAlignment="1">
      <alignment horizontal="center" vertical="center"/>
    </xf>
    <xf numFmtId="0" fontId="16" fillId="2" borderId="0" xfId="7" applyFont="1" applyFill="1" applyAlignment="1">
      <alignment horizontal="right" vertical="center" wrapText="1"/>
    </xf>
    <xf numFmtId="0" fontId="4" fillId="2" borderId="0" xfId="0" applyFont="1" applyFill="1" applyAlignment="1">
      <alignment horizontal="left" vertical="center" wrapText="1"/>
    </xf>
    <xf numFmtId="0" fontId="16" fillId="2" borderId="1" xfId="7" applyFont="1" applyFill="1" applyBorder="1" applyAlignment="1">
      <alignment horizontal="right" vertical="center" wrapText="1"/>
    </xf>
    <xf numFmtId="0" fontId="8" fillId="2" borderId="27" xfId="0" applyFont="1" applyFill="1" applyBorder="1"/>
  </cellXfs>
  <cellStyles count="8">
    <cellStyle name="Hyperlink" xfId="7" builtinId="8"/>
    <cellStyle name="Normal" xfId="0" builtinId="0"/>
    <cellStyle name="Normal 2" xfId="1"/>
    <cellStyle name="Normal 2 2" xfId="2"/>
    <cellStyle name="Normal 3" xfId="3"/>
    <cellStyle name="Normal 3 2" xfId="4"/>
    <cellStyle name="Normal 4" xfId="5"/>
    <cellStyle name="Percent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trawl'!$A$48</c:f>
          <c:strCache>
            <c:ptCount val="1"/>
            <c:pt idx="0">
              <c:v>Landings per kW day at sea (kg)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'Area VIIa demersal trawl'!$D$2:$N$2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demersal trawl'!$D$21:$N$21</c:f>
              <c:numCache>
                <c:formatCode>#,##0.00</c:formatCode>
                <c:ptCount val="11"/>
                <c:pt idx="0">
                  <c:v>2.2332466661315329</c:v>
                </c:pt>
                <c:pt idx="1">
                  <c:v>2.6735788923271309</c:v>
                </c:pt>
                <c:pt idx="2">
                  <c:v>3.6138601168514164</c:v>
                </c:pt>
                <c:pt idx="3">
                  <c:v>3.1766208160997804</c:v>
                </c:pt>
                <c:pt idx="4">
                  <c:v>9.0302183956802242</c:v>
                </c:pt>
                <c:pt idx="5">
                  <c:v>5.0591183343934532</c:v>
                </c:pt>
                <c:pt idx="6">
                  <c:v>4.0653059428622118</c:v>
                </c:pt>
                <c:pt idx="7">
                  <c:v>4.2261352852664862</c:v>
                </c:pt>
                <c:pt idx="8">
                  <c:v>3.6625630452172468</c:v>
                </c:pt>
                <c:pt idx="9">
                  <c:v>3.3297002684838772</c:v>
                </c:pt>
                <c:pt idx="10">
                  <c:v>4.0457211099549895</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612105600"/>
        <c:axId val="612766848"/>
      </c:lineChart>
      <c:catAx>
        <c:axId val="612105600"/>
        <c:scaling>
          <c:orientation val="minMax"/>
        </c:scaling>
        <c:delete val="0"/>
        <c:axPos val="b"/>
        <c:numFmt formatCode="General" sourceLinked="1"/>
        <c:majorTickMark val="out"/>
        <c:minorTickMark val="none"/>
        <c:tickLblPos val="nextTo"/>
        <c:crossAx val="612766848"/>
        <c:crosses val="autoZero"/>
        <c:auto val="1"/>
        <c:lblAlgn val="ctr"/>
        <c:lblOffset val="100"/>
        <c:noMultiLvlLbl val="0"/>
      </c:catAx>
      <c:valAx>
        <c:axId val="612766848"/>
        <c:scaling>
          <c:orientation val="minMax"/>
        </c:scaling>
        <c:delete val="0"/>
        <c:axPos val="l"/>
        <c:majorGridlines>
          <c:spPr>
            <a:ln w="3175">
              <a:prstDash val="sysDot"/>
            </a:ln>
          </c:spPr>
        </c:majorGridlines>
        <c:numFmt formatCode="#,##0.00" sourceLinked="1"/>
        <c:majorTickMark val="out"/>
        <c:minorTickMark val="none"/>
        <c:tickLblPos val="nextTo"/>
        <c:crossAx val="612105600"/>
        <c:crosses val="autoZero"/>
        <c:crossBetween val="between"/>
      </c:valAx>
    </c:plotArea>
    <c:plotVisOnly val="0"/>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o250kW'!$A$48</c:f>
          <c:strCache>
            <c:ptCount val="1"/>
            <c:pt idx="0">
              <c:v>Landings per kW day at sea (kg)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'Area VIIa nephrops o250kW'!$D$2:$N$2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nephrops o250kW'!$D$21:$N$21</c:f>
              <c:numCache>
                <c:formatCode>#,##0.00</c:formatCode>
                <c:ptCount val="11"/>
                <c:pt idx="0">
                  <c:v>2.2370043281300771</c:v>
                </c:pt>
                <c:pt idx="1">
                  <c:v>2.1900002542034076</c:v>
                </c:pt>
                <c:pt idx="2">
                  <c:v>2.258428532837454</c:v>
                </c:pt>
                <c:pt idx="3">
                  <c:v>2.6764180540722435</c:v>
                </c:pt>
                <c:pt idx="4">
                  <c:v>2.493757903178019</c:v>
                </c:pt>
                <c:pt idx="5">
                  <c:v>2.2692747098452202</c:v>
                </c:pt>
                <c:pt idx="6">
                  <c:v>2.1480577556572968</c:v>
                </c:pt>
                <c:pt idx="7">
                  <c:v>2.4498943991317526</c:v>
                </c:pt>
                <c:pt idx="8">
                  <c:v>2.4082925636584998</c:v>
                </c:pt>
                <c:pt idx="9">
                  <c:v>2.474903497071852</c:v>
                </c:pt>
                <c:pt idx="10">
                  <c:v>2.3361698087502245</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615978112"/>
        <c:axId val="615979648"/>
      </c:lineChart>
      <c:catAx>
        <c:axId val="615978112"/>
        <c:scaling>
          <c:orientation val="minMax"/>
        </c:scaling>
        <c:delete val="0"/>
        <c:axPos val="b"/>
        <c:numFmt formatCode="General" sourceLinked="1"/>
        <c:majorTickMark val="out"/>
        <c:minorTickMark val="none"/>
        <c:tickLblPos val="nextTo"/>
        <c:crossAx val="615979648"/>
        <c:crosses val="autoZero"/>
        <c:auto val="1"/>
        <c:lblAlgn val="ctr"/>
        <c:lblOffset val="100"/>
        <c:noMultiLvlLbl val="0"/>
      </c:catAx>
      <c:valAx>
        <c:axId val="615979648"/>
        <c:scaling>
          <c:orientation val="minMax"/>
        </c:scaling>
        <c:delete val="0"/>
        <c:axPos val="l"/>
        <c:majorGridlines>
          <c:spPr>
            <a:ln w="3175">
              <a:prstDash val="sysDot"/>
            </a:ln>
          </c:spPr>
        </c:majorGridlines>
        <c:numFmt formatCode="#,##0.00" sourceLinked="1"/>
        <c:majorTickMark val="out"/>
        <c:minorTickMark val="none"/>
        <c:tickLblPos val="nextTo"/>
        <c:crossAx val="615978112"/>
        <c:crosses val="autoZero"/>
        <c:crossBetween val="between"/>
      </c:valAx>
    </c:plotArea>
    <c:plotVisOnly val="0"/>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'Low activity under 10m'!$B$162</c:f>
              <c:strCache>
                <c:ptCount val="1"/>
                <c:pt idx="0">
                  <c:v>Mackerel</c:v>
                </c:pt>
              </c:strCache>
            </c:strRef>
          </c:tx>
          <c:spPr>
            <a:solidFill>
              <a:srgbClr val="648C2E"/>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10m'!$C$162:$E$162</c:f>
              <c:numCache>
                <c:formatCode>0%</c:formatCode>
                <c:ptCount val="3"/>
                <c:pt idx="0">
                  <c:v>0.23915007242781022</c:v>
                </c:pt>
                <c:pt idx="1">
                  <c:v>0.43213076182855803</c:v>
                </c:pt>
                <c:pt idx="2">
                  <c:v>0.1547601137612499</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'Low activity under 10m'!$B$163</c:f>
              <c:strCache>
                <c:ptCount val="1"/>
                <c:pt idx="0">
                  <c:v>Brown Crab</c:v>
                </c:pt>
              </c:strCache>
            </c:strRef>
          </c:tx>
          <c:spPr>
            <a:solidFill>
              <a:srgbClr val="C1D119"/>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10m'!$C$163:$E$163</c:f>
              <c:numCache>
                <c:formatCode>0%</c:formatCode>
                <c:ptCount val="3"/>
                <c:pt idx="0">
                  <c:v>0.13720253553066206</c:v>
                </c:pt>
                <c:pt idx="1">
                  <c:v>0.14772682958073158</c:v>
                </c:pt>
                <c:pt idx="2">
                  <c:v>0.12449316095880239</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'Low activity under 10m'!$B$164</c:f>
              <c:strCache>
                <c:ptCount val="1"/>
                <c:pt idx="0">
                  <c:v>Lobsters</c:v>
                </c:pt>
              </c:strCache>
            </c:strRef>
          </c:tx>
          <c:spPr>
            <a:solidFill>
              <a:srgbClr val="2273B9"/>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10m'!$C$164:$E$164</c:f>
              <c:numCache>
                <c:formatCode>0%</c:formatCode>
                <c:ptCount val="3"/>
                <c:pt idx="0">
                  <c:v>0.11537289689882692</c:v>
                </c:pt>
                <c:pt idx="1">
                  <c:v>9.1397997010273124E-2</c:v>
                </c:pt>
                <c:pt idx="2">
                  <c:v>0</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'Low activity under 10m'!$B$165</c:f>
              <c:strCache>
                <c:ptCount val="1"/>
                <c:pt idx="0">
                  <c:v>Velvet Crab</c:v>
                </c:pt>
              </c:strCache>
            </c:strRef>
          </c:tx>
          <c:spPr>
            <a:solidFill>
              <a:srgbClr val="E84A38"/>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10m'!$C$165:$E$165</c:f>
              <c:numCache>
                <c:formatCode>0%</c:formatCode>
                <c:ptCount val="3"/>
                <c:pt idx="0">
                  <c:v>7.6464128043327043E-2</c:v>
                </c:pt>
                <c:pt idx="1">
                  <c:v>8.5953206152557263E-2</c:v>
                </c:pt>
                <c:pt idx="2">
                  <c:v>0</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'Low activity under 10m'!$B$166</c:f>
              <c:strCache>
                <c:ptCount val="1"/>
                <c:pt idx="0">
                  <c:v>Whelks</c:v>
                </c:pt>
              </c:strCache>
            </c:strRef>
          </c:tx>
          <c:spPr>
            <a:solidFill>
              <a:srgbClr val="0F9AA9"/>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10m'!$C$166:$E$166</c:f>
              <c:numCache>
                <c:formatCode>0%</c:formatCode>
                <c:ptCount val="3"/>
                <c:pt idx="0">
                  <c:v>7.8852030572176282E-2</c:v>
                </c:pt>
                <c:pt idx="1">
                  <c:v>5.8863411963916507E-2</c:v>
                </c:pt>
                <c:pt idx="2">
                  <c:v>0</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'Low activity under 10m'!$B$167</c:f>
              <c:strCache>
                <c:ptCount val="1"/>
                <c:pt idx="0">
                  <c:v>Thornback Ray</c:v>
                </c:pt>
              </c:strCache>
            </c:strRef>
          </c:tx>
          <c:spPr>
            <a:solidFill>
              <a:srgbClr val="FED825"/>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10m'!$C$167:$E$167</c:f>
              <c:numCache>
                <c:formatCode>0%</c:formatCode>
                <c:ptCount val="3"/>
                <c:pt idx="0">
                  <c:v>0</c:v>
                </c:pt>
                <c:pt idx="1">
                  <c:v>0</c:v>
                </c:pt>
                <c:pt idx="2">
                  <c:v>9.9869060702369283E-2</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'Low activity under 10m'!$B$168</c:f>
              <c:strCache>
                <c:ptCount val="1"/>
                <c:pt idx="0">
                  <c:v>Sole</c:v>
                </c:pt>
              </c:strCache>
            </c:strRef>
          </c:tx>
          <c:spPr>
            <a:solidFill>
              <a:srgbClr val="707271"/>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10m'!$C$168:$E$168</c:f>
              <c:numCache>
                <c:formatCode>0%</c:formatCode>
                <c:ptCount val="3"/>
                <c:pt idx="0">
                  <c:v>0</c:v>
                </c:pt>
                <c:pt idx="1">
                  <c:v>0</c:v>
                </c:pt>
                <c:pt idx="2">
                  <c:v>7.9690015445391629E-2</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'Low activity under 10m'!$B$169</c:f>
              <c:strCache>
                <c:ptCount val="1"/>
                <c:pt idx="0">
                  <c:v>Nephrops</c:v>
                </c:pt>
              </c:strCache>
            </c:strRef>
          </c:tx>
          <c:spPr>
            <a:solidFill>
              <a:srgbClr val="51AA81"/>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10m'!$C$169:$E$169</c:f>
              <c:numCache>
                <c:formatCode>0%</c:formatCode>
                <c:ptCount val="3"/>
                <c:pt idx="0">
                  <c:v>0</c:v>
                </c:pt>
                <c:pt idx="1">
                  <c:v>0</c:v>
                </c:pt>
                <c:pt idx="2">
                  <c:v>6.15321754240057E-2</c:v>
                </c:pt>
              </c:numCache>
            </c:numRef>
          </c:val>
          <c:extLst xmlns:c16r2="http://schemas.microsoft.com/office/drawing/2015/06/chart">
            <c:ext xmlns:c16="http://schemas.microsoft.com/office/drawing/2014/chart" uri="{C3380CC4-5D6E-409C-BE32-E72D297353CC}">
              <c16:uniqueId val="{00000007-DFDD-4C01-8393-1BE532AE55F9}"/>
            </c:ext>
          </c:extLst>
        </c:ser>
        <c:ser>
          <c:idx val="8"/>
          <c:order val="8"/>
          <c:tx>
            <c:strRef>
              <c:f>'Low activity under 10m'!$B$170</c:f>
              <c:strCache>
                <c:ptCount val="1"/>
                <c:pt idx="0">
                  <c:v>Others</c:v>
                </c:pt>
              </c:strCache>
            </c:strRef>
          </c:tx>
          <c:spPr>
            <a:solidFill>
              <a:srgbClr val="55585A"/>
            </a:solidFill>
            <a:ln>
              <a:solidFill>
                <a:srgbClr val="FFFFFF"/>
              </a:solidFill>
            </a:ln>
          </c:spPr>
          <c:invertIfNegative val="0"/>
          <c:cat>
            <c:strRef>
              <c:f>'Low activity under 10m'!$C$161:$E$161</c:f>
              <c:strCache>
                <c:ptCount val="3"/>
                <c:pt idx="0">
                  <c:v>Most
profitable
quartile</c:v>
                </c:pt>
                <c:pt idx="1">
                  <c:v>Middle 
two quartiles</c:v>
                </c:pt>
                <c:pt idx="2">
                  <c:v>Least
profitable
quartile</c:v>
                </c:pt>
              </c:strCache>
            </c:strRef>
          </c:cat>
          <c:val>
            <c:numRef>
              <c:f>'Low activity under 10m'!$C$170:$E$170</c:f>
              <c:numCache>
                <c:formatCode>0%</c:formatCode>
                <c:ptCount val="3"/>
                <c:pt idx="0">
                  <c:v>0.35295833652719755</c:v>
                </c:pt>
                <c:pt idx="1">
                  <c:v>0.18392779346396337</c:v>
                </c:pt>
                <c:pt idx="2">
                  <c:v>0.47965547370818107</c:v>
                </c:pt>
              </c:numCache>
            </c:numRef>
          </c:val>
          <c:extLst xmlns:c16r2="http://schemas.microsoft.com/office/drawing/2015/06/chart">
            <c:ext xmlns:c16="http://schemas.microsoft.com/office/drawing/2014/chart" uri="{C3380CC4-5D6E-409C-BE32-E72D297353CC}">
              <c16:uniqueId val="{00000008-DFDD-4C01-8393-1BE532AE55F9}"/>
            </c:ext>
          </c:extLst>
        </c:ser>
        <c:dLbls>
          <c:showLegendKey val="0"/>
          <c:showVal val="0"/>
          <c:showCatName val="0"/>
          <c:showSerName val="0"/>
          <c:showPercent val="0"/>
          <c:showBubbleSize val="0"/>
        </c:dLbls>
        <c:gapWidth val="150"/>
        <c:overlap val="100"/>
        <c:axId val="712550656"/>
        <c:axId val="712568832"/>
      </c:barChart>
      <c:catAx>
        <c:axId val="712550656"/>
        <c:scaling>
          <c:orientation val="minMax"/>
        </c:scaling>
        <c:delete val="0"/>
        <c:axPos val="b"/>
        <c:numFmt formatCode="General" sourceLinked="0"/>
        <c:majorTickMark val="out"/>
        <c:minorTickMark val="none"/>
        <c:tickLblPos val="nextTo"/>
        <c:crossAx val="712568832"/>
        <c:crosses val="autoZero"/>
        <c:auto val="1"/>
        <c:lblAlgn val="ctr"/>
        <c:lblOffset val="100"/>
        <c:noMultiLvlLbl val="0"/>
      </c:catAx>
      <c:valAx>
        <c:axId val="712568832"/>
        <c:scaling>
          <c:orientation val="minMax"/>
          <c:max val="1"/>
          <c:min val="0"/>
        </c:scaling>
        <c:delete val="0"/>
        <c:axPos val="l"/>
        <c:majorGridlines/>
        <c:minorGridlines/>
        <c:numFmt formatCode="0%" sourceLinked="1"/>
        <c:majorTickMark val="out"/>
        <c:minorTickMark val="none"/>
        <c:tickLblPos val="nextTo"/>
        <c:crossAx val="712550656"/>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'Low activity under 10m'!$H$162</c:f>
              <c:strCache>
                <c:ptCount val="1"/>
                <c:pt idx="0">
                  <c:v>Lobsters</c:v>
                </c:pt>
              </c:strCache>
            </c:strRef>
          </c:tx>
          <c:spPr>
            <a:solidFill>
              <a:srgbClr val="2273B9"/>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10m'!$I$162:$K$162</c:f>
              <c:numCache>
                <c:formatCode>0%</c:formatCode>
                <c:ptCount val="3"/>
                <c:pt idx="0">
                  <c:v>0.39773701689674162</c:v>
                </c:pt>
                <c:pt idx="1">
                  <c:v>0.34669644300258878</c:v>
                </c:pt>
                <c:pt idx="2">
                  <c:v>0.25580872493341628</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'Low activity under 10m'!$H$163</c:f>
              <c:strCache>
                <c:ptCount val="1"/>
                <c:pt idx="0">
                  <c:v>Bass</c:v>
                </c:pt>
              </c:strCache>
            </c:strRef>
          </c:tx>
          <c:spPr>
            <a:solidFill>
              <a:srgbClr val="E87308"/>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10m'!$I$163:$K$163</c:f>
              <c:numCache>
                <c:formatCode>0%</c:formatCode>
                <c:ptCount val="3"/>
                <c:pt idx="0">
                  <c:v>0.13617182221175339</c:v>
                </c:pt>
                <c:pt idx="1">
                  <c:v>0.16234254840130355</c:v>
                </c:pt>
                <c:pt idx="2">
                  <c:v>0.12331781140423828</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'Low activity under 10m'!$H$164</c:f>
              <c:strCache>
                <c:ptCount val="1"/>
                <c:pt idx="0">
                  <c:v>Mackerel</c:v>
                </c:pt>
              </c:strCache>
            </c:strRef>
          </c:tx>
          <c:spPr>
            <a:solidFill>
              <a:srgbClr val="648C2E"/>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10m'!$I$164:$K$164</c:f>
              <c:numCache>
                <c:formatCode>0%</c:formatCode>
                <c:ptCount val="3"/>
                <c:pt idx="0">
                  <c:v>0.1044105523234462</c:v>
                </c:pt>
                <c:pt idx="1">
                  <c:v>0.12265748004202513</c:v>
                </c:pt>
                <c:pt idx="2">
                  <c:v>6.8463718317441316E-2</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'Low activity under 10m'!$H$165</c:f>
              <c:strCache>
                <c:ptCount val="1"/>
                <c:pt idx="0">
                  <c:v>Brown Crab</c:v>
                </c:pt>
              </c:strCache>
            </c:strRef>
          </c:tx>
          <c:spPr>
            <a:solidFill>
              <a:srgbClr val="C1D119"/>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10m'!$I$165:$K$165</c:f>
              <c:numCache>
                <c:formatCode>0%</c:formatCode>
                <c:ptCount val="3"/>
                <c:pt idx="0">
                  <c:v>6.0828043867477047E-2</c:v>
                </c:pt>
                <c:pt idx="1">
                  <c:v>7.1497413977765975E-2</c:v>
                </c:pt>
                <c:pt idx="2">
                  <c:v>0</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'Low activity under 10m'!$H$166</c:f>
              <c:strCache>
                <c:ptCount val="1"/>
                <c:pt idx="0">
                  <c:v>Velvet Crab</c:v>
                </c:pt>
              </c:strCache>
            </c:strRef>
          </c:tx>
          <c:spPr>
            <a:solidFill>
              <a:srgbClr val="E84A38"/>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10m'!$I$166:$K$166</c:f>
              <c:numCache>
                <c:formatCode>0%</c:formatCode>
                <c:ptCount val="3"/>
                <c:pt idx="0">
                  <c:v>6.2215607443785639E-2</c:v>
                </c:pt>
                <c:pt idx="1">
                  <c:v>6.8609508135928129E-2</c:v>
                </c:pt>
                <c:pt idx="2">
                  <c:v>0</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'Low activity under 10m'!$H$167</c:f>
              <c:strCache>
                <c:ptCount val="1"/>
                <c:pt idx="0">
                  <c:v>Nephrops</c:v>
                </c:pt>
              </c:strCache>
            </c:strRef>
          </c:tx>
          <c:spPr>
            <a:solidFill>
              <a:srgbClr val="51AA81"/>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10m'!$I$167:$K$167</c:f>
              <c:numCache>
                <c:formatCode>0%</c:formatCode>
                <c:ptCount val="3"/>
                <c:pt idx="0">
                  <c:v>0</c:v>
                </c:pt>
                <c:pt idx="1">
                  <c:v>0</c:v>
                </c:pt>
                <c:pt idx="2">
                  <c:v>0.11576310440475482</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'Low activity under 10m'!$H$168</c:f>
              <c:strCache>
                <c:ptCount val="1"/>
                <c:pt idx="0">
                  <c:v>Sole</c:v>
                </c:pt>
              </c:strCache>
            </c:strRef>
          </c:tx>
          <c:spPr>
            <a:solidFill>
              <a:srgbClr val="707271"/>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10m'!$I$168:$K$168</c:f>
              <c:numCache>
                <c:formatCode>0%</c:formatCode>
                <c:ptCount val="3"/>
                <c:pt idx="0">
                  <c:v>0</c:v>
                </c:pt>
                <c:pt idx="1">
                  <c:v>0</c:v>
                </c:pt>
                <c:pt idx="2">
                  <c:v>8.5757795000262732E-2</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'Low activity under 10m'!$H$169</c:f>
              <c:strCache>
                <c:ptCount val="1"/>
                <c:pt idx="0">
                  <c:v>Others</c:v>
                </c:pt>
              </c:strCache>
            </c:strRef>
          </c:tx>
          <c:spPr>
            <a:solidFill>
              <a:srgbClr val="55585A"/>
            </a:solidFill>
            <a:ln>
              <a:solidFill>
                <a:srgbClr val="FFFFFF"/>
              </a:solidFill>
            </a:ln>
          </c:spPr>
          <c:invertIfNegative val="0"/>
          <c:cat>
            <c:strRef>
              <c:f>'Low activity under 10m'!$I$161:$K$161</c:f>
              <c:strCache>
                <c:ptCount val="3"/>
                <c:pt idx="0">
                  <c:v>Most
profitable
quartile</c:v>
                </c:pt>
                <c:pt idx="1">
                  <c:v>Middle 
two quartiles</c:v>
                </c:pt>
                <c:pt idx="2">
                  <c:v>Least
profitable
quartile</c:v>
                </c:pt>
              </c:strCache>
            </c:strRef>
          </c:cat>
          <c:val>
            <c:numRef>
              <c:f>'Low activity under 10m'!$I$169:$K$169</c:f>
              <c:numCache>
                <c:formatCode>0%</c:formatCode>
                <c:ptCount val="3"/>
                <c:pt idx="0">
                  <c:v>0.23863695725679612</c:v>
                </c:pt>
                <c:pt idx="1">
                  <c:v>0.22819660644038842</c:v>
                </c:pt>
                <c:pt idx="2">
                  <c:v>0.35088884593988656</c:v>
                </c:pt>
              </c:numCache>
            </c:numRef>
          </c:val>
          <c:extLst xmlns:c16r2="http://schemas.microsoft.com/office/drawing/2015/06/chart">
            <c:ext xmlns:c16="http://schemas.microsoft.com/office/drawing/2014/chart" uri="{C3380CC4-5D6E-409C-BE32-E72D297353CC}">
              <c16:uniqueId val="{00000007-DC58-4725-8A67-0BDC09FD93CD}"/>
            </c:ext>
          </c:extLst>
        </c:ser>
        <c:dLbls>
          <c:showLegendKey val="0"/>
          <c:showVal val="0"/>
          <c:showCatName val="0"/>
          <c:showSerName val="0"/>
          <c:showPercent val="0"/>
          <c:showBubbleSize val="0"/>
        </c:dLbls>
        <c:gapWidth val="150"/>
        <c:overlap val="100"/>
        <c:axId val="712692864"/>
        <c:axId val="712694400"/>
      </c:barChart>
      <c:catAx>
        <c:axId val="712692864"/>
        <c:scaling>
          <c:orientation val="minMax"/>
        </c:scaling>
        <c:delete val="0"/>
        <c:axPos val="b"/>
        <c:numFmt formatCode="General" sourceLinked="0"/>
        <c:majorTickMark val="out"/>
        <c:minorTickMark val="none"/>
        <c:tickLblPos val="nextTo"/>
        <c:crossAx val="712694400"/>
        <c:crosses val="autoZero"/>
        <c:auto val="1"/>
        <c:lblAlgn val="ctr"/>
        <c:lblOffset val="100"/>
        <c:noMultiLvlLbl val="0"/>
      </c:catAx>
      <c:valAx>
        <c:axId val="712694400"/>
        <c:scaling>
          <c:orientation val="minMax"/>
          <c:max val="1"/>
          <c:min val="0"/>
        </c:scaling>
        <c:delete val="0"/>
        <c:axPos val="l"/>
        <c:majorGridlines/>
        <c:minorGridlines/>
        <c:numFmt formatCode="0%" sourceLinked="1"/>
        <c:majorTickMark val="out"/>
        <c:minorTickMark val="none"/>
        <c:tickLblPos val="nextTo"/>
        <c:crossAx val="71269286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'Low activity under 10m'!$K$139</c:f>
              <c:strCache>
                <c:ptCount val="1"/>
                <c:pt idx="0">
                  <c:v>Total income</c:v>
                </c:pt>
              </c:strCache>
            </c:strRef>
          </c:tx>
          <c:spPr>
            <a:solidFill>
              <a:schemeClr val="accent1"/>
            </a:solidFill>
            <a:ln>
              <a:solidFill>
                <a:schemeClr val="accent1"/>
              </a:solidFill>
            </a:ln>
          </c:spPr>
          <c:invertIfNegative val="0"/>
          <c:cat>
            <c:strRef>
              <c:f>'Low activity under 10m'!$L$138:$N$138</c:f>
              <c:strCache>
                <c:ptCount val="3"/>
                <c:pt idx="0">
                  <c:v>Most
profitable
quartile</c:v>
                </c:pt>
                <c:pt idx="1">
                  <c:v>Middle
two quartiles</c:v>
                </c:pt>
                <c:pt idx="2">
                  <c:v>Least
profitable
quartile</c:v>
                </c:pt>
              </c:strCache>
            </c:strRef>
          </c:cat>
          <c:val>
            <c:numRef>
              <c:f>'Low activity under 10m'!$L$139:$N$139</c:f>
              <c:numCache>
                <c:formatCode>#,##0</c:formatCode>
                <c:ptCount val="3"/>
                <c:pt idx="0">
                  <c:v>5.2604472656250003</c:v>
                </c:pt>
                <c:pt idx="1">
                  <c:v>4.1437642614581698</c:v>
                </c:pt>
                <c:pt idx="2">
                  <c:v>2.2150913085937498</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'Low activity under 10m'!$K$140</c:f>
              <c:strCache>
                <c:ptCount val="1"/>
                <c:pt idx="0">
                  <c:v>Operating costs</c:v>
                </c:pt>
              </c:strCache>
            </c:strRef>
          </c:tx>
          <c:spPr>
            <a:solidFill>
              <a:schemeClr val="accent3"/>
            </a:solidFill>
          </c:spPr>
          <c:invertIfNegative val="0"/>
          <c:cat>
            <c:strRef>
              <c:f>'Low activity under 10m'!$L$138:$N$138</c:f>
              <c:strCache>
                <c:ptCount val="3"/>
                <c:pt idx="0">
                  <c:v>Most
profitable
quartile</c:v>
                </c:pt>
                <c:pt idx="1">
                  <c:v>Middle
two quartiles</c:v>
                </c:pt>
                <c:pt idx="2">
                  <c:v>Least
profitable
quartile</c:v>
                </c:pt>
              </c:strCache>
            </c:strRef>
          </c:cat>
          <c:val>
            <c:numRef>
              <c:f>'Low activity under 10m'!$L$140:$N$140</c:f>
              <c:numCache>
                <c:formatCode>#,##0</c:formatCode>
                <c:ptCount val="3"/>
                <c:pt idx="0">
                  <c:v>3.3025764160156301</c:v>
                </c:pt>
                <c:pt idx="1">
                  <c:v>2.8912116591641501</c:v>
                </c:pt>
                <c:pt idx="2">
                  <c:v>2.11115209960938</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'Low activity under 10m'!$K$141</c:f>
              <c:strCache>
                <c:ptCount val="1"/>
                <c:pt idx="0">
                  <c:v>Operating profit</c:v>
                </c:pt>
              </c:strCache>
            </c:strRef>
          </c:tx>
          <c:spPr>
            <a:solidFill>
              <a:schemeClr val="accent2"/>
            </a:solidFill>
          </c:spPr>
          <c:invertIfNegative val="0"/>
          <c:cat>
            <c:strRef>
              <c:f>'Low activity under 10m'!$L$138:$N$138</c:f>
              <c:strCache>
                <c:ptCount val="3"/>
                <c:pt idx="0">
                  <c:v>Most
profitable
quartile</c:v>
                </c:pt>
                <c:pt idx="1">
                  <c:v>Middle
two quartiles</c:v>
                </c:pt>
                <c:pt idx="2">
                  <c:v>Least
profitable
quartile</c:v>
                </c:pt>
              </c:strCache>
            </c:strRef>
          </c:cat>
          <c:val>
            <c:numRef>
              <c:f>'Low activity under 10m'!$L$141:$N$141</c:f>
              <c:numCache>
                <c:formatCode>#,##0</c:formatCode>
                <c:ptCount val="3"/>
                <c:pt idx="0">
                  <c:v>1.95787084960938</c:v>
                </c:pt>
                <c:pt idx="1">
                  <c:v>1.2525526022940301</c:v>
                </c:pt>
                <c:pt idx="2">
                  <c:v>0.103939208984375</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712848896"/>
        <c:axId val="712850432"/>
      </c:barChart>
      <c:catAx>
        <c:axId val="712848896"/>
        <c:scaling>
          <c:orientation val="minMax"/>
        </c:scaling>
        <c:delete val="0"/>
        <c:axPos val="b"/>
        <c:numFmt formatCode="General" sourceLinked="0"/>
        <c:majorTickMark val="out"/>
        <c:minorTickMark val="none"/>
        <c:tickLblPos val="nextTo"/>
        <c:crossAx val="712850432"/>
        <c:crosses val="autoZero"/>
        <c:auto val="1"/>
        <c:lblAlgn val="ctr"/>
        <c:lblOffset val="100"/>
        <c:noMultiLvlLbl val="0"/>
      </c:catAx>
      <c:valAx>
        <c:axId val="712850432"/>
        <c:scaling>
          <c:orientation val="minMax"/>
        </c:scaling>
        <c:delete val="0"/>
        <c:axPos val="l"/>
        <c:majorGridlines/>
        <c:title>
          <c:tx>
            <c:strRef>
              <c:f>'Low activity under 10m'!$K$142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712848896"/>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300kW'!$A$48</c:f>
          <c:strCache>
            <c:ptCount val="1"/>
            <c:pt idx="0">
              <c:v>Landings per kW day at sea (kg)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'NS beam trawl over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beam trawl over 300kW'!$D$21:$N$21</c:f>
              <c:numCache>
                <c:formatCode>#,##0.00</c:formatCode>
                <c:ptCount val="11"/>
                <c:pt idx="0">
                  <c:v>2.3238918180675254</c:v>
                </c:pt>
                <c:pt idx="1">
                  <c:v>2.6305645870565071</c:v>
                </c:pt>
                <c:pt idx="2">
                  <c:v>2.9324405182709454</c:v>
                </c:pt>
                <c:pt idx="3">
                  <c:v>3.3281555950026775</c:v>
                </c:pt>
                <c:pt idx="4">
                  <c:v>3.6989979213846667</c:v>
                </c:pt>
                <c:pt idx="5">
                  <c:v>3.0654884837860195</c:v>
                </c:pt>
                <c:pt idx="6">
                  <c:v>3.0560596484096374</c:v>
                </c:pt>
                <c:pt idx="7">
                  <c:v>3.1873325317702004</c:v>
                </c:pt>
                <c:pt idx="8">
                  <c:v>3.3147402027274158</c:v>
                </c:pt>
                <c:pt idx="9">
                  <c:v>2.8714850070622764</c:v>
                </c:pt>
                <c:pt idx="10">
                  <c:v>2.0381493835144768</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713001600"/>
        <c:axId val="713011584"/>
      </c:lineChart>
      <c:catAx>
        <c:axId val="713001600"/>
        <c:scaling>
          <c:orientation val="minMax"/>
        </c:scaling>
        <c:delete val="0"/>
        <c:axPos val="b"/>
        <c:numFmt formatCode="General" sourceLinked="1"/>
        <c:majorTickMark val="out"/>
        <c:minorTickMark val="none"/>
        <c:tickLblPos val="nextTo"/>
        <c:crossAx val="713011584"/>
        <c:crosses val="autoZero"/>
        <c:auto val="1"/>
        <c:lblAlgn val="ctr"/>
        <c:lblOffset val="100"/>
        <c:noMultiLvlLbl val="0"/>
      </c:catAx>
      <c:valAx>
        <c:axId val="713011584"/>
        <c:scaling>
          <c:orientation val="minMax"/>
        </c:scaling>
        <c:delete val="0"/>
        <c:axPos val="l"/>
        <c:majorGridlines>
          <c:spPr>
            <a:ln w="3175">
              <a:prstDash val="sysDot"/>
            </a:ln>
          </c:spPr>
        </c:majorGridlines>
        <c:numFmt formatCode="#,##0.00" sourceLinked="1"/>
        <c:majorTickMark val="out"/>
        <c:minorTickMark val="none"/>
        <c:tickLblPos val="nextTo"/>
        <c:crossAx val="713001600"/>
        <c:crosses val="autoZero"/>
        <c:crossBetween val="between"/>
      </c:valAx>
    </c:plotArea>
    <c:plotVisOnly val="0"/>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300kW'!$A$49</c:f>
          <c:strCache>
            <c:ptCount val="1"/>
            <c:pt idx="0">
              <c:v>Fishing income per kW day at sea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'NS beam trawl over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beam trawl over 300kW'!$D$22:$N$22</c:f>
              <c:numCache>
                <c:formatCode>#,##0.00</c:formatCode>
                <c:ptCount val="11"/>
                <c:pt idx="0">
                  <c:v>4.8285889703512002</c:v>
                </c:pt>
                <c:pt idx="1">
                  <c:v>5.2685398434793198</c:v>
                </c:pt>
                <c:pt idx="2">
                  <c:v>6.0227017549746504</c:v>
                </c:pt>
                <c:pt idx="3">
                  <c:v>6.7460000161562803</c:v>
                </c:pt>
                <c:pt idx="4">
                  <c:v>6.5464559807624303</c:v>
                </c:pt>
                <c:pt idx="5">
                  <c:v>5.00171581328458</c:v>
                </c:pt>
                <c:pt idx="6">
                  <c:v>5.1943576597275296</c:v>
                </c:pt>
                <c:pt idx="7">
                  <c:v>5.9227660914416296</c:v>
                </c:pt>
                <c:pt idx="8">
                  <c:v>6.5289068945773199</c:v>
                </c:pt>
                <c:pt idx="9">
                  <c:v>5.4393792268510399</c:v>
                </c:pt>
                <c:pt idx="10">
                  <c:v>4.7204815543687824</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613889920"/>
        <c:axId val="613891456"/>
      </c:lineChart>
      <c:catAx>
        <c:axId val="613889920"/>
        <c:scaling>
          <c:orientation val="minMax"/>
        </c:scaling>
        <c:delete val="0"/>
        <c:axPos val="b"/>
        <c:numFmt formatCode="General" sourceLinked="1"/>
        <c:majorTickMark val="out"/>
        <c:minorTickMark val="none"/>
        <c:tickLblPos val="nextTo"/>
        <c:crossAx val="613891456"/>
        <c:crosses val="autoZero"/>
        <c:auto val="1"/>
        <c:lblAlgn val="ctr"/>
        <c:lblOffset val="100"/>
        <c:noMultiLvlLbl val="0"/>
      </c:catAx>
      <c:valAx>
        <c:axId val="613891456"/>
        <c:scaling>
          <c:orientation val="minMax"/>
        </c:scaling>
        <c:delete val="0"/>
        <c:axPos val="l"/>
        <c:majorGridlines>
          <c:spPr>
            <a:ln w="3175">
              <a:prstDash val="sysDot"/>
            </a:ln>
          </c:spPr>
        </c:majorGridlines>
        <c:numFmt formatCode="#,##0.00" sourceLinked="1"/>
        <c:majorTickMark val="out"/>
        <c:minorTickMark val="none"/>
        <c:tickLblPos val="nextTo"/>
        <c:crossAx val="613889920"/>
        <c:crosses val="autoZero"/>
        <c:crossBetween val="between"/>
      </c:valAx>
    </c:plotArea>
    <c:plotVisOnly val="0"/>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300kW'!$B$62</c:f>
          <c:strCache>
            <c:ptCount val="1"/>
            <c:pt idx="0">
              <c:v>Total cost per kW day at sea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'NS beam trawl over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beam trawl over 300kW'!$D$23:$N$23</c:f>
              <c:numCache>
                <c:formatCode>#,##0.00</c:formatCode>
                <c:ptCount val="11"/>
                <c:pt idx="0">
                  <c:v>5.0293535632800896</c:v>
                </c:pt>
                <c:pt idx="1">
                  <c:v>4.4236510708751604</c:v>
                </c:pt>
                <c:pt idx="2">
                  <c:v>5.6057044988711704</c:v>
                </c:pt>
                <c:pt idx="3">
                  <c:v>6.35898856573567</c:v>
                </c:pt>
                <c:pt idx="4">
                  <c:v>6.5532279954503396</c:v>
                </c:pt>
                <c:pt idx="5">
                  <c:v>5.3419349884168996</c:v>
                </c:pt>
                <c:pt idx="6">
                  <c:v>5.31809002987284</c:v>
                </c:pt>
                <c:pt idx="7">
                  <c:v>6.1707114355951997</c:v>
                </c:pt>
                <c:pt idx="8">
                  <c:v>5.8277724272861704</c:v>
                </c:pt>
                <c:pt idx="9">
                  <c:v>5.768909875246</c:v>
                </c:pt>
                <c:pt idx="10">
                  <c:v>5.1807323098419991</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613938304"/>
        <c:axId val="613939840"/>
      </c:lineChart>
      <c:catAx>
        <c:axId val="613938304"/>
        <c:scaling>
          <c:orientation val="minMax"/>
        </c:scaling>
        <c:delete val="0"/>
        <c:axPos val="b"/>
        <c:numFmt formatCode="General" sourceLinked="1"/>
        <c:majorTickMark val="out"/>
        <c:minorTickMark val="none"/>
        <c:tickLblPos val="nextTo"/>
        <c:crossAx val="613939840"/>
        <c:crosses val="autoZero"/>
        <c:auto val="1"/>
        <c:lblAlgn val="ctr"/>
        <c:lblOffset val="100"/>
        <c:noMultiLvlLbl val="0"/>
      </c:catAx>
      <c:valAx>
        <c:axId val="613939840"/>
        <c:scaling>
          <c:orientation val="minMax"/>
        </c:scaling>
        <c:delete val="0"/>
        <c:axPos val="l"/>
        <c:majorGridlines>
          <c:spPr>
            <a:ln w="3175">
              <a:prstDash val="sysDot"/>
            </a:ln>
          </c:spPr>
        </c:majorGridlines>
        <c:numFmt formatCode="#,##0.00" sourceLinked="1"/>
        <c:majorTickMark val="out"/>
        <c:minorTickMark val="none"/>
        <c:tickLblPos val="nextTo"/>
        <c:crossAx val="613938304"/>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300kW'!$K$48</c:f>
          <c:strCache>
            <c:ptCount val="1"/>
            <c:pt idx="0">
              <c:v>Operating profit per kW day at sea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'NS beam trawl over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beam trawl over 300kW'!$D$24:$N$24</c:f>
              <c:numCache>
                <c:formatCode>#,##0.00</c:formatCode>
                <c:ptCount val="11"/>
                <c:pt idx="0">
                  <c:v>-4.7036494409579702E-2</c:v>
                </c:pt>
                <c:pt idx="1">
                  <c:v>1.0126236095244401</c:v>
                </c:pt>
                <c:pt idx="2">
                  <c:v>0.43474827123669901</c:v>
                </c:pt>
                <c:pt idx="3">
                  <c:v>0.40689427972477499</c:v>
                </c:pt>
                <c:pt idx="4">
                  <c:v>1.25226893025827E-2</c:v>
                </c:pt>
                <c:pt idx="5">
                  <c:v>-0.27291106555826</c:v>
                </c:pt>
                <c:pt idx="6">
                  <c:v>-0.102214010536212</c:v>
                </c:pt>
                <c:pt idx="7">
                  <c:v>-0.24627533874750901</c:v>
                </c:pt>
                <c:pt idx="8">
                  <c:v>0.70255327302499904</c:v>
                </c:pt>
                <c:pt idx="9">
                  <c:v>-0.32799694063735102</c:v>
                </c:pt>
                <c:pt idx="10">
                  <c:v>-0.45891975074617297</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712016256"/>
        <c:axId val="712017792"/>
      </c:lineChart>
      <c:catAx>
        <c:axId val="712016256"/>
        <c:scaling>
          <c:orientation val="minMax"/>
        </c:scaling>
        <c:delete val="0"/>
        <c:axPos val="b"/>
        <c:numFmt formatCode="General" sourceLinked="1"/>
        <c:majorTickMark val="out"/>
        <c:minorTickMark val="none"/>
        <c:tickLblPos val="nextTo"/>
        <c:crossAx val="712017792"/>
        <c:crosses val="autoZero"/>
        <c:auto val="1"/>
        <c:lblAlgn val="ctr"/>
        <c:lblOffset val="100"/>
        <c:noMultiLvlLbl val="0"/>
      </c:catAx>
      <c:valAx>
        <c:axId val="712017792"/>
        <c:scaling>
          <c:orientation val="minMax"/>
        </c:scaling>
        <c:delete val="0"/>
        <c:axPos val="l"/>
        <c:majorGridlines>
          <c:spPr>
            <a:ln w="3175">
              <a:prstDash val="sysDot"/>
            </a:ln>
          </c:spPr>
        </c:majorGridlines>
        <c:numFmt formatCode="#,##0.00" sourceLinked="1"/>
        <c:majorTickMark val="out"/>
        <c:minorTickMark val="none"/>
        <c:tickLblPos val="nextTo"/>
        <c:crossAx val="712016256"/>
        <c:crosses val="autoZero"/>
        <c:crossBetween val="between"/>
      </c:valAx>
    </c:plotArea>
    <c:plotVisOnly val="0"/>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300kW'!$A$50</c:f>
          <c:strCache>
            <c:ptCount val="1"/>
            <c:pt idx="0">
              <c:v>Average price per tonne landed (£)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'NS beam trawl over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beam trawl over 300kW'!$D$20:$N$20</c:f>
              <c:numCache>
                <c:formatCode>#,##0</c:formatCode>
                <c:ptCount val="11"/>
                <c:pt idx="0">
                  <c:v>2078</c:v>
                </c:pt>
                <c:pt idx="1">
                  <c:v>2003</c:v>
                </c:pt>
                <c:pt idx="2">
                  <c:v>2054</c:v>
                </c:pt>
                <c:pt idx="3">
                  <c:v>2027</c:v>
                </c:pt>
                <c:pt idx="4">
                  <c:v>1770</c:v>
                </c:pt>
                <c:pt idx="5">
                  <c:v>1632</c:v>
                </c:pt>
                <c:pt idx="6">
                  <c:v>1700</c:v>
                </c:pt>
                <c:pt idx="7">
                  <c:v>1858</c:v>
                </c:pt>
                <c:pt idx="8">
                  <c:v>1970</c:v>
                </c:pt>
                <c:pt idx="9">
                  <c:v>1894</c:v>
                </c:pt>
                <c:pt idx="10">
                  <c:v>2316</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617049472"/>
        <c:axId val="617055360"/>
      </c:lineChart>
      <c:catAx>
        <c:axId val="617049472"/>
        <c:scaling>
          <c:orientation val="minMax"/>
        </c:scaling>
        <c:delete val="0"/>
        <c:axPos val="b"/>
        <c:numFmt formatCode="General" sourceLinked="1"/>
        <c:majorTickMark val="out"/>
        <c:minorTickMark val="none"/>
        <c:tickLblPos val="nextTo"/>
        <c:crossAx val="617055360"/>
        <c:crosses val="autoZero"/>
        <c:auto val="1"/>
        <c:lblAlgn val="ctr"/>
        <c:lblOffset val="100"/>
        <c:noMultiLvlLbl val="0"/>
      </c:catAx>
      <c:valAx>
        <c:axId val="617055360"/>
        <c:scaling>
          <c:orientation val="minMax"/>
        </c:scaling>
        <c:delete val="0"/>
        <c:axPos val="l"/>
        <c:majorGridlines>
          <c:spPr>
            <a:ln w="3175">
              <a:prstDash val="sysDot"/>
            </a:ln>
          </c:spPr>
        </c:majorGridlines>
        <c:numFmt formatCode="#,##0" sourceLinked="1"/>
        <c:majorTickMark val="out"/>
        <c:minorTickMark val="none"/>
        <c:tickLblPos val="nextTo"/>
        <c:crossAx val="617049472"/>
        <c:crosses val="autoZero"/>
        <c:crossBetween val="between"/>
      </c:valAx>
    </c:plotArea>
    <c:plotVisOnly val="0"/>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over 300kW'!$K$62</c:f>
          <c:strCache>
            <c:ptCount val="1"/>
            <c:pt idx="0">
              <c:v>Average annual operating profit per vessel (£'000)
North Sea beam trawl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'NS beam trawl over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beam trawl over 300kW'!$D$37:$N$37</c:f>
              <c:numCache>
                <c:formatCode>#,##0.0</c:formatCode>
                <c:ptCount val="11"/>
                <c:pt idx="0">
                  <c:v>-10.8</c:v>
                </c:pt>
                <c:pt idx="1">
                  <c:v>326.89999999999998</c:v>
                </c:pt>
                <c:pt idx="2">
                  <c:v>144.9</c:v>
                </c:pt>
                <c:pt idx="3">
                  <c:v>124.4</c:v>
                </c:pt>
                <c:pt idx="4">
                  <c:v>4</c:v>
                </c:pt>
                <c:pt idx="5">
                  <c:v>-93.7</c:v>
                </c:pt>
                <c:pt idx="6">
                  <c:v>-33.299999999999997</c:v>
                </c:pt>
                <c:pt idx="7">
                  <c:v>-82.3</c:v>
                </c:pt>
                <c:pt idx="8">
                  <c:v>253.9</c:v>
                </c:pt>
                <c:pt idx="9">
                  <c:v>-91</c:v>
                </c:pt>
                <c:pt idx="10">
                  <c:v>-161.30000000000001</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617077376"/>
        <c:axId val="617079168"/>
      </c:lineChart>
      <c:catAx>
        <c:axId val="617077376"/>
        <c:scaling>
          <c:orientation val="minMax"/>
        </c:scaling>
        <c:delete val="0"/>
        <c:axPos val="b"/>
        <c:numFmt formatCode="General" sourceLinked="1"/>
        <c:majorTickMark val="out"/>
        <c:minorTickMark val="none"/>
        <c:tickLblPos val="nextTo"/>
        <c:crossAx val="617079168"/>
        <c:crosses val="autoZero"/>
        <c:auto val="1"/>
        <c:lblAlgn val="ctr"/>
        <c:lblOffset val="100"/>
        <c:noMultiLvlLbl val="0"/>
      </c:catAx>
      <c:valAx>
        <c:axId val="617079168"/>
        <c:scaling>
          <c:orientation val="minMax"/>
        </c:scaling>
        <c:delete val="0"/>
        <c:axPos val="l"/>
        <c:majorGridlines>
          <c:spPr>
            <a:ln w="3175">
              <a:prstDash val="sysDot"/>
            </a:ln>
          </c:spPr>
        </c:majorGridlines>
        <c:numFmt formatCode="#,##0.0" sourceLinked="1"/>
        <c:majorTickMark val="out"/>
        <c:minorTickMark val="none"/>
        <c:tickLblPos val="nextTo"/>
        <c:crossAx val="617077376"/>
        <c:crosses val="autoZero"/>
        <c:crossBetween val="between"/>
      </c:valAx>
    </c:plotArea>
    <c:plotVisOnly val="0"/>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over 300kW'!$A$76</c:f>
          <c:strCache>
            <c:ptCount val="1"/>
            <c:pt idx="0">
              <c:v>Top 5 landed species by volume in 2017
North Sea beam trawl over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648C2E"/>
              </a:solidFill>
              <a:ln>
                <a:solidFill>
                  <a:srgbClr val="FFFFFF"/>
                </a:solidFill>
              </a:ln>
            </c:spPr>
          </c:dPt>
          <c:dPt>
            <c:idx val="3"/>
            <c:bubble3D val="0"/>
            <c:spPr>
              <a:solidFill>
                <a:srgbClr val="0F9AA9"/>
              </a:solidFill>
              <a:ln>
                <a:solidFill>
                  <a:srgbClr val="FFFFFF"/>
                </a:solidFill>
              </a:ln>
            </c:spPr>
          </c:dPt>
          <c:dPt>
            <c:idx val="4"/>
            <c:bubble3D val="0"/>
            <c:spPr>
              <a:solidFill>
                <a:srgbClr val="C1D119"/>
              </a:solidFill>
              <a:ln>
                <a:solidFill>
                  <a:srgbClr val="FFFFFF"/>
                </a:solidFill>
              </a:ln>
            </c:spPr>
          </c:dPt>
          <c:dPt>
            <c:idx val="5"/>
            <c:bubble3D val="0"/>
            <c:spPr>
              <a:solidFill>
                <a:srgbClr val="55585A"/>
              </a:solidFill>
              <a:ln>
                <a:solidFill>
                  <a:srgbClr val="FFFFFF"/>
                </a:solidFill>
              </a:ln>
            </c:spPr>
          </c:dPt>
          <c:cat>
            <c:strRef>
              <c:f>'NS beam trawl over 300kW'!$B$77:$B$82</c:f>
              <c:strCache>
                <c:ptCount val="6"/>
                <c:pt idx="0">
                  <c:v>Plaice - 84.9%</c:v>
                </c:pt>
                <c:pt idx="1">
                  <c:v>Sole - 4.0%</c:v>
                </c:pt>
                <c:pt idx="2">
                  <c:v>Turbot - 2.4%</c:v>
                </c:pt>
                <c:pt idx="3">
                  <c:v>Dabs - 2.2%</c:v>
                </c:pt>
                <c:pt idx="4">
                  <c:v>Lemon Sole - 1.8%</c:v>
                </c:pt>
                <c:pt idx="5">
                  <c:v>Others - 4.8%</c:v>
                </c:pt>
              </c:strCache>
            </c:strRef>
          </c:cat>
          <c:val>
            <c:numRef>
              <c:f>'NS beam trawl over 300kW'!$C$77:$C$82</c:f>
              <c:numCache>
                <c:formatCode>0.0%</c:formatCode>
                <c:ptCount val="6"/>
                <c:pt idx="0">
                  <c:v>0.84892052337979784</c:v>
                </c:pt>
                <c:pt idx="1">
                  <c:v>3.9594529726304194E-2</c:v>
                </c:pt>
                <c:pt idx="2">
                  <c:v>2.3531084475338183E-2</c:v>
                </c:pt>
                <c:pt idx="3">
                  <c:v>2.1892586490008078E-2</c:v>
                </c:pt>
                <c:pt idx="4">
                  <c:v>1.8096142480074913E-2</c:v>
                </c:pt>
                <c:pt idx="5">
                  <c:v>4.796513344847686E-2</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o250kW'!$A$49</c:f>
          <c:strCache>
            <c:ptCount val="1"/>
            <c:pt idx="0">
              <c:v>Fishing income per kW day at sea (£)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'Area VIIa nephrops o250kW'!$D$2:$N$2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nephrops o250kW'!$D$22:$N$22</c:f>
              <c:numCache>
                <c:formatCode>#,##0.00</c:formatCode>
                <c:ptCount val="11"/>
                <c:pt idx="0">
                  <c:v>4.6602453096839103</c:v>
                </c:pt>
                <c:pt idx="1">
                  <c:v>3.8031176808691098</c:v>
                </c:pt>
                <c:pt idx="2">
                  <c:v>4.1347715849807098</c:v>
                </c:pt>
                <c:pt idx="3">
                  <c:v>5.8379471749523004</c:v>
                </c:pt>
                <c:pt idx="4">
                  <c:v>5.9762605532880198</c:v>
                </c:pt>
                <c:pt idx="5">
                  <c:v>4.5912789221000496</c:v>
                </c:pt>
                <c:pt idx="6">
                  <c:v>4.8096713130388</c:v>
                </c:pt>
                <c:pt idx="7">
                  <c:v>4.9714831931896404</c:v>
                </c:pt>
                <c:pt idx="8">
                  <c:v>5.3348658514274403</c:v>
                </c:pt>
                <c:pt idx="9">
                  <c:v>5.6064026335630102</c:v>
                </c:pt>
                <c:pt idx="10">
                  <c:v>4.8828732166612943</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616022016"/>
        <c:axId val="616023552"/>
      </c:lineChart>
      <c:catAx>
        <c:axId val="616022016"/>
        <c:scaling>
          <c:orientation val="minMax"/>
        </c:scaling>
        <c:delete val="0"/>
        <c:axPos val="b"/>
        <c:numFmt formatCode="General" sourceLinked="1"/>
        <c:majorTickMark val="out"/>
        <c:minorTickMark val="none"/>
        <c:tickLblPos val="nextTo"/>
        <c:crossAx val="616023552"/>
        <c:crosses val="autoZero"/>
        <c:auto val="1"/>
        <c:lblAlgn val="ctr"/>
        <c:lblOffset val="100"/>
        <c:noMultiLvlLbl val="0"/>
      </c:catAx>
      <c:valAx>
        <c:axId val="616023552"/>
        <c:scaling>
          <c:orientation val="minMax"/>
        </c:scaling>
        <c:delete val="0"/>
        <c:axPos val="l"/>
        <c:majorGridlines>
          <c:spPr>
            <a:ln w="3175">
              <a:prstDash val="sysDot"/>
            </a:ln>
          </c:spPr>
        </c:majorGridlines>
        <c:numFmt formatCode="#,##0.00" sourceLinked="1"/>
        <c:majorTickMark val="out"/>
        <c:minorTickMark val="none"/>
        <c:tickLblPos val="nextTo"/>
        <c:crossAx val="616022016"/>
        <c:crosses val="autoZero"/>
        <c:crossBetween val="between"/>
      </c:valAx>
    </c:plotArea>
    <c:plotVisOnly val="0"/>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over 300kW'!$F$76</c:f>
          <c:strCache>
            <c:ptCount val="1"/>
            <c:pt idx="0">
              <c:v>Top 5 landed species by value in 2017
North Sea beam trawl over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'NS beam trawl over 300kW'!$G$77:$G$82</c:f>
              <c:strCache>
                <c:ptCount val="6"/>
                <c:pt idx="0">
                  <c:v>Plaice - 63.3%</c:v>
                </c:pt>
                <c:pt idx="1">
                  <c:v>Sole - 19.0%</c:v>
                </c:pt>
                <c:pt idx="2">
                  <c:v>Turbot - 8.7%</c:v>
                </c:pt>
                <c:pt idx="3">
                  <c:v>Lemon Sole - 2.9%</c:v>
                </c:pt>
                <c:pt idx="4">
                  <c:v>Brill - 2.8%</c:v>
                </c:pt>
                <c:pt idx="5">
                  <c:v>Others - 3.3%</c:v>
                </c:pt>
              </c:strCache>
            </c:strRef>
          </c:cat>
          <c:val>
            <c:numRef>
              <c:f>'NS beam trawl over 300kW'!$H$77:$H$82</c:f>
              <c:numCache>
                <c:formatCode>0.0%</c:formatCode>
                <c:ptCount val="6"/>
                <c:pt idx="0">
                  <c:v>0.63293068211295922</c:v>
                </c:pt>
                <c:pt idx="1">
                  <c:v>0.18955508439631555</c:v>
                </c:pt>
                <c:pt idx="2">
                  <c:v>8.7207823584185648E-2</c:v>
                </c:pt>
                <c:pt idx="3">
                  <c:v>2.8807824258936323E-2</c:v>
                </c:pt>
                <c:pt idx="4">
                  <c:v>2.8480392120111619E-2</c:v>
                </c:pt>
                <c:pt idx="5">
                  <c:v>3.3018193527491579E-2</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beam trawl over 300kW'!$C$92</c:f>
              <c:strCache>
                <c:ptCount val="1"/>
                <c:pt idx="0">
                  <c:v>Plaice</c:v>
                </c:pt>
              </c:strCache>
            </c:strRef>
          </c:tx>
          <c:spPr>
            <a:solidFill>
              <a:srgbClr val="2273B9"/>
            </a:solidFill>
            <a:ln>
              <a:solidFill>
                <a:srgbClr val="FFFFFF"/>
              </a:solidFill>
            </a:ln>
          </c:spPr>
          <c:invertIfNegative val="0"/>
          <c:cat>
            <c:numRef>
              <c:f>'NS beam trawl over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over 300kW'!$D$92:$M$92</c:f>
              <c:numCache>
                <c:formatCode>0%</c:formatCode>
                <c:ptCount val="10"/>
                <c:pt idx="0">
                  <c:v>0.58189989129394371</c:v>
                </c:pt>
                <c:pt idx="1">
                  <c:v>0.54895972781439406</c:v>
                </c:pt>
                <c:pt idx="2">
                  <c:v>0.6367355124121491</c:v>
                </c:pt>
                <c:pt idx="3">
                  <c:v>0.76015630434031656</c:v>
                </c:pt>
                <c:pt idx="4">
                  <c:v>0.6068543318097529</c:v>
                </c:pt>
                <c:pt idx="5">
                  <c:v>0.56732239820548225</c:v>
                </c:pt>
                <c:pt idx="6">
                  <c:v>0.61144307623912608</c:v>
                </c:pt>
                <c:pt idx="7">
                  <c:v>0.63308344299469987</c:v>
                </c:pt>
                <c:pt idx="8">
                  <c:v>0.63293068211295922</c:v>
                </c:pt>
                <c:pt idx="9">
                  <c:v>0.56985122677244915</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'NS beam trawl over 300kW'!$C$93</c:f>
              <c:strCache>
                <c:ptCount val="1"/>
                <c:pt idx="0">
                  <c:v>Sole</c:v>
                </c:pt>
              </c:strCache>
            </c:strRef>
          </c:tx>
          <c:spPr>
            <a:solidFill>
              <a:srgbClr val="E87308"/>
            </a:solidFill>
            <a:ln>
              <a:solidFill>
                <a:srgbClr val="FFFFFF"/>
              </a:solidFill>
            </a:ln>
          </c:spPr>
          <c:invertIfNegative val="0"/>
          <c:cat>
            <c:numRef>
              <c:f>'NS beam trawl over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over 300kW'!$D$93:$M$93</c:f>
              <c:numCache>
                <c:formatCode>0%</c:formatCode>
                <c:ptCount val="10"/>
                <c:pt idx="0">
                  <c:v>0.24629848325409806</c:v>
                </c:pt>
                <c:pt idx="1">
                  <c:v>0.26342562910151962</c:v>
                </c:pt>
                <c:pt idx="2">
                  <c:v>0.19560138420474157</c:v>
                </c:pt>
                <c:pt idx="3">
                  <c:v>0.10861708256263695</c:v>
                </c:pt>
                <c:pt idx="4">
                  <c:v>0.21421393470254574</c:v>
                </c:pt>
                <c:pt idx="5">
                  <c:v>0.24871472857069629</c:v>
                </c:pt>
                <c:pt idx="6">
                  <c:v>0.24349591157324815</c:v>
                </c:pt>
                <c:pt idx="7">
                  <c:v>0.21811155627052076</c:v>
                </c:pt>
                <c:pt idx="8">
                  <c:v>0.18955508439631555</c:v>
                </c:pt>
                <c:pt idx="9">
                  <c:v>0.21833566348806646</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'NS beam trawl over 300kW'!$C$94</c:f>
              <c:strCache>
                <c:ptCount val="1"/>
                <c:pt idx="0">
                  <c:v>Turbot</c:v>
                </c:pt>
              </c:strCache>
            </c:strRef>
          </c:tx>
          <c:spPr>
            <a:solidFill>
              <a:srgbClr val="648C2E"/>
            </a:solidFill>
            <a:ln>
              <a:solidFill>
                <a:srgbClr val="FFFFFF"/>
              </a:solidFill>
            </a:ln>
          </c:spPr>
          <c:invertIfNegative val="0"/>
          <c:cat>
            <c:numRef>
              <c:f>'NS beam trawl over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over 300kW'!$D$94:$M$94</c:f>
              <c:numCache>
                <c:formatCode>0%</c:formatCode>
                <c:ptCount val="10"/>
                <c:pt idx="0">
                  <c:v>9.7190195899380744E-2</c:v>
                </c:pt>
                <c:pt idx="1">
                  <c:v>0.10624006588077062</c:v>
                </c:pt>
                <c:pt idx="2">
                  <c:v>8.1915330921960211E-2</c:v>
                </c:pt>
                <c:pt idx="3">
                  <c:v>6.3870453386953741E-2</c:v>
                </c:pt>
                <c:pt idx="4">
                  <c:v>9.1200497274152026E-2</c:v>
                </c:pt>
                <c:pt idx="5">
                  <c:v>9.8087758821706089E-2</c:v>
                </c:pt>
                <c:pt idx="6">
                  <c:v>6.7248349211095654E-2</c:v>
                </c:pt>
                <c:pt idx="7">
                  <c:v>6.9567226968196449E-2</c:v>
                </c:pt>
                <c:pt idx="8">
                  <c:v>8.7207823584185648E-2</c:v>
                </c:pt>
                <c:pt idx="9">
                  <c:v>0.11038482503265387</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'NS beam trawl over 300kW'!$C$95</c:f>
              <c:strCache>
                <c:ptCount val="1"/>
                <c:pt idx="0">
                  <c:v>Lemon Sole</c:v>
                </c:pt>
              </c:strCache>
            </c:strRef>
          </c:tx>
          <c:spPr>
            <a:solidFill>
              <a:srgbClr val="C1D119"/>
            </a:solidFill>
            <a:ln>
              <a:solidFill>
                <a:srgbClr val="FFFFFF"/>
              </a:solidFill>
            </a:ln>
          </c:spPr>
          <c:invertIfNegative val="0"/>
          <c:cat>
            <c:numRef>
              <c:f>'NS beam trawl over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over 300kW'!$D$95:$M$95</c:f>
              <c:numCache>
                <c:formatCode>0%</c:formatCode>
                <c:ptCount val="10"/>
                <c:pt idx="1">
                  <c:v>2.193976589815266E-2</c:v>
                </c:pt>
                <c:pt idx="2">
                  <c:v>2.8452452620984028E-2</c:v>
                </c:pt>
                <c:pt idx="3">
                  <c:v>1.7076442904636727E-2</c:v>
                </c:pt>
                <c:pt idx="4">
                  <c:v>2.2625828550967585E-2</c:v>
                </c:pt>
                <c:pt idx="5">
                  <c:v>2.5202441287532809E-2</c:v>
                </c:pt>
                <c:pt idx="6">
                  <c:v>2.7082498270080774E-2</c:v>
                </c:pt>
                <c:pt idx="7">
                  <c:v>2.3046375667735031E-2</c:v>
                </c:pt>
                <c:pt idx="8">
                  <c:v>2.8807824258936323E-2</c:v>
                </c:pt>
                <c:pt idx="9">
                  <c:v>2.2489271546370222E-2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'NS beam trawl over 300kW'!$C$96</c:f>
              <c:strCache>
                <c:ptCount val="1"/>
                <c:pt idx="0">
                  <c:v>Brill</c:v>
                </c:pt>
              </c:strCache>
            </c:strRef>
          </c:tx>
          <c:spPr>
            <a:solidFill>
              <a:srgbClr val="E84A38"/>
            </a:solidFill>
            <a:ln>
              <a:solidFill>
                <a:srgbClr val="FFFFFF"/>
              </a:solidFill>
            </a:ln>
          </c:spPr>
          <c:invertIfNegative val="0"/>
          <c:cat>
            <c:numRef>
              <c:f>'NS beam trawl over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over 300kW'!$D$96:$M$96</c:f>
              <c:numCache>
                <c:formatCode>0%</c:formatCode>
                <c:ptCount val="10"/>
                <c:pt idx="0">
                  <c:v>2.0878134920300568E-2</c:v>
                </c:pt>
                <c:pt idx="1">
                  <c:v>2.4303177992061255E-2</c:v>
                </c:pt>
                <c:pt idx="2">
                  <c:v>2.3430422311218415E-2</c:v>
                </c:pt>
                <c:pt idx="3">
                  <c:v>1.6391885416594979E-2</c:v>
                </c:pt>
                <c:pt idx="4">
                  <c:v>2.6840674214506116E-2</c:v>
                </c:pt>
                <c:pt idx="5">
                  <c:v>2.9303678645102822E-2</c:v>
                </c:pt>
                <c:pt idx="6">
                  <c:v>2.2720030122114532E-2</c:v>
                </c:pt>
                <c:pt idx="7">
                  <c:v>2.5137627751856531E-2</c:v>
                </c:pt>
                <c:pt idx="8">
                  <c:v>2.8480392120111619E-2</c:v>
                </c:pt>
                <c:pt idx="9">
                  <c:v>3.1032645566807807E-2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'NS beam trawl over 300kW'!$C$97</c:f>
              <c:strCache>
                <c:ptCount val="1"/>
                <c:pt idx="0">
                  <c:v>Dabs</c:v>
                </c:pt>
              </c:strCache>
            </c:strRef>
          </c:tx>
          <c:spPr>
            <a:solidFill>
              <a:srgbClr val="0F9AA9"/>
            </a:solidFill>
            <a:ln>
              <a:solidFill>
                <a:srgbClr val="FFFFFF"/>
              </a:solidFill>
            </a:ln>
          </c:spPr>
          <c:invertIfNegative val="0"/>
          <c:cat>
            <c:numRef>
              <c:f>'NS beam trawl over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over 300kW'!$D$97:$M$97</c:f>
              <c:numCache>
                <c:formatCode>0%</c:formatCode>
                <c:ptCount val="10"/>
                <c:pt idx="0">
                  <c:v>1.7483706046860729E-2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'NS beam trawl over 300kW'!$C$98</c:f>
              <c:strCache>
                <c:ptCount val="1"/>
                <c:pt idx="0">
                  <c:v>Others</c:v>
                </c:pt>
              </c:strCache>
            </c:strRef>
          </c:tx>
          <c:spPr>
            <a:solidFill>
              <a:srgbClr val="55585A"/>
            </a:solidFill>
            <a:ln>
              <a:solidFill>
                <a:srgbClr val="FFFFFF"/>
              </a:solidFill>
            </a:ln>
          </c:spPr>
          <c:invertIfNegative val="0"/>
          <c:cat>
            <c:numRef>
              <c:f>'NS beam trawl over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over 300kW'!$D$98:$M$98</c:f>
              <c:numCache>
                <c:formatCode>0%</c:formatCode>
                <c:ptCount val="10"/>
                <c:pt idx="0">
                  <c:v>3.6249588585416236E-2</c:v>
                </c:pt>
                <c:pt idx="1">
                  <c:v>3.5131633313101783E-2</c:v>
                </c:pt>
                <c:pt idx="2">
                  <c:v>3.3864897528946676E-2</c:v>
                </c:pt>
                <c:pt idx="3">
                  <c:v>3.3887831388861069E-2</c:v>
                </c:pt>
                <c:pt idx="4">
                  <c:v>3.8264733448075655E-2</c:v>
                </c:pt>
                <c:pt idx="5">
                  <c:v>3.1368994469479793E-2</c:v>
                </c:pt>
                <c:pt idx="6">
                  <c:v>2.8010134584334784E-2</c:v>
                </c:pt>
                <c:pt idx="7">
                  <c:v>3.105377034699134E-2</c:v>
                </c:pt>
                <c:pt idx="8">
                  <c:v>3.3018193527491593E-2</c:v>
                </c:pt>
                <c:pt idx="9">
                  <c:v>4.7906367593652466E-2</c:v>
                </c:pt>
              </c:numCache>
            </c:numRef>
          </c:val>
          <c:extLst xmlns:c16r2="http://schemas.microsoft.com/office/drawing/2015/06/chart">
            <c:ext xmlns:c16="http://schemas.microsoft.com/office/drawing/2014/chart" uri="{C3380CC4-5D6E-409C-BE32-E72D297353CC}">
              <c16:uniqueId val="{00000006-282A-42F3-A8CE-7B6B063B5E4F}"/>
            </c:ext>
          </c:extLst>
        </c:ser>
        <c:dLbls>
          <c:showLegendKey val="0"/>
          <c:showVal val="0"/>
          <c:showCatName val="0"/>
          <c:showSerName val="0"/>
          <c:showPercent val="0"/>
          <c:showBubbleSize val="0"/>
        </c:dLbls>
        <c:gapWidth val="150"/>
        <c:overlap val="100"/>
        <c:axId val="713783936"/>
        <c:axId val="713793920"/>
      </c:barChart>
      <c:catAx>
        <c:axId val="713783936"/>
        <c:scaling>
          <c:orientation val="minMax"/>
        </c:scaling>
        <c:delete val="0"/>
        <c:axPos val="b"/>
        <c:numFmt formatCode="General" sourceLinked="1"/>
        <c:majorTickMark val="out"/>
        <c:minorTickMark val="none"/>
        <c:tickLblPos val="nextTo"/>
        <c:crossAx val="713793920"/>
        <c:crosses val="autoZero"/>
        <c:auto val="1"/>
        <c:lblAlgn val="ctr"/>
        <c:lblOffset val="100"/>
        <c:noMultiLvlLbl val="0"/>
      </c:catAx>
      <c:valAx>
        <c:axId val="713793920"/>
        <c:scaling>
          <c:orientation val="minMax"/>
          <c:max val="1"/>
          <c:min val="0"/>
        </c:scaling>
        <c:delete val="0"/>
        <c:axPos val="l"/>
        <c:majorGridlines/>
        <c:numFmt formatCode="0%" sourceLinked="1"/>
        <c:majorTickMark val="out"/>
        <c:minorTickMark val="none"/>
        <c:tickLblPos val="nextTo"/>
        <c:crossAx val="713783936"/>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300kW'!$A$48</c:f>
          <c:strCache>
            <c:ptCount val="1"/>
            <c:pt idx="0">
              <c:v>Landings per kW day at sea (kg)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'NS beam trawl under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beam trawl under 300kW'!$D$21:$N$21</c:f>
              <c:numCache>
                <c:formatCode>#,##0.00</c:formatCode>
                <c:ptCount val="11"/>
                <c:pt idx="0">
                  <c:v>1.641782022273522</c:v>
                </c:pt>
                <c:pt idx="1">
                  <c:v>1.9656169142236051</c:v>
                </c:pt>
                <c:pt idx="2">
                  <c:v>2.7192324503014338</c:v>
                </c:pt>
                <c:pt idx="3">
                  <c:v>3.1895745675305078</c:v>
                </c:pt>
                <c:pt idx="4">
                  <c:v>3.9223019947286133</c:v>
                </c:pt>
                <c:pt idx="5">
                  <c:v>2.7202065528924475</c:v>
                </c:pt>
                <c:pt idx="6">
                  <c:v>3.242810071527813</c:v>
                </c:pt>
                <c:pt idx="7">
                  <c:v>3.3062912062321512</c:v>
                </c:pt>
                <c:pt idx="8">
                  <c:v>1.9627514255239329</c:v>
                </c:pt>
                <c:pt idx="9">
                  <c:v>1.1386183900383613</c:v>
                </c:pt>
                <c:pt idx="10">
                  <c:v>2.2305872127263102</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713076096"/>
        <c:axId val="713086080"/>
      </c:lineChart>
      <c:catAx>
        <c:axId val="713076096"/>
        <c:scaling>
          <c:orientation val="minMax"/>
        </c:scaling>
        <c:delete val="0"/>
        <c:axPos val="b"/>
        <c:numFmt formatCode="General" sourceLinked="1"/>
        <c:majorTickMark val="out"/>
        <c:minorTickMark val="none"/>
        <c:tickLblPos val="nextTo"/>
        <c:crossAx val="713086080"/>
        <c:crosses val="autoZero"/>
        <c:auto val="1"/>
        <c:lblAlgn val="ctr"/>
        <c:lblOffset val="100"/>
        <c:noMultiLvlLbl val="0"/>
      </c:catAx>
      <c:valAx>
        <c:axId val="713086080"/>
        <c:scaling>
          <c:orientation val="minMax"/>
        </c:scaling>
        <c:delete val="0"/>
        <c:axPos val="l"/>
        <c:majorGridlines>
          <c:spPr>
            <a:ln w="3175">
              <a:prstDash val="sysDot"/>
            </a:ln>
          </c:spPr>
        </c:majorGridlines>
        <c:numFmt formatCode="#,##0.00" sourceLinked="1"/>
        <c:majorTickMark val="out"/>
        <c:minorTickMark val="none"/>
        <c:tickLblPos val="nextTo"/>
        <c:crossAx val="713076096"/>
        <c:crosses val="autoZero"/>
        <c:crossBetween val="between"/>
      </c:valAx>
    </c:plotArea>
    <c:plotVisOnly val="0"/>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300kW'!$A$49</c:f>
          <c:strCache>
            <c:ptCount val="1"/>
            <c:pt idx="0">
              <c:v>Fishing income per kW day at sea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'NS beam trawl under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beam trawl under 300kW'!$D$22:$N$22</c:f>
              <c:numCache>
                <c:formatCode>#,##0.00</c:formatCode>
                <c:ptCount val="11"/>
                <c:pt idx="0">
                  <c:v>6.2759645515450604</c:v>
                </c:pt>
                <c:pt idx="1">
                  <c:v>3.6594242814535001</c:v>
                </c:pt>
                <c:pt idx="2">
                  <c:v>5.9823649096156197</c:v>
                </c:pt>
                <c:pt idx="3">
                  <c:v>5.26570185994398</c:v>
                </c:pt>
                <c:pt idx="4">
                  <c:v>7.2810765662388004</c:v>
                </c:pt>
                <c:pt idx="5">
                  <c:v>5.5740051161451003</c:v>
                </c:pt>
                <c:pt idx="6">
                  <c:v>3.1471416748480299</c:v>
                </c:pt>
                <c:pt idx="7">
                  <c:v>4.0678439161377797</c:v>
                </c:pt>
                <c:pt idx="8">
                  <c:v>5.8875767700983497</c:v>
                </c:pt>
                <c:pt idx="9">
                  <c:v>4.7019675968317003</c:v>
                </c:pt>
                <c:pt idx="10">
                  <c:v>5.1480349528147773</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713116288"/>
        <c:axId val="713122176"/>
      </c:lineChart>
      <c:catAx>
        <c:axId val="713116288"/>
        <c:scaling>
          <c:orientation val="minMax"/>
        </c:scaling>
        <c:delete val="0"/>
        <c:axPos val="b"/>
        <c:numFmt formatCode="General" sourceLinked="1"/>
        <c:majorTickMark val="out"/>
        <c:minorTickMark val="none"/>
        <c:tickLblPos val="nextTo"/>
        <c:crossAx val="713122176"/>
        <c:crosses val="autoZero"/>
        <c:auto val="1"/>
        <c:lblAlgn val="ctr"/>
        <c:lblOffset val="100"/>
        <c:noMultiLvlLbl val="0"/>
      </c:catAx>
      <c:valAx>
        <c:axId val="713122176"/>
        <c:scaling>
          <c:orientation val="minMax"/>
        </c:scaling>
        <c:delete val="0"/>
        <c:axPos val="l"/>
        <c:majorGridlines>
          <c:spPr>
            <a:ln w="3175">
              <a:prstDash val="sysDot"/>
            </a:ln>
          </c:spPr>
        </c:majorGridlines>
        <c:numFmt formatCode="#,##0.00" sourceLinked="1"/>
        <c:majorTickMark val="out"/>
        <c:minorTickMark val="none"/>
        <c:tickLblPos val="nextTo"/>
        <c:crossAx val="713116288"/>
        <c:crosses val="autoZero"/>
        <c:crossBetween val="between"/>
      </c:valAx>
    </c:plotArea>
    <c:plotVisOnly val="0"/>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300kW'!$B$62</c:f>
          <c:strCache>
            <c:ptCount val="1"/>
            <c:pt idx="0">
              <c:v>Total cost per kW day at sea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'NS beam trawl under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beam trawl under 300kW'!$D$23:$N$23</c:f>
              <c:numCache>
                <c:formatCode>#,##0.00</c:formatCode>
                <c:ptCount val="11"/>
                <c:pt idx="0">
                  <c:v>8.5136219515790508</c:v>
                </c:pt>
                <c:pt idx="1">
                  <c:v>3.4706015129086998</c:v>
                </c:pt>
                <c:pt idx="2">
                  <c:v>6.5101641146587301</c:v>
                </c:pt>
                <c:pt idx="3">
                  <c:v>6.97750506638884</c:v>
                </c:pt>
                <c:pt idx="4">
                  <c:v>7.37285411094539</c:v>
                </c:pt>
                <c:pt idx="5">
                  <c:v>6.2680206044729703</c:v>
                </c:pt>
                <c:pt idx="6">
                  <c:v>5.2562144308059597</c:v>
                </c:pt>
                <c:pt idx="7">
                  <c:v>4.3388979634779004</c:v>
                </c:pt>
                <c:pt idx="8">
                  <c:v>6.6829194667177001</c:v>
                </c:pt>
                <c:pt idx="9">
                  <c:v>5.0434268027288702</c:v>
                </c:pt>
                <c:pt idx="10">
                  <c:v>5.5444555619896025</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713140096"/>
        <c:axId val="713141632"/>
      </c:lineChart>
      <c:catAx>
        <c:axId val="713140096"/>
        <c:scaling>
          <c:orientation val="minMax"/>
        </c:scaling>
        <c:delete val="0"/>
        <c:axPos val="b"/>
        <c:numFmt formatCode="General" sourceLinked="1"/>
        <c:majorTickMark val="out"/>
        <c:minorTickMark val="none"/>
        <c:tickLblPos val="nextTo"/>
        <c:crossAx val="713141632"/>
        <c:crosses val="autoZero"/>
        <c:auto val="1"/>
        <c:lblAlgn val="ctr"/>
        <c:lblOffset val="100"/>
        <c:noMultiLvlLbl val="0"/>
      </c:catAx>
      <c:valAx>
        <c:axId val="713141632"/>
        <c:scaling>
          <c:orientation val="minMax"/>
        </c:scaling>
        <c:delete val="0"/>
        <c:axPos val="l"/>
        <c:majorGridlines>
          <c:spPr>
            <a:ln w="3175">
              <a:prstDash val="sysDot"/>
            </a:ln>
          </c:spPr>
        </c:majorGridlines>
        <c:numFmt formatCode="#,##0.00" sourceLinked="1"/>
        <c:majorTickMark val="out"/>
        <c:minorTickMark val="none"/>
        <c:tickLblPos val="nextTo"/>
        <c:crossAx val="71314009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300kW'!$K$48</c:f>
          <c:strCache>
            <c:ptCount val="1"/>
            <c:pt idx="0">
              <c:v>Operating profit per kW day at sea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'NS beam trawl under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beam trawl under 300kW'!$D$24:$N$24</c:f>
              <c:numCache>
                <c:formatCode>#,##0.00</c:formatCode>
                <c:ptCount val="11"/>
                <c:pt idx="0">
                  <c:v>-2.2376574000339899</c:v>
                </c:pt>
                <c:pt idx="1">
                  <c:v>0.320065820441995</c:v>
                </c:pt>
                <c:pt idx="2">
                  <c:v>-0.230045627920545</c:v>
                </c:pt>
                <c:pt idx="3">
                  <c:v>-1.3930705241994701</c:v>
                </c:pt>
                <c:pt idx="4">
                  <c:v>0.23151459986644499</c:v>
                </c:pt>
                <c:pt idx="5">
                  <c:v>-0.31041659778346697</c:v>
                </c:pt>
                <c:pt idx="6">
                  <c:v>-1.9580534239009899</c:v>
                </c:pt>
                <c:pt idx="7">
                  <c:v>6.4195808275911903E-3</c:v>
                </c:pt>
                <c:pt idx="8">
                  <c:v>-0.131958563632015</c:v>
                </c:pt>
                <c:pt idx="9">
                  <c:v>5.03009928515738E-2</c:v>
                </c:pt>
                <c:pt idx="10">
                  <c:v>3.2505194405502369E-2</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713852032"/>
        <c:axId val="713853568"/>
      </c:lineChart>
      <c:catAx>
        <c:axId val="713852032"/>
        <c:scaling>
          <c:orientation val="minMax"/>
        </c:scaling>
        <c:delete val="0"/>
        <c:axPos val="b"/>
        <c:numFmt formatCode="General" sourceLinked="1"/>
        <c:majorTickMark val="out"/>
        <c:minorTickMark val="none"/>
        <c:tickLblPos val="nextTo"/>
        <c:crossAx val="713853568"/>
        <c:crosses val="autoZero"/>
        <c:auto val="1"/>
        <c:lblAlgn val="ctr"/>
        <c:lblOffset val="100"/>
        <c:noMultiLvlLbl val="0"/>
      </c:catAx>
      <c:valAx>
        <c:axId val="713853568"/>
        <c:scaling>
          <c:orientation val="minMax"/>
        </c:scaling>
        <c:delete val="0"/>
        <c:axPos val="l"/>
        <c:majorGridlines>
          <c:spPr>
            <a:ln w="3175">
              <a:prstDash val="sysDot"/>
            </a:ln>
          </c:spPr>
        </c:majorGridlines>
        <c:numFmt formatCode="#,##0.00" sourceLinked="1"/>
        <c:majorTickMark val="out"/>
        <c:minorTickMark val="none"/>
        <c:tickLblPos val="nextTo"/>
        <c:crossAx val="713852032"/>
        <c:crosses val="autoZero"/>
        <c:crossBetween val="between"/>
      </c:valAx>
    </c:plotArea>
    <c:plotVisOnly val="0"/>
    <c:dispBlanksAs val="gap"/>
    <c:showDLblsOverMax val="0"/>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300kW'!$A$50</c:f>
          <c:strCache>
            <c:ptCount val="1"/>
            <c:pt idx="0">
              <c:v>Average price per tonne landed (£)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'NS beam trawl under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beam trawl under 300kW'!$D$20:$N$20</c:f>
              <c:numCache>
                <c:formatCode>#,##0</c:formatCode>
                <c:ptCount val="11"/>
                <c:pt idx="0">
                  <c:v>3823</c:v>
                </c:pt>
                <c:pt idx="1">
                  <c:v>1862</c:v>
                </c:pt>
                <c:pt idx="2">
                  <c:v>2200</c:v>
                </c:pt>
                <c:pt idx="3">
                  <c:v>1651</c:v>
                </c:pt>
                <c:pt idx="4">
                  <c:v>1856</c:v>
                </c:pt>
                <c:pt idx="5">
                  <c:v>2049</c:v>
                </c:pt>
                <c:pt idx="6">
                  <c:v>970</c:v>
                </c:pt>
                <c:pt idx="7">
                  <c:v>1230</c:v>
                </c:pt>
                <c:pt idx="8">
                  <c:v>3000</c:v>
                </c:pt>
                <c:pt idx="9">
                  <c:v>4130</c:v>
                </c:pt>
                <c:pt idx="10">
                  <c:v>2308</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714219904"/>
        <c:axId val="714221440"/>
      </c:lineChart>
      <c:catAx>
        <c:axId val="714219904"/>
        <c:scaling>
          <c:orientation val="minMax"/>
        </c:scaling>
        <c:delete val="0"/>
        <c:axPos val="b"/>
        <c:numFmt formatCode="General" sourceLinked="1"/>
        <c:majorTickMark val="out"/>
        <c:minorTickMark val="none"/>
        <c:tickLblPos val="nextTo"/>
        <c:crossAx val="714221440"/>
        <c:crosses val="autoZero"/>
        <c:auto val="1"/>
        <c:lblAlgn val="ctr"/>
        <c:lblOffset val="100"/>
        <c:noMultiLvlLbl val="0"/>
      </c:catAx>
      <c:valAx>
        <c:axId val="714221440"/>
        <c:scaling>
          <c:orientation val="minMax"/>
        </c:scaling>
        <c:delete val="0"/>
        <c:axPos val="l"/>
        <c:majorGridlines>
          <c:spPr>
            <a:ln w="3175">
              <a:prstDash val="sysDot"/>
            </a:ln>
          </c:spPr>
        </c:majorGridlines>
        <c:numFmt formatCode="#,##0" sourceLinked="1"/>
        <c:majorTickMark val="out"/>
        <c:minorTickMark val="none"/>
        <c:tickLblPos val="nextTo"/>
        <c:crossAx val="714219904"/>
        <c:crosses val="autoZero"/>
        <c:crossBetween val="between"/>
      </c:valAx>
    </c:plotArea>
    <c:plotVisOnly val="0"/>
    <c:dispBlanksAs val="gap"/>
    <c:showDLblsOverMax val="0"/>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300kW'!$K$62</c:f>
          <c:strCache>
            <c:ptCount val="1"/>
            <c:pt idx="0">
              <c:v>Average annual operating profit per vessel (£'000)
North Sea beam trawl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'NS beam trawl under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beam trawl under 300kW'!$D$37:$N$37</c:f>
              <c:numCache>
                <c:formatCode>#,##0.0</c:formatCode>
                <c:ptCount val="11"/>
                <c:pt idx="0">
                  <c:v>-28.3</c:v>
                </c:pt>
                <c:pt idx="1">
                  <c:v>6.2</c:v>
                </c:pt>
                <c:pt idx="2">
                  <c:v>-4.9000000000000004</c:v>
                </c:pt>
                <c:pt idx="3">
                  <c:v>-20.3</c:v>
                </c:pt>
                <c:pt idx="4">
                  <c:v>3.8</c:v>
                </c:pt>
                <c:pt idx="5">
                  <c:v>-7</c:v>
                </c:pt>
                <c:pt idx="6">
                  <c:v>-42.7</c:v>
                </c:pt>
                <c:pt idx="7">
                  <c:v>0.2</c:v>
                </c:pt>
                <c:pt idx="8">
                  <c:v>-2.5</c:v>
                </c:pt>
                <c:pt idx="9">
                  <c:v>1</c:v>
                </c:pt>
                <c:pt idx="10">
                  <c:v>0.70000000000000007</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714239360"/>
        <c:axId val="714257536"/>
      </c:lineChart>
      <c:catAx>
        <c:axId val="714239360"/>
        <c:scaling>
          <c:orientation val="minMax"/>
        </c:scaling>
        <c:delete val="0"/>
        <c:axPos val="b"/>
        <c:numFmt formatCode="General" sourceLinked="1"/>
        <c:majorTickMark val="out"/>
        <c:minorTickMark val="none"/>
        <c:tickLblPos val="nextTo"/>
        <c:crossAx val="714257536"/>
        <c:crosses val="autoZero"/>
        <c:auto val="1"/>
        <c:lblAlgn val="ctr"/>
        <c:lblOffset val="100"/>
        <c:noMultiLvlLbl val="0"/>
      </c:catAx>
      <c:valAx>
        <c:axId val="714257536"/>
        <c:scaling>
          <c:orientation val="minMax"/>
        </c:scaling>
        <c:delete val="0"/>
        <c:axPos val="l"/>
        <c:majorGridlines>
          <c:spPr>
            <a:ln w="3175">
              <a:prstDash val="sysDot"/>
            </a:ln>
          </c:spPr>
        </c:majorGridlines>
        <c:numFmt formatCode="#,##0.0" sourceLinked="1"/>
        <c:majorTickMark val="out"/>
        <c:minorTickMark val="none"/>
        <c:tickLblPos val="nextTo"/>
        <c:crossAx val="714239360"/>
        <c:crosses val="autoZero"/>
        <c:crossBetween val="between"/>
      </c:valAx>
    </c:plotArea>
    <c:plotVisOnly val="0"/>
    <c:dispBlanksAs val="gap"/>
    <c:showDLblsOverMax val="0"/>
  </c:chart>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under 300kW'!$A$76</c:f>
          <c:strCache>
            <c:ptCount val="1"/>
            <c:pt idx="0">
              <c:v>Top 5 landed species by volume in 2017
North Sea beam trawl under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648C2E"/>
              </a:solidFill>
              <a:ln>
                <a:solidFill>
                  <a:srgbClr val="FFFFFF"/>
                </a:solidFill>
              </a:ln>
            </c:spPr>
          </c:dPt>
          <c:dPt>
            <c:idx val="3"/>
            <c:bubble3D val="0"/>
            <c:spPr>
              <a:solidFill>
                <a:srgbClr val="648C2E"/>
              </a:solidFill>
              <a:ln>
                <a:solidFill>
                  <a:srgbClr val="FFFFFF"/>
                </a:solidFill>
              </a:ln>
            </c:spPr>
          </c:dPt>
          <c:dPt>
            <c:idx val="4"/>
            <c:bubble3D val="0"/>
            <c:spPr>
              <a:solidFill>
                <a:srgbClr val="648C2E"/>
              </a:solidFill>
              <a:ln>
                <a:solidFill>
                  <a:srgbClr val="FFFFFF"/>
                </a:solidFill>
              </a:ln>
            </c:spPr>
          </c:dPt>
          <c:dPt>
            <c:idx val="5"/>
            <c:bubble3D val="0"/>
            <c:spPr>
              <a:solidFill>
                <a:srgbClr val="55585A"/>
              </a:solidFill>
              <a:ln>
                <a:solidFill>
                  <a:srgbClr val="FFFFFF"/>
                </a:solidFill>
              </a:ln>
            </c:spPr>
          </c:dPt>
          <c:cat>
            <c:strRef>
              <c:f>'NS beam trawl under 300kW'!$B$77:$B$82</c:f>
              <c:strCache>
                <c:ptCount val="6"/>
                <c:pt idx="0">
                  <c:v>Brown Shrimps - 95.1%</c:v>
                </c:pt>
                <c:pt idx="1">
                  <c:v>Scallops - 2.8%</c:v>
                </c:pt>
                <c:pt idx="2">
                  <c:v>Cockles - 2.1%</c:v>
                </c:pt>
                <c:pt idx="3">
                  <c:v> - </c:v>
                </c:pt>
                <c:pt idx="4">
                  <c:v> - </c:v>
                </c:pt>
                <c:pt idx="5">
                  <c:v>Others - 0.0%</c:v>
                </c:pt>
              </c:strCache>
            </c:strRef>
          </c:cat>
          <c:val>
            <c:numRef>
              <c:f>'NS beam trawl under 300kW'!$C$77:$C$82</c:f>
              <c:numCache>
                <c:formatCode>0.0%</c:formatCode>
                <c:ptCount val="6"/>
                <c:pt idx="0">
                  <c:v>0.9505810549534538</c:v>
                </c:pt>
                <c:pt idx="1">
                  <c:v>2.8304249207892328E-2</c:v>
                </c:pt>
                <c:pt idx="2">
                  <c:v>2.1114695838653885E-2</c:v>
                </c:pt>
                <c:pt idx="5">
                  <c:v>0</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legendEntry>
        <c:idx val="3"/>
        <c:delete val="1"/>
      </c:legendEntry>
      <c:legendEntry>
        <c:idx val="4"/>
        <c:delete val="1"/>
      </c:legendEntry>
      <c:overlay val="0"/>
    </c:legend>
    <c:plotVisOnly val="1"/>
    <c:dispBlanksAs val="gap"/>
    <c:showDLblsOverMax val="0"/>
  </c:chart>
  <c:printSettings>
    <c:headerFooter/>
    <c:pageMargins b="1" l="0.75" r="0.7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beam trawl under 300kW'!$F$76</c:f>
          <c:strCache>
            <c:ptCount val="1"/>
            <c:pt idx="0">
              <c:v>Top 5 landed species by value in 2017
North Sea beam trawl under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648C2E"/>
              </a:solidFill>
              <a:ln>
                <a:solidFill>
                  <a:srgbClr val="FFFFFF"/>
                </a:solidFill>
              </a:ln>
            </c:spPr>
          </c:dPt>
          <c:dPt>
            <c:idx val="4"/>
            <c:bubble3D val="0"/>
            <c:spPr>
              <a:solidFill>
                <a:srgbClr val="648C2E"/>
              </a:solidFill>
              <a:ln>
                <a:solidFill>
                  <a:srgbClr val="FFFFFF"/>
                </a:solidFill>
              </a:ln>
            </c:spPr>
          </c:dPt>
          <c:dPt>
            <c:idx val="5"/>
            <c:bubble3D val="0"/>
            <c:spPr>
              <a:solidFill>
                <a:srgbClr val="55585A"/>
              </a:solidFill>
              <a:ln>
                <a:solidFill>
                  <a:srgbClr val="FFFFFF"/>
                </a:solidFill>
              </a:ln>
            </c:spPr>
          </c:dPt>
          <c:cat>
            <c:strRef>
              <c:f>'NS beam trawl under 300kW'!$G$77:$G$82</c:f>
              <c:strCache>
                <c:ptCount val="6"/>
                <c:pt idx="0">
                  <c:v>Brown Shrimps - 97.8%</c:v>
                </c:pt>
                <c:pt idx="1">
                  <c:v>Scallops - 2.0%</c:v>
                </c:pt>
                <c:pt idx="2">
                  <c:v>Cockles - 0.3%</c:v>
                </c:pt>
                <c:pt idx="3">
                  <c:v> - </c:v>
                </c:pt>
                <c:pt idx="4">
                  <c:v> - </c:v>
                </c:pt>
                <c:pt idx="5">
                  <c:v>Others - 0.0%</c:v>
                </c:pt>
              </c:strCache>
            </c:strRef>
          </c:cat>
          <c:val>
            <c:numRef>
              <c:f>'NS beam trawl under 300kW'!$H$77:$H$82</c:f>
              <c:numCache>
                <c:formatCode>0.0%</c:formatCode>
                <c:ptCount val="6"/>
                <c:pt idx="0">
                  <c:v>0.97764720963382112</c:v>
                </c:pt>
                <c:pt idx="1">
                  <c:v>1.9800977031226633E-2</c:v>
                </c:pt>
                <c:pt idx="2">
                  <c:v>2.551813334952194E-3</c:v>
                </c:pt>
                <c:pt idx="5">
                  <c:v>0</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legendEntry>
        <c:idx val="3"/>
        <c:delete val="1"/>
      </c:legendEntry>
      <c:legendEntry>
        <c:idx val="4"/>
        <c:delete val="1"/>
      </c:legendEntry>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o250kW'!$B$62</c:f>
          <c:strCache>
            <c:ptCount val="1"/>
            <c:pt idx="0">
              <c:v>Total cost per kW day at sea (£)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'Area VIIa nephrops o250kW'!$D$2:$N$2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nephrops o250kW'!$D$23:$N$23</c:f>
              <c:numCache>
                <c:formatCode>#,##0.00</c:formatCode>
                <c:ptCount val="11"/>
                <c:pt idx="0">
                  <c:v>3.61462103915499</c:v>
                </c:pt>
                <c:pt idx="1">
                  <c:v>3.0370422461909601</c:v>
                </c:pt>
                <c:pt idx="2">
                  <c:v>3.5617180631104599</c:v>
                </c:pt>
                <c:pt idx="3">
                  <c:v>4.8904584826325097</c:v>
                </c:pt>
                <c:pt idx="4">
                  <c:v>4.5085908507505197</c:v>
                </c:pt>
                <c:pt idx="5">
                  <c:v>3.8499808142553902</c:v>
                </c:pt>
                <c:pt idx="6">
                  <c:v>3.98524513345654</c:v>
                </c:pt>
                <c:pt idx="7">
                  <c:v>3.63623228018001</c:v>
                </c:pt>
                <c:pt idx="8">
                  <c:v>3.7446441642503299</c:v>
                </c:pt>
                <c:pt idx="9">
                  <c:v>3.9998701029371899</c:v>
                </c:pt>
                <c:pt idx="10">
                  <c:v>3.6735653105783079</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616049664"/>
        <c:axId val="616059648"/>
      </c:lineChart>
      <c:catAx>
        <c:axId val="616049664"/>
        <c:scaling>
          <c:orientation val="minMax"/>
        </c:scaling>
        <c:delete val="0"/>
        <c:axPos val="b"/>
        <c:numFmt formatCode="General" sourceLinked="1"/>
        <c:majorTickMark val="out"/>
        <c:minorTickMark val="none"/>
        <c:tickLblPos val="nextTo"/>
        <c:crossAx val="616059648"/>
        <c:crosses val="autoZero"/>
        <c:auto val="1"/>
        <c:lblAlgn val="ctr"/>
        <c:lblOffset val="100"/>
        <c:noMultiLvlLbl val="0"/>
      </c:catAx>
      <c:valAx>
        <c:axId val="616059648"/>
        <c:scaling>
          <c:orientation val="minMax"/>
        </c:scaling>
        <c:delete val="0"/>
        <c:axPos val="l"/>
        <c:majorGridlines>
          <c:spPr>
            <a:ln w="3175">
              <a:prstDash val="sysDot"/>
            </a:ln>
          </c:spPr>
        </c:majorGridlines>
        <c:numFmt formatCode="#,##0.00" sourceLinked="1"/>
        <c:majorTickMark val="out"/>
        <c:minorTickMark val="none"/>
        <c:tickLblPos val="nextTo"/>
        <c:crossAx val="616049664"/>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beam trawl under 300kW'!$C$92</c:f>
              <c:strCache>
                <c:ptCount val="1"/>
                <c:pt idx="0">
                  <c:v>Brown Shrimps</c:v>
                </c:pt>
              </c:strCache>
            </c:strRef>
          </c:tx>
          <c:spPr>
            <a:solidFill>
              <a:srgbClr val="2273B9"/>
            </a:solidFill>
            <a:ln>
              <a:solidFill>
                <a:srgbClr val="FFFFFF"/>
              </a:solidFill>
            </a:ln>
          </c:spPr>
          <c:invertIfNegative val="0"/>
          <c:cat>
            <c:numRef>
              <c:f>'NS beam trawl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under 300kW'!$D$92:$M$92</c:f>
              <c:numCache>
                <c:formatCode>0%</c:formatCode>
                <c:ptCount val="10"/>
                <c:pt idx="0">
                  <c:v>0.93343448231572423</c:v>
                </c:pt>
                <c:pt idx="1">
                  <c:v>0.51054345534772916</c:v>
                </c:pt>
                <c:pt idx="2">
                  <c:v>0.4953996266968016</c:v>
                </c:pt>
                <c:pt idx="3">
                  <c:v>0.72559950071056034</c:v>
                </c:pt>
                <c:pt idx="4">
                  <c:v>0.86021013881764385</c:v>
                </c:pt>
                <c:pt idx="5">
                  <c:v>0.82549123139680181</c:v>
                </c:pt>
                <c:pt idx="6">
                  <c:v>0.58752159006386417</c:v>
                </c:pt>
                <c:pt idx="7">
                  <c:v>0.91882753263998429</c:v>
                </c:pt>
                <c:pt idx="8">
                  <c:v>0.97764722156672879</c:v>
                </c:pt>
                <c:pt idx="9">
                  <c:v>0.9993105190664886</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'NS beam trawl under 300kW'!$C$93</c:f>
              <c:strCache>
                <c:ptCount val="1"/>
                <c:pt idx="0">
                  <c:v>Scallops</c:v>
                </c:pt>
              </c:strCache>
            </c:strRef>
          </c:tx>
          <c:spPr>
            <a:solidFill>
              <a:srgbClr val="E87308"/>
            </a:solidFill>
            <a:ln>
              <a:solidFill>
                <a:srgbClr val="FFFFFF"/>
              </a:solidFill>
            </a:ln>
          </c:spPr>
          <c:invertIfNegative val="0"/>
          <c:cat>
            <c:numRef>
              <c:f>'NS beam trawl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under 300kW'!$D$93:$M$93</c:f>
              <c:numCache>
                <c:formatCode>0%</c:formatCode>
                <c:ptCount val="10"/>
                <c:pt idx="3">
                  <c:v>0.1293705997992346</c:v>
                </c:pt>
                <c:pt idx="5">
                  <c:v>6.1941782503634338E-3</c:v>
                </c:pt>
                <c:pt idx="6">
                  <c:v>0.17309302293875659</c:v>
                </c:pt>
                <c:pt idx="7">
                  <c:v>1.7936070225214883E-2</c:v>
                </c:pt>
                <c:pt idx="8">
                  <c:v>1.9800977272912208E-2</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'NS beam trawl under 300kW'!$C$94</c:f>
              <c:strCache>
                <c:ptCount val="1"/>
                <c:pt idx="0">
                  <c:v>Cockles</c:v>
                </c:pt>
              </c:strCache>
            </c:strRef>
          </c:tx>
          <c:spPr>
            <a:solidFill>
              <a:srgbClr val="648C2E"/>
            </a:solidFill>
            <a:ln>
              <a:solidFill>
                <a:srgbClr val="FFFFFF"/>
              </a:solidFill>
            </a:ln>
          </c:spPr>
          <c:invertIfNegative val="0"/>
          <c:cat>
            <c:numRef>
              <c:f>'NS beam trawl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under 300kW'!$D$94:$M$94</c:f>
              <c:numCache>
                <c:formatCode>0%</c:formatCode>
                <c:ptCount val="10"/>
                <c:pt idx="2">
                  <c:v>0.2661573603059601</c:v>
                </c:pt>
                <c:pt idx="3">
                  <c:v>0.12014617299965814</c:v>
                </c:pt>
                <c:pt idx="4">
                  <c:v>9.7771808111616468E-2</c:v>
                </c:pt>
                <c:pt idx="5">
                  <c:v>0.14273414139646146</c:v>
                </c:pt>
                <c:pt idx="6">
                  <c:v>0.16625556390344598</c:v>
                </c:pt>
                <c:pt idx="8">
                  <c:v>2.5518133660989641E-3</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'NS beam trawl under 300kW'!$C$95</c:f>
              <c:strCache>
                <c:ptCount val="1"/>
                <c:pt idx="0">
                  <c:v>Cod</c:v>
                </c:pt>
              </c:strCache>
            </c:strRef>
          </c:tx>
          <c:spPr>
            <a:solidFill>
              <a:srgbClr val="C1D119"/>
            </a:solidFill>
            <a:ln>
              <a:solidFill>
                <a:srgbClr val="FFFFFF"/>
              </a:solidFill>
            </a:ln>
          </c:spPr>
          <c:invertIfNegative val="0"/>
          <c:cat>
            <c:numRef>
              <c:f>'NS beam trawl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under 300kW'!$D$95:$M$95</c:f>
              <c:numCache>
                <c:formatCode>0%</c:formatCode>
                <c:ptCount val="10"/>
                <c:pt idx="9">
                  <c:v>3.9839308905355899E-4</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'NS beam trawl under 300kW'!$C$96</c:f>
              <c:strCache>
                <c:ptCount val="1"/>
                <c:pt idx="0">
                  <c:v>Sole</c:v>
                </c:pt>
              </c:strCache>
            </c:strRef>
          </c:tx>
          <c:spPr>
            <a:solidFill>
              <a:srgbClr val="E84A38"/>
            </a:solidFill>
            <a:ln>
              <a:solidFill>
                <a:srgbClr val="FFFFFF"/>
              </a:solidFill>
            </a:ln>
          </c:spPr>
          <c:invertIfNegative val="0"/>
          <c:cat>
            <c:numRef>
              <c:f>'NS beam trawl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under 300kW'!$D$96:$M$96</c:f>
              <c:numCache>
                <c:formatCode>0%</c:formatCode>
                <c:ptCount val="10"/>
                <c:pt idx="0">
                  <c:v>2.63611809361027E-2</c:v>
                </c:pt>
                <c:pt idx="1">
                  <c:v>0.25154197025794078</c:v>
                </c:pt>
                <c:pt idx="2">
                  <c:v>0.14523236576216211</c:v>
                </c:pt>
                <c:pt idx="4">
                  <c:v>2.3902179774778657E-2</c:v>
                </c:pt>
                <c:pt idx="9">
                  <c:v>1.8087113630772795E-4</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'NS beam trawl under 300kW'!$C$97</c:f>
              <c:strCache>
                <c:ptCount val="1"/>
                <c:pt idx="0">
                  <c:v>Whelks</c:v>
                </c:pt>
              </c:strCache>
            </c:strRef>
          </c:tx>
          <c:spPr>
            <a:solidFill>
              <a:srgbClr val="0F9AA9"/>
            </a:solidFill>
            <a:ln>
              <a:solidFill>
                <a:srgbClr val="FFFFFF"/>
              </a:solidFill>
            </a:ln>
          </c:spPr>
          <c:invertIfNegative val="0"/>
          <c:cat>
            <c:numRef>
              <c:f>'NS beam trawl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under 300kW'!$D$97:$M$97</c:f>
              <c:numCache>
                <c:formatCode>0%</c:formatCode>
                <c:ptCount val="10"/>
                <c:pt idx="5">
                  <c:v>8.5025511785469451E-3</c:v>
                </c:pt>
                <c:pt idx="6">
                  <c:v>7.0390720866690085E-2</c:v>
                </c:pt>
                <c:pt idx="7">
                  <c:v>4.4916606249783622E-2</c:v>
                </c:pt>
                <c:pt idx="9">
                  <c:v>6.3901999620005217E-5</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'NS beam trawl under 300kW'!$C$98</c:f>
              <c:strCache>
                <c:ptCount val="1"/>
                <c:pt idx="0">
                  <c:v>Brill</c:v>
                </c:pt>
              </c:strCache>
            </c:strRef>
          </c:tx>
          <c:spPr>
            <a:solidFill>
              <a:srgbClr val="FED825"/>
            </a:solidFill>
            <a:ln>
              <a:solidFill>
                <a:srgbClr val="FFFFFF"/>
              </a:solidFill>
            </a:ln>
          </c:spPr>
          <c:invertIfNegative val="0"/>
          <c:cat>
            <c:numRef>
              <c:f>'NS beam trawl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under 300kW'!$D$98:$M$98</c:f>
              <c:numCache>
                <c:formatCode>0%</c:formatCode>
                <c:ptCount val="10"/>
                <c:pt idx="9">
                  <c:v>3.465060439297557E-5</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'NS beam trawl under 300kW'!$C$99</c:f>
              <c:strCache>
                <c:ptCount val="1"/>
                <c:pt idx="0">
                  <c:v>Nephrops</c:v>
                </c:pt>
              </c:strCache>
            </c:strRef>
          </c:tx>
          <c:spPr>
            <a:solidFill>
              <a:srgbClr val="707271"/>
            </a:solidFill>
            <a:ln>
              <a:solidFill>
                <a:srgbClr val="FFFFFF"/>
              </a:solidFill>
            </a:ln>
          </c:spPr>
          <c:invertIfNegative val="0"/>
          <c:cat>
            <c:numRef>
              <c:f>'NS beam trawl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under 300kW'!$D$99:$M$99</c:f>
              <c:numCache>
                <c:formatCode>0%</c:formatCode>
                <c:ptCount val="10"/>
                <c:pt idx="7">
                  <c:v>1.4638064064657445E-2</c:v>
                </c:pt>
              </c:numCache>
            </c:numRef>
          </c:val>
          <c:extLst xmlns:c16r2="http://schemas.microsoft.com/office/drawing/2015/06/chart">
            <c:ext xmlns:c16="http://schemas.microsoft.com/office/drawing/2014/chart" uri="{C3380CC4-5D6E-409C-BE32-E72D297353CC}">
              <c16:uniqueId val="{00000007-282A-42F3-A8CE-7B6B063B5E4F}"/>
            </c:ext>
          </c:extLst>
        </c:ser>
        <c:ser>
          <c:idx val="8"/>
          <c:order val="8"/>
          <c:tx>
            <c:strRef>
              <c:f>'NS beam trawl under 300kW'!$C$100</c:f>
              <c:strCache>
                <c:ptCount val="1"/>
                <c:pt idx="0">
                  <c:v>Whiting</c:v>
                </c:pt>
              </c:strCache>
            </c:strRef>
          </c:tx>
          <c:spPr>
            <a:solidFill>
              <a:srgbClr val="51AA81"/>
            </a:solidFill>
            <a:ln>
              <a:solidFill>
                <a:srgbClr val="FFFFFF"/>
              </a:solidFill>
            </a:ln>
          </c:spPr>
          <c:invertIfNegative val="0"/>
          <c:cat>
            <c:numRef>
              <c:f>'NS beam trawl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under 300kW'!$D$100:$M$100</c:f>
              <c:numCache>
                <c:formatCode>0%</c:formatCode>
                <c:ptCount val="10"/>
                <c:pt idx="7">
                  <c:v>1.3992433296469034E-3</c:v>
                </c:pt>
              </c:numCache>
            </c:numRef>
          </c:val>
          <c:extLst xmlns:c16r2="http://schemas.microsoft.com/office/drawing/2015/06/chart">
            <c:ext xmlns:c16="http://schemas.microsoft.com/office/drawing/2014/chart" uri="{C3380CC4-5D6E-409C-BE32-E72D297353CC}">
              <c16:uniqueId val="{00000008-282A-42F3-A8CE-7B6B063B5E4F}"/>
            </c:ext>
          </c:extLst>
        </c:ser>
        <c:ser>
          <c:idx val="9"/>
          <c:order val="9"/>
          <c:tx>
            <c:strRef>
              <c:f>'NS beam trawl under 300kW'!$C$101</c:f>
              <c:strCache>
                <c:ptCount val="1"/>
                <c:pt idx="0">
                  <c:v>Pink Shrimps</c:v>
                </c:pt>
              </c:strCache>
            </c:strRef>
          </c:tx>
          <c:spPr>
            <a:solidFill>
              <a:srgbClr val="169FDB"/>
            </a:solidFill>
            <a:ln>
              <a:solidFill>
                <a:srgbClr val="FFFFFF"/>
              </a:solidFill>
            </a:ln>
          </c:spPr>
          <c:invertIfNegative val="0"/>
          <c:cat>
            <c:numRef>
              <c:f>'NS beam trawl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under 300kW'!$D$101:$M$101</c:f>
              <c:numCache>
                <c:formatCode>0%</c:formatCode>
                <c:ptCount val="10"/>
                <c:pt idx="0">
                  <c:v>1.2168932619446338E-2</c:v>
                </c:pt>
                <c:pt idx="1">
                  <c:v>8.2179072279749254E-3</c:v>
                </c:pt>
                <c:pt idx="2">
                  <c:v>3.3905684362170507E-2</c:v>
                </c:pt>
                <c:pt idx="3">
                  <c:v>1.0648041837799872E-2</c:v>
                </c:pt>
                <c:pt idx="4">
                  <c:v>7.562638762670458E-3</c:v>
                </c:pt>
                <c:pt idx="5">
                  <c:v>1.0064324158753774E-2</c:v>
                </c:pt>
                <c:pt idx="6">
                  <c:v>2.7391022272431113E-3</c:v>
                </c:pt>
              </c:numCache>
            </c:numRef>
          </c:val>
          <c:extLst xmlns:c16r2="http://schemas.microsoft.com/office/drawing/2015/06/chart">
            <c:ext xmlns:c16="http://schemas.microsoft.com/office/drawing/2014/chart" uri="{C3380CC4-5D6E-409C-BE32-E72D297353CC}">
              <c16:uniqueId val="{00000009-282A-42F3-A8CE-7B6B063B5E4F}"/>
            </c:ext>
          </c:extLst>
        </c:ser>
        <c:ser>
          <c:idx val="10"/>
          <c:order val="10"/>
          <c:tx>
            <c:strRef>
              <c:f>'NS beam trawl under 300kW'!$C$102</c:f>
              <c:strCache>
                <c:ptCount val="1"/>
                <c:pt idx="0">
                  <c:v>Thornback Ray</c:v>
                </c:pt>
              </c:strCache>
            </c:strRef>
          </c:tx>
          <c:spPr>
            <a:solidFill>
              <a:srgbClr val="E40D2C"/>
            </a:solidFill>
            <a:ln>
              <a:solidFill>
                <a:srgbClr val="FFFFFF"/>
              </a:solidFill>
            </a:ln>
          </c:spPr>
          <c:invertIfNegative val="0"/>
          <c:cat>
            <c:numRef>
              <c:f>'NS beam trawl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under 300kW'!$D$102:$M$102</c:f>
              <c:numCache>
                <c:formatCode>0%</c:formatCode>
                <c:ptCount val="10"/>
                <c:pt idx="0">
                  <c:v>4.235389179396783E-3</c:v>
                </c:pt>
                <c:pt idx="2">
                  <c:v>2.6079158312131541E-2</c:v>
                </c:pt>
                <c:pt idx="4">
                  <c:v>5.2218419848182205E-3</c:v>
                </c:pt>
              </c:numCache>
            </c:numRef>
          </c:val>
          <c:extLst xmlns:c16r2="http://schemas.microsoft.com/office/drawing/2015/06/chart">
            <c:ext xmlns:c16="http://schemas.microsoft.com/office/drawing/2014/chart" uri="{C3380CC4-5D6E-409C-BE32-E72D297353CC}">
              <c16:uniqueId val="{0000000A-282A-42F3-A8CE-7B6B063B5E4F}"/>
            </c:ext>
          </c:extLst>
        </c:ser>
        <c:ser>
          <c:idx val="11"/>
          <c:order val="11"/>
          <c:tx>
            <c:strRef>
              <c:f>'NS beam trawl under 300kW'!$C$103</c:f>
              <c:strCache>
                <c:ptCount val="1"/>
                <c:pt idx="0">
                  <c:v>Bass</c:v>
                </c:pt>
              </c:strCache>
            </c:strRef>
          </c:tx>
          <c:spPr>
            <a:solidFill>
              <a:srgbClr val="B4C3E5"/>
            </a:solidFill>
            <a:ln>
              <a:solidFill>
                <a:srgbClr val="FFFFFF"/>
              </a:solidFill>
            </a:ln>
          </c:spPr>
          <c:invertIfNegative val="0"/>
          <c:cat>
            <c:numRef>
              <c:f>'NS beam trawl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under 300kW'!$D$103:$M$103</c:f>
              <c:numCache>
                <c:formatCode>0%</c:formatCode>
                <c:ptCount val="10"/>
                <c:pt idx="3">
                  <c:v>6.43541005178409E-3</c:v>
                </c:pt>
              </c:numCache>
            </c:numRef>
          </c:val>
          <c:extLst xmlns:c16r2="http://schemas.microsoft.com/office/drawing/2015/06/chart">
            <c:ext xmlns:c16="http://schemas.microsoft.com/office/drawing/2014/chart" uri="{C3380CC4-5D6E-409C-BE32-E72D297353CC}">
              <c16:uniqueId val="{0000000B-282A-42F3-A8CE-7B6B063B5E4F}"/>
            </c:ext>
          </c:extLst>
        </c:ser>
        <c:ser>
          <c:idx val="12"/>
          <c:order val="12"/>
          <c:tx>
            <c:strRef>
              <c:f>'NS beam trawl under 300kW'!$C$104</c:f>
              <c:strCache>
                <c:ptCount val="1"/>
                <c:pt idx="0">
                  <c:v>Plaice</c:v>
                </c:pt>
              </c:strCache>
            </c:strRef>
          </c:tx>
          <c:spPr>
            <a:solidFill>
              <a:srgbClr val="F8CBA1"/>
            </a:solidFill>
            <a:ln>
              <a:solidFill>
                <a:srgbClr val="FFFFFF"/>
              </a:solidFill>
            </a:ln>
          </c:spPr>
          <c:invertIfNegative val="0"/>
          <c:cat>
            <c:numRef>
              <c:f>'NS beam trawl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under 300kW'!$D$104:$M$104</c:f>
              <c:numCache>
                <c:formatCode>0%</c:formatCode>
                <c:ptCount val="10"/>
                <c:pt idx="1">
                  <c:v>0.14674345897476895</c:v>
                </c:pt>
              </c:numCache>
            </c:numRef>
          </c:val>
          <c:extLst xmlns:c16r2="http://schemas.microsoft.com/office/drawing/2015/06/chart">
            <c:ext xmlns:c16="http://schemas.microsoft.com/office/drawing/2014/chart" uri="{C3380CC4-5D6E-409C-BE32-E72D297353CC}">
              <c16:uniqueId val="{0000000C-282A-42F3-A8CE-7B6B063B5E4F}"/>
            </c:ext>
          </c:extLst>
        </c:ser>
        <c:ser>
          <c:idx val="13"/>
          <c:order val="13"/>
          <c:tx>
            <c:strRef>
              <c:f>'NS beam trawl under 300kW'!$C$105</c:f>
              <c:strCache>
                <c:ptCount val="1"/>
                <c:pt idx="0">
                  <c:v>Turbot</c:v>
                </c:pt>
              </c:strCache>
            </c:strRef>
          </c:tx>
          <c:spPr>
            <a:solidFill>
              <a:srgbClr val="C5CDA6"/>
            </a:solidFill>
            <a:ln>
              <a:solidFill>
                <a:srgbClr val="FFFFFF"/>
              </a:solidFill>
            </a:ln>
          </c:spPr>
          <c:invertIfNegative val="0"/>
          <c:cat>
            <c:numRef>
              <c:f>'NS beam trawl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under 300kW'!$D$105:$M$105</c:f>
              <c:numCache>
                <c:formatCode>0%</c:formatCode>
                <c:ptCount val="10"/>
                <c:pt idx="1">
                  <c:v>3.6766256500595382E-2</c:v>
                </c:pt>
              </c:numCache>
            </c:numRef>
          </c:val>
          <c:extLst xmlns:c16r2="http://schemas.microsoft.com/office/drawing/2015/06/chart">
            <c:ext xmlns:c16="http://schemas.microsoft.com/office/drawing/2014/chart" uri="{C3380CC4-5D6E-409C-BE32-E72D297353CC}">
              <c16:uniqueId val="{0000000D-282A-42F3-A8CE-7B6B063B5E4F}"/>
            </c:ext>
          </c:extLst>
        </c:ser>
        <c:ser>
          <c:idx val="14"/>
          <c:order val="14"/>
          <c:tx>
            <c:strRef>
              <c:f>'NS beam trawl under 300kW'!$C$106</c:f>
              <c:strCache>
                <c:ptCount val="1"/>
                <c:pt idx="0">
                  <c:v>Mussels</c:v>
                </c:pt>
              </c:strCache>
            </c:strRef>
          </c:tx>
          <c:spPr>
            <a:solidFill>
              <a:srgbClr val="E2E89F"/>
            </a:solidFill>
            <a:ln>
              <a:solidFill>
                <a:srgbClr val="FFFFFF"/>
              </a:solidFill>
            </a:ln>
          </c:spPr>
          <c:invertIfNegative val="0"/>
          <c:cat>
            <c:numRef>
              <c:f>'NS beam trawl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under 300kW'!$D$106:$M$106</c:f>
              <c:numCache>
                <c:formatCode>0%</c:formatCode>
                <c:ptCount val="10"/>
                <c:pt idx="0">
                  <c:v>1.4751540893241141E-2</c:v>
                </c:pt>
              </c:numCache>
            </c:numRef>
          </c:val>
          <c:extLst xmlns:c16r2="http://schemas.microsoft.com/office/drawing/2015/06/chart">
            <c:ext xmlns:c16="http://schemas.microsoft.com/office/drawing/2014/chart" uri="{C3380CC4-5D6E-409C-BE32-E72D297353CC}">
              <c16:uniqueId val="{0000000E-282A-42F3-A8CE-7B6B063B5E4F}"/>
            </c:ext>
          </c:extLst>
        </c:ser>
        <c:ser>
          <c:idx val="15"/>
          <c:order val="15"/>
          <c:tx>
            <c:strRef>
              <c:f>'NS beam trawl under 300kW'!$C$107</c:f>
              <c:strCache>
                <c:ptCount val="1"/>
                <c:pt idx="0">
                  <c:v>Others</c:v>
                </c:pt>
              </c:strCache>
            </c:strRef>
          </c:tx>
          <c:spPr>
            <a:solidFill>
              <a:srgbClr val="55585A"/>
            </a:solidFill>
            <a:ln>
              <a:solidFill>
                <a:srgbClr val="FFFFFF"/>
              </a:solidFill>
            </a:ln>
          </c:spPr>
          <c:invertIfNegative val="0"/>
          <c:cat>
            <c:numRef>
              <c:f>'NS beam trawl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beam trawl under 300kW'!$D$107:$M$107</c:f>
              <c:numCache>
                <c:formatCode>0%</c:formatCode>
                <c:ptCount val="10"/>
                <c:pt idx="0">
                  <c:v>9.0484740560887664E-3</c:v>
                </c:pt>
                <c:pt idx="1">
                  <c:v>4.6186951690990852E-2</c:v>
                </c:pt>
                <c:pt idx="2">
                  <c:v>3.3225804560774161E-2</c:v>
                </c:pt>
                <c:pt idx="3">
                  <c:v>7.8002746009629758E-3</c:v>
                </c:pt>
                <c:pt idx="4">
                  <c:v>5.3313925484723837E-3</c:v>
                </c:pt>
                <c:pt idx="5">
                  <c:v>7.0135736190726234E-3</c:v>
                </c:pt>
                <c:pt idx="6">
                  <c:v>0</c:v>
                </c:pt>
                <c:pt idx="7">
                  <c:v>2.282483490712809E-3</c:v>
                </c:pt>
                <c:pt idx="8">
                  <c:v>-1.220573995264173E-8</c:v>
                </c:pt>
                <c:pt idx="9">
                  <c:v>1.1664104137125518E-5</c:v>
                </c:pt>
              </c:numCache>
            </c:numRef>
          </c:val>
          <c:extLst xmlns:c16r2="http://schemas.microsoft.com/office/drawing/2015/06/chart">
            <c:ext xmlns:c16="http://schemas.microsoft.com/office/drawing/2014/chart" uri="{C3380CC4-5D6E-409C-BE32-E72D297353CC}">
              <c16:uniqueId val="{0000000F-282A-42F3-A8CE-7B6B063B5E4F}"/>
            </c:ext>
          </c:extLst>
        </c:ser>
        <c:dLbls>
          <c:showLegendKey val="0"/>
          <c:showVal val="0"/>
          <c:showCatName val="0"/>
          <c:showSerName val="0"/>
          <c:showPercent val="0"/>
          <c:showBubbleSize val="0"/>
        </c:dLbls>
        <c:gapWidth val="150"/>
        <c:overlap val="100"/>
        <c:axId val="714350592"/>
        <c:axId val="714352128"/>
      </c:barChart>
      <c:catAx>
        <c:axId val="714350592"/>
        <c:scaling>
          <c:orientation val="minMax"/>
        </c:scaling>
        <c:delete val="0"/>
        <c:axPos val="b"/>
        <c:numFmt formatCode="General" sourceLinked="1"/>
        <c:majorTickMark val="out"/>
        <c:minorTickMark val="none"/>
        <c:tickLblPos val="nextTo"/>
        <c:crossAx val="714352128"/>
        <c:crosses val="autoZero"/>
        <c:auto val="1"/>
        <c:lblAlgn val="ctr"/>
        <c:lblOffset val="100"/>
        <c:noMultiLvlLbl val="0"/>
      </c:catAx>
      <c:valAx>
        <c:axId val="714352128"/>
        <c:scaling>
          <c:orientation val="minMax"/>
          <c:max val="1"/>
          <c:min val="0"/>
        </c:scaling>
        <c:delete val="0"/>
        <c:axPos val="l"/>
        <c:majorGridlines/>
        <c:numFmt formatCode="0%" sourceLinked="1"/>
        <c:majorTickMark val="out"/>
        <c:minorTickMark val="none"/>
        <c:tickLblPos val="nextTo"/>
        <c:crossAx val="71435059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 beam trawl under 300kW'!$B$162</c:f>
              <c:strCache>
                <c:ptCount val="1"/>
                <c:pt idx="0">
                  <c:v>Brown Shrimps</c:v>
                </c:pt>
              </c:strCache>
            </c:strRef>
          </c:tx>
          <c:spPr>
            <a:solidFill>
              <a:srgbClr val="2273B9"/>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300kW'!$C$162:$E$162</c:f>
              <c:numCache>
                <c:formatCode>0%</c:formatCode>
                <c:ptCount val="3"/>
                <c:pt idx="0">
                  <c:v>0.92797241287141419</c:v>
                </c:pt>
                <c:pt idx="1">
                  <c:v>0.76222958607337166</c:v>
                </c:pt>
                <c:pt idx="2">
                  <c:v>1</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'NS beam trawl under 300kW'!$B$163</c:f>
              <c:strCache>
                <c:ptCount val="1"/>
                <c:pt idx="0">
                  <c:v>Whelks</c:v>
                </c:pt>
              </c:strCache>
            </c:strRef>
          </c:tx>
          <c:spPr>
            <a:solidFill>
              <a:srgbClr val="C1D119"/>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300kW'!$C$163:$E$163</c:f>
              <c:numCache>
                <c:formatCode>0%</c:formatCode>
                <c:ptCount val="3"/>
                <c:pt idx="0">
                  <c:v>0</c:v>
                </c:pt>
                <c:pt idx="1">
                  <c:v>0.20170863723393681</c:v>
                </c:pt>
                <c:pt idx="2">
                  <c:v>0</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'NS beam trawl under 300kW'!$B$164</c:f>
              <c:strCache>
                <c:ptCount val="1"/>
                <c:pt idx="0">
                  <c:v>Scallops</c:v>
                </c:pt>
              </c:strCache>
            </c:strRef>
          </c:tx>
          <c:spPr>
            <a:solidFill>
              <a:srgbClr val="E87308"/>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300kW'!$C$164:$E$164</c:f>
              <c:numCache>
                <c:formatCode>0%</c:formatCode>
                <c:ptCount val="3"/>
                <c:pt idx="0">
                  <c:v>0</c:v>
                </c:pt>
                <c:pt idx="1">
                  <c:v>3.4811554775779893E-2</c:v>
                </c:pt>
                <c:pt idx="2">
                  <c:v>0</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'NS beam trawl under 300kW'!$B$165</c:f>
              <c:strCache>
                <c:ptCount val="1"/>
                <c:pt idx="0">
                  <c:v>Turbot</c:v>
                </c:pt>
              </c:strCache>
            </c:strRef>
          </c:tx>
          <c:spPr>
            <a:solidFill>
              <a:srgbClr val="E84A38"/>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300kW'!$C$165:$E$165</c:f>
              <c:numCache>
                <c:formatCode>0%</c:formatCode>
                <c:ptCount val="3"/>
                <c:pt idx="0">
                  <c:v>0</c:v>
                </c:pt>
                <c:pt idx="1">
                  <c:v>3.3601885182628967E-4</c:v>
                </c:pt>
                <c:pt idx="2">
                  <c:v>0</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'NS beam trawl under 300kW'!$B$166</c:f>
              <c:strCache>
                <c:ptCount val="1"/>
                <c:pt idx="0">
                  <c:v>Sole</c:v>
                </c:pt>
              </c:strCache>
            </c:strRef>
          </c:tx>
          <c:spPr>
            <a:solidFill>
              <a:srgbClr val="0F9AA9"/>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300kW'!$C$166:$E$166</c:f>
              <c:numCache>
                <c:formatCode>0%</c:formatCode>
                <c:ptCount val="3"/>
                <c:pt idx="0">
                  <c:v>0</c:v>
                </c:pt>
                <c:pt idx="1">
                  <c:v>3.1122300639164151E-4</c:v>
                </c:pt>
                <c:pt idx="2">
                  <c:v>0</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'NS beam trawl under 300kW'!$B$167</c:f>
              <c:strCache>
                <c:ptCount val="1"/>
                <c:pt idx="0">
                  <c:v>Cockles</c:v>
                </c:pt>
              </c:strCache>
            </c:strRef>
          </c:tx>
          <c:spPr>
            <a:solidFill>
              <a:srgbClr val="648C2E"/>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300kW'!$C$167:$E$167</c:f>
              <c:numCache>
                <c:formatCode>0%</c:formatCode>
                <c:ptCount val="3"/>
                <c:pt idx="0">
                  <c:v>7.2027587128585771E-2</c:v>
                </c:pt>
                <c:pt idx="1">
                  <c:v>0</c:v>
                </c:pt>
                <c:pt idx="2">
                  <c:v>0</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'NS beam trawl under 300kW'!$B$168</c:f>
              <c:strCache>
                <c:ptCount val="1"/>
                <c:pt idx="0">
                  <c:v>Others</c:v>
                </c:pt>
              </c:strCache>
            </c:strRef>
          </c:tx>
          <c:spPr>
            <a:solidFill>
              <a:srgbClr val="55585A"/>
            </a:solidFill>
            <a:ln>
              <a:solidFill>
                <a:srgbClr val="FFFFFF"/>
              </a:solidFill>
            </a:ln>
          </c:spPr>
          <c:invertIfNegative val="0"/>
          <c:cat>
            <c:strRef>
              <c:f>'NS beam trawl under 300kW'!$C$161:$E$161</c:f>
              <c:strCache>
                <c:ptCount val="3"/>
                <c:pt idx="0">
                  <c:v>Most
profitable
quartile</c:v>
                </c:pt>
                <c:pt idx="1">
                  <c:v>Middle 
two quartiles</c:v>
                </c:pt>
                <c:pt idx="2">
                  <c:v>Least
profitable
quartile</c:v>
                </c:pt>
              </c:strCache>
            </c:strRef>
          </c:cat>
          <c:val>
            <c:numRef>
              <c:f>'NS beam trawl under 300kW'!$C$168:$E$168</c:f>
              <c:numCache>
                <c:formatCode>0%</c:formatCode>
                <c:ptCount val="3"/>
                <c:pt idx="0">
                  <c:v>0</c:v>
                </c:pt>
                <c:pt idx="1">
                  <c:v>6.0298005869363624E-4</c:v>
                </c:pt>
                <c:pt idx="2">
                  <c:v>0</c:v>
                </c:pt>
              </c:numCache>
            </c:numRef>
          </c:val>
          <c:extLst xmlns:c16r2="http://schemas.microsoft.com/office/drawing/2015/06/chart">
            <c:ext xmlns:c16="http://schemas.microsoft.com/office/drawing/2014/chart" uri="{C3380CC4-5D6E-409C-BE32-E72D297353CC}">
              <c16:uniqueId val="{00000006-DFDD-4C01-8393-1BE532AE55F9}"/>
            </c:ext>
          </c:extLst>
        </c:ser>
        <c:dLbls>
          <c:showLegendKey val="0"/>
          <c:showVal val="0"/>
          <c:showCatName val="0"/>
          <c:showSerName val="0"/>
          <c:showPercent val="0"/>
          <c:showBubbleSize val="0"/>
        </c:dLbls>
        <c:gapWidth val="150"/>
        <c:overlap val="100"/>
        <c:axId val="713959296"/>
        <c:axId val="713960832"/>
      </c:barChart>
      <c:catAx>
        <c:axId val="713959296"/>
        <c:scaling>
          <c:orientation val="minMax"/>
        </c:scaling>
        <c:delete val="0"/>
        <c:axPos val="b"/>
        <c:numFmt formatCode="General" sourceLinked="0"/>
        <c:majorTickMark val="out"/>
        <c:minorTickMark val="none"/>
        <c:tickLblPos val="nextTo"/>
        <c:crossAx val="713960832"/>
        <c:crosses val="autoZero"/>
        <c:auto val="1"/>
        <c:lblAlgn val="ctr"/>
        <c:lblOffset val="100"/>
        <c:noMultiLvlLbl val="0"/>
      </c:catAx>
      <c:valAx>
        <c:axId val="713960832"/>
        <c:scaling>
          <c:orientation val="minMax"/>
          <c:max val="1"/>
          <c:min val="0"/>
        </c:scaling>
        <c:delete val="0"/>
        <c:axPos val="l"/>
        <c:majorGridlines/>
        <c:minorGridlines/>
        <c:numFmt formatCode="0%" sourceLinked="1"/>
        <c:majorTickMark val="out"/>
        <c:minorTickMark val="none"/>
        <c:tickLblPos val="nextTo"/>
        <c:crossAx val="713959296"/>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 beam trawl under 300kW'!$H$162</c:f>
              <c:strCache>
                <c:ptCount val="1"/>
                <c:pt idx="0">
                  <c:v>Brown Shrimps</c:v>
                </c:pt>
              </c:strCache>
            </c:strRef>
          </c:tx>
          <c:spPr>
            <a:solidFill>
              <a:srgbClr val="2273B9"/>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300kW'!$I$162:$K$162</c:f>
              <c:numCache>
                <c:formatCode>0%</c:formatCode>
                <c:ptCount val="3"/>
                <c:pt idx="0">
                  <c:v>0.993166259416986</c:v>
                </c:pt>
                <c:pt idx="1">
                  <c:v>0.95450589660444052</c:v>
                </c:pt>
                <c:pt idx="2">
                  <c:v>1</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'NS beam trawl under 300kW'!$H$163</c:f>
              <c:strCache>
                <c:ptCount val="1"/>
                <c:pt idx="0">
                  <c:v>Scallops</c:v>
                </c:pt>
              </c:strCache>
            </c:strRef>
          </c:tx>
          <c:spPr>
            <a:solidFill>
              <a:srgbClr val="E87308"/>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300kW'!$I$163:$K$163</c:f>
              <c:numCache>
                <c:formatCode>0%</c:formatCode>
                <c:ptCount val="3"/>
                <c:pt idx="0">
                  <c:v>0</c:v>
                </c:pt>
                <c:pt idx="1">
                  <c:v>4.5494103395559517E-2</c:v>
                </c:pt>
                <c:pt idx="2">
                  <c:v>0</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'NS beam trawl under 300kW'!$H$164</c:f>
              <c:strCache>
                <c:ptCount val="1"/>
                <c:pt idx="0">
                  <c:v>Cockles</c:v>
                </c:pt>
              </c:strCache>
            </c:strRef>
          </c:tx>
          <c:spPr>
            <a:solidFill>
              <a:srgbClr val="648C2E"/>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300kW'!$I$164:$K$164</c:f>
              <c:numCache>
                <c:formatCode>0%</c:formatCode>
                <c:ptCount val="3"/>
                <c:pt idx="0">
                  <c:v>6.8337405830139536E-3</c:v>
                </c:pt>
                <c:pt idx="1">
                  <c:v>0</c:v>
                </c:pt>
                <c:pt idx="2">
                  <c:v>0</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'NS beam trawl under 300kW'!$H$165</c:f>
              <c:strCache>
                <c:ptCount val="1"/>
                <c:pt idx="0">
                  <c:v>Others</c:v>
                </c:pt>
              </c:strCache>
            </c:strRef>
          </c:tx>
          <c:spPr>
            <a:solidFill>
              <a:srgbClr val="55585A"/>
            </a:solidFill>
            <a:ln>
              <a:solidFill>
                <a:srgbClr val="FFFFFF"/>
              </a:solidFill>
            </a:ln>
          </c:spPr>
          <c:invertIfNegative val="0"/>
          <c:cat>
            <c:strRef>
              <c:f>'NS beam trawl under 300kW'!$I$161:$K$161</c:f>
              <c:strCache>
                <c:ptCount val="3"/>
                <c:pt idx="0">
                  <c:v>Most
profitable
quartile</c:v>
                </c:pt>
                <c:pt idx="1">
                  <c:v>Middle 
two quartiles</c:v>
                </c:pt>
                <c:pt idx="2">
                  <c:v>Least
profitable
quartile</c:v>
                </c:pt>
              </c:strCache>
            </c:strRef>
          </c:cat>
          <c:val>
            <c:numRef>
              <c:f>'NS beam trawl under 300kW'!$I$165:$K$165</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DC58-4725-8A67-0BDC09FD93CD}"/>
            </c:ext>
          </c:extLst>
        </c:ser>
        <c:dLbls>
          <c:showLegendKey val="0"/>
          <c:showVal val="0"/>
          <c:showCatName val="0"/>
          <c:showSerName val="0"/>
          <c:showPercent val="0"/>
          <c:showBubbleSize val="0"/>
        </c:dLbls>
        <c:gapWidth val="150"/>
        <c:overlap val="100"/>
        <c:axId val="714005888"/>
        <c:axId val="714007680"/>
      </c:barChart>
      <c:catAx>
        <c:axId val="714005888"/>
        <c:scaling>
          <c:orientation val="minMax"/>
        </c:scaling>
        <c:delete val="0"/>
        <c:axPos val="b"/>
        <c:numFmt formatCode="General" sourceLinked="0"/>
        <c:majorTickMark val="out"/>
        <c:minorTickMark val="none"/>
        <c:tickLblPos val="nextTo"/>
        <c:crossAx val="714007680"/>
        <c:crosses val="autoZero"/>
        <c:auto val="1"/>
        <c:lblAlgn val="ctr"/>
        <c:lblOffset val="100"/>
        <c:noMultiLvlLbl val="0"/>
      </c:catAx>
      <c:valAx>
        <c:axId val="714007680"/>
        <c:scaling>
          <c:orientation val="minMax"/>
          <c:max val="1"/>
          <c:min val="0"/>
        </c:scaling>
        <c:delete val="0"/>
        <c:axPos val="l"/>
        <c:majorGridlines/>
        <c:minorGridlines/>
        <c:numFmt formatCode="0%" sourceLinked="1"/>
        <c:majorTickMark val="out"/>
        <c:minorTickMark val="none"/>
        <c:tickLblPos val="nextTo"/>
        <c:crossAx val="71400588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beam trawl under 300kW'!$K$143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 beam trawl under 300kW'!$K$139</c:f>
              <c:strCache>
                <c:ptCount val="1"/>
                <c:pt idx="0">
                  <c:v>Total income</c:v>
                </c:pt>
              </c:strCache>
            </c:strRef>
          </c:tx>
          <c:spPr>
            <a:solidFill>
              <a:schemeClr val="accent1"/>
            </a:solidFill>
            <a:ln>
              <a:solidFill>
                <a:schemeClr val="accent1"/>
              </a:solidFill>
            </a:ln>
          </c:spPr>
          <c:invertIfNegative val="0"/>
          <c:cat>
            <c:strRef>
              <c:f>'NS beam trawl under 300kW'!$L$138:$N$138</c:f>
              <c:strCache>
                <c:ptCount val="3"/>
                <c:pt idx="0">
                  <c:v>Most
profitable
quartile</c:v>
                </c:pt>
                <c:pt idx="1">
                  <c:v>Middle
two quartiles</c:v>
                </c:pt>
                <c:pt idx="2">
                  <c:v>Least
profitable
quartile</c:v>
                </c:pt>
              </c:strCache>
            </c:strRef>
          </c:cat>
          <c:val>
            <c:numRef>
              <c:f>'NS beam trawl under 300kW'!$L$139:$N$139</c:f>
              <c:numCache>
                <c:formatCode>#,##0</c:formatCode>
                <c:ptCount val="3"/>
                <c:pt idx="0">
                  <c:v>158.2315625</c:v>
                </c:pt>
                <c:pt idx="1">
                  <c:v>92.215558593750004</c:v>
                </c:pt>
                <c:pt idx="2">
                  <c:v>81.080484374999997</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'NS beam trawl under 300kW'!$K$140</c:f>
              <c:strCache>
                <c:ptCount val="1"/>
                <c:pt idx="0">
                  <c:v>Operating costs</c:v>
                </c:pt>
              </c:strCache>
            </c:strRef>
          </c:tx>
          <c:spPr>
            <a:solidFill>
              <a:schemeClr val="accent3"/>
            </a:solidFill>
          </c:spPr>
          <c:invertIfNegative val="0"/>
          <c:cat>
            <c:strRef>
              <c:f>'NS beam trawl under 300kW'!$L$138:$N$138</c:f>
              <c:strCache>
                <c:ptCount val="3"/>
                <c:pt idx="0">
                  <c:v>Most
profitable
quartile</c:v>
                </c:pt>
                <c:pt idx="1">
                  <c:v>Middle
two quartiles</c:v>
                </c:pt>
                <c:pt idx="2">
                  <c:v>Least
profitable
quartile</c:v>
                </c:pt>
              </c:strCache>
            </c:strRef>
          </c:cat>
          <c:val>
            <c:numRef>
              <c:f>'NS beam trawl under 300kW'!$L$140:$N$140</c:f>
              <c:numCache>
                <c:formatCode>#,##0</c:formatCode>
                <c:ptCount val="3"/>
                <c:pt idx="0">
                  <c:v>130.55667187500001</c:v>
                </c:pt>
                <c:pt idx="1">
                  <c:v>92.362367187499999</c:v>
                </c:pt>
                <c:pt idx="2">
                  <c:v>104.27724218749999</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'NS beam trawl under 300kW'!$K$141</c:f>
              <c:strCache>
                <c:ptCount val="1"/>
                <c:pt idx="0">
                  <c:v>Operating profit</c:v>
                </c:pt>
              </c:strCache>
            </c:strRef>
          </c:tx>
          <c:spPr>
            <a:solidFill>
              <a:schemeClr val="accent2"/>
            </a:solidFill>
          </c:spPr>
          <c:invertIfNegative val="0"/>
          <c:cat>
            <c:strRef>
              <c:f>'NS beam trawl under 300kW'!$L$138:$N$138</c:f>
              <c:strCache>
                <c:ptCount val="3"/>
                <c:pt idx="0">
                  <c:v>Most
profitable
quartile</c:v>
                </c:pt>
                <c:pt idx="1">
                  <c:v>Middle
two quartiles</c:v>
                </c:pt>
                <c:pt idx="2">
                  <c:v>Least
profitable
quartile</c:v>
                </c:pt>
              </c:strCache>
            </c:strRef>
          </c:cat>
          <c:val>
            <c:numRef>
              <c:f>'NS beam trawl under 300kW'!$L$141:$N$141</c:f>
              <c:numCache>
                <c:formatCode>#,##0</c:formatCode>
                <c:ptCount val="3"/>
                <c:pt idx="0">
                  <c:v>27.674890625</c:v>
                </c:pt>
                <c:pt idx="1">
                  <c:v>-0.14680859374999999</c:v>
                </c:pt>
                <c:pt idx="2">
                  <c:v>-23.1967578125</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714039296"/>
        <c:axId val="714040832"/>
      </c:barChart>
      <c:catAx>
        <c:axId val="714039296"/>
        <c:scaling>
          <c:orientation val="minMax"/>
        </c:scaling>
        <c:delete val="0"/>
        <c:axPos val="b"/>
        <c:numFmt formatCode="General" sourceLinked="0"/>
        <c:majorTickMark val="out"/>
        <c:minorTickMark val="none"/>
        <c:tickLblPos val="nextTo"/>
        <c:crossAx val="714040832"/>
        <c:crosses val="autoZero"/>
        <c:auto val="1"/>
        <c:lblAlgn val="ctr"/>
        <c:lblOffset val="100"/>
        <c:noMultiLvlLbl val="0"/>
      </c:catAx>
      <c:valAx>
        <c:axId val="714040832"/>
        <c:scaling>
          <c:orientation val="minMax"/>
        </c:scaling>
        <c:delete val="0"/>
        <c:axPos val="l"/>
        <c:majorGridlines/>
        <c:title>
          <c:tx>
            <c:strRef>
              <c:f>'NS beam trawl under 300kW'!$K$142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714039296"/>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300kW'!$A$48</c:f>
          <c:strCache>
            <c:ptCount val="1"/>
            <c:pt idx="0">
              <c:v>Landings per kW day at sea (kg)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'NS nephrops over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nephrops over 300kW'!$D$21:$N$21</c:f>
              <c:numCache>
                <c:formatCode>#,##0.00</c:formatCode>
                <c:ptCount val="11"/>
                <c:pt idx="0">
                  <c:v>2.5501412077971457</c:v>
                </c:pt>
                <c:pt idx="1">
                  <c:v>2.8766162409022034</c:v>
                </c:pt>
                <c:pt idx="2">
                  <c:v>2.6213420716327858</c:v>
                </c:pt>
                <c:pt idx="3">
                  <c:v>2.4525622938685987</c:v>
                </c:pt>
                <c:pt idx="4">
                  <c:v>2.5434379486457916</c:v>
                </c:pt>
                <c:pt idx="5">
                  <c:v>2.6404504074337458</c:v>
                </c:pt>
                <c:pt idx="6">
                  <c:v>2.7120514541625211</c:v>
                </c:pt>
                <c:pt idx="7">
                  <c:v>2.4241609364550163</c:v>
                </c:pt>
                <c:pt idx="8">
                  <c:v>2.5906231740919394</c:v>
                </c:pt>
                <c:pt idx="9">
                  <c:v>3.115561133901656</c:v>
                </c:pt>
                <c:pt idx="10">
                  <c:v>3.1065500795240548</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713245824"/>
        <c:axId val="713247360"/>
      </c:lineChart>
      <c:catAx>
        <c:axId val="713245824"/>
        <c:scaling>
          <c:orientation val="minMax"/>
        </c:scaling>
        <c:delete val="0"/>
        <c:axPos val="b"/>
        <c:numFmt formatCode="General" sourceLinked="1"/>
        <c:majorTickMark val="out"/>
        <c:minorTickMark val="none"/>
        <c:tickLblPos val="nextTo"/>
        <c:crossAx val="713247360"/>
        <c:crosses val="autoZero"/>
        <c:auto val="1"/>
        <c:lblAlgn val="ctr"/>
        <c:lblOffset val="100"/>
        <c:noMultiLvlLbl val="0"/>
      </c:catAx>
      <c:valAx>
        <c:axId val="713247360"/>
        <c:scaling>
          <c:orientation val="minMax"/>
        </c:scaling>
        <c:delete val="0"/>
        <c:axPos val="l"/>
        <c:majorGridlines>
          <c:spPr>
            <a:ln w="3175">
              <a:prstDash val="sysDot"/>
            </a:ln>
          </c:spPr>
        </c:majorGridlines>
        <c:numFmt formatCode="#,##0.00" sourceLinked="1"/>
        <c:majorTickMark val="out"/>
        <c:minorTickMark val="none"/>
        <c:tickLblPos val="nextTo"/>
        <c:crossAx val="713245824"/>
        <c:crosses val="autoZero"/>
        <c:crossBetween val="between"/>
      </c:valAx>
    </c:plotArea>
    <c:plotVisOnly val="0"/>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300kW'!$A$49</c:f>
          <c:strCache>
            <c:ptCount val="1"/>
            <c:pt idx="0">
              <c:v>Fishing income per kW day at sea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'NS nephrops over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nephrops over 300kW'!$D$22:$N$22</c:f>
              <c:numCache>
                <c:formatCode>#,##0.00</c:formatCode>
                <c:ptCount val="11"/>
                <c:pt idx="0">
                  <c:v>6.5913490368397003</c:v>
                </c:pt>
                <c:pt idx="1">
                  <c:v>6.1071291434616999</c:v>
                </c:pt>
                <c:pt idx="2">
                  <c:v>6.3738428024377303</c:v>
                </c:pt>
                <c:pt idx="3">
                  <c:v>7.9593229233244296</c:v>
                </c:pt>
                <c:pt idx="4">
                  <c:v>7.3170026177955698</c:v>
                </c:pt>
                <c:pt idx="5">
                  <c:v>6.0455279306620398</c:v>
                </c:pt>
                <c:pt idx="6">
                  <c:v>7.0690285271604498</c:v>
                </c:pt>
                <c:pt idx="7">
                  <c:v>5.7242917815076799</c:v>
                </c:pt>
                <c:pt idx="8">
                  <c:v>6.9912992473972304</c:v>
                </c:pt>
                <c:pt idx="9">
                  <c:v>8.2424638769076406</c:v>
                </c:pt>
                <c:pt idx="10">
                  <c:v>7.2831334221275021</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713281920"/>
        <c:axId val="713283456"/>
      </c:lineChart>
      <c:catAx>
        <c:axId val="713281920"/>
        <c:scaling>
          <c:orientation val="minMax"/>
        </c:scaling>
        <c:delete val="0"/>
        <c:axPos val="b"/>
        <c:numFmt formatCode="General" sourceLinked="1"/>
        <c:majorTickMark val="out"/>
        <c:minorTickMark val="none"/>
        <c:tickLblPos val="nextTo"/>
        <c:crossAx val="713283456"/>
        <c:crosses val="autoZero"/>
        <c:auto val="1"/>
        <c:lblAlgn val="ctr"/>
        <c:lblOffset val="100"/>
        <c:noMultiLvlLbl val="0"/>
      </c:catAx>
      <c:valAx>
        <c:axId val="713283456"/>
        <c:scaling>
          <c:orientation val="minMax"/>
        </c:scaling>
        <c:delete val="0"/>
        <c:axPos val="l"/>
        <c:majorGridlines>
          <c:spPr>
            <a:ln w="3175">
              <a:prstDash val="sysDot"/>
            </a:ln>
          </c:spPr>
        </c:majorGridlines>
        <c:numFmt formatCode="#,##0.00" sourceLinked="1"/>
        <c:majorTickMark val="out"/>
        <c:minorTickMark val="none"/>
        <c:tickLblPos val="nextTo"/>
        <c:crossAx val="713281920"/>
        <c:crosses val="autoZero"/>
        <c:crossBetween val="between"/>
      </c:valAx>
    </c:plotArea>
    <c:plotVisOnly val="0"/>
    <c:dispBlanksAs val="gap"/>
    <c:showDLblsOverMax val="0"/>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300kW'!$B$62</c:f>
          <c:strCache>
            <c:ptCount val="1"/>
            <c:pt idx="0">
              <c:v>Total cost per kW day at sea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'NS nephrops over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nephrops over 300kW'!$D$23:$N$23</c:f>
              <c:numCache>
                <c:formatCode>#,##0.00</c:formatCode>
                <c:ptCount val="11"/>
                <c:pt idx="0">
                  <c:v>6.2700011474102801</c:v>
                </c:pt>
                <c:pt idx="1">
                  <c:v>5.4866348332113501</c:v>
                </c:pt>
                <c:pt idx="2">
                  <c:v>5.9559302960890701</c:v>
                </c:pt>
                <c:pt idx="3">
                  <c:v>7.2706172698173601</c:v>
                </c:pt>
                <c:pt idx="4">
                  <c:v>6.83449056012123</c:v>
                </c:pt>
                <c:pt idx="5">
                  <c:v>5.7575504150455803</c:v>
                </c:pt>
                <c:pt idx="6">
                  <c:v>6.8736634223206297</c:v>
                </c:pt>
                <c:pt idx="7">
                  <c:v>5.4327251832821002</c:v>
                </c:pt>
                <c:pt idx="8">
                  <c:v>6.4240946726016697</c:v>
                </c:pt>
                <c:pt idx="9">
                  <c:v>7.4206525921992501</c:v>
                </c:pt>
                <c:pt idx="10">
                  <c:v>6.8598682838842322</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713723264"/>
        <c:axId val="713745536"/>
      </c:lineChart>
      <c:catAx>
        <c:axId val="713723264"/>
        <c:scaling>
          <c:orientation val="minMax"/>
        </c:scaling>
        <c:delete val="0"/>
        <c:axPos val="b"/>
        <c:numFmt formatCode="General" sourceLinked="1"/>
        <c:majorTickMark val="out"/>
        <c:minorTickMark val="none"/>
        <c:tickLblPos val="nextTo"/>
        <c:crossAx val="713745536"/>
        <c:crosses val="autoZero"/>
        <c:auto val="1"/>
        <c:lblAlgn val="ctr"/>
        <c:lblOffset val="100"/>
        <c:noMultiLvlLbl val="0"/>
      </c:catAx>
      <c:valAx>
        <c:axId val="713745536"/>
        <c:scaling>
          <c:orientation val="minMax"/>
        </c:scaling>
        <c:delete val="0"/>
        <c:axPos val="l"/>
        <c:majorGridlines>
          <c:spPr>
            <a:ln w="3175">
              <a:prstDash val="sysDot"/>
            </a:ln>
          </c:spPr>
        </c:majorGridlines>
        <c:numFmt formatCode="#,##0.00" sourceLinked="1"/>
        <c:majorTickMark val="out"/>
        <c:minorTickMark val="none"/>
        <c:tickLblPos val="nextTo"/>
        <c:crossAx val="713723264"/>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300kW'!$K$48</c:f>
          <c:strCache>
            <c:ptCount val="1"/>
            <c:pt idx="0">
              <c:v>Operating profit per kW day at sea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'NS nephrops over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nephrops over 300kW'!$D$24:$N$24</c:f>
              <c:numCache>
                <c:formatCode>#,##0.00</c:formatCode>
                <c:ptCount val="11"/>
                <c:pt idx="0">
                  <c:v>0.55077035313575196</c:v>
                </c:pt>
                <c:pt idx="1">
                  <c:v>0.842671308727307</c:v>
                </c:pt>
                <c:pt idx="2">
                  <c:v>0.53701475628805495</c:v>
                </c:pt>
                <c:pt idx="3">
                  <c:v>0.94673911780346198</c:v>
                </c:pt>
                <c:pt idx="4">
                  <c:v>0.82857282864588799</c:v>
                </c:pt>
                <c:pt idx="5">
                  <c:v>0.56961418553056098</c:v>
                </c:pt>
                <c:pt idx="6">
                  <c:v>0.63481730381256396</c:v>
                </c:pt>
                <c:pt idx="7">
                  <c:v>0.64260708190023896</c:v>
                </c:pt>
                <c:pt idx="8">
                  <c:v>1.0198034481546701</c:v>
                </c:pt>
                <c:pt idx="9">
                  <c:v>1.1061353857716201</c:v>
                </c:pt>
                <c:pt idx="10">
                  <c:v>0.67449709205936204</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713185920"/>
        <c:axId val="713195904"/>
      </c:lineChart>
      <c:catAx>
        <c:axId val="713185920"/>
        <c:scaling>
          <c:orientation val="minMax"/>
        </c:scaling>
        <c:delete val="0"/>
        <c:axPos val="b"/>
        <c:numFmt formatCode="General" sourceLinked="1"/>
        <c:majorTickMark val="out"/>
        <c:minorTickMark val="none"/>
        <c:tickLblPos val="nextTo"/>
        <c:crossAx val="713195904"/>
        <c:crosses val="autoZero"/>
        <c:auto val="1"/>
        <c:lblAlgn val="ctr"/>
        <c:lblOffset val="100"/>
        <c:noMultiLvlLbl val="0"/>
      </c:catAx>
      <c:valAx>
        <c:axId val="713195904"/>
        <c:scaling>
          <c:orientation val="minMax"/>
        </c:scaling>
        <c:delete val="0"/>
        <c:axPos val="l"/>
        <c:majorGridlines>
          <c:spPr>
            <a:ln w="3175">
              <a:prstDash val="sysDot"/>
            </a:ln>
          </c:spPr>
        </c:majorGridlines>
        <c:numFmt formatCode="#,##0.00" sourceLinked="1"/>
        <c:majorTickMark val="out"/>
        <c:minorTickMark val="none"/>
        <c:tickLblPos val="nextTo"/>
        <c:crossAx val="713185920"/>
        <c:crosses val="autoZero"/>
        <c:crossBetween val="between"/>
      </c:valAx>
    </c:plotArea>
    <c:plotVisOnly val="0"/>
    <c:dispBlanksAs val="gap"/>
    <c:showDLblsOverMax val="0"/>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300kW'!$A$50</c:f>
          <c:strCache>
            <c:ptCount val="1"/>
            <c:pt idx="0">
              <c:v>Average price per tonne landed (£)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'NS nephrops over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nephrops over 300kW'!$D$20:$N$20</c:f>
              <c:numCache>
                <c:formatCode>#,##0</c:formatCode>
                <c:ptCount val="11"/>
                <c:pt idx="0">
                  <c:v>2585</c:v>
                </c:pt>
                <c:pt idx="1">
                  <c:v>2123</c:v>
                </c:pt>
                <c:pt idx="2">
                  <c:v>2432</c:v>
                </c:pt>
                <c:pt idx="3">
                  <c:v>3245</c:v>
                </c:pt>
                <c:pt idx="4">
                  <c:v>2877</c:v>
                </c:pt>
                <c:pt idx="5">
                  <c:v>2290</c:v>
                </c:pt>
                <c:pt idx="6">
                  <c:v>2607</c:v>
                </c:pt>
                <c:pt idx="7">
                  <c:v>2361</c:v>
                </c:pt>
                <c:pt idx="8">
                  <c:v>2699</c:v>
                </c:pt>
                <c:pt idx="9">
                  <c:v>2646</c:v>
                </c:pt>
                <c:pt idx="10">
                  <c:v>2344</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11869824"/>
        <c:axId val="911871360"/>
      </c:lineChart>
      <c:catAx>
        <c:axId val="911869824"/>
        <c:scaling>
          <c:orientation val="minMax"/>
        </c:scaling>
        <c:delete val="0"/>
        <c:axPos val="b"/>
        <c:numFmt formatCode="General" sourceLinked="1"/>
        <c:majorTickMark val="out"/>
        <c:minorTickMark val="none"/>
        <c:tickLblPos val="nextTo"/>
        <c:crossAx val="911871360"/>
        <c:crosses val="autoZero"/>
        <c:auto val="1"/>
        <c:lblAlgn val="ctr"/>
        <c:lblOffset val="100"/>
        <c:noMultiLvlLbl val="0"/>
      </c:catAx>
      <c:valAx>
        <c:axId val="911871360"/>
        <c:scaling>
          <c:orientation val="minMax"/>
        </c:scaling>
        <c:delete val="0"/>
        <c:axPos val="l"/>
        <c:majorGridlines>
          <c:spPr>
            <a:ln w="3175">
              <a:prstDash val="sysDot"/>
            </a:ln>
          </c:spPr>
        </c:majorGridlines>
        <c:numFmt formatCode="#,##0" sourceLinked="1"/>
        <c:majorTickMark val="out"/>
        <c:minorTickMark val="none"/>
        <c:tickLblPos val="nextTo"/>
        <c:crossAx val="911869824"/>
        <c:crosses val="autoZero"/>
        <c:crossBetween val="between"/>
      </c:valAx>
    </c:plotArea>
    <c:plotVisOnly val="0"/>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300kW'!$K$62</c:f>
          <c:strCache>
            <c:ptCount val="1"/>
            <c:pt idx="0">
              <c:v>Average annual operating profit per vessel (£'000)
North Sea nephrops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'NS nephrops over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nephrops over 300kW'!$D$37:$N$37</c:f>
              <c:numCache>
                <c:formatCode>#,##0.0</c:formatCode>
                <c:ptCount val="11"/>
                <c:pt idx="0">
                  <c:v>48.9</c:v>
                </c:pt>
                <c:pt idx="1">
                  <c:v>71</c:v>
                </c:pt>
                <c:pt idx="2">
                  <c:v>42.9</c:v>
                </c:pt>
                <c:pt idx="3">
                  <c:v>77</c:v>
                </c:pt>
                <c:pt idx="4">
                  <c:v>61.9</c:v>
                </c:pt>
                <c:pt idx="5">
                  <c:v>42.4</c:v>
                </c:pt>
                <c:pt idx="6">
                  <c:v>52.5</c:v>
                </c:pt>
                <c:pt idx="7">
                  <c:v>45.9</c:v>
                </c:pt>
                <c:pt idx="8">
                  <c:v>88.2</c:v>
                </c:pt>
                <c:pt idx="9">
                  <c:v>97.4</c:v>
                </c:pt>
                <c:pt idx="10">
                  <c:v>56.5</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11905920"/>
        <c:axId val="911907456"/>
      </c:lineChart>
      <c:catAx>
        <c:axId val="911905920"/>
        <c:scaling>
          <c:orientation val="minMax"/>
        </c:scaling>
        <c:delete val="0"/>
        <c:axPos val="b"/>
        <c:numFmt formatCode="General" sourceLinked="1"/>
        <c:majorTickMark val="out"/>
        <c:minorTickMark val="none"/>
        <c:tickLblPos val="nextTo"/>
        <c:crossAx val="911907456"/>
        <c:crosses val="autoZero"/>
        <c:auto val="1"/>
        <c:lblAlgn val="ctr"/>
        <c:lblOffset val="100"/>
        <c:noMultiLvlLbl val="0"/>
      </c:catAx>
      <c:valAx>
        <c:axId val="911907456"/>
        <c:scaling>
          <c:orientation val="minMax"/>
        </c:scaling>
        <c:delete val="0"/>
        <c:axPos val="l"/>
        <c:majorGridlines>
          <c:spPr>
            <a:ln w="3175">
              <a:prstDash val="sysDot"/>
            </a:ln>
          </c:spPr>
        </c:majorGridlines>
        <c:numFmt formatCode="#,##0.0" sourceLinked="1"/>
        <c:majorTickMark val="out"/>
        <c:minorTickMark val="none"/>
        <c:tickLblPos val="nextTo"/>
        <c:crossAx val="911905920"/>
        <c:crosses val="autoZero"/>
        <c:crossBetween val="between"/>
      </c:valAx>
    </c:plotArea>
    <c:plotVisOnly val="0"/>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o250kW'!$K$48</c:f>
          <c:strCache>
            <c:ptCount val="1"/>
            <c:pt idx="0">
              <c:v>Operating profit per kW day at sea (£)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'Area VIIa nephrops o250kW'!$D$2:$N$2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nephrops o250kW'!$D$24:$N$24</c:f>
              <c:numCache>
                <c:formatCode>#,##0.00</c:formatCode>
                <c:ptCount val="11"/>
                <c:pt idx="0">
                  <c:v>1.0456796477022801</c:v>
                </c:pt>
                <c:pt idx="1">
                  <c:v>0.76607543467814898</c:v>
                </c:pt>
                <c:pt idx="2">
                  <c:v>0.58921483192065005</c:v>
                </c:pt>
                <c:pt idx="3">
                  <c:v>1.0710603630553699</c:v>
                </c:pt>
                <c:pt idx="4">
                  <c:v>1.54381862701094</c:v>
                </c:pt>
                <c:pt idx="5">
                  <c:v>0.92468022847980802</c:v>
                </c:pt>
                <c:pt idx="6">
                  <c:v>0.82447528884600296</c:v>
                </c:pt>
                <c:pt idx="7">
                  <c:v>1.38196841029065</c:v>
                </c:pt>
                <c:pt idx="8">
                  <c:v>1.62170538133391</c:v>
                </c:pt>
                <c:pt idx="9">
                  <c:v>1.6298583892305201</c:v>
                </c:pt>
                <c:pt idx="10">
                  <c:v>1.2296234664311143</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616093952"/>
        <c:axId val="616099840"/>
      </c:lineChart>
      <c:catAx>
        <c:axId val="616093952"/>
        <c:scaling>
          <c:orientation val="minMax"/>
        </c:scaling>
        <c:delete val="0"/>
        <c:axPos val="b"/>
        <c:numFmt formatCode="General" sourceLinked="1"/>
        <c:majorTickMark val="out"/>
        <c:minorTickMark val="none"/>
        <c:tickLblPos val="nextTo"/>
        <c:crossAx val="616099840"/>
        <c:crosses val="autoZero"/>
        <c:auto val="1"/>
        <c:lblAlgn val="ctr"/>
        <c:lblOffset val="100"/>
        <c:noMultiLvlLbl val="0"/>
      </c:catAx>
      <c:valAx>
        <c:axId val="616099840"/>
        <c:scaling>
          <c:orientation val="minMax"/>
        </c:scaling>
        <c:delete val="0"/>
        <c:axPos val="l"/>
        <c:majorGridlines>
          <c:spPr>
            <a:ln w="3175">
              <a:prstDash val="sysDot"/>
            </a:ln>
          </c:spPr>
        </c:majorGridlines>
        <c:numFmt formatCode="#,##0.00" sourceLinked="1"/>
        <c:majorTickMark val="out"/>
        <c:minorTickMark val="none"/>
        <c:tickLblPos val="nextTo"/>
        <c:crossAx val="616093952"/>
        <c:crosses val="autoZero"/>
        <c:crossBetween val="between"/>
      </c:valAx>
    </c:plotArea>
    <c:plotVisOnly val="0"/>
    <c:dispBlanksAs val="gap"/>
    <c:showDLblsOverMax val="0"/>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over 300kW'!$A$76</c:f>
          <c:strCache>
            <c:ptCount val="1"/>
            <c:pt idx="0">
              <c:v>Top 5 landed species by volume in 2017
North Sea nephrops over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C1D119"/>
              </a:solidFill>
              <a:ln>
                <a:solidFill>
                  <a:srgbClr val="FFFFFF"/>
                </a:solidFill>
              </a:ln>
            </c:spPr>
          </c:dPt>
          <c:dPt>
            <c:idx val="3"/>
            <c:bubble3D val="0"/>
            <c:spPr>
              <a:solidFill>
                <a:srgbClr val="E84A38"/>
              </a:solidFill>
              <a:ln>
                <a:solidFill>
                  <a:srgbClr val="FFFFFF"/>
                </a:solidFill>
              </a:ln>
            </c:spPr>
          </c:dPt>
          <c:dPt>
            <c:idx val="4"/>
            <c:bubble3D val="0"/>
            <c:spPr>
              <a:solidFill>
                <a:srgbClr val="648C2E"/>
              </a:solidFill>
              <a:ln>
                <a:solidFill>
                  <a:srgbClr val="FFFFFF"/>
                </a:solidFill>
              </a:ln>
            </c:spPr>
          </c:dPt>
          <c:dPt>
            <c:idx val="5"/>
            <c:bubble3D val="0"/>
            <c:spPr>
              <a:solidFill>
                <a:srgbClr val="55585A"/>
              </a:solidFill>
              <a:ln>
                <a:solidFill>
                  <a:srgbClr val="FFFFFF"/>
                </a:solidFill>
              </a:ln>
            </c:spPr>
          </c:dPt>
          <c:cat>
            <c:strRef>
              <c:f>'NS nephrops over 300kW'!$B$77:$B$82</c:f>
              <c:strCache>
                <c:ptCount val="6"/>
                <c:pt idx="0">
                  <c:v>Nephrops - 45.3%</c:v>
                </c:pt>
                <c:pt idx="1">
                  <c:v>Anglerfish - 11.8%</c:v>
                </c:pt>
                <c:pt idx="2">
                  <c:v>Haddock - 10.6%</c:v>
                </c:pt>
                <c:pt idx="3">
                  <c:v>Whiting - 7.6%</c:v>
                </c:pt>
                <c:pt idx="4">
                  <c:v>Cod - 5.9%</c:v>
                </c:pt>
                <c:pt idx="5">
                  <c:v>Others - 18.7%</c:v>
                </c:pt>
              </c:strCache>
            </c:strRef>
          </c:cat>
          <c:val>
            <c:numRef>
              <c:f>'NS nephrops over 300kW'!$C$77:$C$82</c:f>
              <c:numCache>
                <c:formatCode>0.0%</c:formatCode>
                <c:ptCount val="6"/>
                <c:pt idx="0">
                  <c:v>0.45342752619143856</c:v>
                </c:pt>
                <c:pt idx="1">
                  <c:v>0.11798942645468763</c:v>
                </c:pt>
                <c:pt idx="2">
                  <c:v>0.10569968540524649</c:v>
                </c:pt>
                <c:pt idx="3">
                  <c:v>7.6159318970553183E-2</c:v>
                </c:pt>
                <c:pt idx="4">
                  <c:v>5.9488426939604211E-2</c:v>
                </c:pt>
                <c:pt idx="5">
                  <c:v>0.18723561603846994</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over 300kW'!$F$76</c:f>
          <c:strCache>
            <c:ptCount val="1"/>
            <c:pt idx="0">
              <c:v>Top 5 landed species by value in 2017
North Sea nephrops over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'NS nephrops over 300kW'!$G$77:$G$82</c:f>
              <c:strCache>
                <c:ptCount val="6"/>
                <c:pt idx="0">
                  <c:v>Nephrops - 61.2%</c:v>
                </c:pt>
                <c:pt idx="1">
                  <c:v>Anglerfish - 14.2%</c:v>
                </c:pt>
                <c:pt idx="2">
                  <c:v>Cod - 4.8%</c:v>
                </c:pt>
                <c:pt idx="3">
                  <c:v>Haddock - 4.2%</c:v>
                </c:pt>
                <c:pt idx="4">
                  <c:v>Whiting - 3.2%</c:v>
                </c:pt>
                <c:pt idx="5">
                  <c:v>Others - 12.4%</c:v>
                </c:pt>
              </c:strCache>
            </c:strRef>
          </c:cat>
          <c:val>
            <c:numRef>
              <c:f>'NS nephrops over 300kW'!$H$77:$H$82</c:f>
              <c:numCache>
                <c:formatCode>0.0%</c:formatCode>
                <c:ptCount val="6"/>
                <c:pt idx="0">
                  <c:v>0.61177480646239035</c:v>
                </c:pt>
                <c:pt idx="1">
                  <c:v>0.14224867378885775</c:v>
                </c:pt>
                <c:pt idx="2">
                  <c:v>4.7930434209390721E-2</c:v>
                </c:pt>
                <c:pt idx="3">
                  <c:v>4.1591121122960248E-2</c:v>
                </c:pt>
                <c:pt idx="4">
                  <c:v>3.2385532716208552E-2</c:v>
                </c:pt>
                <c:pt idx="5">
                  <c:v>0.12406943170019236</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nephrops over 300kW'!$C$92</c:f>
              <c:strCache>
                <c:ptCount val="1"/>
                <c:pt idx="0">
                  <c:v>Nephrops</c:v>
                </c:pt>
              </c:strCache>
            </c:strRef>
          </c:tx>
          <c:spPr>
            <a:solidFill>
              <a:srgbClr val="2273B9"/>
            </a:solidFill>
            <a:ln>
              <a:solidFill>
                <a:srgbClr val="FFFFFF"/>
              </a:solidFill>
            </a:ln>
          </c:spPr>
          <c:invertIfNegative val="0"/>
          <c:cat>
            <c:numRef>
              <c:f>'NS nephrops over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nephrops over 300kW'!$D$92:$M$92</c:f>
              <c:numCache>
                <c:formatCode>0%</c:formatCode>
                <c:ptCount val="10"/>
                <c:pt idx="0">
                  <c:v>0.74369140659449295</c:v>
                </c:pt>
                <c:pt idx="1">
                  <c:v>0.73255559213597621</c:v>
                </c:pt>
                <c:pt idx="2">
                  <c:v>0.75884239750882121</c:v>
                </c:pt>
                <c:pt idx="3">
                  <c:v>0.75632588966023817</c:v>
                </c:pt>
                <c:pt idx="4">
                  <c:v>0.65427632828975213</c:v>
                </c:pt>
                <c:pt idx="5">
                  <c:v>0.699040083080818</c:v>
                </c:pt>
                <c:pt idx="6">
                  <c:v>0.65963545836531601</c:v>
                </c:pt>
                <c:pt idx="7">
                  <c:v>0.64570674647899595</c:v>
                </c:pt>
                <c:pt idx="8">
                  <c:v>0.61177480646239035</c:v>
                </c:pt>
                <c:pt idx="9">
                  <c:v>0.56030562563458386</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'NS nephrops over 300kW'!$C$93</c:f>
              <c:strCache>
                <c:ptCount val="1"/>
                <c:pt idx="0">
                  <c:v>Anglerfish</c:v>
                </c:pt>
              </c:strCache>
            </c:strRef>
          </c:tx>
          <c:spPr>
            <a:solidFill>
              <a:srgbClr val="E87308"/>
            </a:solidFill>
            <a:ln>
              <a:solidFill>
                <a:srgbClr val="FFFFFF"/>
              </a:solidFill>
            </a:ln>
          </c:spPr>
          <c:invertIfNegative val="0"/>
          <c:cat>
            <c:numRef>
              <c:f>'NS nephrops over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nephrops over 300kW'!$D$93:$M$93</c:f>
              <c:numCache>
                <c:formatCode>0%</c:formatCode>
                <c:ptCount val="10"/>
                <c:pt idx="0">
                  <c:v>9.7036724903409949E-2</c:v>
                </c:pt>
                <c:pt idx="1">
                  <c:v>9.1977211470786635E-2</c:v>
                </c:pt>
                <c:pt idx="2">
                  <c:v>6.9267580034800283E-2</c:v>
                </c:pt>
                <c:pt idx="3">
                  <c:v>6.4469272203239433E-2</c:v>
                </c:pt>
                <c:pt idx="4">
                  <c:v>9.7778931698787916E-2</c:v>
                </c:pt>
                <c:pt idx="5">
                  <c:v>8.6099776886047627E-2</c:v>
                </c:pt>
                <c:pt idx="6">
                  <c:v>0.12486852023593646</c:v>
                </c:pt>
                <c:pt idx="7">
                  <c:v>0.14433266441964898</c:v>
                </c:pt>
                <c:pt idx="8">
                  <c:v>0.14224867378885775</c:v>
                </c:pt>
                <c:pt idx="9">
                  <c:v>0.15828153394345984</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'NS nephrops over 300kW'!$C$94</c:f>
              <c:strCache>
                <c:ptCount val="1"/>
                <c:pt idx="0">
                  <c:v>Cod</c:v>
                </c:pt>
              </c:strCache>
            </c:strRef>
          </c:tx>
          <c:spPr>
            <a:solidFill>
              <a:srgbClr val="648C2E"/>
            </a:solidFill>
            <a:ln>
              <a:solidFill>
                <a:srgbClr val="FFFFFF"/>
              </a:solidFill>
            </a:ln>
          </c:spPr>
          <c:invertIfNegative val="0"/>
          <c:cat>
            <c:numRef>
              <c:f>'NS nephrops over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nephrops over 300kW'!$D$94:$M$94</c:f>
              <c:numCache>
                <c:formatCode>0%</c:formatCode>
                <c:ptCount val="10"/>
                <c:pt idx="0">
                  <c:v>1.8828015663886026E-2</c:v>
                </c:pt>
                <c:pt idx="3">
                  <c:v>1.8095233235327569E-2</c:v>
                </c:pt>
                <c:pt idx="4">
                  <c:v>2.8965709216469057E-2</c:v>
                </c:pt>
                <c:pt idx="5">
                  <c:v>2.2945797073296113E-2</c:v>
                </c:pt>
                <c:pt idx="7">
                  <c:v>3.1235589639025577E-2</c:v>
                </c:pt>
                <c:pt idx="8">
                  <c:v>4.7930434209390721E-2</c:v>
                </c:pt>
                <c:pt idx="9">
                  <c:v>3.8832510918685011E-2</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'NS nephrops over 300kW'!$C$95</c:f>
              <c:strCache>
                <c:ptCount val="1"/>
                <c:pt idx="0">
                  <c:v>Haddock</c:v>
                </c:pt>
              </c:strCache>
            </c:strRef>
          </c:tx>
          <c:spPr>
            <a:solidFill>
              <a:srgbClr val="C1D119"/>
            </a:solidFill>
            <a:ln>
              <a:solidFill>
                <a:srgbClr val="FFFFFF"/>
              </a:solidFill>
            </a:ln>
          </c:spPr>
          <c:invertIfNegative val="0"/>
          <c:cat>
            <c:numRef>
              <c:f>'NS nephrops over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nephrops over 300kW'!$D$95:$M$95</c:f>
              <c:numCache>
                <c:formatCode>0%</c:formatCode>
                <c:ptCount val="10"/>
                <c:pt idx="0">
                  <c:v>4.3385114408819717E-2</c:v>
                </c:pt>
                <c:pt idx="1">
                  <c:v>4.7987887948797076E-2</c:v>
                </c:pt>
                <c:pt idx="2">
                  <c:v>4.4152482737755967E-2</c:v>
                </c:pt>
                <c:pt idx="3">
                  <c:v>5.2274078299271443E-2</c:v>
                </c:pt>
                <c:pt idx="4">
                  <c:v>7.6747843671362712E-2</c:v>
                </c:pt>
                <c:pt idx="5">
                  <c:v>7.7717117100067803E-2</c:v>
                </c:pt>
                <c:pt idx="6">
                  <c:v>6.116708873072333E-2</c:v>
                </c:pt>
                <c:pt idx="7">
                  <c:v>4.4973109093561982E-2</c:v>
                </c:pt>
                <c:pt idx="8">
                  <c:v>4.1591121122960248E-2</c:v>
                </c:pt>
                <c:pt idx="9">
                  <c:v>5.2341206068031831E-2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'NS nephrops over 300kW'!$C$96</c:f>
              <c:strCache>
                <c:ptCount val="1"/>
                <c:pt idx="0">
                  <c:v>Whiting</c:v>
                </c:pt>
              </c:strCache>
            </c:strRef>
          </c:tx>
          <c:spPr>
            <a:solidFill>
              <a:srgbClr val="E84A38"/>
            </a:solidFill>
            <a:ln>
              <a:solidFill>
                <a:srgbClr val="FFFFFF"/>
              </a:solidFill>
            </a:ln>
          </c:spPr>
          <c:invertIfNegative val="0"/>
          <c:cat>
            <c:numRef>
              <c:f>'NS nephrops over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nephrops over 300kW'!$D$96:$M$96</c:f>
              <c:numCache>
                <c:formatCode>0%</c:formatCode>
                <c:ptCount val="10"/>
                <c:pt idx="0">
                  <c:v>2.3393770658009946E-2</c:v>
                </c:pt>
                <c:pt idx="1">
                  <c:v>2.7780442279158522E-2</c:v>
                </c:pt>
                <c:pt idx="2">
                  <c:v>3.5553834508107528E-2</c:v>
                </c:pt>
                <c:pt idx="3">
                  <c:v>3.6975601071058191E-2</c:v>
                </c:pt>
                <c:pt idx="4">
                  <c:v>4.9047184720886414E-2</c:v>
                </c:pt>
                <c:pt idx="5">
                  <c:v>4.0361269765523788E-2</c:v>
                </c:pt>
                <c:pt idx="6">
                  <c:v>3.5882168270989986E-2</c:v>
                </c:pt>
                <c:pt idx="7">
                  <c:v>3.1219764817989035E-2</c:v>
                </c:pt>
                <c:pt idx="8">
                  <c:v>3.2385532716208552E-2</c:v>
                </c:pt>
                <c:pt idx="9">
                  <c:v>3.4611099468484958E-2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'NS nephrops over 300kW'!$C$97</c:f>
              <c:strCache>
                <c:ptCount val="1"/>
                <c:pt idx="0">
                  <c:v>Squid</c:v>
                </c:pt>
              </c:strCache>
            </c:strRef>
          </c:tx>
          <c:spPr>
            <a:solidFill>
              <a:srgbClr val="0F9AA9"/>
            </a:solidFill>
            <a:ln>
              <a:solidFill>
                <a:srgbClr val="FFFFFF"/>
              </a:solidFill>
            </a:ln>
          </c:spPr>
          <c:invertIfNegative val="0"/>
          <c:cat>
            <c:numRef>
              <c:f>'NS nephrops over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nephrops over 300kW'!$D$97:$M$97</c:f>
              <c:numCache>
                <c:formatCode>0%</c:formatCode>
                <c:ptCount val="10"/>
                <c:pt idx="1">
                  <c:v>2.2824097182043129E-2</c:v>
                </c:pt>
                <c:pt idx="2">
                  <c:v>2.0993421825142786E-2</c:v>
                </c:pt>
                <c:pt idx="6">
                  <c:v>2.8653189592609936E-2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'NS nephrops over 300kW'!$C$98</c:f>
              <c:strCache>
                <c:ptCount val="1"/>
                <c:pt idx="0">
                  <c:v>Others</c:v>
                </c:pt>
              </c:strCache>
            </c:strRef>
          </c:tx>
          <c:spPr>
            <a:solidFill>
              <a:srgbClr val="55585A"/>
            </a:solidFill>
            <a:ln>
              <a:solidFill>
                <a:srgbClr val="FFFFFF"/>
              </a:solidFill>
            </a:ln>
          </c:spPr>
          <c:invertIfNegative val="0"/>
          <c:cat>
            <c:numRef>
              <c:f>'NS nephrops over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nephrops over 300kW'!$D$98:$M$98</c:f>
              <c:numCache>
                <c:formatCode>0%</c:formatCode>
                <c:ptCount val="10"/>
                <c:pt idx="0">
                  <c:v>7.3664967771381387E-2</c:v>
                </c:pt>
                <c:pt idx="1">
                  <c:v>7.6874768983238459E-2</c:v>
                </c:pt>
                <c:pt idx="2">
                  <c:v>7.1190283385372186E-2</c:v>
                </c:pt>
                <c:pt idx="3">
                  <c:v>7.185992553086519E-2</c:v>
                </c:pt>
                <c:pt idx="4">
                  <c:v>9.3184002402741745E-2</c:v>
                </c:pt>
                <c:pt idx="5">
                  <c:v>7.383595609424666E-2</c:v>
                </c:pt>
                <c:pt idx="6">
                  <c:v>8.9793574804424223E-2</c:v>
                </c:pt>
                <c:pt idx="7">
                  <c:v>0.10253212555077845</c:v>
                </c:pt>
                <c:pt idx="8">
                  <c:v>0.12406943170019236</c:v>
                </c:pt>
                <c:pt idx="9">
                  <c:v>0.15562802396675454</c:v>
                </c:pt>
              </c:numCache>
            </c:numRef>
          </c:val>
          <c:extLst xmlns:c16r2="http://schemas.microsoft.com/office/drawing/2015/06/chart">
            <c:ext xmlns:c16="http://schemas.microsoft.com/office/drawing/2014/chart" uri="{C3380CC4-5D6E-409C-BE32-E72D297353CC}">
              <c16:uniqueId val="{00000006-282A-42F3-A8CE-7B6B063B5E4F}"/>
            </c:ext>
          </c:extLst>
        </c:ser>
        <c:dLbls>
          <c:showLegendKey val="0"/>
          <c:showVal val="0"/>
          <c:showCatName val="0"/>
          <c:showSerName val="0"/>
          <c:showPercent val="0"/>
          <c:showBubbleSize val="0"/>
        </c:dLbls>
        <c:gapWidth val="150"/>
        <c:overlap val="100"/>
        <c:axId val="913110144"/>
        <c:axId val="913111680"/>
      </c:barChart>
      <c:catAx>
        <c:axId val="913110144"/>
        <c:scaling>
          <c:orientation val="minMax"/>
        </c:scaling>
        <c:delete val="0"/>
        <c:axPos val="b"/>
        <c:numFmt formatCode="General" sourceLinked="1"/>
        <c:majorTickMark val="out"/>
        <c:minorTickMark val="none"/>
        <c:tickLblPos val="nextTo"/>
        <c:crossAx val="913111680"/>
        <c:crosses val="autoZero"/>
        <c:auto val="1"/>
        <c:lblAlgn val="ctr"/>
        <c:lblOffset val="100"/>
        <c:noMultiLvlLbl val="0"/>
      </c:catAx>
      <c:valAx>
        <c:axId val="913111680"/>
        <c:scaling>
          <c:orientation val="minMax"/>
          <c:max val="1"/>
          <c:min val="0"/>
        </c:scaling>
        <c:delete val="0"/>
        <c:axPos val="l"/>
        <c:majorGridlines/>
        <c:numFmt formatCode="0%" sourceLinked="1"/>
        <c:majorTickMark val="out"/>
        <c:minorTickMark val="none"/>
        <c:tickLblPos val="nextTo"/>
        <c:crossAx val="913110144"/>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 nephrops over 300kW'!$B$162</c:f>
              <c:strCache>
                <c:ptCount val="1"/>
                <c:pt idx="0">
                  <c:v>Nephrops</c:v>
                </c:pt>
              </c:strCache>
            </c:strRef>
          </c:tx>
          <c:spPr>
            <a:solidFill>
              <a:srgbClr val="2273B9"/>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300kW'!$C$162:$E$162</c:f>
              <c:numCache>
                <c:formatCode>0%</c:formatCode>
                <c:ptCount val="3"/>
                <c:pt idx="0">
                  <c:v>0.4057565344967376</c:v>
                </c:pt>
                <c:pt idx="1">
                  <c:v>0.4242681643646225</c:v>
                </c:pt>
                <c:pt idx="2">
                  <c:v>0.61616683656150362</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'NS nephrops over 300kW'!$B$163</c:f>
              <c:strCache>
                <c:ptCount val="1"/>
                <c:pt idx="0">
                  <c:v>Anglerfish</c:v>
                </c:pt>
              </c:strCache>
            </c:strRef>
          </c:tx>
          <c:spPr>
            <a:solidFill>
              <a:srgbClr val="E87308"/>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300kW'!$C$163:$E$163</c:f>
              <c:numCache>
                <c:formatCode>0%</c:formatCode>
                <c:ptCount val="3"/>
                <c:pt idx="0">
                  <c:v>0.13938330860457418</c:v>
                </c:pt>
                <c:pt idx="1">
                  <c:v>0.15451074067014348</c:v>
                </c:pt>
                <c:pt idx="2">
                  <c:v>7.0872437875570307E-2</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'NS nephrops over 300kW'!$B$164</c:f>
              <c:strCache>
                <c:ptCount val="1"/>
                <c:pt idx="0">
                  <c:v>Haddock</c:v>
                </c:pt>
              </c:strCache>
            </c:strRef>
          </c:tx>
          <c:spPr>
            <a:solidFill>
              <a:srgbClr val="C1D119"/>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300kW'!$C$164:$E$164</c:f>
              <c:numCache>
                <c:formatCode>0%</c:formatCode>
                <c:ptCount val="3"/>
                <c:pt idx="0">
                  <c:v>0.11443464516704932</c:v>
                </c:pt>
                <c:pt idx="1">
                  <c:v>0.15290968694139295</c:v>
                </c:pt>
                <c:pt idx="2">
                  <c:v>6.7437773911224977E-2</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'NS nephrops over 300kW'!$B$165</c:f>
              <c:strCache>
                <c:ptCount val="1"/>
                <c:pt idx="0">
                  <c:v>Whiting</c:v>
                </c:pt>
              </c:strCache>
            </c:strRef>
          </c:tx>
          <c:spPr>
            <a:solidFill>
              <a:srgbClr val="E84A38"/>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300kW'!$C$165:$E$165</c:f>
              <c:numCache>
                <c:formatCode>0%</c:formatCode>
                <c:ptCount val="3"/>
                <c:pt idx="0">
                  <c:v>8.1805673170388823E-2</c:v>
                </c:pt>
                <c:pt idx="1">
                  <c:v>0.10011014206719489</c:v>
                </c:pt>
                <c:pt idx="2">
                  <c:v>5.5850130969724035E-2</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'NS nephrops over 300kW'!$B$166</c:f>
              <c:strCache>
                <c:ptCount val="1"/>
                <c:pt idx="0">
                  <c:v>Cod</c:v>
                </c:pt>
              </c:strCache>
            </c:strRef>
          </c:tx>
          <c:spPr>
            <a:solidFill>
              <a:srgbClr val="648C2E"/>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300kW'!$C$166:$E$166</c:f>
              <c:numCache>
                <c:formatCode>0%</c:formatCode>
                <c:ptCount val="3"/>
                <c:pt idx="0">
                  <c:v>6.4960589399800248E-2</c:v>
                </c:pt>
                <c:pt idx="1">
                  <c:v>4.5971182902334554E-2</c:v>
                </c:pt>
                <c:pt idx="2">
                  <c:v>0</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'NS nephrops over 300kW'!$B$167</c:f>
              <c:strCache>
                <c:ptCount val="1"/>
                <c:pt idx="0">
                  <c:v>Plaice</c:v>
                </c:pt>
              </c:strCache>
            </c:strRef>
          </c:tx>
          <c:spPr>
            <a:solidFill>
              <a:srgbClr val="0F9AA9"/>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300kW'!$C$167:$E$167</c:f>
              <c:numCache>
                <c:formatCode>0%</c:formatCode>
                <c:ptCount val="3"/>
                <c:pt idx="0">
                  <c:v>0</c:v>
                </c:pt>
                <c:pt idx="1">
                  <c:v>0</c:v>
                </c:pt>
                <c:pt idx="2">
                  <c:v>3.1196407987044213E-2</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'NS nephrops over 300kW'!$B$168</c:f>
              <c:strCache>
                <c:ptCount val="1"/>
                <c:pt idx="0">
                  <c:v>Others</c:v>
                </c:pt>
              </c:strCache>
            </c:strRef>
          </c:tx>
          <c:spPr>
            <a:solidFill>
              <a:srgbClr val="55585A"/>
            </a:solidFill>
            <a:ln>
              <a:solidFill>
                <a:srgbClr val="FFFFFF"/>
              </a:solidFill>
            </a:ln>
          </c:spPr>
          <c:invertIfNegative val="0"/>
          <c:cat>
            <c:strRef>
              <c:f>'NS nephrops over 300kW'!$C$161:$E$161</c:f>
              <c:strCache>
                <c:ptCount val="3"/>
                <c:pt idx="0">
                  <c:v>Most
profitable
quartile</c:v>
                </c:pt>
                <c:pt idx="1">
                  <c:v>Middle 
two quartiles</c:v>
                </c:pt>
                <c:pt idx="2">
                  <c:v>Least
profitable
quartile</c:v>
                </c:pt>
              </c:strCache>
            </c:strRef>
          </c:cat>
          <c:val>
            <c:numRef>
              <c:f>'NS nephrops over 300kW'!$C$168:$E$168</c:f>
              <c:numCache>
                <c:formatCode>0%</c:formatCode>
                <c:ptCount val="3"/>
                <c:pt idx="0">
                  <c:v>0.19365924916144983</c:v>
                </c:pt>
                <c:pt idx="1">
                  <c:v>0.12223008305431149</c:v>
                </c:pt>
                <c:pt idx="2">
                  <c:v>0.15847641269493284</c:v>
                </c:pt>
              </c:numCache>
            </c:numRef>
          </c:val>
          <c:extLst xmlns:c16r2="http://schemas.microsoft.com/office/drawing/2015/06/chart">
            <c:ext xmlns:c16="http://schemas.microsoft.com/office/drawing/2014/chart" uri="{C3380CC4-5D6E-409C-BE32-E72D297353CC}">
              <c16:uniqueId val="{00000006-DFDD-4C01-8393-1BE532AE55F9}"/>
            </c:ext>
          </c:extLst>
        </c:ser>
        <c:dLbls>
          <c:showLegendKey val="0"/>
          <c:showVal val="0"/>
          <c:showCatName val="0"/>
          <c:showSerName val="0"/>
          <c:showPercent val="0"/>
          <c:showBubbleSize val="0"/>
        </c:dLbls>
        <c:gapWidth val="150"/>
        <c:overlap val="100"/>
        <c:axId val="714778880"/>
        <c:axId val="714784768"/>
      </c:barChart>
      <c:catAx>
        <c:axId val="714778880"/>
        <c:scaling>
          <c:orientation val="minMax"/>
        </c:scaling>
        <c:delete val="0"/>
        <c:axPos val="b"/>
        <c:numFmt formatCode="General" sourceLinked="0"/>
        <c:majorTickMark val="out"/>
        <c:minorTickMark val="none"/>
        <c:tickLblPos val="nextTo"/>
        <c:crossAx val="714784768"/>
        <c:crosses val="autoZero"/>
        <c:auto val="1"/>
        <c:lblAlgn val="ctr"/>
        <c:lblOffset val="100"/>
        <c:noMultiLvlLbl val="0"/>
      </c:catAx>
      <c:valAx>
        <c:axId val="714784768"/>
        <c:scaling>
          <c:orientation val="minMax"/>
          <c:max val="1"/>
          <c:min val="0"/>
        </c:scaling>
        <c:delete val="0"/>
        <c:axPos val="l"/>
        <c:majorGridlines/>
        <c:minorGridlines/>
        <c:numFmt formatCode="0%" sourceLinked="1"/>
        <c:majorTickMark val="out"/>
        <c:minorTickMark val="none"/>
        <c:tickLblPos val="nextTo"/>
        <c:crossAx val="714778880"/>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 nephrops over 300kW'!$H$162</c:f>
              <c:strCache>
                <c:ptCount val="1"/>
                <c:pt idx="0">
                  <c:v>Nephrops</c:v>
                </c:pt>
              </c:strCache>
            </c:strRef>
          </c:tx>
          <c:spPr>
            <a:solidFill>
              <a:srgbClr val="2273B9"/>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300kW'!$I$162:$K$162</c:f>
              <c:numCache>
                <c:formatCode>0%</c:formatCode>
                <c:ptCount val="3"/>
                <c:pt idx="0">
                  <c:v>0.5770591569263549</c:v>
                </c:pt>
                <c:pt idx="1">
                  <c:v>0.62985458174510167</c:v>
                </c:pt>
                <c:pt idx="2">
                  <c:v>0.74138390304644586</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'NS nephrops over 300kW'!$H$163</c:f>
              <c:strCache>
                <c:ptCount val="1"/>
                <c:pt idx="0">
                  <c:v>Anglerfish</c:v>
                </c:pt>
              </c:strCache>
            </c:strRef>
          </c:tx>
          <c:spPr>
            <a:solidFill>
              <a:srgbClr val="E87308"/>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300kW'!$I$163:$K$163</c:f>
              <c:numCache>
                <c:formatCode>0%</c:formatCode>
                <c:ptCount val="3"/>
                <c:pt idx="0">
                  <c:v>0.16973814841705681</c:v>
                </c:pt>
                <c:pt idx="1">
                  <c:v>0.14684082469535636</c:v>
                </c:pt>
                <c:pt idx="2">
                  <c:v>7.5081087175131386E-2</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'NS nephrops over 300kW'!$H$164</c:f>
              <c:strCache>
                <c:ptCount val="1"/>
                <c:pt idx="0">
                  <c:v>Cod</c:v>
                </c:pt>
              </c:strCache>
            </c:strRef>
          </c:tx>
          <c:spPr>
            <a:solidFill>
              <a:srgbClr val="648C2E"/>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300kW'!$I$164:$K$164</c:f>
              <c:numCache>
                <c:formatCode>0%</c:formatCode>
                <c:ptCount val="3"/>
                <c:pt idx="0">
                  <c:v>5.3587158989447686E-2</c:v>
                </c:pt>
                <c:pt idx="1">
                  <c:v>5.3550282455721292E-2</c:v>
                </c:pt>
                <c:pt idx="2">
                  <c:v>2.0139415474306741E-2</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'NS nephrops over 300kW'!$H$165</c:f>
              <c:strCache>
                <c:ptCount val="1"/>
                <c:pt idx="0">
                  <c:v>Haddock</c:v>
                </c:pt>
              </c:strCache>
            </c:strRef>
          </c:tx>
          <c:spPr>
            <a:solidFill>
              <a:srgbClr val="C1D119"/>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300kW'!$I$165:$K$165</c:f>
              <c:numCache>
                <c:formatCode>0%</c:formatCode>
                <c:ptCount val="3"/>
                <c:pt idx="0">
                  <c:v>4.6593839536524496E-2</c:v>
                </c:pt>
                <c:pt idx="1">
                  <c:v>4.476127236604862E-2</c:v>
                </c:pt>
                <c:pt idx="2">
                  <c:v>2.3457287636479498E-2</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'NS nephrops over 300kW'!$H$166</c:f>
              <c:strCache>
                <c:ptCount val="1"/>
                <c:pt idx="0">
                  <c:v>Whiting</c:v>
                </c:pt>
              </c:strCache>
            </c:strRef>
          </c:tx>
          <c:spPr>
            <a:solidFill>
              <a:srgbClr val="E84A38"/>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300kW'!$I$166:$K$166</c:f>
              <c:numCache>
                <c:formatCode>0%</c:formatCode>
                <c:ptCount val="3"/>
                <c:pt idx="0">
                  <c:v>3.6583176804141478E-2</c:v>
                </c:pt>
                <c:pt idx="1">
                  <c:v>3.4260246934918769E-2</c:v>
                </c:pt>
                <c:pt idx="2">
                  <c:v>0</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'NS nephrops over 300kW'!$H$167</c:f>
              <c:strCache>
                <c:ptCount val="1"/>
                <c:pt idx="0">
                  <c:v>Squid</c:v>
                </c:pt>
              </c:strCache>
            </c:strRef>
          </c:tx>
          <c:spPr>
            <a:solidFill>
              <a:srgbClr val="FED825"/>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300kW'!$I$167:$K$167</c:f>
              <c:numCache>
                <c:formatCode>0%</c:formatCode>
                <c:ptCount val="3"/>
                <c:pt idx="0">
                  <c:v>0</c:v>
                </c:pt>
                <c:pt idx="1">
                  <c:v>0</c:v>
                </c:pt>
                <c:pt idx="2">
                  <c:v>4.1351545666438269E-2</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'NS nephrops over 300kW'!$H$168</c:f>
              <c:strCache>
                <c:ptCount val="1"/>
                <c:pt idx="0">
                  <c:v>Others</c:v>
                </c:pt>
              </c:strCache>
            </c:strRef>
          </c:tx>
          <c:spPr>
            <a:solidFill>
              <a:srgbClr val="55585A"/>
            </a:solidFill>
            <a:ln>
              <a:solidFill>
                <a:srgbClr val="FFFFFF"/>
              </a:solidFill>
            </a:ln>
          </c:spPr>
          <c:invertIfNegative val="0"/>
          <c:cat>
            <c:strRef>
              <c:f>'NS nephrops over 300kW'!$I$161:$K$161</c:f>
              <c:strCache>
                <c:ptCount val="3"/>
                <c:pt idx="0">
                  <c:v>Most
profitable
quartile</c:v>
                </c:pt>
                <c:pt idx="1">
                  <c:v>Middle 
two quartiles</c:v>
                </c:pt>
                <c:pt idx="2">
                  <c:v>Least
profitable
quartile</c:v>
                </c:pt>
              </c:strCache>
            </c:strRef>
          </c:cat>
          <c:val>
            <c:numRef>
              <c:f>'NS nephrops over 300kW'!$I$168:$K$168</c:f>
              <c:numCache>
                <c:formatCode>0%</c:formatCode>
                <c:ptCount val="3"/>
                <c:pt idx="0">
                  <c:v>0.11643851932647464</c:v>
                </c:pt>
                <c:pt idx="1">
                  <c:v>9.0732791802853208E-2</c:v>
                </c:pt>
                <c:pt idx="2">
                  <c:v>9.8586761001198231E-2</c:v>
                </c:pt>
              </c:numCache>
            </c:numRef>
          </c:val>
          <c:extLst xmlns:c16r2="http://schemas.microsoft.com/office/drawing/2015/06/chart">
            <c:ext xmlns:c16="http://schemas.microsoft.com/office/drawing/2014/chart" uri="{C3380CC4-5D6E-409C-BE32-E72D297353CC}">
              <c16:uniqueId val="{00000006-DC58-4725-8A67-0BDC09FD93CD}"/>
            </c:ext>
          </c:extLst>
        </c:ser>
        <c:dLbls>
          <c:showLegendKey val="0"/>
          <c:showVal val="0"/>
          <c:showCatName val="0"/>
          <c:showSerName val="0"/>
          <c:showPercent val="0"/>
          <c:showBubbleSize val="0"/>
        </c:dLbls>
        <c:gapWidth val="150"/>
        <c:overlap val="100"/>
        <c:axId val="714833920"/>
        <c:axId val="714835456"/>
      </c:barChart>
      <c:catAx>
        <c:axId val="714833920"/>
        <c:scaling>
          <c:orientation val="minMax"/>
        </c:scaling>
        <c:delete val="0"/>
        <c:axPos val="b"/>
        <c:numFmt formatCode="General" sourceLinked="0"/>
        <c:majorTickMark val="out"/>
        <c:minorTickMark val="none"/>
        <c:tickLblPos val="nextTo"/>
        <c:crossAx val="714835456"/>
        <c:crosses val="autoZero"/>
        <c:auto val="1"/>
        <c:lblAlgn val="ctr"/>
        <c:lblOffset val="100"/>
        <c:noMultiLvlLbl val="0"/>
      </c:catAx>
      <c:valAx>
        <c:axId val="714835456"/>
        <c:scaling>
          <c:orientation val="minMax"/>
          <c:max val="1"/>
          <c:min val="0"/>
        </c:scaling>
        <c:delete val="0"/>
        <c:axPos val="l"/>
        <c:majorGridlines/>
        <c:minorGridlines/>
        <c:numFmt formatCode="0%" sourceLinked="1"/>
        <c:majorTickMark val="out"/>
        <c:minorTickMark val="none"/>
        <c:tickLblPos val="nextTo"/>
        <c:crossAx val="714833920"/>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over 300kW'!$K$143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 nephrops over 300kW'!$K$139</c:f>
              <c:strCache>
                <c:ptCount val="1"/>
                <c:pt idx="0">
                  <c:v>Total income</c:v>
                </c:pt>
              </c:strCache>
            </c:strRef>
          </c:tx>
          <c:spPr>
            <a:solidFill>
              <a:schemeClr val="accent1"/>
            </a:solidFill>
            <a:ln>
              <a:solidFill>
                <a:schemeClr val="accent1"/>
              </a:solidFill>
            </a:ln>
          </c:spPr>
          <c:invertIfNegative val="0"/>
          <c:cat>
            <c:strRef>
              <c:f>'NS nephrops over 300kW'!$L$138:$N$138</c:f>
              <c:strCache>
                <c:ptCount val="3"/>
                <c:pt idx="0">
                  <c:v>Most
profitable
quartile</c:v>
                </c:pt>
                <c:pt idx="1">
                  <c:v>Middle
two quartiles</c:v>
                </c:pt>
                <c:pt idx="2">
                  <c:v>Least
profitable
quartile</c:v>
                </c:pt>
              </c:strCache>
            </c:strRef>
          </c:cat>
          <c:val>
            <c:numRef>
              <c:f>'NS nephrops over 300kW'!$L$139:$N$139</c:f>
              <c:numCache>
                <c:formatCode>#,##0</c:formatCode>
                <c:ptCount val="3"/>
                <c:pt idx="0">
                  <c:v>1098.117</c:v>
                </c:pt>
                <c:pt idx="1">
                  <c:v>749.248701388889</c:v>
                </c:pt>
                <c:pt idx="2">
                  <c:v>407.26456250000001</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'NS nephrops over 300kW'!$K$140</c:f>
              <c:strCache>
                <c:ptCount val="1"/>
                <c:pt idx="0">
                  <c:v>Operating costs</c:v>
                </c:pt>
              </c:strCache>
            </c:strRef>
          </c:tx>
          <c:spPr>
            <a:solidFill>
              <a:schemeClr val="accent3"/>
            </a:solidFill>
          </c:spPr>
          <c:invertIfNegative val="0"/>
          <c:cat>
            <c:strRef>
              <c:f>'NS nephrops over 300kW'!$L$138:$N$138</c:f>
              <c:strCache>
                <c:ptCount val="3"/>
                <c:pt idx="0">
                  <c:v>Most
profitable
quartile</c:v>
                </c:pt>
                <c:pt idx="1">
                  <c:v>Middle
two quartiles</c:v>
                </c:pt>
                <c:pt idx="2">
                  <c:v>Least
profitable
quartile</c:v>
                </c:pt>
              </c:strCache>
            </c:strRef>
          </c:cat>
          <c:val>
            <c:numRef>
              <c:f>'NS nephrops over 300kW'!$L$140:$N$140</c:f>
              <c:numCache>
                <c:formatCode>#,##0</c:formatCode>
                <c:ptCount val="3"/>
                <c:pt idx="0">
                  <c:v>901.8309375</c:v>
                </c:pt>
                <c:pt idx="1">
                  <c:v>654.86427314814796</c:v>
                </c:pt>
                <c:pt idx="2">
                  <c:v>402.42578125</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'NS nephrops over 300kW'!$K$141</c:f>
              <c:strCache>
                <c:ptCount val="1"/>
                <c:pt idx="0">
                  <c:v>Operating profit</c:v>
                </c:pt>
              </c:strCache>
            </c:strRef>
          </c:tx>
          <c:spPr>
            <a:solidFill>
              <a:schemeClr val="accent2"/>
            </a:solidFill>
          </c:spPr>
          <c:invertIfNegative val="0"/>
          <c:cat>
            <c:strRef>
              <c:f>'NS nephrops over 300kW'!$L$138:$N$138</c:f>
              <c:strCache>
                <c:ptCount val="3"/>
                <c:pt idx="0">
                  <c:v>Most
profitable
quartile</c:v>
                </c:pt>
                <c:pt idx="1">
                  <c:v>Middle
two quartiles</c:v>
                </c:pt>
                <c:pt idx="2">
                  <c:v>Least
profitable
quartile</c:v>
                </c:pt>
              </c:strCache>
            </c:strRef>
          </c:cat>
          <c:val>
            <c:numRef>
              <c:f>'NS nephrops over 300kW'!$L$141:$N$141</c:f>
              <c:numCache>
                <c:formatCode>#,##0</c:formatCode>
                <c:ptCount val="3"/>
                <c:pt idx="0">
                  <c:v>196.28606250000001</c:v>
                </c:pt>
                <c:pt idx="1">
                  <c:v>94.384428240740704</c:v>
                </c:pt>
                <c:pt idx="2">
                  <c:v>4.8387812500000003</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714867072"/>
        <c:axId val="714868608"/>
      </c:barChart>
      <c:catAx>
        <c:axId val="714867072"/>
        <c:scaling>
          <c:orientation val="minMax"/>
        </c:scaling>
        <c:delete val="0"/>
        <c:axPos val="b"/>
        <c:numFmt formatCode="General" sourceLinked="0"/>
        <c:majorTickMark val="out"/>
        <c:minorTickMark val="none"/>
        <c:tickLblPos val="nextTo"/>
        <c:crossAx val="714868608"/>
        <c:crosses val="autoZero"/>
        <c:auto val="1"/>
        <c:lblAlgn val="ctr"/>
        <c:lblOffset val="100"/>
        <c:noMultiLvlLbl val="0"/>
      </c:catAx>
      <c:valAx>
        <c:axId val="714868608"/>
        <c:scaling>
          <c:orientation val="minMax"/>
        </c:scaling>
        <c:delete val="0"/>
        <c:axPos val="l"/>
        <c:majorGridlines/>
        <c:title>
          <c:tx>
            <c:strRef>
              <c:f>'NS nephrops over 300kW'!$K$142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714867072"/>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300kW'!$A$48</c:f>
          <c:strCache>
            <c:ptCount val="1"/>
            <c:pt idx="0">
              <c:v>Landings per kW day at sea (kg)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'NS nephrops under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nephrops under 300kW'!$D$21:$N$21</c:f>
              <c:numCache>
                <c:formatCode>#,##0.00</c:formatCode>
                <c:ptCount val="11"/>
                <c:pt idx="0">
                  <c:v>3.1007828025186357</c:v>
                </c:pt>
                <c:pt idx="1">
                  <c:v>3.3143469984743592</c:v>
                </c:pt>
                <c:pt idx="2">
                  <c:v>2.9595531650641433</c:v>
                </c:pt>
                <c:pt idx="3">
                  <c:v>2.9583447248189052</c:v>
                </c:pt>
                <c:pt idx="4">
                  <c:v>2.8569186551723758</c:v>
                </c:pt>
                <c:pt idx="5">
                  <c:v>2.8218933969081075</c:v>
                </c:pt>
                <c:pt idx="6">
                  <c:v>3.055330906822975</c:v>
                </c:pt>
                <c:pt idx="7">
                  <c:v>2.3689660665148118</c:v>
                </c:pt>
                <c:pt idx="8">
                  <c:v>2.890193620396639</c:v>
                </c:pt>
                <c:pt idx="9">
                  <c:v>2.9962951278259329</c:v>
                </c:pt>
                <c:pt idx="10">
                  <c:v>3.0034141727311314</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714667520"/>
        <c:axId val="714669056"/>
      </c:lineChart>
      <c:catAx>
        <c:axId val="714667520"/>
        <c:scaling>
          <c:orientation val="minMax"/>
        </c:scaling>
        <c:delete val="0"/>
        <c:axPos val="b"/>
        <c:numFmt formatCode="General" sourceLinked="1"/>
        <c:majorTickMark val="out"/>
        <c:minorTickMark val="none"/>
        <c:tickLblPos val="nextTo"/>
        <c:crossAx val="714669056"/>
        <c:crosses val="autoZero"/>
        <c:auto val="1"/>
        <c:lblAlgn val="ctr"/>
        <c:lblOffset val="100"/>
        <c:noMultiLvlLbl val="0"/>
      </c:catAx>
      <c:valAx>
        <c:axId val="714669056"/>
        <c:scaling>
          <c:orientation val="minMax"/>
        </c:scaling>
        <c:delete val="0"/>
        <c:axPos val="l"/>
        <c:majorGridlines>
          <c:spPr>
            <a:ln w="3175">
              <a:prstDash val="sysDot"/>
            </a:ln>
          </c:spPr>
        </c:majorGridlines>
        <c:numFmt formatCode="#,##0.00" sourceLinked="1"/>
        <c:majorTickMark val="out"/>
        <c:minorTickMark val="none"/>
        <c:tickLblPos val="nextTo"/>
        <c:crossAx val="714667520"/>
        <c:crosses val="autoZero"/>
        <c:crossBetween val="between"/>
      </c:valAx>
    </c:plotArea>
    <c:plotVisOnly val="0"/>
    <c:dispBlanksAs val="gap"/>
    <c:showDLblsOverMax val="0"/>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300kW'!$A$49</c:f>
          <c:strCache>
            <c:ptCount val="1"/>
            <c:pt idx="0">
              <c:v>Fishing income per kW day at sea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'NS nephrops under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nephrops under 300kW'!$D$22:$N$22</c:f>
              <c:numCache>
                <c:formatCode>#,##0.00</c:formatCode>
                <c:ptCount val="11"/>
                <c:pt idx="0">
                  <c:v>7.3204607115477804</c:v>
                </c:pt>
                <c:pt idx="1">
                  <c:v>6.4784740250667801</c:v>
                </c:pt>
                <c:pt idx="2">
                  <c:v>6.6763201147918698</c:v>
                </c:pt>
                <c:pt idx="3">
                  <c:v>8.94482453445071</c:v>
                </c:pt>
                <c:pt idx="4">
                  <c:v>8.3304312214773404</c:v>
                </c:pt>
                <c:pt idx="5">
                  <c:v>7.1519524820453597</c:v>
                </c:pt>
                <c:pt idx="6">
                  <c:v>8.3379547481855596</c:v>
                </c:pt>
                <c:pt idx="7">
                  <c:v>6.4798877560244597</c:v>
                </c:pt>
                <c:pt idx="8">
                  <c:v>7.7748286957968604</c:v>
                </c:pt>
                <c:pt idx="9">
                  <c:v>8.0020745719522708</c:v>
                </c:pt>
                <c:pt idx="10">
                  <c:v>8.1428797298819351</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714498816"/>
        <c:axId val="714500352"/>
      </c:lineChart>
      <c:catAx>
        <c:axId val="714498816"/>
        <c:scaling>
          <c:orientation val="minMax"/>
        </c:scaling>
        <c:delete val="0"/>
        <c:axPos val="b"/>
        <c:numFmt formatCode="General" sourceLinked="1"/>
        <c:majorTickMark val="out"/>
        <c:minorTickMark val="none"/>
        <c:tickLblPos val="nextTo"/>
        <c:crossAx val="714500352"/>
        <c:crosses val="autoZero"/>
        <c:auto val="1"/>
        <c:lblAlgn val="ctr"/>
        <c:lblOffset val="100"/>
        <c:noMultiLvlLbl val="0"/>
      </c:catAx>
      <c:valAx>
        <c:axId val="714500352"/>
        <c:scaling>
          <c:orientation val="minMax"/>
        </c:scaling>
        <c:delete val="0"/>
        <c:axPos val="l"/>
        <c:majorGridlines>
          <c:spPr>
            <a:ln w="3175">
              <a:prstDash val="sysDot"/>
            </a:ln>
          </c:spPr>
        </c:majorGridlines>
        <c:numFmt formatCode="#,##0.00" sourceLinked="1"/>
        <c:majorTickMark val="out"/>
        <c:minorTickMark val="none"/>
        <c:tickLblPos val="nextTo"/>
        <c:crossAx val="714498816"/>
        <c:crosses val="autoZero"/>
        <c:crossBetween val="between"/>
      </c:valAx>
    </c:plotArea>
    <c:plotVisOnly val="0"/>
    <c:dispBlanksAs val="gap"/>
    <c:showDLblsOverMax val="0"/>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300kW'!$B$62</c:f>
          <c:strCache>
            <c:ptCount val="1"/>
            <c:pt idx="0">
              <c:v>Total cost per kW day at sea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'NS nephrops under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nephrops under 300kW'!$D$23:$N$23</c:f>
              <c:numCache>
                <c:formatCode>#,##0.00</c:formatCode>
                <c:ptCount val="11"/>
                <c:pt idx="0">
                  <c:v>7.2636707697560601</c:v>
                </c:pt>
                <c:pt idx="1">
                  <c:v>6.0823384699876799</c:v>
                </c:pt>
                <c:pt idx="2">
                  <c:v>6.8470583168451498</c:v>
                </c:pt>
                <c:pt idx="3">
                  <c:v>8.8376217036073008</c:v>
                </c:pt>
                <c:pt idx="4">
                  <c:v>8.2569119121952497</c:v>
                </c:pt>
                <c:pt idx="5">
                  <c:v>7.8091196416296604</c:v>
                </c:pt>
                <c:pt idx="6">
                  <c:v>7.9297871145411998</c:v>
                </c:pt>
                <c:pt idx="7">
                  <c:v>6.34926172768653</c:v>
                </c:pt>
                <c:pt idx="8">
                  <c:v>7.0208642456063899</c:v>
                </c:pt>
                <c:pt idx="9">
                  <c:v>7.4235340776983696</c:v>
                </c:pt>
                <c:pt idx="10">
                  <c:v>7.7259103597961385</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714534912"/>
        <c:axId val="714536448"/>
      </c:lineChart>
      <c:catAx>
        <c:axId val="714534912"/>
        <c:scaling>
          <c:orientation val="minMax"/>
        </c:scaling>
        <c:delete val="0"/>
        <c:axPos val="b"/>
        <c:numFmt formatCode="General" sourceLinked="1"/>
        <c:majorTickMark val="out"/>
        <c:minorTickMark val="none"/>
        <c:tickLblPos val="nextTo"/>
        <c:crossAx val="714536448"/>
        <c:crosses val="autoZero"/>
        <c:auto val="1"/>
        <c:lblAlgn val="ctr"/>
        <c:lblOffset val="100"/>
        <c:noMultiLvlLbl val="0"/>
      </c:catAx>
      <c:valAx>
        <c:axId val="714536448"/>
        <c:scaling>
          <c:orientation val="minMax"/>
        </c:scaling>
        <c:delete val="0"/>
        <c:axPos val="l"/>
        <c:majorGridlines>
          <c:spPr>
            <a:ln w="3175">
              <a:prstDash val="sysDot"/>
            </a:ln>
          </c:spPr>
        </c:majorGridlines>
        <c:numFmt formatCode="#,##0.00" sourceLinked="1"/>
        <c:majorTickMark val="out"/>
        <c:minorTickMark val="none"/>
        <c:tickLblPos val="nextTo"/>
        <c:crossAx val="714534912"/>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300kW'!$K$48</c:f>
          <c:strCache>
            <c:ptCount val="1"/>
            <c:pt idx="0">
              <c:v>Operating profit per kW day at sea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'NS nephrops under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nephrops under 300kW'!$D$24:$N$24</c:f>
              <c:numCache>
                <c:formatCode>#,##0.00</c:formatCode>
                <c:ptCount val="11"/>
                <c:pt idx="0">
                  <c:v>0.30240813074656298</c:v>
                </c:pt>
                <c:pt idx="1">
                  <c:v>0.68009617385931498</c:v>
                </c:pt>
                <c:pt idx="2">
                  <c:v>0.164881128336369</c:v>
                </c:pt>
                <c:pt idx="3">
                  <c:v>1.7289000615710199</c:v>
                </c:pt>
                <c:pt idx="4">
                  <c:v>1.26955798664021</c:v>
                </c:pt>
                <c:pt idx="5">
                  <c:v>0.56357131411940897</c:v>
                </c:pt>
                <c:pt idx="6">
                  <c:v>1.0108283812488099</c:v>
                </c:pt>
                <c:pt idx="7">
                  <c:v>0.50486095075956305</c:v>
                </c:pt>
                <c:pt idx="8">
                  <c:v>1.2998533741663101</c:v>
                </c:pt>
                <c:pt idx="9">
                  <c:v>1.32694249541635</c:v>
                </c:pt>
                <c:pt idx="10">
                  <c:v>1.1785403824720189</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714693632"/>
        <c:axId val="714695424"/>
      </c:lineChart>
      <c:catAx>
        <c:axId val="714693632"/>
        <c:scaling>
          <c:orientation val="minMax"/>
        </c:scaling>
        <c:delete val="0"/>
        <c:axPos val="b"/>
        <c:numFmt formatCode="General" sourceLinked="1"/>
        <c:majorTickMark val="out"/>
        <c:minorTickMark val="none"/>
        <c:tickLblPos val="nextTo"/>
        <c:crossAx val="714695424"/>
        <c:crosses val="autoZero"/>
        <c:auto val="1"/>
        <c:lblAlgn val="ctr"/>
        <c:lblOffset val="100"/>
        <c:noMultiLvlLbl val="0"/>
      </c:catAx>
      <c:valAx>
        <c:axId val="714695424"/>
        <c:scaling>
          <c:orientation val="minMax"/>
        </c:scaling>
        <c:delete val="0"/>
        <c:axPos val="l"/>
        <c:majorGridlines>
          <c:spPr>
            <a:ln w="3175">
              <a:prstDash val="sysDot"/>
            </a:ln>
          </c:spPr>
        </c:majorGridlines>
        <c:numFmt formatCode="#,##0.00" sourceLinked="1"/>
        <c:majorTickMark val="out"/>
        <c:minorTickMark val="none"/>
        <c:tickLblPos val="nextTo"/>
        <c:crossAx val="714693632"/>
        <c:crosses val="autoZero"/>
        <c:crossBetween val="between"/>
      </c:valAx>
    </c:plotArea>
    <c:plotVisOnly val="0"/>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o250kW'!$A$50</c:f>
          <c:strCache>
            <c:ptCount val="1"/>
            <c:pt idx="0">
              <c:v>Average price per tonne landed (£)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'Area VIIa nephrops o250kW'!$D$2:$N$2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nephrops o250kW'!$D$20:$N$20</c:f>
              <c:numCache>
                <c:formatCode>#,##0</c:formatCode>
                <c:ptCount val="11"/>
                <c:pt idx="0">
                  <c:v>2083</c:v>
                </c:pt>
                <c:pt idx="1">
                  <c:v>1737</c:v>
                </c:pt>
                <c:pt idx="2">
                  <c:v>1831</c:v>
                </c:pt>
                <c:pt idx="3">
                  <c:v>2181</c:v>
                </c:pt>
                <c:pt idx="4">
                  <c:v>2396</c:v>
                </c:pt>
                <c:pt idx="5">
                  <c:v>2023</c:v>
                </c:pt>
                <c:pt idx="6">
                  <c:v>2239</c:v>
                </c:pt>
                <c:pt idx="7">
                  <c:v>2029</c:v>
                </c:pt>
                <c:pt idx="8">
                  <c:v>2215</c:v>
                </c:pt>
                <c:pt idx="9">
                  <c:v>2265</c:v>
                </c:pt>
                <c:pt idx="10">
                  <c:v>2090</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616183296"/>
        <c:axId val="616184832"/>
      </c:lineChart>
      <c:catAx>
        <c:axId val="616183296"/>
        <c:scaling>
          <c:orientation val="minMax"/>
        </c:scaling>
        <c:delete val="0"/>
        <c:axPos val="b"/>
        <c:numFmt formatCode="General" sourceLinked="1"/>
        <c:majorTickMark val="out"/>
        <c:minorTickMark val="none"/>
        <c:tickLblPos val="nextTo"/>
        <c:crossAx val="616184832"/>
        <c:crosses val="autoZero"/>
        <c:auto val="1"/>
        <c:lblAlgn val="ctr"/>
        <c:lblOffset val="100"/>
        <c:noMultiLvlLbl val="0"/>
      </c:catAx>
      <c:valAx>
        <c:axId val="616184832"/>
        <c:scaling>
          <c:orientation val="minMax"/>
        </c:scaling>
        <c:delete val="0"/>
        <c:axPos val="l"/>
        <c:majorGridlines>
          <c:spPr>
            <a:ln w="3175">
              <a:prstDash val="sysDot"/>
            </a:ln>
          </c:spPr>
        </c:majorGridlines>
        <c:numFmt formatCode="#,##0" sourceLinked="1"/>
        <c:majorTickMark val="out"/>
        <c:minorTickMark val="none"/>
        <c:tickLblPos val="nextTo"/>
        <c:crossAx val="616183296"/>
        <c:crosses val="autoZero"/>
        <c:crossBetween val="between"/>
      </c:valAx>
    </c:plotArea>
    <c:plotVisOnly val="0"/>
    <c:dispBlanksAs val="gap"/>
    <c:showDLblsOverMax val="0"/>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300kW'!$A$50</c:f>
          <c:strCache>
            <c:ptCount val="1"/>
            <c:pt idx="0">
              <c:v>Average price per tonne landed (£)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'NS nephrops under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nephrops under 300kW'!$D$20:$N$20</c:f>
              <c:numCache>
                <c:formatCode>#,##0</c:formatCode>
                <c:ptCount val="11"/>
                <c:pt idx="0">
                  <c:v>2361</c:v>
                </c:pt>
                <c:pt idx="1">
                  <c:v>1955</c:v>
                </c:pt>
                <c:pt idx="2">
                  <c:v>2256</c:v>
                </c:pt>
                <c:pt idx="3">
                  <c:v>3024</c:v>
                </c:pt>
                <c:pt idx="4">
                  <c:v>2916</c:v>
                </c:pt>
                <c:pt idx="5">
                  <c:v>2534</c:v>
                </c:pt>
                <c:pt idx="6">
                  <c:v>2729</c:v>
                </c:pt>
                <c:pt idx="7">
                  <c:v>2735</c:v>
                </c:pt>
                <c:pt idx="8">
                  <c:v>2690</c:v>
                </c:pt>
                <c:pt idx="9">
                  <c:v>2671</c:v>
                </c:pt>
                <c:pt idx="10">
                  <c:v>2711</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714934528"/>
        <c:axId val="714940416"/>
      </c:lineChart>
      <c:catAx>
        <c:axId val="714934528"/>
        <c:scaling>
          <c:orientation val="minMax"/>
        </c:scaling>
        <c:delete val="0"/>
        <c:axPos val="b"/>
        <c:numFmt formatCode="General" sourceLinked="1"/>
        <c:majorTickMark val="out"/>
        <c:minorTickMark val="none"/>
        <c:tickLblPos val="nextTo"/>
        <c:crossAx val="714940416"/>
        <c:crosses val="autoZero"/>
        <c:auto val="1"/>
        <c:lblAlgn val="ctr"/>
        <c:lblOffset val="100"/>
        <c:noMultiLvlLbl val="0"/>
      </c:catAx>
      <c:valAx>
        <c:axId val="714940416"/>
        <c:scaling>
          <c:orientation val="minMax"/>
        </c:scaling>
        <c:delete val="0"/>
        <c:axPos val="l"/>
        <c:majorGridlines>
          <c:spPr>
            <a:ln w="3175">
              <a:prstDash val="sysDot"/>
            </a:ln>
          </c:spPr>
        </c:majorGridlines>
        <c:numFmt formatCode="#,##0" sourceLinked="1"/>
        <c:majorTickMark val="out"/>
        <c:minorTickMark val="none"/>
        <c:tickLblPos val="nextTo"/>
        <c:crossAx val="714934528"/>
        <c:crosses val="autoZero"/>
        <c:crossBetween val="between"/>
      </c:valAx>
    </c:plotArea>
    <c:plotVisOnly val="0"/>
    <c:dispBlanksAs val="gap"/>
    <c:showDLblsOverMax val="0"/>
  </c:chart>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300kW'!$K$62</c:f>
          <c:strCache>
            <c:ptCount val="1"/>
            <c:pt idx="0">
              <c:v>Average annual operating profit per vessel (£'000)
North Sea nephrops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'NS nephrops under 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 nephrops under 300kW'!$D$37:$N$37</c:f>
              <c:numCache>
                <c:formatCode>#,##0.0</c:formatCode>
                <c:ptCount val="11"/>
                <c:pt idx="0">
                  <c:v>8.1999999999999993</c:v>
                </c:pt>
                <c:pt idx="1">
                  <c:v>20.3</c:v>
                </c:pt>
                <c:pt idx="2">
                  <c:v>4.0999999999999996</c:v>
                </c:pt>
                <c:pt idx="3">
                  <c:v>45.5</c:v>
                </c:pt>
                <c:pt idx="4">
                  <c:v>31.8</c:v>
                </c:pt>
                <c:pt idx="5">
                  <c:v>12.5</c:v>
                </c:pt>
                <c:pt idx="6">
                  <c:v>22.3</c:v>
                </c:pt>
                <c:pt idx="7">
                  <c:v>10.1</c:v>
                </c:pt>
                <c:pt idx="8">
                  <c:v>33.299999999999997</c:v>
                </c:pt>
                <c:pt idx="9">
                  <c:v>30.6</c:v>
                </c:pt>
                <c:pt idx="10">
                  <c:v>26</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714974720"/>
        <c:axId val="714976256"/>
      </c:lineChart>
      <c:catAx>
        <c:axId val="714974720"/>
        <c:scaling>
          <c:orientation val="minMax"/>
        </c:scaling>
        <c:delete val="0"/>
        <c:axPos val="b"/>
        <c:numFmt formatCode="General" sourceLinked="1"/>
        <c:majorTickMark val="out"/>
        <c:minorTickMark val="none"/>
        <c:tickLblPos val="nextTo"/>
        <c:crossAx val="714976256"/>
        <c:crosses val="autoZero"/>
        <c:auto val="1"/>
        <c:lblAlgn val="ctr"/>
        <c:lblOffset val="100"/>
        <c:noMultiLvlLbl val="0"/>
      </c:catAx>
      <c:valAx>
        <c:axId val="714976256"/>
        <c:scaling>
          <c:orientation val="minMax"/>
        </c:scaling>
        <c:delete val="0"/>
        <c:axPos val="l"/>
        <c:majorGridlines>
          <c:spPr>
            <a:ln w="3175">
              <a:prstDash val="sysDot"/>
            </a:ln>
          </c:spPr>
        </c:majorGridlines>
        <c:numFmt formatCode="#,##0.0" sourceLinked="1"/>
        <c:majorTickMark val="out"/>
        <c:minorTickMark val="none"/>
        <c:tickLblPos val="nextTo"/>
        <c:crossAx val="714974720"/>
        <c:crosses val="autoZero"/>
        <c:crossBetween val="between"/>
      </c:valAx>
    </c:plotArea>
    <c:plotVisOnly val="0"/>
    <c:dispBlanksAs val="gap"/>
    <c:showDLblsOverMax val="0"/>
  </c:chart>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under 300kW'!$A$76</c:f>
          <c:strCache>
            <c:ptCount val="1"/>
            <c:pt idx="0">
              <c:v>Top 5 landed species by volume in 2017
North Sea nephrops under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E84A38"/>
              </a:solidFill>
              <a:ln>
                <a:solidFill>
                  <a:srgbClr val="FFFFFF"/>
                </a:solidFill>
              </a:ln>
            </c:spPr>
          </c:dPt>
          <c:dPt>
            <c:idx val="3"/>
            <c:bubble3D val="0"/>
            <c:spPr>
              <a:solidFill>
                <a:srgbClr val="C1D119"/>
              </a:solidFill>
              <a:ln>
                <a:solidFill>
                  <a:srgbClr val="FFFFFF"/>
                </a:solidFill>
              </a:ln>
            </c:spPr>
          </c:dPt>
          <c:dPt>
            <c:idx val="4"/>
            <c:bubble3D val="0"/>
            <c:spPr>
              <a:solidFill>
                <a:srgbClr val="648C2E"/>
              </a:solidFill>
              <a:ln>
                <a:solidFill>
                  <a:srgbClr val="FFFFFF"/>
                </a:solidFill>
              </a:ln>
            </c:spPr>
          </c:dPt>
          <c:dPt>
            <c:idx val="5"/>
            <c:bubble3D val="0"/>
            <c:spPr>
              <a:solidFill>
                <a:srgbClr val="55585A"/>
              </a:solidFill>
              <a:ln>
                <a:solidFill>
                  <a:srgbClr val="FFFFFF"/>
                </a:solidFill>
              </a:ln>
            </c:spPr>
          </c:dPt>
          <c:cat>
            <c:strRef>
              <c:f>'NS nephrops under 300kW'!$B$77:$B$82</c:f>
              <c:strCache>
                <c:ptCount val="6"/>
                <c:pt idx="0">
                  <c:v>Nephrops - 70.1%</c:v>
                </c:pt>
                <c:pt idx="1">
                  <c:v>Haddock - 7.2%</c:v>
                </c:pt>
                <c:pt idx="2">
                  <c:v>Whiting - 4.8%</c:v>
                </c:pt>
                <c:pt idx="3">
                  <c:v>Squid - 3.4%</c:v>
                </c:pt>
                <c:pt idx="4">
                  <c:v>Anglerfish - 2.8%</c:v>
                </c:pt>
                <c:pt idx="5">
                  <c:v>Others - 11.6%</c:v>
                </c:pt>
              </c:strCache>
            </c:strRef>
          </c:cat>
          <c:val>
            <c:numRef>
              <c:f>'NS nephrops under 300kW'!$C$77:$C$82</c:f>
              <c:numCache>
                <c:formatCode>0.0%</c:formatCode>
                <c:ptCount val="6"/>
                <c:pt idx="0">
                  <c:v>0.70129347634069406</c:v>
                </c:pt>
                <c:pt idx="1">
                  <c:v>7.2321766561514192E-2</c:v>
                </c:pt>
                <c:pt idx="2">
                  <c:v>4.8440719242902205E-2</c:v>
                </c:pt>
                <c:pt idx="3">
                  <c:v>3.4218599369085174E-2</c:v>
                </c:pt>
                <c:pt idx="4">
                  <c:v>2.787068138801262E-2</c:v>
                </c:pt>
                <c:pt idx="5">
                  <c:v>0.11585475709779169</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 nephrops under 300kW'!$F$76</c:f>
          <c:strCache>
            <c:ptCount val="1"/>
            <c:pt idx="0">
              <c:v>Top 5 landed species by value in 2017
North Sea nephrops under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C1D119"/>
              </a:solidFill>
              <a:ln>
                <a:solidFill>
                  <a:srgbClr val="FFFFFF"/>
                </a:solidFill>
              </a:ln>
            </c:spPr>
          </c:dPt>
          <c:dPt>
            <c:idx val="5"/>
            <c:bubble3D val="0"/>
            <c:spPr>
              <a:solidFill>
                <a:srgbClr val="55585A"/>
              </a:solidFill>
              <a:ln>
                <a:solidFill>
                  <a:srgbClr val="FFFFFF"/>
                </a:solidFill>
              </a:ln>
            </c:spPr>
          </c:dPt>
          <c:cat>
            <c:strRef>
              <c:f>'NS nephrops under 300kW'!$G$77:$G$82</c:f>
              <c:strCache>
                <c:ptCount val="6"/>
                <c:pt idx="0">
                  <c:v>Nephrops - 82.5%</c:v>
                </c:pt>
                <c:pt idx="1">
                  <c:v>Haddock - 2.9%</c:v>
                </c:pt>
                <c:pt idx="2">
                  <c:v>Anglerfish - 2.8%</c:v>
                </c:pt>
                <c:pt idx="3">
                  <c:v>Squid - 2.6%</c:v>
                </c:pt>
                <c:pt idx="4">
                  <c:v>Squid - 2.1%</c:v>
                </c:pt>
                <c:pt idx="5">
                  <c:v>Others - 7.2%</c:v>
                </c:pt>
              </c:strCache>
            </c:strRef>
          </c:cat>
          <c:val>
            <c:numRef>
              <c:f>'NS nephrops under 300kW'!$H$77:$H$82</c:f>
              <c:numCache>
                <c:formatCode>0.0%</c:formatCode>
                <c:ptCount val="6"/>
                <c:pt idx="0">
                  <c:v>0.82490004669967054</c:v>
                </c:pt>
                <c:pt idx="1">
                  <c:v>2.8683361115550501E-2</c:v>
                </c:pt>
                <c:pt idx="2">
                  <c:v>2.8478044788161447E-2</c:v>
                </c:pt>
                <c:pt idx="3">
                  <c:v>2.5546261668905723E-2</c:v>
                </c:pt>
                <c:pt idx="4">
                  <c:v>2.0790053384117681E-2</c:v>
                </c:pt>
                <c:pt idx="5">
                  <c:v>7.1602232343594197E-2</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 nephrops under 300kW'!$C$92</c:f>
              <c:strCache>
                <c:ptCount val="1"/>
                <c:pt idx="0">
                  <c:v>Nephrops</c:v>
                </c:pt>
              </c:strCache>
            </c:strRef>
          </c:tx>
          <c:spPr>
            <a:solidFill>
              <a:srgbClr val="2273B9"/>
            </a:solidFill>
            <a:ln>
              <a:solidFill>
                <a:srgbClr val="FFFFFF"/>
              </a:solidFill>
            </a:ln>
          </c:spPr>
          <c:invertIfNegative val="0"/>
          <c:cat>
            <c:numRef>
              <c:f>'NS nephrops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nephrops under 300kW'!$D$92:$M$92</c:f>
              <c:numCache>
                <c:formatCode>0%</c:formatCode>
                <c:ptCount val="10"/>
                <c:pt idx="0">
                  <c:v>0.8065624127379073</c:v>
                </c:pt>
                <c:pt idx="1">
                  <c:v>0.7960339983473026</c:v>
                </c:pt>
                <c:pt idx="2">
                  <c:v>0.8453451102319588</c:v>
                </c:pt>
                <c:pt idx="3">
                  <c:v>0.87345533345501392</c:v>
                </c:pt>
                <c:pt idx="4">
                  <c:v>0.86755359764912388</c:v>
                </c:pt>
                <c:pt idx="5">
                  <c:v>0.84242194081927868</c:v>
                </c:pt>
                <c:pt idx="6">
                  <c:v>0.87395726227664217</c:v>
                </c:pt>
                <c:pt idx="7">
                  <c:v>0.81288988720656163</c:v>
                </c:pt>
                <c:pt idx="8">
                  <c:v>0.82490004669967054</c:v>
                </c:pt>
                <c:pt idx="9">
                  <c:v>0.86058861674786091</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'NS nephrops under 300kW'!$C$93</c:f>
              <c:strCache>
                <c:ptCount val="1"/>
                <c:pt idx="0">
                  <c:v>Haddock</c:v>
                </c:pt>
              </c:strCache>
            </c:strRef>
          </c:tx>
          <c:spPr>
            <a:solidFill>
              <a:srgbClr val="E87308"/>
            </a:solidFill>
            <a:ln>
              <a:solidFill>
                <a:srgbClr val="FFFFFF"/>
              </a:solidFill>
            </a:ln>
          </c:spPr>
          <c:invertIfNegative val="0"/>
          <c:cat>
            <c:numRef>
              <c:f>'NS nephrops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nephrops under 300kW'!$D$93:$M$93</c:f>
              <c:numCache>
                <c:formatCode>0%</c:formatCode>
                <c:ptCount val="10"/>
                <c:pt idx="0">
                  <c:v>4.675356664956757E-2</c:v>
                </c:pt>
                <c:pt idx="1">
                  <c:v>3.7920283909809942E-2</c:v>
                </c:pt>
                <c:pt idx="2">
                  <c:v>2.8729002518994091E-2</c:v>
                </c:pt>
                <c:pt idx="3">
                  <c:v>2.5215529717225391E-2</c:v>
                </c:pt>
                <c:pt idx="4">
                  <c:v>2.3026440833408966E-2</c:v>
                </c:pt>
                <c:pt idx="5">
                  <c:v>4.4402761661023596E-2</c:v>
                </c:pt>
                <c:pt idx="6">
                  <c:v>1.1199211404180936E-2</c:v>
                </c:pt>
                <c:pt idx="7">
                  <c:v>3.0224933323922613E-2</c:v>
                </c:pt>
                <c:pt idx="8">
                  <c:v>2.8683361115550501E-2</c:v>
                </c:pt>
                <c:pt idx="9">
                  <c:v>2.4978889013412778E-2</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'NS nephrops under 300kW'!$C$94</c:f>
              <c:strCache>
                <c:ptCount val="1"/>
                <c:pt idx="0">
                  <c:v>Anglerfish</c:v>
                </c:pt>
              </c:strCache>
            </c:strRef>
          </c:tx>
          <c:spPr>
            <a:solidFill>
              <a:srgbClr val="648C2E"/>
            </a:solidFill>
            <a:ln>
              <a:solidFill>
                <a:srgbClr val="FFFFFF"/>
              </a:solidFill>
            </a:ln>
          </c:spPr>
          <c:invertIfNegative val="0"/>
          <c:cat>
            <c:numRef>
              <c:f>'NS nephrops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nephrops under 300kW'!$D$94:$M$94</c:f>
              <c:numCache>
                <c:formatCode>0%</c:formatCode>
                <c:ptCount val="10"/>
                <c:pt idx="0">
                  <c:v>3.907926962540266E-2</c:v>
                </c:pt>
                <c:pt idx="1">
                  <c:v>4.7386902372801319E-2</c:v>
                </c:pt>
                <c:pt idx="2">
                  <c:v>2.7573449068122591E-2</c:v>
                </c:pt>
                <c:pt idx="3">
                  <c:v>1.8538829423499523E-2</c:v>
                </c:pt>
                <c:pt idx="4">
                  <c:v>1.9016218479827835E-2</c:v>
                </c:pt>
                <c:pt idx="5">
                  <c:v>2.3814825055669037E-2</c:v>
                </c:pt>
                <c:pt idx="6">
                  <c:v>3.2214785011503863E-2</c:v>
                </c:pt>
                <c:pt idx="7">
                  <c:v>3.7520450482049147E-2</c:v>
                </c:pt>
                <c:pt idx="8">
                  <c:v>2.8478044788161447E-2</c:v>
                </c:pt>
                <c:pt idx="9">
                  <c:v>2.3763899692507747E-2</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'NS nephrops under 300kW'!$C$95</c:f>
              <c:strCache>
                <c:ptCount val="1"/>
                <c:pt idx="0">
                  <c:v>Squid</c:v>
                </c:pt>
              </c:strCache>
            </c:strRef>
          </c:tx>
          <c:spPr>
            <a:solidFill>
              <a:srgbClr val="C1D119"/>
            </a:solidFill>
            <a:ln>
              <a:solidFill>
                <a:srgbClr val="FFFFFF"/>
              </a:solidFill>
            </a:ln>
          </c:spPr>
          <c:invertIfNegative val="0"/>
          <c:cat>
            <c:numRef>
              <c:f>'NS nephrops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nephrops under 300kW'!$D$95:$M$95</c:f>
              <c:numCache>
                <c:formatCode>0%</c:formatCode>
                <c:ptCount val="10"/>
                <c:pt idx="0">
                  <c:v>2.9514971827661329E-2</c:v>
                </c:pt>
                <c:pt idx="1">
                  <c:v>4.604452543973557E-2</c:v>
                </c:pt>
                <c:pt idx="2">
                  <c:v>2.1198101543957008E-2</c:v>
                </c:pt>
                <c:pt idx="3">
                  <c:v>1.4496788445886335E-2</c:v>
                </c:pt>
                <c:pt idx="4">
                  <c:v>1.692840514179603E-2</c:v>
                </c:pt>
                <c:pt idx="5">
                  <c:v>2.4365318977610517E-2</c:v>
                </c:pt>
                <c:pt idx="6">
                  <c:v>1.8420947575077187E-2</c:v>
                </c:pt>
                <c:pt idx="7">
                  <c:v>4.4875522437971153E-2</c:v>
                </c:pt>
                <c:pt idx="8">
                  <c:v>2.5546261668905723E-2</c:v>
                </c:pt>
                <c:pt idx="9">
                  <c:v>1.7717219119792769E-2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'NS nephrops under 300kW'!$C$96</c:f>
              <c:strCache>
                <c:ptCount val="1"/>
                <c:pt idx="0">
                  <c:v>Squid</c:v>
                </c:pt>
              </c:strCache>
            </c:strRef>
          </c:tx>
          <c:spPr>
            <a:solidFill>
              <a:srgbClr val="E84A38"/>
            </a:solidFill>
            <a:ln>
              <a:solidFill>
                <a:srgbClr val="FFFFFF"/>
              </a:solidFill>
            </a:ln>
          </c:spPr>
          <c:invertIfNegative val="0"/>
          <c:cat>
            <c:numRef>
              <c:f>'NS nephrops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nephrops under 300kW'!$D$96:$M$96</c:f>
              <c:numCache>
                <c:formatCode>0%</c:formatCode>
                <c:ptCount val="10"/>
                <c:pt idx="8">
                  <c:v>2.0790053384117681E-2</c:v>
                </c:pt>
                <c:pt idx="9">
                  <c:v>2.086292380232669E-2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'NS nephrops under 300kW'!$C$97</c:f>
              <c:strCache>
                <c:ptCount val="1"/>
                <c:pt idx="0">
                  <c:v>Whiting</c:v>
                </c:pt>
              </c:strCache>
            </c:strRef>
          </c:tx>
          <c:spPr>
            <a:solidFill>
              <a:srgbClr val="0F9AA9"/>
            </a:solidFill>
            <a:ln>
              <a:solidFill>
                <a:srgbClr val="FFFFFF"/>
              </a:solidFill>
            </a:ln>
          </c:spPr>
          <c:invertIfNegative val="0"/>
          <c:cat>
            <c:numRef>
              <c:f>'NS nephrops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nephrops under 300kW'!$D$97:$M$97</c:f>
              <c:numCache>
                <c:formatCode>0%</c:formatCode>
                <c:ptCount val="10"/>
                <c:pt idx="0">
                  <c:v>2.0941809790342731E-2</c:v>
                </c:pt>
                <c:pt idx="1">
                  <c:v>1.9820937610671704E-2</c:v>
                </c:pt>
                <c:pt idx="2">
                  <c:v>2.0081117421192177E-2</c:v>
                </c:pt>
                <c:pt idx="3">
                  <c:v>2.0394538539123853E-2</c:v>
                </c:pt>
                <c:pt idx="4">
                  <c:v>2.3021424771360755E-2</c:v>
                </c:pt>
                <c:pt idx="5">
                  <c:v>2.0842069134997244E-2</c:v>
                </c:pt>
                <c:pt idx="6">
                  <c:v>2.0350078598338549E-2</c:v>
                </c:pt>
                <c:pt idx="7">
                  <c:v>1.9331318118683376E-2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'NS nephrops under 300kW'!$C$98</c:f>
              <c:strCache>
                <c:ptCount val="1"/>
                <c:pt idx="0">
                  <c:v>Others</c:v>
                </c:pt>
              </c:strCache>
            </c:strRef>
          </c:tx>
          <c:spPr>
            <a:solidFill>
              <a:srgbClr val="55585A"/>
            </a:solidFill>
            <a:ln>
              <a:solidFill>
                <a:srgbClr val="FFFFFF"/>
              </a:solidFill>
            </a:ln>
          </c:spPr>
          <c:invertIfNegative val="0"/>
          <c:cat>
            <c:numRef>
              <c:f>'NS nephrops under 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 nephrops under 300kW'!$D$98:$M$98</c:f>
              <c:numCache>
                <c:formatCode>0%</c:formatCode>
                <c:ptCount val="10"/>
                <c:pt idx="0">
                  <c:v>5.7147969369118451E-2</c:v>
                </c:pt>
                <c:pt idx="1">
                  <c:v>5.2793352319678903E-2</c:v>
                </c:pt>
                <c:pt idx="2">
                  <c:v>5.7073219215775364E-2</c:v>
                </c:pt>
                <c:pt idx="3">
                  <c:v>4.7898980419250933E-2</c:v>
                </c:pt>
                <c:pt idx="4">
                  <c:v>5.0453913124482531E-2</c:v>
                </c:pt>
                <c:pt idx="5">
                  <c:v>4.4153084351420971E-2</c:v>
                </c:pt>
                <c:pt idx="6">
                  <c:v>4.3857715134257257E-2</c:v>
                </c:pt>
                <c:pt idx="7">
                  <c:v>5.5157888430812096E-2</c:v>
                </c:pt>
                <c:pt idx="8">
                  <c:v>7.1602232343594141E-2</c:v>
                </c:pt>
                <c:pt idx="9">
                  <c:v>5.2088451624099086E-2</c:v>
                </c:pt>
              </c:numCache>
            </c:numRef>
          </c:val>
          <c:extLst xmlns:c16r2="http://schemas.microsoft.com/office/drawing/2015/06/chart">
            <c:ext xmlns:c16="http://schemas.microsoft.com/office/drawing/2014/chart" uri="{C3380CC4-5D6E-409C-BE32-E72D297353CC}">
              <c16:uniqueId val="{00000006-282A-42F3-A8CE-7B6B063B5E4F}"/>
            </c:ext>
          </c:extLst>
        </c:ser>
        <c:dLbls>
          <c:showLegendKey val="0"/>
          <c:showVal val="0"/>
          <c:showCatName val="0"/>
          <c:showSerName val="0"/>
          <c:showPercent val="0"/>
          <c:showBubbleSize val="0"/>
        </c:dLbls>
        <c:gapWidth val="150"/>
        <c:overlap val="100"/>
        <c:axId val="913483264"/>
        <c:axId val="913484800"/>
      </c:barChart>
      <c:catAx>
        <c:axId val="913483264"/>
        <c:scaling>
          <c:orientation val="minMax"/>
        </c:scaling>
        <c:delete val="0"/>
        <c:axPos val="b"/>
        <c:numFmt formatCode="General" sourceLinked="1"/>
        <c:majorTickMark val="out"/>
        <c:minorTickMark val="none"/>
        <c:tickLblPos val="nextTo"/>
        <c:crossAx val="913484800"/>
        <c:crosses val="autoZero"/>
        <c:auto val="1"/>
        <c:lblAlgn val="ctr"/>
        <c:lblOffset val="100"/>
        <c:noMultiLvlLbl val="0"/>
      </c:catAx>
      <c:valAx>
        <c:axId val="913484800"/>
        <c:scaling>
          <c:orientation val="minMax"/>
          <c:max val="1"/>
          <c:min val="0"/>
        </c:scaling>
        <c:delete val="0"/>
        <c:axPos val="l"/>
        <c:majorGridlines/>
        <c:numFmt formatCode="0%" sourceLinked="1"/>
        <c:majorTickMark val="out"/>
        <c:minorTickMark val="none"/>
        <c:tickLblPos val="nextTo"/>
        <c:crossAx val="913483264"/>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 nephrops under 300kW'!$B$162</c:f>
              <c:strCache>
                <c:ptCount val="1"/>
                <c:pt idx="0">
                  <c:v>Nephrops</c:v>
                </c:pt>
              </c:strCache>
            </c:strRef>
          </c:tx>
          <c:spPr>
            <a:solidFill>
              <a:srgbClr val="2273B9"/>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300kW'!$C$162:$E$162</c:f>
              <c:numCache>
                <c:formatCode>0%</c:formatCode>
                <c:ptCount val="3"/>
                <c:pt idx="0">
                  <c:v>0.88130591609694175</c:v>
                </c:pt>
                <c:pt idx="1">
                  <c:v>0.58593418134356212</c:v>
                </c:pt>
                <c:pt idx="2">
                  <c:v>0.83657858684738651</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'NS nephrops under 300kW'!$B$163</c:f>
              <c:strCache>
                <c:ptCount val="1"/>
                <c:pt idx="0">
                  <c:v>Haddock</c:v>
                </c:pt>
              </c:strCache>
            </c:strRef>
          </c:tx>
          <c:spPr>
            <a:solidFill>
              <a:srgbClr val="E87308"/>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300kW'!$C$163:$E$163</c:f>
              <c:numCache>
                <c:formatCode>0%</c:formatCode>
                <c:ptCount val="3"/>
                <c:pt idx="0">
                  <c:v>0</c:v>
                </c:pt>
                <c:pt idx="1">
                  <c:v>0.13857346427388045</c:v>
                </c:pt>
                <c:pt idx="2">
                  <c:v>0</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'NS nephrops under 300kW'!$B$164</c:f>
              <c:strCache>
                <c:ptCount val="1"/>
                <c:pt idx="0">
                  <c:v>Whiting</c:v>
                </c:pt>
              </c:strCache>
            </c:strRef>
          </c:tx>
          <c:spPr>
            <a:solidFill>
              <a:srgbClr val="E84A38"/>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300kW'!$C$164:$E$164</c:f>
              <c:numCache>
                <c:formatCode>0%</c:formatCode>
                <c:ptCount val="3"/>
                <c:pt idx="0">
                  <c:v>1.2664399342152768E-2</c:v>
                </c:pt>
                <c:pt idx="1">
                  <c:v>9.3417036855319643E-2</c:v>
                </c:pt>
                <c:pt idx="2">
                  <c:v>7.8769601561395064E-2</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'NS nephrops under 300kW'!$B$165</c:f>
              <c:strCache>
                <c:ptCount val="1"/>
                <c:pt idx="0">
                  <c:v>Anglerfish</c:v>
                </c:pt>
              </c:strCache>
            </c:strRef>
          </c:tx>
          <c:spPr>
            <a:solidFill>
              <a:srgbClr val="648C2E"/>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300kW'!$C$165:$E$165</c:f>
              <c:numCache>
                <c:formatCode>0%</c:formatCode>
                <c:ptCount val="3"/>
                <c:pt idx="0">
                  <c:v>0</c:v>
                </c:pt>
                <c:pt idx="1">
                  <c:v>6.0759626429202573E-2</c:v>
                </c:pt>
                <c:pt idx="2">
                  <c:v>7.6863132781059265E-3</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'NS nephrops under 300kW'!$B$166</c:f>
              <c:strCache>
                <c:ptCount val="1"/>
                <c:pt idx="0">
                  <c:v>Squid</c:v>
                </c:pt>
              </c:strCache>
            </c:strRef>
          </c:tx>
          <c:spPr>
            <a:solidFill>
              <a:srgbClr val="C1D119"/>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300kW'!$C$166:$E$166</c:f>
              <c:numCache>
                <c:formatCode>0%</c:formatCode>
                <c:ptCount val="3"/>
                <c:pt idx="0">
                  <c:v>5.859016935303258E-2</c:v>
                </c:pt>
                <c:pt idx="1">
                  <c:v>3.9180851626209823E-2</c:v>
                </c:pt>
                <c:pt idx="2">
                  <c:v>1.5693648512256474E-2</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'NS nephrops under 300kW'!$B$167</c:f>
              <c:strCache>
                <c:ptCount val="1"/>
                <c:pt idx="0">
                  <c:v>Red Gurnard</c:v>
                </c:pt>
              </c:strCache>
            </c:strRef>
          </c:tx>
          <c:spPr>
            <a:solidFill>
              <a:srgbClr val="707271"/>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300kW'!$C$167:$E$167</c:f>
              <c:numCache>
                <c:formatCode>0%</c:formatCode>
                <c:ptCount val="3"/>
                <c:pt idx="0">
                  <c:v>6.0763379846707644E-3</c:v>
                </c:pt>
                <c:pt idx="1">
                  <c:v>0</c:v>
                </c:pt>
                <c:pt idx="2">
                  <c:v>0</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'NS nephrops under 300kW'!$B$168</c:f>
              <c:strCache>
                <c:ptCount val="1"/>
                <c:pt idx="0">
                  <c:v>Others</c:v>
                </c:pt>
              </c:strCache>
            </c:strRef>
          </c:tx>
          <c:spPr>
            <a:solidFill>
              <a:srgbClr val="55585A"/>
            </a:solidFill>
            <a:ln>
              <a:solidFill>
                <a:srgbClr val="FFFFFF"/>
              </a:solidFill>
            </a:ln>
          </c:spPr>
          <c:invertIfNegative val="0"/>
          <c:cat>
            <c:strRef>
              <c:f>'NS nephrops under 300kW'!$C$161:$E$161</c:f>
              <c:strCache>
                <c:ptCount val="3"/>
                <c:pt idx="0">
                  <c:v>Most
profitable
quartile</c:v>
                </c:pt>
                <c:pt idx="1">
                  <c:v>Middle 
two quartiles</c:v>
                </c:pt>
                <c:pt idx="2">
                  <c:v>Least
profitable
quartile</c:v>
                </c:pt>
              </c:strCache>
            </c:strRef>
          </c:cat>
          <c:val>
            <c:numRef>
              <c:f>'NS nephrops under 300kW'!$C$168:$E$168</c:f>
              <c:numCache>
                <c:formatCode>0%</c:formatCode>
                <c:ptCount val="3"/>
                <c:pt idx="0">
                  <c:v>2.1588218542625048E-2</c:v>
                </c:pt>
                <c:pt idx="1">
                  <c:v>8.2134839471825316E-2</c:v>
                </c:pt>
                <c:pt idx="2">
                  <c:v>4.6416220286577659E-2</c:v>
                </c:pt>
              </c:numCache>
            </c:numRef>
          </c:val>
          <c:extLst xmlns:c16r2="http://schemas.microsoft.com/office/drawing/2015/06/chart">
            <c:ext xmlns:c16="http://schemas.microsoft.com/office/drawing/2014/chart" uri="{C3380CC4-5D6E-409C-BE32-E72D297353CC}">
              <c16:uniqueId val="{00000006-DFDD-4C01-8393-1BE532AE55F9}"/>
            </c:ext>
          </c:extLst>
        </c:ser>
        <c:dLbls>
          <c:showLegendKey val="0"/>
          <c:showVal val="0"/>
          <c:showCatName val="0"/>
          <c:showSerName val="0"/>
          <c:showPercent val="0"/>
          <c:showBubbleSize val="0"/>
        </c:dLbls>
        <c:gapWidth val="150"/>
        <c:overlap val="100"/>
        <c:axId val="913537664"/>
        <c:axId val="913551744"/>
      </c:barChart>
      <c:catAx>
        <c:axId val="913537664"/>
        <c:scaling>
          <c:orientation val="minMax"/>
        </c:scaling>
        <c:delete val="0"/>
        <c:axPos val="b"/>
        <c:numFmt formatCode="General" sourceLinked="0"/>
        <c:majorTickMark val="out"/>
        <c:minorTickMark val="none"/>
        <c:tickLblPos val="nextTo"/>
        <c:crossAx val="913551744"/>
        <c:crosses val="autoZero"/>
        <c:auto val="1"/>
        <c:lblAlgn val="ctr"/>
        <c:lblOffset val="100"/>
        <c:noMultiLvlLbl val="0"/>
      </c:catAx>
      <c:valAx>
        <c:axId val="913551744"/>
        <c:scaling>
          <c:orientation val="minMax"/>
          <c:max val="1"/>
          <c:min val="0"/>
        </c:scaling>
        <c:delete val="0"/>
        <c:axPos val="l"/>
        <c:majorGridlines/>
        <c:minorGridlines/>
        <c:numFmt formatCode="0%" sourceLinked="1"/>
        <c:majorTickMark val="out"/>
        <c:minorTickMark val="none"/>
        <c:tickLblPos val="nextTo"/>
        <c:crossAx val="91353766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 nephrops under 300kW'!$H$162</c:f>
              <c:strCache>
                <c:ptCount val="1"/>
                <c:pt idx="0">
                  <c:v>Nephrops</c:v>
                </c:pt>
              </c:strCache>
            </c:strRef>
          </c:tx>
          <c:spPr>
            <a:solidFill>
              <a:srgbClr val="2273B9"/>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300kW'!$I$162:$K$162</c:f>
              <c:numCache>
                <c:formatCode>0%</c:formatCode>
                <c:ptCount val="3"/>
                <c:pt idx="0">
                  <c:v>0.93519045285183555</c:v>
                </c:pt>
                <c:pt idx="1">
                  <c:v>0.77064327002409638</c:v>
                </c:pt>
                <c:pt idx="2">
                  <c:v>0.92864783511783577</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'NS nephrops under 300kW'!$H$163</c:f>
              <c:strCache>
                <c:ptCount val="1"/>
                <c:pt idx="0">
                  <c:v>Haddock</c:v>
                </c:pt>
              </c:strCache>
            </c:strRef>
          </c:tx>
          <c:spPr>
            <a:solidFill>
              <a:srgbClr val="E87308"/>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300kW'!$I$163:$K$163</c:f>
              <c:numCache>
                <c:formatCode>0%</c:formatCode>
                <c:ptCount val="3"/>
                <c:pt idx="0">
                  <c:v>0</c:v>
                </c:pt>
                <c:pt idx="1">
                  <c:v>4.9363550798817879E-2</c:v>
                </c:pt>
                <c:pt idx="2">
                  <c:v>0</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'NS nephrops under 300kW'!$H$164</c:f>
              <c:strCache>
                <c:ptCount val="1"/>
                <c:pt idx="0">
                  <c:v>Anglerfish</c:v>
                </c:pt>
              </c:strCache>
            </c:strRef>
          </c:tx>
          <c:spPr>
            <a:solidFill>
              <a:srgbClr val="648C2E"/>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300kW'!$I$164:$K$164</c:f>
              <c:numCache>
                <c:formatCode>0%</c:formatCode>
                <c:ptCount val="3"/>
                <c:pt idx="0">
                  <c:v>2.4413092798927327E-3</c:v>
                </c:pt>
                <c:pt idx="1">
                  <c:v>4.6986927438480271E-2</c:v>
                </c:pt>
                <c:pt idx="2">
                  <c:v>7.4453398464623998E-3</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'NS nephrops under 300kW'!$H$165</c:f>
              <c:strCache>
                <c:ptCount val="1"/>
                <c:pt idx="0">
                  <c:v>Cod</c:v>
                </c:pt>
              </c:strCache>
            </c:strRef>
          </c:tx>
          <c:spPr>
            <a:solidFill>
              <a:srgbClr val="0F9AA9"/>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300kW'!$I$165:$K$165</c:f>
              <c:numCache>
                <c:formatCode>0%</c:formatCode>
                <c:ptCount val="3"/>
                <c:pt idx="0">
                  <c:v>0</c:v>
                </c:pt>
                <c:pt idx="1">
                  <c:v>3.5027141604965811E-2</c:v>
                </c:pt>
                <c:pt idx="2">
                  <c:v>0</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'NS nephrops under 300kW'!$H$166</c:f>
              <c:strCache>
                <c:ptCount val="1"/>
                <c:pt idx="0">
                  <c:v>Squid</c:v>
                </c:pt>
              </c:strCache>
            </c:strRef>
          </c:tx>
          <c:spPr>
            <a:solidFill>
              <a:srgbClr val="C1D119"/>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300kW'!$I$166:$K$166</c:f>
              <c:numCache>
                <c:formatCode>0%</c:formatCode>
                <c:ptCount val="3"/>
                <c:pt idx="0">
                  <c:v>2.7736106936073479E-2</c:v>
                </c:pt>
                <c:pt idx="1">
                  <c:v>5.359028682059664E-2</c:v>
                </c:pt>
                <c:pt idx="2">
                  <c:v>1.5301351439837576E-2</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'NS nephrops under 300kW'!$H$167</c:f>
              <c:strCache>
                <c:ptCount val="1"/>
                <c:pt idx="0">
                  <c:v>Whiting</c:v>
                </c:pt>
              </c:strCache>
            </c:strRef>
          </c:tx>
          <c:spPr>
            <a:solidFill>
              <a:srgbClr val="E84A38"/>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300kW'!$I$167:$K$167</c:f>
              <c:numCache>
                <c:formatCode>0%</c:formatCode>
                <c:ptCount val="3"/>
                <c:pt idx="0">
                  <c:v>2.3911177611496536E-3</c:v>
                </c:pt>
                <c:pt idx="1">
                  <c:v>0</c:v>
                </c:pt>
                <c:pt idx="2">
                  <c:v>1.9140941957107339E-2</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'NS nephrops under 300kW'!$H$168</c:f>
              <c:strCache>
                <c:ptCount val="1"/>
                <c:pt idx="0">
                  <c:v>Turbot</c:v>
                </c:pt>
              </c:strCache>
            </c:strRef>
          </c:tx>
          <c:spPr>
            <a:solidFill>
              <a:srgbClr val="FED825"/>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300kW'!$I$168:$K$168</c:f>
              <c:numCache>
                <c:formatCode>0%</c:formatCode>
                <c:ptCount val="3"/>
                <c:pt idx="0">
                  <c:v>0</c:v>
                </c:pt>
                <c:pt idx="1">
                  <c:v>0</c:v>
                </c:pt>
                <c:pt idx="2">
                  <c:v>7.2969391421029064E-3</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'NS nephrops under 300kW'!$H$169</c:f>
              <c:strCache>
                <c:ptCount val="1"/>
                <c:pt idx="0">
                  <c:v>Others</c:v>
                </c:pt>
              </c:strCache>
            </c:strRef>
          </c:tx>
          <c:spPr>
            <a:solidFill>
              <a:srgbClr val="55585A"/>
            </a:solidFill>
            <a:ln>
              <a:solidFill>
                <a:srgbClr val="FFFFFF"/>
              </a:solidFill>
            </a:ln>
          </c:spPr>
          <c:invertIfNegative val="0"/>
          <c:cat>
            <c:strRef>
              <c:f>'NS nephrops under 300kW'!$I$161:$K$161</c:f>
              <c:strCache>
                <c:ptCount val="3"/>
                <c:pt idx="0">
                  <c:v>Most
profitable
quartile</c:v>
                </c:pt>
                <c:pt idx="1">
                  <c:v>Middle 
two quartiles</c:v>
                </c:pt>
                <c:pt idx="2">
                  <c:v>Least
profitable
quartile</c:v>
                </c:pt>
              </c:strCache>
            </c:strRef>
          </c:cat>
          <c:val>
            <c:numRef>
              <c:f>'NS nephrops under 300kW'!$I$169:$K$169</c:f>
              <c:numCache>
                <c:formatCode>0%</c:formatCode>
                <c:ptCount val="3"/>
                <c:pt idx="0">
                  <c:v>9.8155747831891738E-3</c:v>
                </c:pt>
                <c:pt idx="1">
                  <c:v>4.4388823313042947E-2</c:v>
                </c:pt>
                <c:pt idx="2">
                  <c:v>2.2167592496653898E-2</c:v>
                </c:pt>
              </c:numCache>
            </c:numRef>
          </c:val>
          <c:extLst xmlns:c16r2="http://schemas.microsoft.com/office/drawing/2015/06/chart">
            <c:ext xmlns:c16="http://schemas.microsoft.com/office/drawing/2014/chart" uri="{C3380CC4-5D6E-409C-BE32-E72D297353CC}">
              <c16:uniqueId val="{00000007-DC58-4725-8A67-0BDC09FD93CD}"/>
            </c:ext>
          </c:extLst>
        </c:ser>
        <c:dLbls>
          <c:showLegendKey val="0"/>
          <c:showVal val="0"/>
          <c:showCatName val="0"/>
          <c:showSerName val="0"/>
          <c:showPercent val="0"/>
          <c:showBubbleSize val="0"/>
        </c:dLbls>
        <c:gapWidth val="150"/>
        <c:overlap val="100"/>
        <c:axId val="913995264"/>
        <c:axId val="913996800"/>
      </c:barChart>
      <c:catAx>
        <c:axId val="913995264"/>
        <c:scaling>
          <c:orientation val="minMax"/>
        </c:scaling>
        <c:delete val="0"/>
        <c:axPos val="b"/>
        <c:numFmt formatCode="General" sourceLinked="0"/>
        <c:majorTickMark val="out"/>
        <c:minorTickMark val="none"/>
        <c:tickLblPos val="nextTo"/>
        <c:crossAx val="913996800"/>
        <c:crosses val="autoZero"/>
        <c:auto val="1"/>
        <c:lblAlgn val="ctr"/>
        <c:lblOffset val="100"/>
        <c:noMultiLvlLbl val="0"/>
      </c:catAx>
      <c:valAx>
        <c:axId val="913996800"/>
        <c:scaling>
          <c:orientation val="minMax"/>
          <c:max val="1"/>
          <c:min val="0"/>
        </c:scaling>
        <c:delete val="0"/>
        <c:axPos val="l"/>
        <c:majorGridlines/>
        <c:minorGridlines/>
        <c:numFmt formatCode="0%" sourceLinked="1"/>
        <c:majorTickMark val="out"/>
        <c:minorTickMark val="none"/>
        <c:tickLblPos val="nextTo"/>
        <c:crossAx val="91399526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 nephrops under 300kW'!$K$143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 nephrops under 300kW'!$K$139</c:f>
              <c:strCache>
                <c:ptCount val="1"/>
                <c:pt idx="0">
                  <c:v>Total income</c:v>
                </c:pt>
              </c:strCache>
            </c:strRef>
          </c:tx>
          <c:spPr>
            <a:solidFill>
              <a:schemeClr val="accent1"/>
            </a:solidFill>
            <a:ln>
              <a:solidFill>
                <a:schemeClr val="accent1"/>
              </a:solidFill>
            </a:ln>
          </c:spPr>
          <c:invertIfNegative val="0"/>
          <c:cat>
            <c:strRef>
              <c:f>'NS nephrops under 300kW'!$L$138:$N$138</c:f>
              <c:strCache>
                <c:ptCount val="3"/>
                <c:pt idx="0">
                  <c:v>Most
profitable
quartile</c:v>
                </c:pt>
                <c:pt idx="1">
                  <c:v>Middle
two quartiles</c:v>
                </c:pt>
                <c:pt idx="2">
                  <c:v>Least
profitable
quartile</c:v>
                </c:pt>
              </c:strCache>
            </c:strRef>
          </c:cat>
          <c:val>
            <c:numRef>
              <c:f>'NS nephrops under 300kW'!$L$139:$N$139</c:f>
              <c:numCache>
                <c:formatCode>#,##0</c:formatCode>
                <c:ptCount val="3"/>
                <c:pt idx="0">
                  <c:v>202.59957812499999</c:v>
                </c:pt>
                <c:pt idx="1">
                  <c:v>242.93253125000001</c:v>
                </c:pt>
                <c:pt idx="2">
                  <c:v>123.318765625</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'NS nephrops under 300kW'!$K$140</c:f>
              <c:strCache>
                <c:ptCount val="1"/>
                <c:pt idx="0">
                  <c:v>Operating costs</c:v>
                </c:pt>
              </c:strCache>
            </c:strRef>
          </c:tx>
          <c:spPr>
            <a:solidFill>
              <a:schemeClr val="accent3"/>
            </a:solidFill>
          </c:spPr>
          <c:invertIfNegative val="0"/>
          <c:cat>
            <c:strRef>
              <c:f>'NS nephrops under 300kW'!$L$138:$N$138</c:f>
              <c:strCache>
                <c:ptCount val="3"/>
                <c:pt idx="0">
                  <c:v>Most
profitable
quartile</c:v>
                </c:pt>
                <c:pt idx="1">
                  <c:v>Middle
two quartiles</c:v>
                </c:pt>
                <c:pt idx="2">
                  <c:v>Least
profitable
quartile</c:v>
                </c:pt>
              </c:strCache>
            </c:strRef>
          </c:cat>
          <c:val>
            <c:numRef>
              <c:f>'NS nephrops under 300kW'!$L$140:$N$140</c:f>
              <c:numCache>
                <c:formatCode>#,##0</c:formatCode>
                <c:ptCount val="3"/>
                <c:pt idx="0">
                  <c:v>153.693203125</c:v>
                </c:pt>
                <c:pt idx="1">
                  <c:v>202.18544531250001</c:v>
                </c:pt>
                <c:pt idx="2">
                  <c:v>130.18435937500001</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'NS nephrops under 300kW'!$K$141</c:f>
              <c:strCache>
                <c:ptCount val="1"/>
                <c:pt idx="0">
                  <c:v>Operating profit</c:v>
                </c:pt>
              </c:strCache>
            </c:strRef>
          </c:tx>
          <c:spPr>
            <a:solidFill>
              <a:schemeClr val="accent2"/>
            </a:solidFill>
          </c:spPr>
          <c:invertIfNegative val="0"/>
          <c:cat>
            <c:strRef>
              <c:f>'NS nephrops under 300kW'!$L$138:$N$138</c:f>
              <c:strCache>
                <c:ptCount val="3"/>
                <c:pt idx="0">
                  <c:v>Most
profitable
quartile</c:v>
                </c:pt>
                <c:pt idx="1">
                  <c:v>Middle
two quartiles</c:v>
                </c:pt>
                <c:pt idx="2">
                  <c:v>Least
profitable
quartile</c:v>
                </c:pt>
              </c:strCache>
            </c:strRef>
          </c:cat>
          <c:val>
            <c:numRef>
              <c:f>'NS nephrops under 300kW'!$L$141:$N$141</c:f>
              <c:numCache>
                <c:formatCode>#,##0</c:formatCode>
                <c:ptCount val="3"/>
                <c:pt idx="0">
                  <c:v>48.906374999999997</c:v>
                </c:pt>
                <c:pt idx="1">
                  <c:v>40.747085937500003</c:v>
                </c:pt>
                <c:pt idx="2">
                  <c:v>-6.8655937500000004</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914106240"/>
        <c:axId val="914107776"/>
      </c:barChart>
      <c:catAx>
        <c:axId val="914106240"/>
        <c:scaling>
          <c:orientation val="minMax"/>
        </c:scaling>
        <c:delete val="0"/>
        <c:axPos val="b"/>
        <c:numFmt formatCode="General" sourceLinked="0"/>
        <c:majorTickMark val="out"/>
        <c:minorTickMark val="none"/>
        <c:tickLblPos val="nextTo"/>
        <c:crossAx val="914107776"/>
        <c:crosses val="autoZero"/>
        <c:auto val="1"/>
        <c:lblAlgn val="ctr"/>
        <c:lblOffset val="100"/>
        <c:noMultiLvlLbl val="0"/>
      </c:catAx>
      <c:valAx>
        <c:axId val="914107776"/>
        <c:scaling>
          <c:orientation val="minMax"/>
        </c:scaling>
        <c:delete val="0"/>
        <c:axPos val="l"/>
        <c:majorGridlines/>
        <c:title>
          <c:tx>
            <c:strRef>
              <c:f>'NS nephrops under 300kW'!$K$142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91410624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24m'!$A$48</c:f>
          <c:strCache>
            <c:ptCount val="1"/>
            <c:pt idx="0">
              <c:v>Landings per kW day at sea (kg)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'NSWOS demersal over 24m'!$D$2:$N$2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over 24m'!$D$21:$N$21</c:f>
              <c:numCache>
                <c:formatCode>#,##0.00</c:formatCode>
                <c:ptCount val="11"/>
                <c:pt idx="0">
                  <c:v>4.1161663001515034</c:v>
                </c:pt>
                <c:pt idx="1">
                  <c:v>4.0991386854848484</c:v>
                </c:pt>
                <c:pt idx="2">
                  <c:v>4.1426064546934214</c:v>
                </c:pt>
                <c:pt idx="3">
                  <c:v>4.2001505743402552</c:v>
                </c:pt>
                <c:pt idx="4">
                  <c:v>4.9244921370931571</c:v>
                </c:pt>
                <c:pt idx="5">
                  <c:v>6.536627684064257</c:v>
                </c:pt>
                <c:pt idx="6">
                  <c:v>5.9072879949506349</c:v>
                </c:pt>
                <c:pt idx="7">
                  <c:v>5.7053870655541958</c:v>
                </c:pt>
                <c:pt idx="8">
                  <c:v>6.2341197585729624</c:v>
                </c:pt>
                <c:pt idx="9">
                  <c:v>6.4940021155827719</c:v>
                </c:pt>
                <c:pt idx="10">
                  <c:v>5.9872477076232125</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913263616"/>
        <c:axId val="913265408"/>
      </c:lineChart>
      <c:catAx>
        <c:axId val="913263616"/>
        <c:scaling>
          <c:orientation val="minMax"/>
        </c:scaling>
        <c:delete val="0"/>
        <c:axPos val="b"/>
        <c:numFmt formatCode="General" sourceLinked="1"/>
        <c:majorTickMark val="out"/>
        <c:minorTickMark val="none"/>
        <c:tickLblPos val="nextTo"/>
        <c:crossAx val="913265408"/>
        <c:crosses val="autoZero"/>
        <c:auto val="1"/>
        <c:lblAlgn val="ctr"/>
        <c:lblOffset val="100"/>
        <c:noMultiLvlLbl val="0"/>
      </c:catAx>
      <c:valAx>
        <c:axId val="913265408"/>
        <c:scaling>
          <c:orientation val="minMax"/>
        </c:scaling>
        <c:delete val="0"/>
        <c:axPos val="l"/>
        <c:majorGridlines>
          <c:spPr>
            <a:ln w="3175">
              <a:prstDash val="sysDot"/>
            </a:ln>
          </c:spPr>
        </c:majorGridlines>
        <c:numFmt formatCode="#,##0.00" sourceLinked="1"/>
        <c:majorTickMark val="out"/>
        <c:minorTickMark val="none"/>
        <c:tickLblPos val="nextTo"/>
        <c:crossAx val="913263616"/>
        <c:crosses val="autoZero"/>
        <c:crossBetween val="between"/>
      </c:valAx>
    </c:plotArea>
    <c:plotVisOnly val="0"/>
    <c:dispBlanksAs val="gap"/>
    <c:showDLblsOverMax val="0"/>
  </c:chart>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24m'!$A$49</c:f>
          <c:strCache>
            <c:ptCount val="1"/>
            <c:pt idx="0">
              <c:v>Fishing income per kW day at sea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'NSWOS demersal over 24m'!$D$2:$N$2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over 24m'!$D$22:$N$22</c:f>
              <c:numCache>
                <c:formatCode>#,##0.00</c:formatCode>
                <c:ptCount val="11"/>
                <c:pt idx="0">
                  <c:v>7.2032347515613102</c:v>
                </c:pt>
                <c:pt idx="1">
                  <c:v>7.0422351883334899</c:v>
                </c:pt>
                <c:pt idx="2">
                  <c:v>7.5255272390912404</c:v>
                </c:pt>
                <c:pt idx="3">
                  <c:v>8.2165516286211702</c:v>
                </c:pt>
                <c:pt idx="4">
                  <c:v>8.3638608589452996</c:v>
                </c:pt>
                <c:pt idx="5">
                  <c:v>10.3002217431817</c:v>
                </c:pt>
                <c:pt idx="6">
                  <c:v>9.9350868769845508</c:v>
                </c:pt>
                <c:pt idx="7">
                  <c:v>9.3360542382146701</c:v>
                </c:pt>
                <c:pt idx="8">
                  <c:v>11.1382628060136</c:v>
                </c:pt>
                <c:pt idx="9">
                  <c:v>12.5433191456894</c:v>
                </c:pt>
                <c:pt idx="10">
                  <c:v>11.596999112574878</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913291520"/>
        <c:axId val="913293312"/>
      </c:lineChart>
      <c:catAx>
        <c:axId val="913291520"/>
        <c:scaling>
          <c:orientation val="minMax"/>
        </c:scaling>
        <c:delete val="0"/>
        <c:axPos val="b"/>
        <c:numFmt formatCode="General" sourceLinked="1"/>
        <c:majorTickMark val="out"/>
        <c:minorTickMark val="none"/>
        <c:tickLblPos val="nextTo"/>
        <c:crossAx val="913293312"/>
        <c:crosses val="autoZero"/>
        <c:auto val="1"/>
        <c:lblAlgn val="ctr"/>
        <c:lblOffset val="100"/>
        <c:noMultiLvlLbl val="0"/>
      </c:catAx>
      <c:valAx>
        <c:axId val="913293312"/>
        <c:scaling>
          <c:orientation val="minMax"/>
        </c:scaling>
        <c:delete val="0"/>
        <c:axPos val="l"/>
        <c:majorGridlines>
          <c:spPr>
            <a:ln w="3175">
              <a:prstDash val="sysDot"/>
            </a:ln>
          </c:spPr>
        </c:majorGridlines>
        <c:numFmt formatCode="#,##0.00" sourceLinked="1"/>
        <c:majorTickMark val="out"/>
        <c:minorTickMark val="none"/>
        <c:tickLblPos val="nextTo"/>
        <c:crossAx val="913291520"/>
        <c:crosses val="autoZero"/>
        <c:crossBetween val="between"/>
      </c:valAx>
    </c:plotArea>
    <c:plotVisOnly val="0"/>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o250kW'!$K$62</c:f>
          <c:strCache>
            <c:ptCount val="1"/>
            <c:pt idx="0">
              <c:v>Average annual operating profit per vessel (£'000)
Area VIIA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'Area VIIa nephrops o250kW'!$D$2:$N$2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nephrops o250kW'!$D$37:$N$37</c:f>
              <c:numCache>
                <c:formatCode>#,##0.0</c:formatCode>
                <c:ptCount val="11"/>
                <c:pt idx="0">
                  <c:v>63.5</c:v>
                </c:pt>
                <c:pt idx="1">
                  <c:v>44.4</c:v>
                </c:pt>
                <c:pt idx="2">
                  <c:v>33.700000000000003</c:v>
                </c:pt>
                <c:pt idx="3">
                  <c:v>56.3</c:v>
                </c:pt>
                <c:pt idx="4">
                  <c:v>75.8</c:v>
                </c:pt>
                <c:pt idx="5">
                  <c:v>49.6</c:v>
                </c:pt>
                <c:pt idx="6">
                  <c:v>47.1</c:v>
                </c:pt>
                <c:pt idx="7">
                  <c:v>82.8</c:v>
                </c:pt>
                <c:pt idx="8">
                  <c:v>87.3</c:v>
                </c:pt>
                <c:pt idx="9">
                  <c:v>87</c:v>
                </c:pt>
                <c:pt idx="10">
                  <c:v>67.400000000000006</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616227584"/>
        <c:axId val="616229120"/>
      </c:lineChart>
      <c:catAx>
        <c:axId val="616227584"/>
        <c:scaling>
          <c:orientation val="minMax"/>
        </c:scaling>
        <c:delete val="0"/>
        <c:axPos val="b"/>
        <c:numFmt formatCode="General" sourceLinked="1"/>
        <c:majorTickMark val="out"/>
        <c:minorTickMark val="none"/>
        <c:tickLblPos val="nextTo"/>
        <c:crossAx val="616229120"/>
        <c:crosses val="autoZero"/>
        <c:auto val="1"/>
        <c:lblAlgn val="ctr"/>
        <c:lblOffset val="100"/>
        <c:noMultiLvlLbl val="0"/>
      </c:catAx>
      <c:valAx>
        <c:axId val="616229120"/>
        <c:scaling>
          <c:orientation val="minMax"/>
        </c:scaling>
        <c:delete val="0"/>
        <c:axPos val="l"/>
        <c:majorGridlines>
          <c:spPr>
            <a:ln w="3175">
              <a:prstDash val="sysDot"/>
            </a:ln>
          </c:spPr>
        </c:majorGridlines>
        <c:numFmt formatCode="#,##0.0" sourceLinked="1"/>
        <c:majorTickMark val="out"/>
        <c:minorTickMark val="none"/>
        <c:tickLblPos val="nextTo"/>
        <c:crossAx val="616227584"/>
        <c:crosses val="autoZero"/>
        <c:crossBetween val="between"/>
      </c:valAx>
    </c:plotArea>
    <c:plotVisOnly val="0"/>
    <c:dispBlanksAs val="gap"/>
    <c:showDLblsOverMax val="0"/>
  </c:chart>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24m'!$B$62</c:f>
          <c:strCache>
            <c:ptCount val="1"/>
            <c:pt idx="0">
              <c:v>Total cost per kW day at sea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'NSWOS demersal over 24m'!$D$2:$N$2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over 24m'!$D$23:$N$23</c:f>
              <c:numCache>
                <c:formatCode>#,##0.00</c:formatCode>
                <c:ptCount val="11"/>
                <c:pt idx="0">
                  <c:v>6.9066156924119397</c:v>
                </c:pt>
                <c:pt idx="1">
                  <c:v>6.2943957251002898</c:v>
                </c:pt>
                <c:pt idx="2">
                  <c:v>6.9986400852909796</c:v>
                </c:pt>
                <c:pt idx="3">
                  <c:v>7.7793391142022896</c:v>
                </c:pt>
                <c:pt idx="4">
                  <c:v>8.31474044051647</c:v>
                </c:pt>
                <c:pt idx="5">
                  <c:v>9.6929422226805002</c:v>
                </c:pt>
                <c:pt idx="6">
                  <c:v>9.1616399155335504</c:v>
                </c:pt>
                <c:pt idx="7">
                  <c:v>8.3516688816215403</c:v>
                </c:pt>
                <c:pt idx="8">
                  <c:v>9.5306244174230503</c:v>
                </c:pt>
                <c:pt idx="9">
                  <c:v>10.826071978418801</c:v>
                </c:pt>
                <c:pt idx="10">
                  <c:v>10.28322385329783</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914179584"/>
        <c:axId val="914181120"/>
      </c:lineChart>
      <c:catAx>
        <c:axId val="914179584"/>
        <c:scaling>
          <c:orientation val="minMax"/>
        </c:scaling>
        <c:delete val="0"/>
        <c:axPos val="b"/>
        <c:numFmt formatCode="General" sourceLinked="1"/>
        <c:majorTickMark val="out"/>
        <c:minorTickMark val="none"/>
        <c:tickLblPos val="nextTo"/>
        <c:crossAx val="914181120"/>
        <c:crosses val="autoZero"/>
        <c:auto val="1"/>
        <c:lblAlgn val="ctr"/>
        <c:lblOffset val="100"/>
        <c:noMultiLvlLbl val="0"/>
      </c:catAx>
      <c:valAx>
        <c:axId val="914181120"/>
        <c:scaling>
          <c:orientation val="minMax"/>
        </c:scaling>
        <c:delete val="0"/>
        <c:axPos val="l"/>
        <c:majorGridlines>
          <c:spPr>
            <a:ln w="3175">
              <a:prstDash val="sysDot"/>
            </a:ln>
          </c:spPr>
        </c:majorGridlines>
        <c:numFmt formatCode="#,##0.00" sourceLinked="1"/>
        <c:majorTickMark val="out"/>
        <c:minorTickMark val="none"/>
        <c:tickLblPos val="nextTo"/>
        <c:crossAx val="914179584"/>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24m'!$K$48</c:f>
          <c:strCache>
            <c:ptCount val="1"/>
            <c:pt idx="0">
              <c:v>Operating profit per kW day at sea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'NSWOS demersal over 24m'!$D$2:$N$2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over 24m'!$D$24:$N$24</c:f>
              <c:numCache>
                <c:formatCode>#,##0.00</c:formatCode>
                <c:ptCount val="11"/>
                <c:pt idx="0">
                  <c:v>0.666312025809214</c:v>
                </c:pt>
                <c:pt idx="1">
                  <c:v>0.80873946482055104</c:v>
                </c:pt>
                <c:pt idx="2">
                  <c:v>0.77049595683787597</c:v>
                </c:pt>
                <c:pt idx="3">
                  <c:v>0.63552059591354904</c:v>
                </c:pt>
                <c:pt idx="4">
                  <c:v>0.49297553992826199</c:v>
                </c:pt>
                <c:pt idx="5">
                  <c:v>0.93157706822422603</c:v>
                </c:pt>
                <c:pt idx="6">
                  <c:v>1.3226627011305201</c:v>
                </c:pt>
                <c:pt idx="7">
                  <c:v>1.30422319035851</c:v>
                </c:pt>
                <c:pt idx="8">
                  <c:v>2.07764362580824</c:v>
                </c:pt>
                <c:pt idx="9">
                  <c:v>2.1595976055003501</c:v>
                </c:pt>
                <c:pt idx="10">
                  <c:v>1.722752945370527</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14207488"/>
        <c:axId val="914209024"/>
      </c:lineChart>
      <c:catAx>
        <c:axId val="914207488"/>
        <c:scaling>
          <c:orientation val="minMax"/>
        </c:scaling>
        <c:delete val="0"/>
        <c:axPos val="b"/>
        <c:numFmt formatCode="General" sourceLinked="1"/>
        <c:majorTickMark val="out"/>
        <c:minorTickMark val="none"/>
        <c:tickLblPos val="nextTo"/>
        <c:crossAx val="914209024"/>
        <c:crosses val="autoZero"/>
        <c:auto val="1"/>
        <c:lblAlgn val="ctr"/>
        <c:lblOffset val="100"/>
        <c:noMultiLvlLbl val="0"/>
      </c:catAx>
      <c:valAx>
        <c:axId val="914209024"/>
        <c:scaling>
          <c:orientation val="minMax"/>
        </c:scaling>
        <c:delete val="0"/>
        <c:axPos val="l"/>
        <c:majorGridlines>
          <c:spPr>
            <a:ln w="3175">
              <a:prstDash val="sysDot"/>
            </a:ln>
          </c:spPr>
        </c:majorGridlines>
        <c:numFmt formatCode="#,##0.00" sourceLinked="1"/>
        <c:majorTickMark val="out"/>
        <c:minorTickMark val="none"/>
        <c:tickLblPos val="nextTo"/>
        <c:crossAx val="914207488"/>
        <c:crosses val="autoZero"/>
        <c:crossBetween val="between"/>
      </c:valAx>
    </c:plotArea>
    <c:plotVisOnly val="0"/>
    <c:dispBlanksAs val="gap"/>
    <c:showDLblsOverMax val="0"/>
  </c:chart>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24m'!$A$50</c:f>
          <c:strCache>
            <c:ptCount val="1"/>
            <c:pt idx="0">
              <c:v>Average price per tonne landed (£)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'NSWOS demersal over 24m'!$D$2:$N$2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over 24m'!$D$20:$N$20</c:f>
              <c:numCache>
                <c:formatCode>#,##0</c:formatCode>
                <c:ptCount val="11"/>
                <c:pt idx="0">
                  <c:v>1750</c:v>
                </c:pt>
                <c:pt idx="1">
                  <c:v>1718</c:v>
                </c:pt>
                <c:pt idx="2">
                  <c:v>1817</c:v>
                </c:pt>
                <c:pt idx="3">
                  <c:v>1956</c:v>
                </c:pt>
                <c:pt idx="4">
                  <c:v>1698</c:v>
                </c:pt>
                <c:pt idx="5">
                  <c:v>1576</c:v>
                </c:pt>
                <c:pt idx="6">
                  <c:v>1682</c:v>
                </c:pt>
                <c:pt idx="7">
                  <c:v>1636</c:v>
                </c:pt>
                <c:pt idx="8">
                  <c:v>1787</c:v>
                </c:pt>
                <c:pt idx="9">
                  <c:v>1932</c:v>
                </c:pt>
                <c:pt idx="10">
                  <c:v>1937</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14251776"/>
        <c:axId val="914253312"/>
      </c:lineChart>
      <c:catAx>
        <c:axId val="914251776"/>
        <c:scaling>
          <c:orientation val="minMax"/>
        </c:scaling>
        <c:delete val="0"/>
        <c:axPos val="b"/>
        <c:numFmt formatCode="General" sourceLinked="1"/>
        <c:majorTickMark val="out"/>
        <c:minorTickMark val="none"/>
        <c:tickLblPos val="nextTo"/>
        <c:crossAx val="914253312"/>
        <c:crosses val="autoZero"/>
        <c:auto val="1"/>
        <c:lblAlgn val="ctr"/>
        <c:lblOffset val="100"/>
        <c:noMultiLvlLbl val="0"/>
      </c:catAx>
      <c:valAx>
        <c:axId val="914253312"/>
        <c:scaling>
          <c:orientation val="minMax"/>
        </c:scaling>
        <c:delete val="0"/>
        <c:axPos val="l"/>
        <c:majorGridlines>
          <c:spPr>
            <a:ln w="3175">
              <a:prstDash val="sysDot"/>
            </a:ln>
          </c:spPr>
        </c:majorGridlines>
        <c:numFmt formatCode="#,##0" sourceLinked="1"/>
        <c:majorTickMark val="out"/>
        <c:minorTickMark val="none"/>
        <c:tickLblPos val="nextTo"/>
        <c:crossAx val="914251776"/>
        <c:crosses val="autoZero"/>
        <c:crossBetween val="between"/>
      </c:valAx>
    </c:plotArea>
    <c:plotVisOnly val="0"/>
    <c:dispBlanksAs val="gap"/>
    <c:showDLblsOverMax val="0"/>
  </c:chart>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24m'!$K$62</c:f>
          <c:strCache>
            <c:ptCount val="1"/>
            <c:pt idx="0">
              <c:v>Average annual operating profit per vessel (£'000)
NSWOS demersal over 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'NSWOS demersal over 24m'!$D$2:$N$2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over 24m'!$D$37:$N$37</c:f>
              <c:numCache>
                <c:formatCode>#,##0.0</c:formatCode>
                <c:ptCount val="11"/>
                <c:pt idx="0">
                  <c:v>136.6</c:v>
                </c:pt>
                <c:pt idx="1">
                  <c:v>164</c:v>
                </c:pt>
                <c:pt idx="2">
                  <c:v>155.69999999999999</c:v>
                </c:pt>
                <c:pt idx="3">
                  <c:v>132.19999999999999</c:v>
                </c:pt>
                <c:pt idx="4">
                  <c:v>90.6</c:v>
                </c:pt>
                <c:pt idx="5">
                  <c:v>147.1</c:v>
                </c:pt>
                <c:pt idx="6">
                  <c:v>249.5</c:v>
                </c:pt>
                <c:pt idx="7">
                  <c:v>232.6</c:v>
                </c:pt>
                <c:pt idx="8">
                  <c:v>376.9</c:v>
                </c:pt>
                <c:pt idx="9">
                  <c:v>368</c:v>
                </c:pt>
                <c:pt idx="10">
                  <c:v>324.8</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14279424"/>
        <c:axId val="914293504"/>
      </c:lineChart>
      <c:catAx>
        <c:axId val="914279424"/>
        <c:scaling>
          <c:orientation val="minMax"/>
        </c:scaling>
        <c:delete val="0"/>
        <c:axPos val="b"/>
        <c:numFmt formatCode="General" sourceLinked="1"/>
        <c:majorTickMark val="out"/>
        <c:minorTickMark val="none"/>
        <c:tickLblPos val="nextTo"/>
        <c:crossAx val="914293504"/>
        <c:crosses val="autoZero"/>
        <c:auto val="1"/>
        <c:lblAlgn val="ctr"/>
        <c:lblOffset val="100"/>
        <c:noMultiLvlLbl val="0"/>
      </c:catAx>
      <c:valAx>
        <c:axId val="914293504"/>
        <c:scaling>
          <c:orientation val="minMax"/>
        </c:scaling>
        <c:delete val="0"/>
        <c:axPos val="l"/>
        <c:majorGridlines>
          <c:spPr>
            <a:ln w="3175">
              <a:prstDash val="sysDot"/>
            </a:ln>
          </c:spPr>
        </c:majorGridlines>
        <c:numFmt formatCode="#,##0.0" sourceLinked="1"/>
        <c:majorTickMark val="out"/>
        <c:minorTickMark val="none"/>
        <c:tickLblPos val="nextTo"/>
        <c:crossAx val="914279424"/>
        <c:crosses val="autoZero"/>
        <c:crossBetween val="between"/>
      </c:valAx>
    </c:plotArea>
    <c:plotVisOnly val="0"/>
    <c:dispBlanksAs val="gap"/>
    <c:showDLblsOverMax val="0"/>
  </c:chart>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over 24m'!$A$76</c:f>
          <c:strCache>
            <c:ptCount val="1"/>
            <c:pt idx="0">
              <c:v>Top 5 landed species by volume in 2017
NSWOS demersal over 24m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E84A38"/>
              </a:solidFill>
              <a:ln>
                <a:solidFill>
                  <a:srgbClr val="FFFFFF"/>
                </a:solidFill>
              </a:ln>
            </c:spPr>
          </c:dPt>
          <c:dPt>
            <c:idx val="3"/>
            <c:bubble3D val="0"/>
            <c:spPr>
              <a:solidFill>
                <a:srgbClr val="C1D119"/>
              </a:solidFill>
              <a:ln>
                <a:solidFill>
                  <a:srgbClr val="FFFFFF"/>
                </a:solidFill>
              </a:ln>
            </c:spPr>
          </c:dPt>
          <c:dPt>
            <c:idx val="4"/>
            <c:bubble3D val="0"/>
            <c:spPr>
              <a:solidFill>
                <a:srgbClr val="648C2E"/>
              </a:solidFill>
              <a:ln>
                <a:solidFill>
                  <a:srgbClr val="FFFFFF"/>
                </a:solidFill>
              </a:ln>
            </c:spPr>
          </c:dPt>
          <c:dPt>
            <c:idx val="5"/>
            <c:bubble3D val="0"/>
            <c:spPr>
              <a:solidFill>
                <a:srgbClr val="55585A"/>
              </a:solidFill>
              <a:ln>
                <a:solidFill>
                  <a:srgbClr val="FFFFFF"/>
                </a:solidFill>
              </a:ln>
            </c:spPr>
          </c:dPt>
          <c:cat>
            <c:strRef>
              <c:f>'NSWOS demersal over 24m'!$B$77:$B$82</c:f>
              <c:strCache>
                <c:ptCount val="6"/>
                <c:pt idx="0">
                  <c:v>Haddock - 25.8%</c:v>
                </c:pt>
                <c:pt idx="1">
                  <c:v>Cod - 15.1%</c:v>
                </c:pt>
                <c:pt idx="2">
                  <c:v>Saithe - 13.3%</c:v>
                </c:pt>
                <c:pt idx="3">
                  <c:v>Plaice - 12.5%</c:v>
                </c:pt>
                <c:pt idx="4">
                  <c:v>Anglerfish - 10.5%</c:v>
                </c:pt>
                <c:pt idx="5">
                  <c:v>Others - 22.9%</c:v>
                </c:pt>
              </c:strCache>
            </c:strRef>
          </c:cat>
          <c:val>
            <c:numRef>
              <c:f>'NSWOS demersal over 24m'!$C$77:$C$82</c:f>
              <c:numCache>
                <c:formatCode>0.0%</c:formatCode>
                <c:ptCount val="6"/>
                <c:pt idx="0">
                  <c:v>0.25767788657007384</c:v>
                </c:pt>
                <c:pt idx="1">
                  <c:v>0.15109157518721186</c:v>
                </c:pt>
                <c:pt idx="2">
                  <c:v>0.13280111330381558</c:v>
                </c:pt>
                <c:pt idx="3">
                  <c:v>0.12463014532934245</c:v>
                </c:pt>
                <c:pt idx="4">
                  <c:v>0.10481988022119276</c:v>
                </c:pt>
                <c:pt idx="5">
                  <c:v>0.22897939938836354</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over 24m'!$F$76</c:f>
          <c:strCache>
            <c:ptCount val="1"/>
            <c:pt idx="0">
              <c:v>Top 5 landed species by value in 2017
NSWOS demersal over 24m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'NSWOS demersal over 24m'!$G$77:$G$82</c:f>
              <c:strCache>
                <c:ptCount val="6"/>
                <c:pt idx="0">
                  <c:v>Haddock - 22.3%</c:v>
                </c:pt>
                <c:pt idx="1">
                  <c:v>Cod - 17.8%</c:v>
                </c:pt>
                <c:pt idx="2">
                  <c:v>Anglerfish - 17.0%</c:v>
                </c:pt>
                <c:pt idx="3">
                  <c:v>Plaice - 9.4%</c:v>
                </c:pt>
                <c:pt idx="4">
                  <c:v>Saithe - 6.9%</c:v>
                </c:pt>
                <c:pt idx="5">
                  <c:v>Others - 26.5%</c:v>
                </c:pt>
              </c:strCache>
            </c:strRef>
          </c:cat>
          <c:val>
            <c:numRef>
              <c:f>'NSWOS demersal over 24m'!$H$77:$H$82</c:f>
              <c:numCache>
                <c:formatCode>0.0%</c:formatCode>
                <c:ptCount val="6"/>
                <c:pt idx="0">
                  <c:v>0.22330973444108565</c:v>
                </c:pt>
                <c:pt idx="1">
                  <c:v>0.17802943382963241</c:v>
                </c:pt>
                <c:pt idx="2">
                  <c:v>0.17013125217620911</c:v>
                </c:pt>
                <c:pt idx="3">
                  <c:v>9.4150110482928456E-2</c:v>
                </c:pt>
                <c:pt idx="4">
                  <c:v>6.9029486320217576E-2</c:v>
                </c:pt>
                <c:pt idx="5">
                  <c:v>0.26534998274992683</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over 24m'!$C$92</c:f>
              <c:strCache>
                <c:ptCount val="1"/>
                <c:pt idx="0">
                  <c:v>Haddock</c:v>
                </c:pt>
              </c:strCache>
            </c:strRef>
          </c:tx>
          <c:spPr>
            <a:solidFill>
              <a:srgbClr val="2273B9"/>
            </a:solidFill>
            <a:ln>
              <a:solidFill>
                <a:srgbClr val="FFFFFF"/>
              </a:solidFill>
            </a:ln>
          </c:spPr>
          <c:invertIfNegative val="0"/>
          <c:cat>
            <c:numRef>
              <c:f>'NSWOS demersal over 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over 24m'!$D$92:$M$92</c:f>
              <c:numCache>
                <c:formatCode>0%</c:formatCode>
                <c:ptCount val="10"/>
                <c:pt idx="0">
                  <c:v>0.19544181489146453</c:v>
                </c:pt>
                <c:pt idx="1">
                  <c:v>0.18225206881792741</c:v>
                </c:pt>
                <c:pt idx="2">
                  <c:v>0.1673171910449309</c:v>
                </c:pt>
                <c:pt idx="3">
                  <c:v>0.19786634429072528</c:v>
                </c:pt>
                <c:pt idx="4">
                  <c:v>0.23697174117707814</c:v>
                </c:pt>
                <c:pt idx="5">
                  <c:v>0.24994934063747604</c:v>
                </c:pt>
                <c:pt idx="6">
                  <c:v>0.23322583392535906</c:v>
                </c:pt>
                <c:pt idx="7">
                  <c:v>0.20905459721103339</c:v>
                </c:pt>
                <c:pt idx="8">
                  <c:v>0.22330973444108565</c:v>
                </c:pt>
                <c:pt idx="9">
                  <c:v>0.21783799346037039</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'NSWOS demersal over 24m'!$C$93</c:f>
              <c:strCache>
                <c:ptCount val="1"/>
                <c:pt idx="0">
                  <c:v>Cod</c:v>
                </c:pt>
              </c:strCache>
            </c:strRef>
          </c:tx>
          <c:spPr>
            <a:solidFill>
              <a:srgbClr val="E87308"/>
            </a:solidFill>
            <a:ln>
              <a:solidFill>
                <a:srgbClr val="FFFFFF"/>
              </a:solidFill>
            </a:ln>
          </c:spPr>
          <c:invertIfNegative val="0"/>
          <c:cat>
            <c:numRef>
              <c:f>'NSWOS demersal over 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over 24m'!$D$93:$M$93</c:f>
              <c:numCache>
                <c:formatCode>0%</c:formatCode>
                <c:ptCount val="10"/>
                <c:pt idx="0">
                  <c:v>0.10228715260107947</c:v>
                </c:pt>
                <c:pt idx="1">
                  <c:v>0.1360706025892108</c:v>
                </c:pt>
                <c:pt idx="2">
                  <c:v>0.13771047123977204</c:v>
                </c:pt>
                <c:pt idx="3">
                  <c:v>0.12921807280091224</c:v>
                </c:pt>
                <c:pt idx="4">
                  <c:v>0.17041383695107296</c:v>
                </c:pt>
                <c:pt idx="5">
                  <c:v>0.15373297660369384</c:v>
                </c:pt>
                <c:pt idx="6">
                  <c:v>0.14857824799557004</c:v>
                </c:pt>
                <c:pt idx="7">
                  <c:v>0.14834474945186052</c:v>
                </c:pt>
                <c:pt idx="8">
                  <c:v>0.17802943382963241</c:v>
                </c:pt>
                <c:pt idx="9">
                  <c:v>0.208155204992236</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'NSWOS demersal over 24m'!$C$94</c:f>
              <c:strCache>
                <c:ptCount val="1"/>
                <c:pt idx="0">
                  <c:v>Anglerfish</c:v>
                </c:pt>
              </c:strCache>
            </c:strRef>
          </c:tx>
          <c:spPr>
            <a:solidFill>
              <a:srgbClr val="648C2E"/>
            </a:solidFill>
            <a:ln>
              <a:solidFill>
                <a:srgbClr val="FFFFFF"/>
              </a:solidFill>
            </a:ln>
          </c:spPr>
          <c:invertIfNegative val="0"/>
          <c:cat>
            <c:numRef>
              <c:f>'NSWOS demersal over 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over 24m'!$D$94:$M$94</c:f>
              <c:numCache>
                <c:formatCode>0%</c:formatCode>
                <c:ptCount val="10"/>
                <c:pt idx="0">
                  <c:v>0.23499962311592135</c:v>
                </c:pt>
                <c:pt idx="1">
                  <c:v>0.18687756923738735</c:v>
                </c:pt>
                <c:pt idx="2">
                  <c:v>0.17675107178507685</c:v>
                </c:pt>
                <c:pt idx="3">
                  <c:v>0.13372483942446939</c:v>
                </c:pt>
                <c:pt idx="4">
                  <c:v>0.10363691156687753</c:v>
                </c:pt>
                <c:pt idx="5">
                  <c:v>0.13414287616751405</c:v>
                </c:pt>
                <c:pt idx="6">
                  <c:v>0.14639623999862306</c:v>
                </c:pt>
                <c:pt idx="7">
                  <c:v>0.16599606278083104</c:v>
                </c:pt>
                <c:pt idx="8">
                  <c:v>0.17013125217620911</c:v>
                </c:pt>
                <c:pt idx="9">
                  <c:v>0.16280245786969383</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'NSWOS demersal over 24m'!$C$95</c:f>
              <c:strCache>
                <c:ptCount val="1"/>
                <c:pt idx="0">
                  <c:v>Plaice</c:v>
                </c:pt>
              </c:strCache>
            </c:strRef>
          </c:tx>
          <c:spPr>
            <a:solidFill>
              <a:srgbClr val="C1D119"/>
            </a:solidFill>
            <a:ln>
              <a:solidFill>
                <a:srgbClr val="FFFFFF"/>
              </a:solidFill>
            </a:ln>
          </c:spPr>
          <c:invertIfNegative val="0"/>
          <c:cat>
            <c:numRef>
              <c:f>'NSWOS demersal over 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over 24m'!$D$95:$M$95</c:f>
              <c:numCache>
                <c:formatCode>0%</c:formatCode>
                <c:ptCount val="10"/>
                <c:pt idx="0">
                  <c:v>8.8238969436198342E-2</c:v>
                </c:pt>
                <c:pt idx="1">
                  <c:v>8.037592788805345E-2</c:v>
                </c:pt>
                <c:pt idx="2">
                  <c:v>8.5412281666706377E-2</c:v>
                </c:pt>
                <c:pt idx="3">
                  <c:v>0.12069446293926574</c:v>
                </c:pt>
                <c:pt idx="4">
                  <c:v>8.3718842531059823E-2</c:v>
                </c:pt>
                <c:pt idx="5">
                  <c:v>7.4115019053803938E-2</c:v>
                </c:pt>
                <c:pt idx="6">
                  <c:v>9.779992705768259E-2</c:v>
                </c:pt>
                <c:pt idx="7">
                  <c:v>0.11642605102331076</c:v>
                </c:pt>
                <c:pt idx="8">
                  <c:v>9.4150110482928456E-2</c:v>
                </c:pt>
                <c:pt idx="9">
                  <c:v>8.6077692920112997E-2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'NSWOS demersal over 24m'!$C$96</c:f>
              <c:strCache>
                <c:ptCount val="1"/>
                <c:pt idx="0">
                  <c:v>Saithe</c:v>
                </c:pt>
              </c:strCache>
            </c:strRef>
          </c:tx>
          <c:spPr>
            <a:solidFill>
              <a:srgbClr val="E84A38"/>
            </a:solidFill>
            <a:ln>
              <a:solidFill>
                <a:srgbClr val="FFFFFF"/>
              </a:solidFill>
            </a:ln>
          </c:spPr>
          <c:invertIfNegative val="0"/>
          <c:cat>
            <c:numRef>
              <c:f>'NSWOS demersal over 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over 24m'!$D$96:$M$96</c:f>
              <c:numCache>
                <c:formatCode>0%</c:formatCode>
                <c:ptCount val="10"/>
                <c:pt idx="0">
                  <c:v>0.12535046476511399</c:v>
                </c:pt>
                <c:pt idx="1">
                  <c:v>0.13309977414435831</c:v>
                </c:pt>
                <c:pt idx="2">
                  <c:v>0.14793546202601712</c:v>
                </c:pt>
                <c:pt idx="3">
                  <c:v>0.1400803567234567</c:v>
                </c:pt>
                <c:pt idx="4">
                  <c:v>0.12522724704922036</c:v>
                </c:pt>
                <c:pt idx="5">
                  <c:v>0.11502475555236419</c:v>
                </c:pt>
                <c:pt idx="6">
                  <c:v>0.10082049720664754</c:v>
                </c:pt>
                <c:pt idx="7">
                  <c:v>8.6431302475298483E-2</c:v>
                </c:pt>
                <c:pt idx="8">
                  <c:v>6.9029486320217576E-2</c:v>
                </c:pt>
                <c:pt idx="9">
                  <c:v>6.2341472185787013E-2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'NSWOS demersal over 24m'!$C$97</c:f>
              <c:strCache>
                <c:ptCount val="1"/>
                <c:pt idx="0">
                  <c:v>Others</c:v>
                </c:pt>
              </c:strCache>
            </c:strRef>
          </c:tx>
          <c:spPr>
            <a:solidFill>
              <a:srgbClr val="55585A"/>
            </a:solidFill>
            <a:ln>
              <a:solidFill>
                <a:srgbClr val="FFFFFF"/>
              </a:solidFill>
            </a:ln>
          </c:spPr>
          <c:invertIfNegative val="0"/>
          <c:cat>
            <c:numRef>
              <c:f>'NSWOS demersal over 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over 24m'!$D$97:$M$97</c:f>
              <c:numCache>
                <c:formatCode>0%</c:formatCode>
                <c:ptCount val="10"/>
                <c:pt idx="0">
                  <c:v>0.25368197519022229</c:v>
                </c:pt>
                <c:pt idx="1">
                  <c:v>0.2813240573230627</c:v>
                </c:pt>
                <c:pt idx="2">
                  <c:v>0.28487352223749673</c:v>
                </c:pt>
                <c:pt idx="3">
                  <c:v>0.2784159238211707</c:v>
                </c:pt>
                <c:pt idx="4">
                  <c:v>0.28003142072469117</c:v>
                </c:pt>
                <c:pt idx="5">
                  <c:v>0.27303503198514795</c:v>
                </c:pt>
                <c:pt idx="6">
                  <c:v>0.27317925381611768</c:v>
                </c:pt>
                <c:pt idx="7">
                  <c:v>0.27374723705766579</c:v>
                </c:pt>
                <c:pt idx="8">
                  <c:v>0.26534998274992677</c:v>
                </c:pt>
                <c:pt idx="9">
                  <c:v>0.26278517857179978</c:v>
                </c:pt>
              </c:numCache>
            </c:numRef>
          </c:val>
          <c:extLst xmlns:c16r2="http://schemas.microsoft.com/office/drawing/2015/06/chart">
            <c:ext xmlns:c16="http://schemas.microsoft.com/office/drawing/2014/chart" uri="{C3380CC4-5D6E-409C-BE32-E72D297353CC}">
              <c16:uniqueId val="{00000005-282A-42F3-A8CE-7B6B063B5E4F}"/>
            </c:ext>
          </c:extLst>
        </c:ser>
        <c:dLbls>
          <c:showLegendKey val="0"/>
          <c:showVal val="0"/>
          <c:showCatName val="0"/>
          <c:showSerName val="0"/>
          <c:showPercent val="0"/>
          <c:showBubbleSize val="0"/>
        </c:dLbls>
        <c:gapWidth val="150"/>
        <c:overlap val="100"/>
        <c:axId val="914679680"/>
        <c:axId val="914681216"/>
      </c:barChart>
      <c:catAx>
        <c:axId val="914679680"/>
        <c:scaling>
          <c:orientation val="minMax"/>
        </c:scaling>
        <c:delete val="0"/>
        <c:axPos val="b"/>
        <c:numFmt formatCode="General" sourceLinked="1"/>
        <c:majorTickMark val="out"/>
        <c:minorTickMark val="none"/>
        <c:tickLblPos val="nextTo"/>
        <c:crossAx val="914681216"/>
        <c:crosses val="autoZero"/>
        <c:auto val="1"/>
        <c:lblAlgn val="ctr"/>
        <c:lblOffset val="100"/>
        <c:noMultiLvlLbl val="0"/>
      </c:catAx>
      <c:valAx>
        <c:axId val="914681216"/>
        <c:scaling>
          <c:orientation val="minMax"/>
          <c:max val="1"/>
          <c:min val="0"/>
        </c:scaling>
        <c:delete val="0"/>
        <c:axPos val="l"/>
        <c:majorGridlines/>
        <c:numFmt formatCode="0%" sourceLinked="1"/>
        <c:majorTickMark val="out"/>
        <c:minorTickMark val="none"/>
        <c:tickLblPos val="nextTo"/>
        <c:crossAx val="914679680"/>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demersal over 24m'!$B$162</c:f>
              <c:strCache>
                <c:ptCount val="1"/>
                <c:pt idx="0">
                  <c:v>Haddock</c:v>
                </c:pt>
              </c:strCache>
            </c:strRef>
          </c:tx>
          <c:spPr>
            <a:solidFill>
              <a:srgbClr val="2273B9"/>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24m'!$C$162:$E$162</c:f>
              <c:numCache>
                <c:formatCode>0%</c:formatCode>
                <c:ptCount val="3"/>
                <c:pt idx="0">
                  <c:v>0.39488604089982626</c:v>
                </c:pt>
                <c:pt idx="1">
                  <c:v>0.27150949738212093</c:v>
                </c:pt>
                <c:pt idx="2">
                  <c:v>0.18135047215014011</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'NSWOS demersal over 24m'!$B$163</c:f>
              <c:strCache>
                <c:ptCount val="1"/>
                <c:pt idx="0">
                  <c:v>Saithe</c:v>
                </c:pt>
              </c:strCache>
            </c:strRef>
          </c:tx>
          <c:spPr>
            <a:solidFill>
              <a:srgbClr val="E84A38"/>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24m'!$C$163:$E$163</c:f>
              <c:numCache>
                <c:formatCode>0%</c:formatCode>
                <c:ptCount val="3"/>
                <c:pt idx="0">
                  <c:v>8.3520821076042431E-2</c:v>
                </c:pt>
                <c:pt idx="1">
                  <c:v>0.15563214299993211</c:v>
                </c:pt>
                <c:pt idx="2">
                  <c:v>5.1507187551839868E-2</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'NSWOS demersal over 24m'!$B$164</c:f>
              <c:strCache>
                <c:ptCount val="1"/>
                <c:pt idx="0">
                  <c:v>Anglerfish</c:v>
                </c:pt>
              </c:strCache>
            </c:strRef>
          </c:tx>
          <c:spPr>
            <a:solidFill>
              <a:srgbClr val="648C2E"/>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24m'!$C$164:$E$164</c:f>
              <c:numCache>
                <c:formatCode>0%</c:formatCode>
                <c:ptCount val="3"/>
                <c:pt idx="0">
                  <c:v>0.10062822345569922</c:v>
                </c:pt>
                <c:pt idx="1">
                  <c:v>0.14389306883495329</c:v>
                </c:pt>
                <c:pt idx="2">
                  <c:v>0</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'NSWOS demersal over 24m'!$B$165</c:f>
              <c:strCache>
                <c:ptCount val="1"/>
                <c:pt idx="0">
                  <c:v>Cod</c:v>
                </c:pt>
              </c:strCache>
            </c:strRef>
          </c:tx>
          <c:spPr>
            <a:solidFill>
              <a:srgbClr val="E87308"/>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24m'!$C$165:$E$165</c:f>
              <c:numCache>
                <c:formatCode>0%</c:formatCode>
                <c:ptCount val="3"/>
                <c:pt idx="0">
                  <c:v>0.16478193551961409</c:v>
                </c:pt>
                <c:pt idx="1">
                  <c:v>0.12207638686001784</c:v>
                </c:pt>
                <c:pt idx="2">
                  <c:v>5.6901241851883118E-2</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'NSWOS demersal over 24m'!$B$166</c:f>
              <c:strCache>
                <c:ptCount val="1"/>
                <c:pt idx="0">
                  <c:v>Plaice</c:v>
                </c:pt>
              </c:strCache>
            </c:strRef>
          </c:tx>
          <c:spPr>
            <a:solidFill>
              <a:srgbClr val="C1D119"/>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24m'!$C$166:$E$166</c:f>
              <c:numCache>
                <c:formatCode>0%</c:formatCode>
                <c:ptCount val="3"/>
                <c:pt idx="0">
                  <c:v>5.8050806001140161E-2</c:v>
                </c:pt>
                <c:pt idx="1">
                  <c:v>0.11444505704875026</c:v>
                </c:pt>
                <c:pt idx="2">
                  <c:v>0.46687196181326984</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'NSWOS demersal over 24m'!$B$167</c:f>
              <c:strCache>
                <c:ptCount val="1"/>
                <c:pt idx="0">
                  <c:v>Whiting</c:v>
                </c:pt>
              </c:strCache>
            </c:strRef>
          </c:tx>
          <c:spPr>
            <a:solidFill>
              <a:srgbClr val="FED825"/>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24m'!$C$167:$E$167</c:f>
              <c:numCache>
                <c:formatCode>0%</c:formatCode>
                <c:ptCount val="3"/>
                <c:pt idx="0">
                  <c:v>0</c:v>
                </c:pt>
                <c:pt idx="1">
                  <c:v>0</c:v>
                </c:pt>
                <c:pt idx="2">
                  <c:v>3.906456549486341E-2</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'NSWOS demersal over 24m'!$B$168</c:f>
              <c:strCache>
                <c:ptCount val="1"/>
                <c:pt idx="0">
                  <c:v>Others</c:v>
                </c:pt>
              </c:strCache>
            </c:strRef>
          </c:tx>
          <c:spPr>
            <a:solidFill>
              <a:srgbClr val="55585A"/>
            </a:solidFill>
            <a:ln>
              <a:solidFill>
                <a:srgbClr val="FFFFFF"/>
              </a:solidFill>
            </a:ln>
          </c:spPr>
          <c:invertIfNegative val="0"/>
          <c:cat>
            <c:strRef>
              <c:f>'NSWOS demersal over 24m'!$C$161:$E$161</c:f>
              <c:strCache>
                <c:ptCount val="3"/>
                <c:pt idx="0">
                  <c:v>Most
profitable
quartile</c:v>
                </c:pt>
                <c:pt idx="1">
                  <c:v>Middle 
two quartiles</c:v>
                </c:pt>
                <c:pt idx="2">
                  <c:v>Least
profitable
quartile</c:v>
                </c:pt>
              </c:strCache>
            </c:strRef>
          </c:cat>
          <c:val>
            <c:numRef>
              <c:f>'NSWOS demersal over 24m'!$C$168:$E$168</c:f>
              <c:numCache>
                <c:formatCode>0%</c:formatCode>
                <c:ptCount val="3"/>
                <c:pt idx="0">
                  <c:v>0.19813217304767783</c:v>
                </c:pt>
                <c:pt idx="1">
                  <c:v>0.19244384687422555</c:v>
                </c:pt>
                <c:pt idx="2">
                  <c:v>0.2043045711380036</c:v>
                </c:pt>
              </c:numCache>
            </c:numRef>
          </c:val>
          <c:extLst xmlns:c16r2="http://schemas.microsoft.com/office/drawing/2015/06/chart">
            <c:ext xmlns:c16="http://schemas.microsoft.com/office/drawing/2014/chart" uri="{C3380CC4-5D6E-409C-BE32-E72D297353CC}">
              <c16:uniqueId val="{00000006-DFDD-4C01-8393-1BE532AE55F9}"/>
            </c:ext>
          </c:extLst>
        </c:ser>
        <c:dLbls>
          <c:showLegendKey val="0"/>
          <c:showVal val="0"/>
          <c:showCatName val="0"/>
          <c:showSerName val="0"/>
          <c:showPercent val="0"/>
          <c:showBubbleSize val="0"/>
        </c:dLbls>
        <c:gapWidth val="150"/>
        <c:overlap val="100"/>
        <c:axId val="914459648"/>
        <c:axId val="914477824"/>
      </c:barChart>
      <c:catAx>
        <c:axId val="914459648"/>
        <c:scaling>
          <c:orientation val="minMax"/>
        </c:scaling>
        <c:delete val="0"/>
        <c:axPos val="b"/>
        <c:numFmt formatCode="General" sourceLinked="0"/>
        <c:majorTickMark val="out"/>
        <c:minorTickMark val="none"/>
        <c:tickLblPos val="nextTo"/>
        <c:crossAx val="914477824"/>
        <c:crosses val="autoZero"/>
        <c:auto val="1"/>
        <c:lblAlgn val="ctr"/>
        <c:lblOffset val="100"/>
        <c:noMultiLvlLbl val="0"/>
      </c:catAx>
      <c:valAx>
        <c:axId val="914477824"/>
        <c:scaling>
          <c:orientation val="minMax"/>
          <c:max val="1"/>
          <c:min val="0"/>
        </c:scaling>
        <c:delete val="0"/>
        <c:axPos val="l"/>
        <c:majorGridlines/>
        <c:minorGridlines/>
        <c:numFmt formatCode="0%" sourceLinked="1"/>
        <c:majorTickMark val="out"/>
        <c:minorTickMark val="none"/>
        <c:tickLblPos val="nextTo"/>
        <c:crossAx val="91445964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demersal over 24m'!$H$162</c:f>
              <c:strCache>
                <c:ptCount val="1"/>
                <c:pt idx="0">
                  <c:v>Anglerfish</c:v>
                </c:pt>
              </c:strCache>
            </c:strRef>
          </c:tx>
          <c:spPr>
            <a:solidFill>
              <a:srgbClr val="648C2E"/>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24m'!$I$162:$K$162</c:f>
              <c:numCache>
                <c:formatCode>0%</c:formatCode>
                <c:ptCount val="3"/>
                <c:pt idx="0">
                  <c:v>0.15103195191269586</c:v>
                </c:pt>
                <c:pt idx="1">
                  <c:v>0.24245072466325535</c:v>
                </c:pt>
                <c:pt idx="2">
                  <c:v>5.2153709558056788E-2</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'NSWOS demersal over 24m'!$H$163</c:f>
              <c:strCache>
                <c:ptCount val="1"/>
                <c:pt idx="0">
                  <c:v>Cod</c:v>
                </c:pt>
              </c:strCache>
            </c:strRef>
          </c:tx>
          <c:spPr>
            <a:solidFill>
              <a:srgbClr val="E87308"/>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24m'!$I$163:$K$163</c:f>
              <c:numCache>
                <c:formatCode>0%</c:formatCode>
                <c:ptCount val="3"/>
                <c:pt idx="0">
                  <c:v>0.19430583335544138</c:v>
                </c:pt>
                <c:pt idx="1">
                  <c:v>0.22034139783901788</c:v>
                </c:pt>
                <c:pt idx="2">
                  <c:v>7.7838297359205513E-2</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'NSWOS demersal over 24m'!$H$164</c:f>
              <c:strCache>
                <c:ptCount val="1"/>
                <c:pt idx="0">
                  <c:v>Haddock</c:v>
                </c:pt>
              </c:strCache>
            </c:strRef>
          </c:tx>
          <c:spPr>
            <a:solidFill>
              <a:srgbClr val="2273B9"/>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24m'!$I$164:$K$164</c:f>
              <c:numCache>
                <c:formatCode>0%</c:formatCode>
                <c:ptCount val="3"/>
                <c:pt idx="0">
                  <c:v>0.33243473026511938</c:v>
                </c:pt>
                <c:pt idx="1">
                  <c:v>0.18860783977744647</c:v>
                </c:pt>
                <c:pt idx="2">
                  <c:v>0.16873433269883051</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'NSWOS demersal over 24m'!$H$165</c:f>
              <c:strCache>
                <c:ptCount val="1"/>
                <c:pt idx="0">
                  <c:v>Saithe</c:v>
                </c:pt>
              </c:strCache>
            </c:strRef>
          </c:tx>
          <c:spPr>
            <a:solidFill>
              <a:srgbClr val="E84A38"/>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24m'!$I$165:$K$165</c:f>
              <c:numCache>
                <c:formatCode>0%</c:formatCode>
                <c:ptCount val="3"/>
                <c:pt idx="0">
                  <c:v>0</c:v>
                </c:pt>
                <c:pt idx="1">
                  <c:v>0.10732214799102541</c:v>
                </c:pt>
                <c:pt idx="2">
                  <c:v>0</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'NSWOS demersal over 24m'!$H$166</c:f>
              <c:strCache>
                <c:ptCount val="1"/>
                <c:pt idx="0">
                  <c:v>Ling</c:v>
                </c:pt>
              </c:strCache>
            </c:strRef>
          </c:tx>
          <c:spPr>
            <a:solidFill>
              <a:srgbClr val="0F9AA9"/>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24m'!$I$166:$K$166</c:f>
              <c:numCache>
                <c:formatCode>0%</c:formatCode>
                <c:ptCount val="3"/>
                <c:pt idx="0">
                  <c:v>0</c:v>
                </c:pt>
                <c:pt idx="1">
                  <c:v>6.9549624817399805E-2</c:v>
                </c:pt>
                <c:pt idx="2">
                  <c:v>0</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'NSWOS demersal over 24m'!$H$167</c:f>
              <c:strCache>
                <c:ptCount val="1"/>
                <c:pt idx="0">
                  <c:v>Plaice</c:v>
                </c:pt>
              </c:strCache>
            </c:strRef>
          </c:tx>
          <c:spPr>
            <a:solidFill>
              <a:srgbClr val="C1D119"/>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24m'!$I$167:$K$167</c:f>
              <c:numCache>
                <c:formatCode>0%</c:formatCode>
                <c:ptCount val="3"/>
                <c:pt idx="0">
                  <c:v>4.5711563958097265E-2</c:v>
                </c:pt>
                <c:pt idx="1">
                  <c:v>0</c:v>
                </c:pt>
                <c:pt idx="2">
                  <c:v>0.37749945578317096</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'NSWOS demersal over 24m'!$H$168</c:f>
              <c:strCache>
                <c:ptCount val="1"/>
                <c:pt idx="0">
                  <c:v>Squid</c:v>
                </c:pt>
              </c:strCache>
            </c:strRef>
          </c:tx>
          <c:spPr>
            <a:solidFill>
              <a:srgbClr val="707271"/>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24m'!$I$168:$K$168</c:f>
              <c:numCache>
                <c:formatCode>0%</c:formatCode>
                <c:ptCount val="3"/>
                <c:pt idx="0">
                  <c:v>6.3116681145290107E-2</c:v>
                </c:pt>
                <c:pt idx="1">
                  <c:v>0</c:v>
                </c:pt>
                <c:pt idx="2">
                  <c:v>7.340178169304605E-2</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'NSWOS demersal over 24m'!$H$169</c:f>
              <c:strCache>
                <c:ptCount val="1"/>
                <c:pt idx="0">
                  <c:v>Others</c:v>
                </c:pt>
              </c:strCache>
            </c:strRef>
          </c:tx>
          <c:spPr>
            <a:solidFill>
              <a:srgbClr val="55585A"/>
            </a:solidFill>
            <a:ln>
              <a:solidFill>
                <a:srgbClr val="FFFFFF"/>
              </a:solidFill>
            </a:ln>
          </c:spPr>
          <c:invertIfNegative val="0"/>
          <c:cat>
            <c:strRef>
              <c:f>'NSWOS demersal over 24m'!$I$161:$K$161</c:f>
              <c:strCache>
                <c:ptCount val="3"/>
                <c:pt idx="0">
                  <c:v>Most
profitable
quartile</c:v>
                </c:pt>
                <c:pt idx="1">
                  <c:v>Middle 
two quartiles</c:v>
                </c:pt>
                <c:pt idx="2">
                  <c:v>Least
profitable
quartile</c:v>
                </c:pt>
              </c:strCache>
            </c:strRef>
          </c:cat>
          <c:val>
            <c:numRef>
              <c:f>'NSWOS demersal over 24m'!$I$169:$K$169</c:f>
              <c:numCache>
                <c:formatCode>0%</c:formatCode>
                <c:ptCount val="3"/>
                <c:pt idx="0">
                  <c:v>0.21339923936335603</c:v>
                </c:pt>
                <c:pt idx="1">
                  <c:v>0.17172826491185511</c:v>
                </c:pt>
                <c:pt idx="2">
                  <c:v>0.25037242290769024</c:v>
                </c:pt>
              </c:numCache>
            </c:numRef>
          </c:val>
          <c:extLst xmlns:c16r2="http://schemas.microsoft.com/office/drawing/2015/06/chart">
            <c:ext xmlns:c16="http://schemas.microsoft.com/office/drawing/2014/chart" uri="{C3380CC4-5D6E-409C-BE32-E72D297353CC}">
              <c16:uniqueId val="{00000007-DC58-4725-8A67-0BDC09FD93CD}"/>
            </c:ext>
          </c:extLst>
        </c:ser>
        <c:dLbls>
          <c:showLegendKey val="0"/>
          <c:showVal val="0"/>
          <c:showCatName val="0"/>
          <c:showSerName val="0"/>
          <c:showPercent val="0"/>
          <c:showBubbleSize val="0"/>
        </c:dLbls>
        <c:gapWidth val="150"/>
        <c:overlap val="100"/>
        <c:axId val="914524032"/>
        <c:axId val="914525568"/>
      </c:barChart>
      <c:catAx>
        <c:axId val="914524032"/>
        <c:scaling>
          <c:orientation val="minMax"/>
        </c:scaling>
        <c:delete val="0"/>
        <c:axPos val="b"/>
        <c:numFmt formatCode="General" sourceLinked="0"/>
        <c:majorTickMark val="out"/>
        <c:minorTickMark val="none"/>
        <c:tickLblPos val="nextTo"/>
        <c:crossAx val="914525568"/>
        <c:crosses val="autoZero"/>
        <c:auto val="1"/>
        <c:lblAlgn val="ctr"/>
        <c:lblOffset val="100"/>
        <c:noMultiLvlLbl val="0"/>
      </c:catAx>
      <c:valAx>
        <c:axId val="914525568"/>
        <c:scaling>
          <c:orientation val="minMax"/>
          <c:max val="1"/>
          <c:min val="0"/>
        </c:scaling>
        <c:delete val="0"/>
        <c:axPos val="l"/>
        <c:majorGridlines/>
        <c:minorGridlines/>
        <c:numFmt formatCode="0%" sourceLinked="1"/>
        <c:majorTickMark val="out"/>
        <c:minorTickMark val="none"/>
        <c:tickLblPos val="nextTo"/>
        <c:crossAx val="914524032"/>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over 24m'!$K$143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demersal over 24m'!$K$139</c:f>
              <c:strCache>
                <c:ptCount val="1"/>
                <c:pt idx="0">
                  <c:v>Total income</c:v>
                </c:pt>
              </c:strCache>
            </c:strRef>
          </c:tx>
          <c:spPr>
            <a:solidFill>
              <a:schemeClr val="accent1"/>
            </a:solidFill>
            <a:ln>
              <a:solidFill>
                <a:schemeClr val="accent1"/>
              </a:solidFill>
            </a:ln>
          </c:spPr>
          <c:invertIfNegative val="0"/>
          <c:cat>
            <c:strRef>
              <c:f>'NSWOS demersal over 24m'!$L$138:$N$138</c:f>
              <c:strCache>
                <c:ptCount val="3"/>
                <c:pt idx="0">
                  <c:v>Most
profitable
quartile</c:v>
                </c:pt>
                <c:pt idx="1">
                  <c:v>Middle
two quartiles</c:v>
                </c:pt>
                <c:pt idx="2">
                  <c:v>Least
profitable
quartile</c:v>
                </c:pt>
              </c:strCache>
            </c:strRef>
          </c:cat>
          <c:val>
            <c:numRef>
              <c:f>'NSWOS demersal over 24m'!$L$139:$N$139</c:f>
              <c:numCache>
                <c:formatCode>#,##0</c:formatCode>
                <c:ptCount val="3"/>
                <c:pt idx="0">
                  <c:v>2608.76125</c:v>
                </c:pt>
                <c:pt idx="1">
                  <c:v>2240.30375</c:v>
                </c:pt>
                <c:pt idx="2">
                  <c:v>1763.1559999999999</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'NSWOS demersal over 24m'!$K$140</c:f>
              <c:strCache>
                <c:ptCount val="1"/>
                <c:pt idx="0">
                  <c:v>Operating costs</c:v>
                </c:pt>
              </c:strCache>
            </c:strRef>
          </c:tx>
          <c:spPr>
            <a:solidFill>
              <a:schemeClr val="accent3"/>
            </a:solidFill>
          </c:spPr>
          <c:invertIfNegative val="0"/>
          <c:cat>
            <c:strRef>
              <c:f>'NSWOS demersal over 24m'!$L$138:$N$138</c:f>
              <c:strCache>
                <c:ptCount val="3"/>
                <c:pt idx="0">
                  <c:v>Most
profitable
quartile</c:v>
                </c:pt>
                <c:pt idx="1">
                  <c:v>Middle
two quartiles</c:v>
                </c:pt>
                <c:pt idx="2">
                  <c:v>Least
profitable
quartile</c:v>
                </c:pt>
              </c:strCache>
            </c:strRef>
          </c:cat>
          <c:val>
            <c:numRef>
              <c:f>'NSWOS demersal over 24m'!$L$140:$N$140</c:f>
              <c:numCache>
                <c:formatCode>#,##0</c:formatCode>
                <c:ptCount val="3"/>
                <c:pt idx="0">
                  <c:v>2057.30825</c:v>
                </c:pt>
                <c:pt idx="1">
                  <c:v>1850.9304702381</c:v>
                </c:pt>
                <c:pt idx="2">
                  <c:v>1619.5986250000001</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'NSWOS demersal over 24m'!$K$141</c:f>
              <c:strCache>
                <c:ptCount val="1"/>
                <c:pt idx="0">
                  <c:v>Operating profit</c:v>
                </c:pt>
              </c:strCache>
            </c:strRef>
          </c:tx>
          <c:spPr>
            <a:solidFill>
              <a:schemeClr val="accent2"/>
            </a:solidFill>
          </c:spPr>
          <c:invertIfNegative val="0"/>
          <c:cat>
            <c:strRef>
              <c:f>'NSWOS demersal over 24m'!$L$138:$N$138</c:f>
              <c:strCache>
                <c:ptCount val="3"/>
                <c:pt idx="0">
                  <c:v>Most
profitable
quartile</c:v>
                </c:pt>
                <c:pt idx="1">
                  <c:v>Middle
two quartiles</c:v>
                </c:pt>
                <c:pt idx="2">
                  <c:v>Least
profitable
quartile</c:v>
                </c:pt>
              </c:strCache>
            </c:strRef>
          </c:cat>
          <c:val>
            <c:numRef>
              <c:f>'NSWOS demersal over 24m'!$L$141:$N$141</c:f>
              <c:numCache>
                <c:formatCode>#,##0</c:formatCode>
                <c:ptCount val="3"/>
                <c:pt idx="0">
                  <c:v>551.45299999999997</c:v>
                </c:pt>
                <c:pt idx="1">
                  <c:v>389.373279761905</c:v>
                </c:pt>
                <c:pt idx="2">
                  <c:v>143.55737500000001</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914565376"/>
        <c:axId val="914571264"/>
      </c:barChart>
      <c:catAx>
        <c:axId val="914565376"/>
        <c:scaling>
          <c:orientation val="minMax"/>
        </c:scaling>
        <c:delete val="0"/>
        <c:axPos val="b"/>
        <c:numFmt formatCode="General" sourceLinked="0"/>
        <c:majorTickMark val="out"/>
        <c:minorTickMark val="none"/>
        <c:tickLblPos val="nextTo"/>
        <c:crossAx val="914571264"/>
        <c:crosses val="autoZero"/>
        <c:auto val="1"/>
        <c:lblAlgn val="ctr"/>
        <c:lblOffset val="100"/>
        <c:noMultiLvlLbl val="0"/>
      </c:catAx>
      <c:valAx>
        <c:axId val="914571264"/>
        <c:scaling>
          <c:orientation val="minMax"/>
        </c:scaling>
        <c:delete val="0"/>
        <c:axPos val="l"/>
        <c:majorGridlines/>
        <c:title>
          <c:tx>
            <c:strRef>
              <c:f>'NSWOS demersal over 24m'!$K$142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914565376"/>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o250kW'!$A$76</c:f>
          <c:strCache>
            <c:ptCount val="1"/>
            <c:pt idx="0">
              <c:v>Top 5 landed species by volume in 2017
Area VIIA nephrops over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0F9AA9"/>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648C2E"/>
              </a:solidFill>
              <a:ln>
                <a:solidFill>
                  <a:srgbClr val="FFFFFF"/>
                </a:solidFill>
              </a:ln>
            </c:spPr>
          </c:dPt>
          <c:dPt>
            <c:idx val="3"/>
            <c:bubble3D val="0"/>
            <c:spPr>
              <a:solidFill>
                <a:srgbClr val="E87308"/>
              </a:solidFill>
              <a:ln>
                <a:solidFill>
                  <a:srgbClr val="FFFFFF"/>
                </a:solidFill>
              </a:ln>
            </c:spPr>
          </c:dPt>
          <c:dPt>
            <c:idx val="4"/>
            <c:bubble3D val="0"/>
            <c:spPr>
              <a:solidFill>
                <a:srgbClr val="C1D119"/>
              </a:solidFill>
              <a:ln>
                <a:solidFill>
                  <a:srgbClr val="FFFFFF"/>
                </a:solidFill>
              </a:ln>
            </c:spPr>
          </c:dPt>
          <c:dPt>
            <c:idx val="5"/>
            <c:bubble3D val="0"/>
            <c:spPr>
              <a:solidFill>
                <a:srgbClr val="55585A"/>
              </a:solidFill>
              <a:ln>
                <a:solidFill>
                  <a:srgbClr val="FFFFFF"/>
                </a:solidFill>
              </a:ln>
            </c:spPr>
          </c:dPt>
          <c:cat>
            <c:strRef>
              <c:f>'Area VIIa nephrops o250kW'!$B$77:$B$82</c:f>
              <c:strCache>
                <c:ptCount val="6"/>
                <c:pt idx="0">
                  <c:v>Nephrops - 80.9%</c:v>
                </c:pt>
                <c:pt idx="1">
                  <c:v>Les. Spot. Dog - 6.9%</c:v>
                </c:pt>
                <c:pt idx="2">
                  <c:v>Haddock - 4.2%</c:v>
                </c:pt>
                <c:pt idx="3">
                  <c:v>Anglerfish - 3.4%</c:v>
                </c:pt>
                <c:pt idx="4">
                  <c:v>Cuttlefish - 1.0%</c:v>
                </c:pt>
                <c:pt idx="5">
                  <c:v>Others - 3.7%</c:v>
                </c:pt>
              </c:strCache>
            </c:strRef>
          </c:cat>
          <c:val>
            <c:numRef>
              <c:f>'Area VIIa nephrops o250kW'!$C$77:$C$82</c:f>
              <c:numCache>
                <c:formatCode>0.0%</c:formatCode>
                <c:ptCount val="6"/>
                <c:pt idx="0">
                  <c:v>0.80878089626489591</c:v>
                </c:pt>
                <c:pt idx="1">
                  <c:v>6.9419139445321812E-2</c:v>
                </c:pt>
                <c:pt idx="2">
                  <c:v>4.1738152519571352E-2</c:v>
                </c:pt>
                <c:pt idx="3">
                  <c:v>3.3554625088890733E-2</c:v>
                </c:pt>
                <c:pt idx="4">
                  <c:v>9.556362113921751E-3</c:v>
                </c:pt>
                <c:pt idx="5">
                  <c:v>3.6950824567398399E-2</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seine'!$A$48</c:f>
          <c:strCache>
            <c:ptCount val="1"/>
            <c:pt idx="0">
              <c:v>Landings per kW day at sea (kg)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'NSWOS dem pair trawl seine'!$D$2:$N$2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 pair trawl seine'!$D$21:$N$21</c:f>
              <c:numCache>
                <c:formatCode>#,##0.00</c:formatCode>
                <c:ptCount val="11"/>
                <c:pt idx="0">
                  <c:v>5.8348286690779183</c:v>
                </c:pt>
                <c:pt idx="1">
                  <c:v>6.2582969825584014</c:v>
                </c:pt>
                <c:pt idx="2">
                  <c:v>6.94164620712308</c:v>
                </c:pt>
                <c:pt idx="3">
                  <c:v>7.1894664177786547</c:v>
                </c:pt>
                <c:pt idx="4">
                  <c:v>8.4725175468327283</c:v>
                </c:pt>
                <c:pt idx="5">
                  <c:v>9.6639979068770963</c:v>
                </c:pt>
                <c:pt idx="6">
                  <c:v>9.9904098579477321</c:v>
                </c:pt>
                <c:pt idx="7">
                  <c:v>8.9323761829757782</c:v>
                </c:pt>
                <c:pt idx="8">
                  <c:v>9.9780684272057822</c:v>
                </c:pt>
                <c:pt idx="9">
                  <c:v>10.641930282489183</c:v>
                </c:pt>
                <c:pt idx="10">
                  <c:v>9.618954218121571</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913784192"/>
        <c:axId val="913826944"/>
      </c:lineChart>
      <c:catAx>
        <c:axId val="913784192"/>
        <c:scaling>
          <c:orientation val="minMax"/>
        </c:scaling>
        <c:delete val="0"/>
        <c:axPos val="b"/>
        <c:numFmt formatCode="General" sourceLinked="1"/>
        <c:majorTickMark val="out"/>
        <c:minorTickMark val="none"/>
        <c:tickLblPos val="nextTo"/>
        <c:crossAx val="913826944"/>
        <c:crosses val="autoZero"/>
        <c:auto val="1"/>
        <c:lblAlgn val="ctr"/>
        <c:lblOffset val="100"/>
        <c:noMultiLvlLbl val="0"/>
      </c:catAx>
      <c:valAx>
        <c:axId val="913826944"/>
        <c:scaling>
          <c:orientation val="minMax"/>
        </c:scaling>
        <c:delete val="0"/>
        <c:axPos val="l"/>
        <c:majorGridlines>
          <c:spPr>
            <a:ln w="3175">
              <a:prstDash val="sysDot"/>
            </a:ln>
          </c:spPr>
        </c:majorGridlines>
        <c:numFmt formatCode="#,##0.00" sourceLinked="1"/>
        <c:majorTickMark val="out"/>
        <c:minorTickMark val="none"/>
        <c:tickLblPos val="nextTo"/>
        <c:crossAx val="913784192"/>
        <c:crosses val="autoZero"/>
        <c:crossBetween val="between"/>
      </c:valAx>
    </c:plotArea>
    <c:plotVisOnly val="0"/>
    <c:dispBlanksAs val="gap"/>
    <c:showDLblsOverMax val="0"/>
  </c:chart>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seine'!$A$49</c:f>
          <c:strCache>
            <c:ptCount val="1"/>
            <c:pt idx="0">
              <c:v>Fishing income per kW day at sea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'NSWOS dem pair trawl seine'!$D$2:$N$2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 pair trawl seine'!$D$22:$N$22</c:f>
              <c:numCache>
                <c:formatCode>#,##0.00</c:formatCode>
                <c:ptCount val="11"/>
                <c:pt idx="0">
                  <c:v>8.8798551974776796</c:v>
                </c:pt>
                <c:pt idx="1">
                  <c:v>8.5779366230965302</c:v>
                </c:pt>
                <c:pt idx="2">
                  <c:v>10.972108352594001</c:v>
                </c:pt>
                <c:pt idx="3">
                  <c:v>12.202061327593</c:v>
                </c:pt>
                <c:pt idx="4">
                  <c:v>12.63205293681</c:v>
                </c:pt>
                <c:pt idx="5">
                  <c:v>13.961539720331</c:v>
                </c:pt>
                <c:pt idx="6">
                  <c:v>15.8440273042174</c:v>
                </c:pt>
                <c:pt idx="7">
                  <c:v>13.793562305886701</c:v>
                </c:pt>
                <c:pt idx="8">
                  <c:v>16.578880051479</c:v>
                </c:pt>
                <c:pt idx="9">
                  <c:v>19.453248336274399</c:v>
                </c:pt>
                <c:pt idx="10">
                  <c:v>16.407810849196622</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913844864"/>
        <c:axId val="913850752"/>
      </c:lineChart>
      <c:catAx>
        <c:axId val="913844864"/>
        <c:scaling>
          <c:orientation val="minMax"/>
        </c:scaling>
        <c:delete val="0"/>
        <c:axPos val="b"/>
        <c:numFmt formatCode="General" sourceLinked="1"/>
        <c:majorTickMark val="out"/>
        <c:minorTickMark val="none"/>
        <c:tickLblPos val="nextTo"/>
        <c:crossAx val="913850752"/>
        <c:crosses val="autoZero"/>
        <c:auto val="1"/>
        <c:lblAlgn val="ctr"/>
        <c:lblOffset val="100"/>
        <c:noMultiLvlLbl val="0"/>
      </c:catAx>
      <c:valAx>
        <c:axId val="913850752"/>
        <c:scaling>
          <c:orientation val="minMax"/>
        </c:scaling>
        <c:delete val="0"/>
        <c:axPos val="l"/>
        <c:majorGridlines>
          <c:spPr>
            <a:ln w="3175">
              <a:prstDash val="sysDot"/>
            </a:ln>
          </c:spPr>
        </c:majorGridlines>
        <c:numFmt formatCode="#,##0.00" sourceLinked="1"/>
        <c:majorTickMark val="out"/>
        <c:minorTickMark val="none"/>
        <c:tickLblPos val="nextTo"/>
        <c:crossAx val="913844864"/>
        <c:crosses val="autoZero"/>
        <c:crossBetween val="between"/>
      </c:valAx>
    </c:plotArea>
    <c:plotVisOnly val="0"/>
    <c:dispBlanksAs val="gap"/>
    <c:showDLblsOverMax val="0"/>
  </c:chart>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seine'!$B$62</c:f>
          <c:strCache>
            <c:ptCount val="1"/>
            <c:pt idx="0">
              <c:v>Total cost per kW day at sea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'NSWOS dem pair trawl seine'!$D$2:$N$2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 pair trawl seine'!$D$23:$N$23</c:f>
              <c:numCache>
                <c:formatCode>#,##0.00</c:formatCode>
                <c:ptCount val="11"/>
                <c:pt idx="0">
                  <c:v>8.3189635985582395</c:v>
                </c:pt>
                <c:pt idx="1">
                  <c:v>8.0958006404525609</c:v>
                </c:pt>
                <c:pt idx="2">
                  <c:v>9.89106135095391</c:v>
                </c:pt>
                <c:pt idx="3">
                  <c:v>11.2812195947568</c:v>
                </c:pt>
                <c:pt idx="4">
                  <c:v>11.933740666995901</c:v>
                </c:pt>
                <c:pt idx="5">
                  <c:v>13.4670112069307</c:v>
                </c:pt>
                <c:pt idx="6">
                  <c:v>14.1917658114114</c:v>
                </c:pt>
                <c:pt idx="7">
                  <c:v>12.947731050188199</c:v>
                </c:pt>
                <c:pt idx="8">
                  <c:v>13.7904179053034</c:v>
                </c:pt>
                <c:pt idx="9">
                  <c:v>16.778376234979199</c:v>
                </c:pt>
                <c:pt idx="10">
                  <c:v>14.381103904895372</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913880960"/>
        <c:axId val="913882496"/>
      </c:lineChart>
      <c:catAx>
        <c:axId val="913880960"/>
        <c:scaling>
          <c:orientation val="minMax"/>
        </c:scaling>
        <c:delete val="0"/>
        <c:axPos val="b"/>
        <c:numFmt formatCode="General" sourceLinked="1"/>
        <c:majorTickMark val="out"/>
        <c:minorTickMark val="none"/>
        <c:tickLblPos val="nextTo"/>
        <c:crossAx val="913882496"/>
        <c:crosses val="autoZero"/>
        <c:auto val="1"/>
        <c:lblAlgn val="ctr"/>
        <c:lblOffset val="100"/>
        <c:noMultiLvlLbl val="0"/>
      </c:catAx>
      <c:valAx>
        <c:axId val="913882496"/>
        <c:scaling>
          <c:orientation val="minMax"/>
        </c:scaling>
        <c:delete val="0"/>
        <c:axPos val="l"/>
        <c:majorGridlines>
          <c:spPr>
            <a:ln w="3175">
              <a:prstDash val="sysDot"/>
            </a:ln>
          </c:spPr>
        </c:majorGridlines>
        <c:numFmt formatCode="#,##0.00" sourceLinked="1"/>
        <c:majorTickMark val="out"/>
        <c:minorTickMark val="none"/>
        <c:tickLblPos val="nextTo"/>
        <c:crossAx val="913880960"/>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seine'!$K$48</c:f>
          <c:strCache>
            <c:ptCount val="1"/>
            <c:pt idx="0">
              <c:v>Operating profit per kW day at sea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'NSWOS dem pair trawl seine'!$D$2:$N$2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 pair trawl seine'!$D$24:$N$24</c:f>
              <c:numCache>
                <c:formatCode>#,##0.00</c:formatCode>
                <c:ptCount val="11"/>
                <c:pt idx="0">
                  <c:v>0.68059688802746598</c:v>
                </c:pt>
                <c:pt idx="1">
                  <c:v>0.64028712745024197</c:v>
                </c:pt>
                <c:pt idx="2">
                  <c:v>1.18756216411361</c:v>
                </c:pt>
                <c:pt idx="3">
                  <c:v>1.27962210154081</c:v>
                </c:pt>
                <c:pt idx="4">
                  <c:v>1.3450634872064799</c:v>
                </c:pt>
                <c:pt idx="5">
                  <c:v>3.1231029272056401</c:v>
                </c:pt>
                <c:pt idx="6">
                  <c:v>3.7717819067004399</c:v>
                </c:pt>
                <c:pt idx="7">
                  <c:v>1.2619348060914699</c:v>
                </c:pt>
                <c:pt idx="8">
                  <c:v>3.8867260543475002</c:v>
                </c:pt>
                <c:pt idx="9">
                  <c:v>3.4459732260312501</c:v>
                </c:pt>
                <c:pt idx="10">
                  <c:v>2.6770909933289748</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13929344"/>
        <c:axId val="913930880"/>
      </c:lineChart>
      <c:catAx>
        <c:axId val="913929344"/>
        <c:scaling>
          <c:orientation val="minMax"/>
        </c:scaling>
        <c:delete val="0"/>
        <c:axPos val="b"/>
        <c:numFmt formatCode="General" sourceLinked="1"/>
        <c:majorTickMark val="out"/>
        <c:minorTickMark val="none"/>
        <c:tickLblPos val="nextTo"/>
        <c:crossAx val="913930880"/>
        <c:crosses val="autoZero"/>
        <c:auto val="1"/>
        <c:lblAlgn val="ctr"/>
        <c:lblOffset val="100"/>
        <c:noMultiLvlLbl val="0"/>
      </c:catAx>
      <c:valAx>
        <c:axId val="913930880"/>
        <c:scaling>
          <c:orientation val="minMax"/>
        </c:scaling>
        <c:delete val="0"/>
        <c:axPos val="l"/>
        <c:majorGridlines>
          <c:spPr>
            <a:ln w="3175">
              <a:prstDash val="sysDot"/>
            </a:ln>
          </c:spPr>
        </c:majorGridlines>
        <c:numFmt formatCode="#,##0.00" sourceLinked="1"/>
        <c:majorTickMark val="out"/>
        <c:minorTickMark val="none"/>
        <c:tickLblPos val="nextTo"/>
        <c:crossAx val="913929344"/>
        <c:crosses val="autoZero"/>
        <c:crossBetween val="between"/>
      </c:valAx>
    </c:plotArea>
    <c:plotVisOnly val="0"/>
    <c:dispBlanksAs val="gap"/>
    <c:showDLblsOverMax val="0"/>
  </c:chart>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seine'!$A$50</c:f>
          <c:strCache>
            <c:ptCount val="1"/>
            <c:pt idx="0">
              <c:v>Average price per tonne landed (£)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'NSWOS dem pair trawl seine'!$D$2:$N$2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 pair trawl seine'!$D$20:$N$20</c:f>
              <c:numCache>
                <c:formatCode>#,##0</c:formatCode>
                <c:ptCount val="11"/>
                <c:pt idx="0">
                  <c:v>1522</c:v>
                </c:pt>
                <c:pt idx="1">
                  <c:v>1371</c:v>
                </c:pt>
                <c:pt idx="2">
                  <c:v>1581</c:v>
                </c:pt>
                <c:pt idx="3">
                  <c:v>1697</c:v>
                </c:pt>
                <c:pt idx="4">
                  <c:v>1491</c:v>
                </c:pt>
                <c:pt idx="5">
                  <c:v>1445</c:v>
                </c:pt>
                <c:pt idx="6">
                  <c:v>1586</c:v>
                </c:pt>
                <c:pt idx="7">
                  <c:v>1544</c:v>
                </c:pt>
                <c:pt idx="8">
                  <c:v>1662</c:v>
                </c:pt>
                <c:pt idx="9">
                  <c:v>1828</c:v>
                </c:pt>
                <c:pt idx="10">
                  <c:v>1706</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13957248"/>
        <c:axId val="913958784"/>
      </c:lineChart>
      <c:catAx>
        <c:axId val="913957248"/>
        <c:scaling>
          <c:orientation val="minMax"/>
        </c:scaling>
        <c:delete val="0"/>
        <c:axPos val="b"/>
        <c:numFmt formatCode="General" sourceLinked="1"/>
        <c:majorTickMark val="out"/>
        <c:minorTickMark val="none"/>
        <c:tickLblPos val="nextTo"/>
        <c:crossAx val="913958784"/>
        <c:crosses val="autoZero"/>
        <c:auto val="1"/>
        <c:lblAlgn val="ctr"/>
        <c:lblOffset val="100"/>
        <c:noMultiLvlLbl val="0"/>
      </c:catAx>
      <c:valAx>
        <c:axId val="913958784"/>
        <c:scaling>
          <c:orientation val="minMax"/>
        </c:scaling>
        <c:delete val="0"/>
        <c:axPos val="l"/>
        <c:majorGridlines>
          <c:spPr>
            <a:ln w="3175">
              <a:prstDash val="sysDot"/>
            </a:ln>
          </c:spPr>
        </c:majorGridlines>
        <c:numFmt formatCode="#,##0" sourceLinked="1"/>
        <c:majorTickMark val="out"/>
        <c:minorTickMark val="none"/>
        <c:tickLblPos val="nextTo"/>
        <c:crossAx val="913957248"/>
        <c:crosses val="autoZero"/>
        <c:crossBetween val="between"/>
      </c:valAx>
    </c:plotArea>
    <c:plotVisOnly val="0"/>
    <c:dispBlanksAs val="gap"/>
    <c:showDLblsOverMax val="0"/>
  </c:chart>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seine'!$K$62</c:f>
          <c:strCache>
            <c:ptCount val="1"/>
            <c:pt idx="0">
              <c:v>Average annual operating profit per vessel (£'000)
NSWOS demersal pair trawl 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'NSWOS dem pair trawl seine'!$D$2:$N$2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 pair trawl seine'!$D$37:$N$37</c:f>
              <c:numCache>
                <c:formatCode>#,##0.0</c:formatCode>
                <c:ptCount val="11"/>
                <c:pt idx="0">
                  <c:v>58.4</c:v>
                </c:pt>
                <c:pt idx="1">
                  <c:v>60.6</c:v>
                </c:pt>
                <c:pt idx="2">
                  <c:v>106.6</c:v>
                </c:pt>
                <c:pt idx="3">
                  <c:v>114.9</c:v>
                </c:pt>
                <c:pt idx="4">
                  <c:v>109.1</c:v>
                </c:pt>
                <c:pt idx="5">
                  <c:v>275.10000000000002</c:v>
                </c:pt>
                <c:pt idx="6">
                  <c:v>304</c:v>
                </c:pt>
                <c:pt idx="7">
                  <c:v>131.30000000000001</c:v>
                </c:pt>
                <c:pt idx="8">
                  <c:v>423.8</c:v>
                </c:pt>
                <c:pt idx="9">
                  <c:v>359.6</c:v>
                </c:pt>
                <c:pt idx="10">
                  <c:v>312.2</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14832768"/>
        <c:axId val="914838656"/>
      </c:lineChart>
      <c:catAx>
        <c:axId val="914832768"/>
        <c:scaling>
          <c:orientation val="minMax"/>
        </c:scaling>
        <c:delete val="0"/>
        <c:axPos val="b"/>
        <c:numFmt formatCode="General" sourceLinked="1"/>
        <c:majorTickMark val="out"/>
        <c:minorTickMark val="none"/>
        <c:tickLblPos val="nextTo"/>
        <c:crossAx val="914838656"/>
        <c:crosses val="autoZero"/>
        <c:auto val="1"/>
        <c:lblAlgn val="ctr"/>
        <c:lblOffset val="100"/>
        <c:noMultiLvlLbl val="0"/>
      </c:catAx>
      <c:valAx>
        <c:axId val="914838656"/>
        <c:scaling>
          <c:orientation val="minMax"/>
        </c:scaling>
        <c:delete val="0"/>
        <c:axPos val="l"/>
        <c:majorGridlines>
          <c:spPr>
            <a:ln w="3175">
              <a:prstDash val="sysDot"/>
            </a:ln>
          </c:spPr>
        </c:majorGridlines>
        <c:numFmt formatCode="#,##0.0" sourceLinked="1"/>
        <c:majorTickMark val="out"/>
        <c:minorTickMark val="none"/>
        <c:tickLblPos val="nextTo"/>
        <c:crossAx val="914832768"/>
        <c:crosses val="autoZero"/>
        <c:crossBetween val="between"/>
      </c:valAx>
    </c:plotArea>
    <c:plotVisOnly val="0"/>
    <c:dispBlanksAs val="gap"/>
    <c:showDLblsOverMax val="0"/>
  </c:chart>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 pair trawl seine'!$A$76</c:f>
          <c:strCache>
            <c:ptCount val="1"/>
            <c:pt idx="0">
              <c:v>Top 5 landed species by volume in 2017
NSWOS demersal pair trawl seine</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648C2E"/>
              </a:solidFill>
              <a:ln>
                <a:solidFill>
                  <a:srgbClr val="FFFFFF"/>
                </a:solidFill>
              </a:ln>
            </c:spPr>
          </c:dPt>
          <c:dPt>
            <c:idx val="3"/>
            <c:bubble3D val="0"/>
            <c:spPr>
              <a:solidFill>
                <a:srgbClr val="E84A38"/>
              </a:solidFill>
              <a:ln>
                <a:solidFill>
                  <a:srgbClr val="FFFFFF"/>
                </a:solidFill>
              </a:ln>
            </c:spPr>
          </c:dPt>
          <c:dPt>
            <c:idx val="4"/>
            <c:bubble3D val="0"/>
            <c:spPr>
              <a:solidFill>
                <a:srgbClr val="C1D119"/>
              </a:solidFill>
              <a:ln>
                <a:solidFill>
                  <a:srgbClr val="FFFFFF"/>
                </a:solidFill>
              </a:ln>
            </c:spPr>
          </c:dPt>
          <c:dPt>
            <c:idx val="5"/>
            <c:bubble3D val="0"/>
            <c:spPr>
              <a:solidFill>
                <a:srgbClr val="55585A"/>
              </a:solidFill>
              <a:ln>
                <a:solidFill>
                  <a:srgbClr val="FFFFFF"/>
                </a:solidFill>
              </a:ln>
            </c:spPr>
          </c:dPt>
          <c:cat>
            <c:strRef>
              <c:f>'NSWOS dem pair trawl seine'!$B$77:$B$82</c:f>
              <c:strCache>
                <c:ptCount val="6"/>
                <c:pt idx="0">
                  <c:v>Haddock - 35.8%</c:v>
                </c:pt>
                <c:pt idx="1">
                  <c:v>Cod - 23.1%</c:v>
                </c:pt>
                <c:pt idx="2">
                  <c:v>Hake - 12.5%</c:v>
                </c:pt>
                <c:pt idx="3">
                  <c:v>Saithe - 10.7%</c:v>
                </c:pt>
                <c:pt idx="4">
                  <c:v>Whiting - 9.6%</c:v>
                </c:pt>
                <c:pt idx="5">
                  <c:v>Others - 8.4%</c:v>
                </c:pt>
              </c:strCache>
            </c:strRef>
          </c:cat>
          <c:val>
            <c:numRef>
              <c:f>'NSWOS dem pair trawl seine'!$C$77:$C$82</c:f>
              <c:numCache>
                <c:formatCode>0.0%</c:formatCode>
                <c:ptCount val="6"/>
                <c:pt idx="0">
                  <c:v>0.35765475234138577</c:v>
                </c:pt>
                <c:pt idx="1">
                  <c:v>0.23094702144212764</c:v>
                </c:pt>
                <c:pt idx="2">
                  <c:v>0.12453259334240296</c:v>
                </c:pt>
                <c:pt idx="3">
                  <c:v>0.10671899818091522</c:v>
                </c:pt>
                <c:pt idx="4">
                  <c:v>9.5676446650731509E-2</c:v>
                </c:pt>
                <c:pt idx="5">
                  <c:v>8.4470188042436889E-2</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 pair trawl seine'!$F$76</c:f>
          <c:strCache>
            <c:ptCount val="1"/>
            <c:pt idx="0">
              <c:v>Top 5 landed species by value in 2017
NSWOS demersal pair trawl seine</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'NSWOS dem pair trawl seine'!$G$77:$G$82</c:f>
              <c:strCache>
                <c:ptCount val="6"/>
                <c:pt idx="0">
                  <c:v>Haddock - 31.2%</c:v>
                </c:pt>
                <c:pt idx="1">
                  <c:v>Cod - 30.3%</c:v>
                </c:pt>
                <c:pt idx="2">
                  <c:v>Hake - 13.6%</c:v>
                </c:pt>
                <c:pt idx="3">
                  <c:v>Whiting - 7.4%</c:v>
                </c:pt>
                <c:pt idx="4">
                  <c:v>Saithe - 6.0%</c:v>
                </c:pt>
                <c:pt idx="5">
                  <c:v>Others - 11.4%</c:v>
                </c:pt>
              </c:strCache>
            </c:strRef>
          </c:cat>
          <c:val>
            <c:numRef>
              <c:f>'NSWOS dem pair trawl seine'!$H$77:$H$82</c:f>
              <c:numCache>
                <c:formatCode>0.0%</c:formatCode>
                <c:ptCount val="6"/>
                <c:pt idx="0">
                  <c:v>0.31186411787648871</c:v>
                </c:pt>
                <c:pt idx="1">
                  <c:v>0.30324822088059317</c:v>
                </c:pt>
                <c:pt idx="2">
                  <c:v>0.136463076022944</c:v>
                </c:pt>
                <c:pt idx="3">
                  <c:v>7.4243428253147434E-2</c:v>
                </c:pt>
                <c:pt idx="4">
                  <c:v>6.0456125784025011E-2</c:v>
                </c:pt>
                <c:pt idx="5">
                  <c:v>0.11372503118280175</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 pair trawl seine'!$C$92</c:f>
              <c:strCache>
                <c:ptCount val="1"/>
                <c:pt idx="0">
                  <c:v>Haddock</c:v>
                </c:pt>
              </c:strCache>
            </c:strRef>
          </c:tx>
          <c:spPr>
            <a:solidFill>
              <a:srgbClr val="2273B9"/>
            </a:solidFill>
            <a:ln>
              <a:solidFill>
                <a:srgbClr val="FFFFFF"/>
              </a:solidFill>
            </a:ln>
          </c:spPr>
          <c:invertIfNegative val="0"/>
          <c:cat>
            <c:numRef>
              <c:f>'NSWOS dem pair trawl seine'!$D$91:$M$91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 pair trawl seine'!$D$92:$M$92</c:f>
              <c:numCache>
                <c:formatCode>0%</c:formatCode>
                <c:ptCount val="10"/>
                <c:pt idx="0">
                  <c:v>0.38551740608865409</c:v>
                </c:pt>
                <c:pt idx="1">
                  <c:v>0.36719551449146187</c:v>
                </c:pt>
                <c:pt idx="2">
                  <c:v>0.35228427007098967</c:v>
                </c:pt>
                <c:pt idx="3">
                  <c:v>0.35235411232168662</c:v>
                </c:pt>
                <c:pt idx="4">
                  <c:v>0.43568205751330619</c:v>
                </c:pt>
                <c:pt idx="5">
                  <c:v>0.45572136728729962</c:v>
                </c:pt>
                <c:pt idx="6">
                  <c:v>0.39313096614794296</c:v>
                </c:pt>
                <c:pt idx="7">
                  <c:v>0.31525322249881704</c:v>
                </c:pt>
                <c:pt idx="8">
                  <c:v>0.31186411787648871</c:v>
                </c:pt>
                <c:pt idx="9">
                  <c:v>0.27289536031803951</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'NSWOS dem pair trawl seine'!$C$93</c:f>
              <c:strCache>
                <c:ptCount val="1"/>
                <c:pt idx="0">
                  <c:v>Cod</c:v>
                </c:pt>
              </c:strCache>
            </c:strRef>
          </c:tx>
          <c:spPr>
            <a:solidFill>
              <a:srgbClr val="E87308"/>
            </a:solidFill>
            <a:ln>
              <a:solidFill>
                <a:srgbClr val="FFFFFF"/>
              </a:solidFill>
            </a:ln>
          </c:spPr>
          <c:invertIfNegative val="0"/>
          <c:cat>
            <c:numRef>
              <c:f>'NSWOS dem pair trawl seine'!$D$91:$M$91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 pair trawl seine'!$D$93:$M$93</c:f>
              <c:numCache>
                <c:formatCode>0%</c:formatCode>
                <c:ptCount val="10"/>
                <c:pt idx="0">
                  <c:v>0.22631575564996467</c:v>
                </c:pt>
                <c:pt idx="1">
                  <c:v>0.29785738506985138</c:v>
                </c:pt>
                <c:pt idx="2">
                  <c:v>0.27954583894152302</c:v>
                </c:pt>
                <c:pt idx="3">
                  <c:v>0.27269879400900365</c:v>
                </c:pt>
                <c:pt idx="4">
                  <c:v>0.24822521420368757</c:v>
                </c:pt>
                <c:pt idx="5">
                  <c:v>0.25206868056234105</c:v>
                </c:pt>
                <c:pt idx="6">
                  <c:v>0.27458945988326627</c:v>
                </c:pt>
                <c:pt idx="7">
                  <c:v>0.30305407697875503</c:v>
                </c:pt>
                <c:pt idx="8">
                  <c:v>0.30324822088059317</c:v>
                </c:pt>
                <c:pt idx="9">
                  <c:v>0.29659231651970674</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'NSWOS dem pair trawl seine'!$C$94</c:f>
              <c:strCache>
                <c:ptCount val="1"/>
                <c:pt idx="0">
                  <c:v>Hake</c:v>
                </c:pt>
              </c:strCache>
            </c:strRef>
          </c:tx>
          <c:spPr>
            <a:solidFill>
              <a:srgbClr val="648C2E"/>
            </a:solidFill>
            <a:ln>
              <a:solidFill>
                <a:srgbClr val="FFFFFF"/>
              </a:solidFill>
            </a:ln>
          </c:spPr>
          <c:invertIfNegative val="0"/>
          <c:cat>
            <c:numRef>
              <c:f>'NSWOS dem pair trawl seine'!$D$91:$M$91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 pair trawl seine'!$D$94:$M$94</c:f>
              <c:numCache>
                <c:formatCode>0%</c:formatCode>
                <c:ptCount val="10"/>
                <c:pt idx="0">
                  <c:v>5.556367309505942E-2</c:v>
                </c:pt>
                <c:pt idx="1">
                  <c:v>4.9277158323811181E-2</c:v>
                </c:pt>
                <c:pt idx="2">
                  <c:v>6.8343990094533957E-2</c:v>
                </c:pt>
                <c:pt idx="3">
                  <c:v>0.10321781446429588</c:v>
                </c:pt>
                <c:pt idx="4">
                  <c:v>6.5936914097181457E-2</c:v>
                </c:pt>
                <c:pt idx="5">
                  <c:v>7.5130450908800009E-2</c:v>
                </c:pt>
                <c:pt idx="6">
                  <c:v>8.6951573196641152E-2</c:v>
                </c:pt>
                <c:pt idx="7">
                  <c:v>0.11397079997032863</c:v>
                </c:pt>
                <c:pt idx="8">
                  <c:v>0.136463076022944</c:v>
                </c:pt>
                <c:pt idx="9">
                  <c:v>0.13722934380264745</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'NSWOS dem pair trawl seine'!$C$95</c:f>
              <c:strCache>
                <c:ptCount val="1"/>
                <c:pt idx="0">
                  <c:v>Whiting</c:v>
                </c:pt>
              </c:strCache>
            </c:strRef>
          </c:tx>
          <c:spPr>
            <a:solidFill>
              <a:srgbClr val="C1D119"/>
            </a:solidFill>
            <a:ln>
              <a:solidFill>
                <a:srgbClr val="FFFFFF"/>
              </a:solidFill>
            </a:ln>
          </c:spPr>
          <c:invertIfNegative val="0"/>
          <c:cat>
            <c:numRef>
              <c:f>'NSWOS dem pair trawl seine'!$D$91:$M$91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 pair trawl seine'!$D$95:$M$95</c:f>
              <c:numCache>
                <c:formatCode>0%</c:formatCode>
                <c:ptCount val="10"/>
                <c:pt idx="0">
                  <c:v>9.7507640033755921E-2</c:v>
                </c:pt>
                <c:pt idx="1">
                  <c:v>7.8207463025651264E-2</c:v>
                </c:pt>
                <c:pt idx="2">
                  <c:v>0.10769171555240527</c:v>
                </c:pt>
                <c:pt idx="3">
                  <c:v>0.10500993099662148</c:v>
                </c:pt>
                <c:pt idx="4">
                  <c:v>0.10149551170420033</c:v>
                </c:pt>
                <c:pt idx="5">
                  <c:v>8.3691051558998947E-2</c:v>
                </c:pt>
                <c:pt idx="6">
                  <c:v>8.2947646164777192E-2</c:v>
                </c:pt>
                <c:pt idx="7">
                  <c:v>7.1452072226729751E-2</c:v>
                </c:pt>
                <c:pt idx="8">
                  <c:v>7.4243428253147434E-2</c:v>
                </c:pt>
                <c:pt idx="9">
                  <c:v>8.8468479007243583E-2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'NSWOS dem pair trawl seine'!$C$96</c:f>
              <c:strCache>
                <c:ptCount val="1"/>
                <c:pt idx="0">
                  <c:v>Saithe</c:v>
                </c:pt>
              </c:strCache>
            </c:strRef>
          </c:tx>
          <c:spPr>
            <a:solidFill>
              <a:srgbClr val="E84A38"/>
            </a:solidFill>
            <a:ln>
              <a:solidFill>
                <a:srgbClr val="FFFFFF"/>
              </a:solidFill>
            </a:ln>
          </c:spPr>
          <c:invertIfNegative val="0"/>
          <c:cat>
            <c:numRef>
              <c:f>'NSWOS dem pair trawl seine'!$D$91:$M$91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 pair trawl seine'!$D$96:$M$96</c:f>
              <c:numCache>
                <c:formatCode>0%</c:formatCode>
                <c:ptCount val="10"/>
                <c:pt idx="0">
                  <c:v>9.597944991756957E-2</c:v>
                </c:pt>
                <c:pt idx="1">
                  <c:v>0.11219917301723345</c:v>
                </c:pt>
                <c:pt idx="2">
                  <c:v>0.10528075168111203</c:v>
                </c:pt>
                <c:pt idx="3">
                  <c:v>8.3453622404029135E-2</c:v>
                </c:pt>
                <c:pt idx="4">
                  <c:v>7.8996826924197086E-2</c:v>
                </c:pt>
                <c:pt idx="5">
                  <c:v>7.4743093822931927E-2</c:v>
                </c:pt>
                <c:pt idx="6">
                  <c:v>7.8761213691446952E-2</c:v>
                </c:pt>
                <c:pt idx="7">
                  <c:v>7.8732786348224768E-2</c:v>
                </c:pt>
                <c:pt idx="8">
                  <c:v>6.0456125784025011E-2</c:v>
                </c:pt>
                <c:pt idx="9">
                  <c:v>8.1963905524986974E-2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'NSWOS dem pair trawl seine'!$C$97</c:f>
              <c:strCache>
                <c:ptCount val="1"/>
                <c:pt idx="0">
                  <c:v>Others</c:v>
                </c:pt>
              </c:strCache>
            </c:strRef>
          </c:tx>
          <c:spPr>
            <a:solidFill>
              <a:srgbClr val="55585A"/>
            </a:solidFill>
            <a:ln>
              <a:solidFill>
                <a:srgbClr val="FFFFFF"/>
              </a:solidFill>
            </a:ln>
          </c:spPr>
          <c:invertIfNegative val="0"/>
          <c:cat>
            <c:numRef>
              <c:f>'NSWOS dem pair trawl seine'!$D$91:$M$91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 pair trawl seine'!$D$97:$M$97</c:f>
              <c:numCache>
                <c:formatCode>0%</c:formatCode>
                <c:ptCount val="10"/>
                <c:pt idx="0">
                  <c:v>0.13911607521499633</c:v>
                </c:pt>
                <c:pt idx="1">
                  <c:v>9.5263306071990864E-2</c:v>
                </c:pt>
                <c:pt idx="2">
                  <c:v>8.6853433659436069E-2</c:v>
                </c:pt>
                <c:pt idx="3">
                  <c:v>8.3265725804363255E-2</c:v>
                </c:pt>
                <c:pt idx="4">
                  <c:v>6.9663475557427343E-2</c:v>
                </c:pt>
                <c:pt idx="5">
                  <c:v>5.8645355859628427E-2</c:v>
                </c:pt>
                <c:pt idx="6">
                  <c:v>8.3619140915925441E-2</c:v>
                </c:pt>
                <c:pt idx="7">
                  <c:v>0.11753704197714476</c:v>
                </c:pt>
                <c:pt idx="8">
                  <c:v>0.11372503118280165</c:v>
                </c:pt>
                <c:pt idx="9">
                  <c:v>0.12285059482737572</c:v>
                </c:pt>
              </c:numCache>
            </c:numRef>
          </c:val>
          <c:extLst xmlns:c16r2="http://schemas.microsoft.com/office/drawing/2015/06/chart">
            <c:ext xmlns:c16="http://schemas.microsoft.com/office/drawing/2014/chart" uri="{C3380CC4-5D6E-409C-BE32-E72D297353CC}">
              <c16:uniqueId val="{00000005-282A-42F3-A8CE-7B6B063B5E4F}"/>
            </c:ext>
          </c:extLst>
        </c:ser>
        <c:dLbls>
          <c:showLegendKey val="0"/>
          <c:showVal val="0"/>
          <c:showCatName val="0"/>
          <c:showSerName val="0"/>
          <c:showPercent val="0"/>
          <c:showBubbleSize val="0"/>
        </c:dLbls>
        <c:gapWidth val="150"/>
        <c:overlap val="100"/>
        <c:axId val="556214528"/>
        <c:axId val="556228608"/>
      </c:barChart>
      <c:catAx>
        <c:axId val="556214528"/>
        <c:scaling>
          <c:orientation val="minMax"/>
        </c:scaling>
        <c:delete val="0"/>
        <c:axPos val="b"/>
        <c:numFmt formatCode="General" sourceLinked="1"/>
        <c:majorTickMark val="out"/>
        <c:minorTickMark val="none"/>
        <c:tickLblPos val="nextTo"/>
        <c:crossAx val="556228608"/>
        <c:crosses val="autoZero"/>
        <c:auto val="1"/>
        <c:lblAlgn val="ctr"/>
        <c:lblOffset val="100"/>
        <c:noMultiLvlLbl val="0"/>
      </c:catAx>
      <c:valAx>
        <c:axId val="556228608"/>
        <c:scaling>
          <c:orientation val="minMax"/>
          <c:max val="1"/>
          <c:min val="0"/>
        </c:scaling>
        <c:delete val="0"/>
        <c:axPos val="l"/>
        <c:majorGridlines/>
        <c:numFmt formatCode="0%" sourceLinked="1"/>
        <c:majorTickMark val="out"/>
        <c:minorTickMark val="none"/>
        <c:tickLblPos val="nextTo"/>
        <c:crossAx val="556214528"/>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 pair trawl seine'!$B$162</c:f>
              <c:strCache>
                <c:ptCount val="1"/>
                <c:pt idx="0">
                  <c:v>Haddock</c:v>
                </c:pt>
              </c:strCache>
            </c:strRef>
          </c:tx>
          <c:spPr>
            <a:solidFill>
              <a:srgbClr val="2273B9"/>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seine'!$C$162:$E$162</c:f>
              <c:numCache>
                <c:formatCode>0%</c:formatCode>
                <c:ptCount val="3"/>
                <c:pt idx="0">
                  <c:v>0.31939452786172767</c:v>
                </c:pt>
                <c:pt idx="1">
                  <c:v>0.40871510182628484</c:v>
                </c:pt>
                <c:pt idx="2">
                  <c:v>0.40641486974031965</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'NSWOS dem pair trawl seine'!$B$163</c:f>
              <c:strCache>
                <c:ptCount val="1"/>
                <c:pt idx="0">
                  <c:v>Cod</c:v>
                </c:pt>
              </c:strCache>
            </c:strRef>
          </c:tx>
          <c:spPr>
            <a:solidFill>
              <a:srgbClr val="E87308"/>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seine'!$C$163:$E$163</c:f>
              <c:numCache>
                <c:formatCode>0%</c:formatCode>
                <c:ptCount val="3"/>
                <c:pt idx="0">
                  <c:v>0.25051489850685854</c:v>
                </c:pt>
                <c:pt idx="1">
                  <c:v>0.21969153881093181</c:v>
                </c:pt>
                <c:pt idx="2">
                  <c:v>0.20587180643537359</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'NSWOS dem pair trawl seine'!$B$164</c:f>
              <c:strCache>
                <c:ptCount val="1"/>
                <c:pt idx="0">
                  <c:v>Saithe</c:v>
                </c:pt>
              </c:strCache>
            </c:strRef>
          </c:tx>
          <c:spPr>
            <a:solidFill>
              <a:srgbClr val="E84A38"/>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seine'!$C$164:$E$164</c:f>
              <c:numCache>
                <c:formatCode>0%</c:formatCode>
                <c:ptCount val="3"/>
                <c:pt idx="0">
                  <c:v>9.5034214655064841E-2</c:v>
                </c:pt>
                <c:pt idx="1">
                  <c:v>0.11576128774961286</c:v>
                </c:pt>
                <c:pt idx="2">
                  <c:v>9.2328975175147876E-2</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'NSWOS dem pair trawl seine'!$B$165</c:f>
              <c:strCache>
                <c:ptCount val="1"/>
                <c:pt idx="0">
                  <c:v>Whiting</c:v>
                </c:pt>
              </c:strCache>
            </c:strRef>
          </c:tx>
          <c:spPr>
            <a:solidFill>
              <a:srgbClr val="C1D119"/>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seine'!$C$165:$E$165</c:f>
              <c:numCache>
                <c:formatCode>0%</c:formatCode>
                <c:ptCount val="3"/>
                <c:pt idx="0">
                  <c:v>8.7023833606867967E-2</c:v>
                </c:pt>
                <c:pt idx="1">
                  <c:v>0.10547058094716662</c:v>
                </c:pt>
                <c:pt idx="2">
                  <c:v>0.10535526439988253</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'NSWOS dem pair trawl seine'!$B$166</c:f>
              <c:strCache>
                <c:ptCount val="1"/>
                <c:pt idx="0">
                  <c:v>Hake</c:v>
                </c:pt>
              </c:strCache>
            </c:strRef>
          </c:tx>
          <c:spPr>
            <a:solidFill>
              <a:srgbClr val="648C2E"/>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seine'!$C$166:$E$166</c:f>
              <c:numCache>
                <c:formatCode>0%</c:formatCode>
                <c:ptCount val="3"/>
                <c:pt idx="0">
                  <c:v>0.16361554526979113</c:v>
                </c:pt>
                <c:pt idx="1">
                  <c:v>9.3180952560078883E-2</c:v>
                </c:pt>
                <c:pt idx="2">
                  <c:v>8.4953099435751148E-2</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'NSWOS dem pair trawl seine'!$B$167</c:f>
              <c:strCache>
                <c:ptCount val="1"/>
                <c:pt idx="0">
                  <c:v>Others</c:v>
                </c:pt>
              </c:strCache>
            </c:strRef>
          </c:tx>
          <c:spPr>
            <a:solidFill>
              <a:srgbClr val="55585A"/>
            </a:solidFill>
            <a:ln>
              <a:solidFill>
                <a:srgbClr val="FFFFFF"/>
              </a:solidFill>
            </a:ln>
          </c:spPr>
          <c:invertIfNegative val="0"/>
          <c:cat>
            <c:strRef>
              <c:f>'NSWOS dem pair trawl seine'!$C$161:$E$161</c:f>
              <c:strCache>
                <c:ptCount val="3"/>
                <c:pt idx="0">
                  <c:v>Most
profitable
quartile</c:v>
                </c:pt>
                <c:pt idx="1">
                  <c:v>Middle 
two quartiles</c:v>
                </c:pt>
                <c:pt idx="2">
                  <c:v>Least
profitable
quartile</c:v>
                </c:pt>
              </c:strCache>
            </c:strRef>
          </c:cat>
          <c:val>
            <c:numRef>
              <c:f>'NSWOS dem pair trawl seine'!$C$167:$E$167</c:f>
              <c:numCache>
                <c:formatCode>0%</c:formatCode>
                <c:ptCount val="3"/>
                <c:pt idx="0">
                  <c:v>8.4416980099689787E-2</c:v>
                </c:pt>
                <c:pt idx="1">
                  <c:v>5.7180538105925049E-2</c:v>
                </c:pt>
                <c:pt idx="2">
                  <c:v>0.10507598481352531</c:v>
                </c:pt>
              </c:numCache>
            </c:numRef>
          </c:val>
          <c:extLst xmlns:c16r2="http://schemas.microsoft.com/office/drawing/2015/06/chart">
            <c:ext xmlns:c16="http://schemas.microsoft.com/office/drawing/2014/chart" uri="{C3380CC4-5D6E-409C-BE32-E72D297353CC}">
              <c16:uniqueId val="{00000005-DFDD-4C01-8393-1BE532AE55F9}"/>
            </c:ext>
          </c:extLst>
        </c:ser>
        <c:dLbls>
          <c:showLegendKey val="0"/>
          <c:showVal val="0"/>
          <c:showCatName val="0"/>
          <c:showSerName val="0"/>
          <c:showPercent val="0"/>
          <c:showBubbleSize val="0"/>
        </c:dLbls>
        <c:gapWidth val="150"/>
        <c:overlap val="100"/>
        <c:axId val="556476672"/>
        <c:axId val="556482560"/>
      </c:barChart>
      <c:catAx>
        <c:axId val="556476672"/>
        <c:scaling>
          <c:orientation val="minMax"/>
        </c:scaling>
        <c:delete val="0"/>
        <c:axPos val="b"/>
        <c:numFmt formatCode="General" sourceLinked="0"/>
        <c:majorTickMark val="out"/>
        <c:minorTickMark val="none"/>
        <c:tickLblPos val="nextTo"/>
        <c:crossAx val="556482560"/>
        <c:crosses val="autoZero"/>
        <c:auto val="1"/>
        <c:lblAlgn val="ctr"/>
        <c:lblOffset val="100"/>
        <c:noMultiLvlLbl val="0"/>
      </c:catAx>
      <c:valAx>
        <c:axId val="556482560"/>
        <c:scaling>
          <c:orientation val="minMax"/>
          <c:max val="1"/>
          <c:min val="0"/>
        </c:scaling>
        <c:delete val="0"/>
        <c:axPos val="l"/>
        <c:majorGridlines/>
        <c:minorGridlines/>
        <c:numFmt formatCode="0%" sourceLinked="1"/>
        <c:majorTickMark val="out"/>
        <c:minorTickMark val="none"/>
        <c:tickLblPos val="nextTo"/>
        <c:crossAx val="556476672"/>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o250kW'!$F$76</c:f>
          <c:strCache>
            <c:ptCount val="1"/>
            <c:pt idx="0">
              <c:v>Top 5 landed species by value in 2017
Area VIIA nephrops over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'Area VIIa nephrops o250kW'!$G$77:$G$82</c:f>
              <c:strCache>
                <c:ptCount val="6"/>
                <c:pt idx="0">
                  <c:v>Nephrops - 89.2%</c:v>
                </c:pt>
                <c:pt idx="1">
                  <c:v>Anglerfish - 3.5%</c:v>
                </c:pt>
                <c:pt idx="2">
                  <c:v>Haddock - 2.4%</c:v>
                </c:pt>
                <c:pt idx="3">
                  <c:v>Cuttlefish - 1.4%</c:v>
                </c:pt>
                <c:pt idx="4">
                  <c:v>Brill - 0.6%</c:v>
                </c:pt>
                <c:pt idx="5">
                  <c:v>Others - 2.9%</c:v>
                </c:pt>
              </c:strCache>
            </c:strRef>
          </c:cat>
          <c:val>
            <c:numRef>
              <c:f>'Area VIIa nephrops o250kW'!$H$77:$H$82</c:f>
              <c:numCache>
                <c:formatCode>0.0%</c:formatCode>
                <c:ptCount val="6"/>
                <c:pt idx="0">
                  <c:v>0.89203442238918007</c:v>
                </c:pt>
                <c:pt idx="1">
                  <c:v>3.5071341728217562E-2</c:v>
                </c:pt>
                <c:pt idx="2">
                  <c:v>2.3908969899401989E-2</c:v>
                </c:pt>
                <c:pt idx="3">
                  <c:v>1.4126762761274756E-2</c:v>
                </c:pt>
                <c:pt idx="4">
                  <c:v>6.0873667759539915E-3</c:v>
                </c:pt>
                <c:pt idx="5">
                  <c:v>2.8771136445971623E-2</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 pair trawl seine'!$H$162</c:f>
              <c:strCache>
                <c:ptCount val="1"/>
                <c:pt idx="0">
                  <c:v>Haddock</c:v>
                </c:pt>
              </c:strCache>
            </c:strRef>
          </c:tx>
          <c:spPr>
            <a:solidFill>
              <a:srgbClr val="2273B9"/>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seine'!$I$162:$K$162</c:f>
              <c:numCache>
                <c:formatCode>0%</c:formatCode>
                <c:ptCount val="3"/>
                <c:pt idx="0">
                  <c:v>0.27948952787670206</c:v>
                </c:pt>
                <c:pt idx="1">
                  <c:v>0.32919261166071007</c:v>
                </c:pt>
                <c:pt idx="2">
                  <c:v>0.36880000807136215</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'NSWOS dem pair trawl seine'!$H$163</c:f>
              <c:strCache>
                <c:ptCount val="1"/>
                <c:pt idx="0">
                  <c:v>Cod</c:v>
                </c:pt>
              </c:strCache>
            </c:strRef>
          </c:tx>
          <c:spPr>
            <a:solidFill>
              <a:srgbClr val="E87308"/>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seine'!$I$163:$K$163</c:f>
              <c:numCache>
                <c:formatCode>0%</c:formatCode>
                <c:ptCount val="3"/>
                <c:pt idx="0">
                  <c:v>0.31280544645146119</c:v>
                </c:pt>
                <c:pt idx="1">
                  <c:v>0.31571816678927794</c:v>
                </c:pt>
                <c:pt idx="2">
                  <c:v>0.27311926957125382</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'NSWOS dem pair trawl seine'!$H$164</c:f>
              <c:strCache>
                <c:ptCount val="1"/>
                <c:pt idx="0">
                  <c:v>Hake</c:v>
                </c:pt>
              </c:strCache>
            </c:strRef>
          </c:tx>
          <c:spPr>
            <a:solidFill>
              <a:srgbClr val="648C2E"/>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seine'!$I$164:$K$164</c:f>
              <c:numCache>
                <c:formatCode>0%</c:formatCode>
                <c:ptCount val="3"/>
                <c:pt idx="0">
                  <c:v>0.17619652064238386</c:v>
                </c:pt>
                <c:pt idx="1">
                  <c:v>0.12202087012672599</c:v>
                </c:pt>
                <c:pt idx="2">
                  <c:v>9.2648464001940073E-2</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'NSWOS dem pair trawl seine'!$H$165</c:f>
              <c:strCache>
                <c:ptCount val="1"/>
                <c:pt idx="0">
                  <c:v>Whiting</c:v>
                </c:pt>
              </c:strCache>
            </c:strRef>
          </c:tx>
          <c:spPr>
            <a:solidFill>
              <a:srgbClr val="C1D119"/>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seine'!$I$165:$K$165</c:f>
              <c:numCache>
                <c:formatCode>0%</c:formatCode>
                <c:ptCount val="3"/>
                <c:pt idx="0">
                  <c:v>6.7519091312128562E-2</c:v>
                </c:pt>
                <c:pt idx="1">
                  <c:v>8.0442698904834298E-2</c:v>
                </c:pt>
                <c:pt idx="2">
                  <c:v>7.9917466630731057E-2</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'NSWOS dem pair trawl seine'!$H$166</c:f>
              <c:strCache>
                <c:ptCount val="1"/>
                <c:pt idx="0">
                  <c:v>Saithe</c:v>
                </c:pt>
              </c:strCache>
            </c:strRef>
          </c:tx>
          <c:spPr>
            <a:solidFill>
              <a:srgbClr val="E84A38"/>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seine'!$I$166:$K$166</c:f>
              <c:numCache>
                <c:formatCode>0%</c:formatCode>
                <c:ptCount val="3"/>
                <c:pt idx="0">
                  <c:v>5.2548787292929014E-2</c:v>
                </c:pt>
                <c:pt idx="1">
                  <c:v>7.1925625594637582E-2</c:v>
                </c:pt>
                <c:pt idx="2">
                  <c:v>5.3647435949096524E-2</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'NSWOS dem pair trawl seine'!$H$167</c:f>
              <c:strCache>
                <c:ptCount val="1"/>
                <c:pt idx="0">
                  <c:v>Others</c:v>
                </c:pt>
              </c:strCache>
            </c:strRef>
          </c:tx>
          <c:spPr>
            <a:solidFill>
              <a:srgbClr val="55585A"/>
            </a:solidFill>
            <a:ln>
              <a:solidFill>
                <a:srgbClr val="FFFFFF"/>
              </a:solidFill>
            </a:ln>
          </c:spPr>
          <c:invertIfNegative val="0"/>
          <c:cat>
            <c:strRef>
              <c:f>'NSWOS dem pair trawl seine'!$I$161:$K$161</c:f>
              <c:strCache>
                <c:ptCount val="3"/>
                <c:pt idx="0">
                  <c:v>Most
profitable
quartile</c:v>
                </c:pt>
                <c:pt idx="1">
                  <c:v>Middle 
two quartiles</c:v>
                </c:pt>
                <c:pt idx="2">
                  <c:v>Least
profitable
quartile</c:v>
                </c:pt>
              </c:strCache>
            </c:strRef>
          </c:cat>
          <c:val>
            <c:numRef>
              <c:f>'NSWOS dem pair trawl seine'!$I$167:$K$167</c:f>
              <c:numCache>
                <c:formatCode>0%</c:formatCode>
                <c:ptCount val="3"/>
                <c:pt idx="0">
                  <c:v>0.11144062642439534</c:v>
                </c:pt>
                <c:pt idx="1">
                  <c:v>8.0700026923814172E-2</c:v>
                </c:pt>
                <c:pt idx="2">
                  <c:v>0.13186735577561648</c:v>
                </c:pt>
              </c:numCache>
            </c:numRef>
          </c:val>
          <c:extLst xmlns:c16r2="http://schemas.microsoft.com/office/drawing/2015/06/chart">
            <c:ext xmlns:c16="http://schemas.microsoft.com/office/drawing/2014/chart" uri="{C3380CC4-5D6E-409C-BE32-E72D297353CC}">
              <c16:uniqueId val="{00000005-DC58-4725-8A67-0BDC09FD93CD}"/>
            </c:ext>
          </c:extLst>
        </c:ser>
        <c:dLbls>
          <c:showLegendKey val="0"/>
          <c:showVal val="0"/>
          <c:showCatName val="0"/>
          <c:showSerName val="0"/>
          <c:showPercent val="0"/>
          <c:showBubbleSize val="0"/>
        </c:dLbls>
        <c:gapWidth val="150"/>
        <c:overlap val="100"/>
        <c:axId val="944310912"/>
        <c:axId val="944316800"/>
      </c:barChart>
      <c:catAx>
        <c:axId val="944310912"/>
        <c:scaling>
          <c:orientation val="minMax"/>
        </c:scaling>
        <c:delete val="0"/>
        <c:axPos val="b"/>
        <c:numFmt formatCode="General" sourceLinked="0"/>
        <c:majorTickMark val="out"/>
        <c:minorTickMark val="none"/>
        <c:tickLblPos val="nextTo"/>
        <c:crossAx val="944316800"/>
        <c:crosses val="autoZero"/>
        <c:auto val="1"/>
        <c:lblAlgn val="ctr"/>
        <c:lblOffset val="100"/>
        <c:noMultiLvlLbl val="0"/>
      </c:catAx>
      <c:valAx>
        <c:axId val="944316800"/>
        <c:scaling>
          <c:orientation val="minMax"/>
          <c:max val="1"/>
          <c:min val="0"/>
        </c:scaling>
        <c:delete val="0"/>
        <c:axPos val="l"/>
        <c:majorGridlines/>
        <c:minorGridlines/>
        <c:numFmt formatCode="0%" sourceLinked="1"/>
        <c:majorTickMark val="out"/>
        <c:minorTickMark val="none"/>
        <c:tickLblPos val="nextTo"/>
        <c:crossAx val="944310912"/>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 pair trawl seine'!$K$143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 pair trawl seine'!$K$139</c:f>
              <c:strCache>
                <c:ptCount val="1"/>
                <c:pt idx="0">
                  <c:v>Total income</c:v>
                </c:pt>
              </c:strCache>
            </c:strRef>
          </c:tx>
          <c:spPr>
            <a:solidFill>
              <a:schemeClr val="accent1"/>
            </a:solidFill>
            <a:ln>
              <a:solidFill>
                <a:schemeClr val="accent1"/>
              </a:solidFill>
            </a:ln>
          </c:spPr>
          <c:invertIfNegative val="0"/>
          <c:cat>
            <c:strRef>
              <c:f>'NSWOS dem pair trawl seine'!$L$138:$N$138</c:f>
              <c:strCache>
                <c:ptCount val="3"/>
                <c:pt idx="0">
                  <c:v>Most
profitable
quartile</c:v>
                </c:pt>
                <c:pt idx="1">
                  <c:v>Middle
two quartiles</c:v>
                </c:pt>
                <c:pt idx="2">
                  <c:v>Least
profitable
quartile</c:v>
                </c:pt>
              </c:strCache>
            </c:strRef>
          </c:cat>
          <c:val>
            <c:numRef>
              <c:f>'NSWOS dem pair trawl seine'!$L$139:$N$139</c:f>
              <c:numCache>
                <c:formatCode>#,##0</c:formatCode>
                <c:ptCount val="3"/>
                <c:pt idx="0">
                  <c:v>3397.9477499999998</c:v>
                </c:pt>
                <c:pt idx="1">
                  <c:v>1828.68064423077</c:v>
                </c:pt>
                <c:pt idx="2">
                  <c:v>1434.358125</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'NSWOS dem pair trawl seine'!$K$140</c:f>
              <c:strCache>
                <c:ptCount val="1"/>
                <c:pt idx="0">
                  <c:v>Operating costs</c:v>
                </c:pt>
              </c:strCache>
            </c:strRef>
          </c:tx>
          <c:spPr>
            <a:solidFill>
              <a:schemeClr val="accent3"/>
            </a:solidFill>
          </c:spPr>
          <c:invertIfNegative val="0"/>
          <c:cat>
            <c:strRef>
              <c:f>'NSWOS dem pair trawl seine'!$L$138:$N$138</c:f>
              <c:strCache>
                <c:ptCount val="3"/>
                <c:pt idx="0">
                  <c:v>Most
profitable
quartile</c:v>
                </c:pt>
                <c:pt idx="1">
                  <c:v>Middle
two quartiles</c:v>
                </c:pt>
                <c:pt idx="2">
                  <c:v>Least
profitable
quartile</c:v>
                </c:pt>
              </c:strCache>
            </c:strRef>
          </c:cat>
          <c:val>
            <c:numRef>
              <c:f>'NSWOS dem pair trawl seine'!$L$140:$N$140</c:f>
              <c:numCache>
                <c:formatCode>#,##0</c:formatCode>
                <c:ptCount val="3"/>
                <c:pt idx="0">
                  <c:v>2775.9947499999998</c:v>
                </c:pt>
                <c:pt idx="1">
                  <c:v>1520.9659615384601</c:v>
                </c:pt>
                <c:pt idx="2">
                  <c:v>1224.5638750000001</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'NSWOS dem pair trawl seine'!$K$141</c:f>
              <c:strCache>
                <c:ptCount val="1"/>
                <c:pt idx="0">
                  <c:v>Operating profit</c:v>
                </c:pt>
              </c:strCache>
            </c:strRef>
          </c:tx>
          <c:spPr>
            <a:solidFill>
              <a:schemeClr val="accent2"/>
            </a:solidFill>
          </c:spPr>
          <c:invertIfNegative val="0"/>
          <c:cat>
            <c:strRef>
              <c:f>'NSWOS dem pair trawl seine'!$L$138:$N$138</c:f>
              <c:strCache>
                <c:ptCount val="3"/>
                <c:pt idx="0">
                  <c:v>Most
profitable
quartile</c:v>
                </c:pt>
                <c:pt idx="1">
                  <c:v>Middle
two quartiles</c:v>
                </c:pt>
                <c:pt idx="2">
                  <c:v>Least
profitable
quartile</c:v>
                </c:pt>
              </c:strCache>
            </c:strRef>
          </c:cat>
          <c:val>
            <c:numRef>
              <c:f>'NSWOS dem pair trawl seine'!$L$141:$N$141</c:f>
              <c:numCache>
                <c:formatCode>#,##0</c:formatCode>
                <c:ptCount val="3"/>
                <c:pt idx="0">
                  <c:v>621.95299999999997</c:v>
                </c:pt>
                <c:pt idx="1">
                  <c:v>307.71468269230797</c:v>
                </c:pt>
                <c:pt idx="2">
                  <c:v>209.79425000000001</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944344064"/>
        <c:axId val="944345856"/>
      </c:barChart>
      <c:catAx>
        <c:axId val="944344064"/>
        <c:scaling>
          <c:orientation val="minMax"/>
        </c:scaling>
        <c:delete val="0"/>
        <c:axPos val="b"/>
        <c:numFmt formatCode="General" sourceLinked="0"/>
        <c:majorTickMark val="out"/>
        <c:minorTickMark val="none"/>
        <c:tickLblPos val="nextTo"/>
        <c:crossAx val="944345856"/>
        <c:crosses val="autoZero"/>
        <c:auto val="1"/>
        <c:lblAlgn val="ctr"/>
        <c:lblOffset val="100"/>
        <c:noMultiLvlLbl val="0"/>
      </c:catAx>
      <c:valAx>
        <c:axId val="944345856"/>
        <c:scaling>
          <c:orientation val="minMax"/>
        </c:scaling>
        <c:delete val="0"/>
        <c:axPos val="l"/>
        <c:majorGridlines/>
        <c:title>
          <c:tx>
            <c:strRef>
              <c:f>'NSWOS dem pair trawl seine'!$K$142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944344064"/>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seiners'!$A$48</c:f>
          <c:strCache>
            <c:ptCount val="1"/>
            <c:pt idx="0">
              <c:v>Landings per kW day at sea (kg)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'NSWOS demersal seiners'!$D$2:$N$2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seiners'!$D$21:$N$21</c:f>
              <c:numCache>
                <c:formatCode>#,##0.00</c:formatCode>
                <c:ptCount val="11"/>
                <c:pt idx="0">
                  <c:v>5.674823751781493</c:v>
                </c:pt>
                <c:pt idx="1">
                  <c:v>7.3448149556789835</c:v>
                </c:pt>
                <c:pt idx="2">
                  <c:v>8.4993815218956108</c:v>
                </c:pt>
                <c:pt idx="3">
                  <c:v>8.5060519742911787</c:v>
                </c:pt>
                <c:pt idx="4">
                  <c:v>11.540425586197996</c:v>
                </c:pt>
                <c:pt idx="5">
                  <c:v>8.9159607672965073</c:v>
                </c:pt>
                <c:pt idx="6">
                  <c:v>10.202824663731205</c:v>
                </c:pt>
                <c:pt idx="7">
                  <c:v>9.4220250944414463</c:v>
                </c:pt>
                <c:pt idx="8">
                  <c:v>9.8505721695795074</c:v>
                </c:pt>
                <c:pt idx="9">
                  <c:v>8.6359219333770429</c:v>
                </c:pt>
                <c:pt idx="10">
                  <c:v>10.810901526805138</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944075136"/>
        <c:axId val="944076672"/>
      </c:lineChart>
      <c:catAx>
        <c:axId val="944075136"/>
        <c:scaling>
          <c:orientation val="minMax"/>
        </c:scaling>
        <c:delete val="0"/>
        <c:axPos val="b"/>
        <c:numFmt formatCode="General" sourceLinked="1"/>
        <c:majorTickMark val="out"/>
        <c:minorTickMark val="none"/>
        <c:tickLblPos val="nextTo"/>
        <c:crossAx val="944076672"/>
        <c:crosses val="autoZero"/>
        <c:auto val="1"/>
        <c:lblAlgn val="ctr"/>
        <c:lblOffset val="100"/>
        <c:noMultiLvlLbl val="0"/>
      </c:catAx>
      <c:valAx>
        <c:axId val="944076672"/>
        <c:scaling>
          <c:orientation val="minMax"/>
        </c:scaling>
        <c:delete val="0"/>
        <c:axPos val="l"/>
        <c:majorGridlines>
          <c:spPr>
            <a:ln w="3175">
              <a:prstDash val="sysDot"/>
            </a:ln>
          </c:spPr>
        </c:majorGridlines>
        <c:numFmt formatCode="#,##0.00" sourceLinked="1"/>
        <c:majorTickMark val="out"/>
        <c:minorTickMark val="none"/>
        <c:tickLblPos val="nextTo"/>
        <c:crossAx val="944075136"/>
        <c:crosses val="autoZero"/>
        <c:crossBetween val="between"/>
      </c:valAx>
    </c:plotArea>
    <c:plotVisOnly val="0"/>
    <c:dispBlanksAs val="gap"/>
    <c:showDLblsOverMax val="0"/>
  </c:chart>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seiners'!$A$49</c:f>
          <c:strCache>
            <c:ptCount val="1"/>
            <c:pt idx="0">
              <c:v>Fishing income per kW day at sea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'NSWOS demersal seiners'!$D$2:$N$2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seiners'!$D$22:$N$22</c:f>
              <c:numCache>
                <c:formatCode>#,##0.00</c:formatCode>
                <c:ptCount val="11"/>
                <c:pt idx="0">
                  <c:v>9.1993401668932204</c:v>
                </c:pt>
                <c:pt idx="1">
                  <c:v>9.5738863289545098</c:v>
                </c:pt>
                <c:pt idx="2">
                  <c:v>12.700398864914501</c:v>
                </c:pt>
                <c:pt idx="3">
                  <c:v>14.013570045861799</c:v>
                </c:pt>
                <c:pt idx="4">
                  <c:v>16.1253079127676</c:v>
                </c:pt>
                <c:pt idx="5">
                  <c:v>12.6279555336976</c:v>
                </c:pt>
                <c:pt idx="6">
                  <c:v>15.742214894402601</c:v>
                </c:pt>
                <c:pt idx="7">
                  <c:v>14.422424177010299</c:v>
                </c:pt>
                <c:pt idx="8">
                  <c:v>15.9564285543645</c:v>
                </c:pt>
                <c:pt idx="9">
                  <c:v>14.3218645748252</c:v>
                </c:pt>
                <c:pt idx="10">
                  <c:v>17.975734757989159</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944090496"/>
        <c:axId val="944383104"/>
      </c:lineChart>
      <c:catAx>
        <c:axId val="944090496"/>
        <c:scaling>
          <c:orientation val="minMax"/>
        </c:scaling>
        <c:delete val="0"/>
        <c:axPos val="b"/>
        <c:numFmt formatCode="General" sourceLinked="1"/>
        <c:majorTickMark val="out"/>
        <c:minorTickMark val="none"/>
        <c:tickLblPos val="nextTo"/>
        <c:crossAx val="944383104"/>
        <c:crosses val="autoZero"/>
        <c:auto val="1"/>
        <c:lblAlgn val="ctr"/>
        <c:lblOffset val="100"/>
        <c:noMultiLvlLbl val="0"/>
      </c:catAx>
      <c:valAx>
        <c:axId val="944383104"/>
        <c:scaling>
          <c:orientation val="minMax"/>
        </c:scaling>
        <c:delete val="0"/>
        <c:axPos val="l"/>
        <c:majorGridlines>
          <c:spPr>
            <a:ln w="3175">
              <a:prstDash val="sysDot"/>
            </a:ln>
          </c:spPr>
        </c:majorGridlines>
        <c:numFmt formatCode="#,##0.00" sourceLinked="1"/>
        <c:majorTickMark val="out"/>
        <c:minorTickMark val="none"/>
        <c:tickLblPos val="nextTo"/>
        <c:crossAx val="944090496"/>
        <c:crosses val="autoZero"/>
        <c:crossBetween val="between"/>
      </c:valAx>
    </c:plotArea>
    <c:plotVisOnly val="0"/>
    <c:dispBlanksAs val="gap"/>
    <c:showDLblsOverMax val="0"/>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seiners'!$B$62</c:f>
          <c:strCache>
            <c:ptCount val="1"/>
            <c:pt idx="0">
              <c:v>Total cost per kW day at sea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'NSWOS demersal seiners'!$D$2:$N$2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seiners'!$D$23:$N$23</c:f>
              <c:numCache>
                <c:formatCode>#,##0.00</c:formatCode>
                <c:ptCount val="11"/>
                <c:pt idx="0">
                  <c:v>8.2681205376306508</c:v>
                </c:pt>
                <c:pt idx="1">
                  <c:v>8.7690342781395891</c:v>
                </c:pt>
                <c:pt idx="2">
                  <c:v>10.281098555047899</c:v>
                </c:pt>
                <c:pt idx="3">
                  <c:v>11.097843143233399</c:v>
                </c:pt>
                <c:pt idx="4">
                  <c:v>14.745858568271199</c:v>
                </c:pt>
                <c:pt idx="5">
                  <c:v>11.734012504425399</c:v>
                </c:pt>
                <c:pt idx="6">
                  <c:v>13.083811119530401</c:v>
                </c:pt>
                <c:pt idx="7">
                  <c:v>12.952379924446801</c:v>
                </c:pt>
                <c:pt idx="8">
                  <c:v>13.332636905188499</c:v>
                </c:pt>
                <c:pt idx="9">
                  <c:v>11.7416473073816</c:v>
                </c:pt>
                <c:pt idx="10">
                  <c:v>14.859558181581223</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944396928"/>
        <c:axId val="944177536"/>
      </c:lineChart>
      <c:catAx>
        <c:axId val="944396928"/>
        <c:scaling>
          <c:orientation val="minMax"/>
        </c:scaling>
        <c:delete val="0"/>
        <c:axPos val="b"/>
        <c:numFmt formatCode="General" sourceLinked="1"/>
        <c:majorTickMark val="out"/>
        <c:minorTickMark val="none"/>
        <c:tickLblPos val="nextTo"/>
        <c:crossAx val="944177536"/>
        <c:crosses val="autoZero"/>
        <c:auto val="1"/>
        <c:lblAlgn val="ctr"/>
        <c:lblOffset val="100"/>
        <c:noMultiLvlLbl val="0"/>
      </c:catAx>
      <c:valAx>
        <c:axId val="944177536"/>
        <c:scaling>
          <c:orientation val="minMax"/>
        </c:scaling>
        <c:delete val="0"/>
        <c:axPos val="l"/>
        <c:majorGridlines>
          <c:spPr>
            <a:ln w="3175">
              <a:prstDash val="sysDot"/>
            </a:ln>
          </c:spPr>
        </c:majorGridlines>
        <c:numFmt formatCode="#,##0.00" sourceLinked="1"/>
        <c:majorTickMark val="out"/>
        <c:minorTickMark val="none"/>
        <c:tickLblPos val="nextTo"/>
        <c:crossAx val="944396928"/>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seiners'!$K$48</c:f>
          <c:strCache>
            <c:ptCount val="1"/>
            <c:pt idx="0">
              <c:v>Operating profit per kW day at sea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'NSWOS demersal seiners'!$D$2:$N$2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seiners'!$D$24:$N$24</c:f>
              <c:numCache>
                <c:formatCode>#,##0.00</c:formatCode>
                <c:ptCount val="11"/>
                <c:pt idx="0">
                  <c:v>1.24040199332037</c:v>
                </c:pt>
                <c:pt idx="1">
                  <c:v>1.2708596474585701</c:v>
                </c:pt>
                <c:pt idx="2">
                  <c:v>2.5895913033933899</c:v>
                </c:pt>
                <c:pt idx="3">
                  <c:v>3.2656630717322601</c:v>
                </c:pt>
                <c:pt idx="4">
                  <c:v>3.35783698182196</c:v>
                </c:pt>
                <c:pt idx="5">
                  <c:v>2.4998924847613599</c:v>
                </c:pt>
                <c:pt idx="6">
                  <c:v>4.1003801820322199</c:v>
                </c:pt>
                <c:pt idx="7">
                  <c:v>3.6046773880194301</c:v>
                </c:pt>
                <c:pt idx="8">
                  <c:v>3.7785482214099702</c:v>
                </c:pt>
                <c:pt idx="9">
                  <c:v>3.7740839650226699</c:v>
                </c:pt>
                <c:pt idx="10">
                  <c:v>4.6146288885299409</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44215936"/>
        <c:axId val="944217472"/>
      </c:lineChart>
      <c:catAx>
        <c:axId val="944215936"/>
        <c:scaling>
          <c:orientation val="minMax"/>
        </c:scaling>
        <c:delete val="0"/>
        <c:axPos val="b"/>
        <c:numFmt formatCode="General" sourceLinked="1"/>
        <c:majorTickMark val="out"/>
        <c:minorTickMark val="none"/>
        <c:tickLblPos val="nextTo"/>
        <c:crossAx val="944217472"/>
        <c:crosses val="autoZero"/>
        <c:auto val="1"/>
        <c:lblAlgn val="ctr"/>
        <c:lblOffset val="100"/>
        <c:noMultiLvlLbl val="0"/>
      </c:catAx>
      <c:valAx>
        <c:axId val="944217472"/>
        <c:scaling>
          <c:orientation val="minMax"/>
        </c:scaling>
        <c:delete val="0"/>
        <c:axPos val="l"/>
        <c:majorGridlines>
          <c:spPr>
            <a:ln w="3175">
              <a:prstDash val="sysDot"/>
            </a:ln>
          </c:spPr>
        </c:majorGridlines>
        <c:numFmt formatCode="#,##0.00" sourceLinked="1"/>
        <c:majorTickMark val="out"/>
        <c:minorTickMark val="none"/>
        <c:tickLblPos val="nextTo"/>
        <c:crossAx val="944215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seiners'!$A$50</c:f>
          <c:strCache>
            <c:ptCount val="1"/>
            <c:pt idx="0">
              <c:v>Average price per tonne landed (£)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'NSWOS demersal seiners'!$D$2:$N$2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seiners'!$D$20:$N$20</c:f>
              <c:numCache>
                <c:formatCode>#,##0</c:formatCode>
                <c:ptCount val="11"/>
                <c:pt idx="0">
                  <c:v>1621</c:v>
                </c:pt>
                <c:pt idx="1">
                  <c:v>1303</c:v>
                </c:pt>
                <c:pt idx="2">
                  <c:v>1494</c:v>
                </c:pt>
                <c:pt idx="3">
                  <c:v>1647</c:v>
                </c:pt>
                <c:pt idx="4">
                  <c:v>1397</c:v>
                </c:pt>
                <c:pt idx="5">
                  <c:v>1416</c:v>
                </c:pt>
                <c:pt idx="6">
                  <c:v>1543</c:v>
                </c:pt>
                <c:pt idx="7">
                  <c:v>1531</c:v>
                </c:pt>
                <c:pt idx="8">
                  <c:v>1620</c:v>
                </c:pt>
                <c:pt idx="9">
                  <c:v>1658</c:v>
                </c:pt>
                <c:pt idx="10">
                  <c:v>1663</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44247936"/>
        <c:axId val="944249472"/>
      </c:lineChart>
      <c:catAx>
        <c:axId val="944247936"/>
        <c:scaling>
          <c:orientation val="minMax"/>
        </c:scaling>
        <c:delete val="0"/>
        <c:axPos val="b"/>
        <c:numFmt formatCode="General" sourceLinked="1"/>
        <c:majorTickMark val="out"/>
        <c:minorTickMark val="none"/>
        <c:tickLblPos val="nextTo"/>
        <c:crossAx val="944249472"/>
        <c:crosses val="autoZero"/>
        <c:auto val="1"/>
        <c:lblAlgn val="ctr"/>
        <c:lblOffset val="100"/>
        <c:noMultiLvlLbl val="0"/>
      </c:catAx>
      <c:valAx>
        <c:axId val="944249472"/>
        <c:scaling>
          <c:orientation val="minMax"/>
        </c:scaling>
        <c:delete val="0"/>
        <c:axPos val="l"/>
        <c:majorGridlines>
          <c:spPr>
            <a:ln w="3175">
              <a:prstDash val="sysDot"/>
            </a:ln>
          </c:spPr>
        </c:majorGridlines>
        <c:numFmt formatCode="#,##0" sourceLinked="1"/>
        <c:majorTickMark val="out"/>
        <c:minorTickMark val="none"/>
        <c:tickLblPos val="nextTo"/>
        <c:crossAx val="944247936"/>
        <c:crosses val="autoZero"/>
        <c:crossBetween val="between"/>
      </c:valAx>
    </c:plotArea>
    <c:plotVisOnly val="0"/>
    <c:dispBlanksAs val="gap"/>
    <c:showDLblsOverMax val="0"/>
  </c:chart>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seiners'!$K$62</c:f>
          <c:strCache>
            <c:ptCount val="1"/>
            <c:pt idx="0">
              <c:v>Average annual operating profit per vessel (£'000)
NSWOS demersal seiners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'NSWOS demersal seiners'!$D$2:$N$2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seiners'!$D$37:$N$37</c:f>
              <c:numCache>
                <c:formatCode>#,##0.0</c:formatCode>
                <c:ptCount val="11"/>
                <c:pt idx="0">
                  <c:v>95.4</c:v>
                </c:pt>
                <c:pt idx="1">
                  <c:v>79.8</c:v>
                </c:pt>
                <c:pt idx="2">
                  <c:v>134.30000000000001</c:v>
                </c:pt>
                <c:pt idx="3">
                  <c:v>208.8</c:v>
                </c:pt>
                <c:pt idx="4">
                  <c:v>180.2</c:v>
                </c:pt>
                <c:pt idx="5">
                  <c:v>191.4</c:v>
                </c:pt>
                <c:pt idx="6">
                  <c:v>287.39999999999998</c:v>
                </c:pt>
                <c:pt idx="7">
                  <c:v>260.89999999999998</c:v>
                </c:pt>
                <c:pt idx="8">
                  <c:v>276.8</c:v>
                </c:pt>
                <c:pt idx="9">
                  <c:v>365.3</c:v>
                </c:pt>
                <c:pt idx="10">
                  <c:v>358.2</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44296320"/>
        <c:axId val="944297856"/>
      </c:lineChart>
      <c:catAx>
        <c:axId val="944296320"/>
        <c:scaling>
          <c:orientation val="minMax"/>
        </c:scaling>
        <c:delete val="0"/>
        <c:axPos val="b"/>
        <c:numFmt formatCode="General" sourceLinked="1"/>
        <c:majorTickMark val="out"/>
        <c:minorTickMark val="none"/>
        <c:tickLblPos val="nextTo"/>
        <c:crossAx val="944297856"/>
        <c:crosses val="autoZero"/>
        <c:auto val="1"/>
        <c:lblAlgn val="ctr"/>
        <c:lblOffset val="100"/>
        <c:noMultiLvlLbl val="0"/>
      </c:catAx>
      <c:valAx>
        <c:axId val="944297856"/>
        <c:scaling>
          <c:orientation val="minMax"/>
        </c:scaling>
        <c:delete val="0"/>
        <c:axPos val="l"/>
        <c:majorGridlines>
          <c:spPr>
            <a:ln w="3175">
              <a:prstDash val="sysDot"/>
            </a:ln>
          </c:spPr>
        </c:majorGridlines>
        <c:numFmt formatCode="#,##0.0" sourceLinked="1"/>
        <c:majorTickMark val="out"/>
        <c:minorTickMark val="none"/>
        <c:tickLblPos val="nextTo"/>
        <c:crossAx val="944296320"/>
        <c:crosses val="autoZero"/>
        <c:crossBetween val="between"/>
      </c:valAx>
    </c:plotArea>
    <c:plotVisOnly val="0"/>
    <c:dispBlanksAs val="gap"/>
    <c:showDLblsOverMax val="0"/>
  </c:chart>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seiners'!$A$76</c:f>
          <c:strCache>
            <c:ptCount val="1"/>
            <c:pt idx="0">
              <c:v>Top 5 landed species by volume in 2017
NSWOS demersal seiners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0F9AA9"/>
              </a:solidFill>
              <a:ln>
                <a:solidFill>
                  <a:srgbClr val="FFFFFF"/>
                </a:solidFill>
              </a:ln>
            </c:spPr>
          </c:dPt>
          <c:dPt>
            <c:idx val="5"/>
            <c:bubble3D val="0"/>
            <c:spPr>
              <a:solidFill>
                <a:srgbClr val="55585A"/>
              </a:solidFill>
              <a:ln>
                <a:solidFill>
                  <a:srgbClr val="FFFFFF"/>
                </a:solidFill>
              </a:ln>
            </c:spPr>
          </c:dPt>
          <c:cat>
            <c:strRef>
              <c:f>'NSWOS demersal seiners'!$B$77:$B$82</c:f>
              <c:strCache>
                <c:ptCount val="6"/>
                <c:pt idx="0">
                  <c:v>Haddock - 32.4%</c:v>
                </c:pt>
                <c:pt idx="1">
                  <c:v>Cod - 15.5%</c:v>
                </c:pt>
                <c:pt idx="2">
                  <c:v>Whiting - 15.4%</c:v>
                </c:pt>
                <c:pt idx="3">
                  <c:v>Plaice - 13.5%</c:v>
                </c:pt>
                <c:pt idx="4">
                  <c:v>Hake - 4.0%</c:v>
                </c:pt>
                <c:pt idx="5">
                  <c:v>Others - 19.3%</c:v>
                </c:pt>
              </c:strCache>
            </c:strRef>
          </c:cat>
          <c:val>
            <c:numRef>
              <c:f>'NSWOS demersal seiners'!$C$77:$C$82</c:f>
              <c:numCache>
                <c:formatCode>0.0%</c:formatCode>
                <c:ptCount val="6"/>
                <c:pt idx="0">
                  <c:v>0.32417061145556797</c:v>
                </c:pt>
                <c:pt idx="1">
                  <c:v>0.15473554747383214</c:v>
                </c:pt>
                <c:pt idx="2">
                  <c:v>0.15393526028183635</c:v>
                </c:pt>
                <c:pt idx="3">
                  <c:v>0.13452406023388855</c:v>
                </c:pt>
                <c:pt idx="4">
                  <c:v>3.9606131340163331E-2</c:v>
                </c:pt>
                <c:pt idx="5">
                  <c:v>0.19302838921471166</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seiners'!$F$76</c:f>
          <c:strCache>
            <c:ptCount val="1"/>
            <c:pt idx="0">
              <c:v>Top 5 landed species by value in 2017
NSWOS demersal seiners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'NSWOS demersal seiners'!$G$77:$G$82</c:f>
              <c:strCache>
                <c:ptCount val="6"/>
                <c:pt idx="0">
                  <c:v>Haddock - 25.7%</c:v>
                </c:pt>
                <c:pt idx="1">
                  <c:v>Cod - 21.1%</c:v>
                </c:pt>
                <c:pt idx="2">
                  <c:v>Whiting - 12.1%</c:v>
                </c:pt>
                <c:pt idx="3">
                  <c:v>Plaice - 10.4%</c:v>
                </c:pt>
                <c:pt idx="4">
                  <c:v>Squid - 6.3%</c:v>
                </c:pt>
                <c:pt idx="5">
                  <c:v>Others - 24.4%</c:v>
                </c:pt>
              </c:strCache>
            </c:strRef>
          </c:cat>
          <c:val>
            <c:numRef>
              <c:f>'NSWOS demersal seiners'!$H$77:$H$82</c:f>
              <c:numCache>
                <c:formatCode>0.0%</c:formatCode>
                <c:ptCount val="6"/>
                <c:pt idx="0">
                  <c:v>0.25671695300445463</c:v>
                </c:pt>
                <c:pt idx="1">
                  <c:v>0.21091627083559547</c:v>
                </c:pt>
                <c:pt idx="2">
                  <c:v>0.12148302609165346</c:v>
                </c:pt>
                <c:pt idx="3">
                  <c:v>0.10394572630390836</c:v>
                </c:pt>
                <c:pt idx="4">
                  <c:v>6.3048511034280996E-2</c:v>
                </c:pt>
                <c:pt idx="5">
                  <c:v>0.24388951273010717</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VIIa nephrops o250kW'!$C$92</c:f>
              <c:strCache>
                <c:ptCount val="1"/>
                <c:pt idx="0">
                  <c:v>Nephrops</c:v>
                </c:pt>
              </c:strCache>
            </c:strRef>
          </c:tx>
          <c:spPr>
            <a:solidFill>
              <a:srgbClr val="2273B9"/>
            </a:solidFill>
            <a:ln>
              <a:solidFill>
                <a:srgbClr val="FFFFFF"/>
              </a:solidFill>
            </a:ln>
          </c:spPr>
          <c:invertIfNegative val="0"/>
          <c:cat>
            <c:numRef>
              <c:f>'Area VIIa nephrops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o250kW'!$D$92:$M$92</c:f>
              <c:numCache>
                <c:formatCode>0%</c:formatCode>
                <c:ptCount val="10"/>
                <c:pt idx="0">
                  <c:v>0.87521984322238222</c:v>
                </c:pt>
                <c:pt idx="1">
                  <c:v>0.87679481855102348</c:v>
                </c:pt>
                <c:pt idx="2">
                  <c:v>0.8634558600182346</c:v>
                </c:pt>
                <c:pt idx="3">
                  <c:v>0.90317182843483113</c:v>
                </c:pt>
                <c:pt idx="4">
                  <c:v>0.85612255622104805</c:v>
                </c:pt>
                <c:pt idx="5">
                  <c:v>0.89523202079674202</c:v>
                </c:pt>
                <c:pt idx="6">
                  <c:v>0.90538709198932132</c:v>
                </c:pt>
                <c:pt idx="7">
                  <c:v>0.90821284781460132</c:v>
                </c:pt>
                <c:pt idx="8">
                  <c:v>0.89203442238918007</c:v>
                </c:pt>
                <c:pt idx="9">
                  <c:v>0.85281818837863765</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'Area VIIa nephrops o250kW'!$C$93</c:f>
              <c:strCache>
                <c:ptCount val="1"/>
                <c:pt idx="0">
                  <c:v>Anglerfish</c:v>
                </c:pt>
              </c:strCache>
            </c:strRef>
          </c:tx>
          <c:spPr>
            <a:solidFill>
              <a:srgbClr val="E87308"/>
            </a:solidFill>
            <a:ln>
              <a:solidFill>
                <a:srgbClr val="FFFFFF"/>
              </a:solidFill>
            </a:ln>
          </c:spPr>
          <c:invertIfNegative val="0"/>
          <c:cat>
            <c:numRef>
              <c:f>'Area VIIa nephrops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o250kW'!$D$93:$M$93</c:f>
              <c:numCache>
                <c:formatCode>0%</c:formatCode>
                <c:ptCount val="10"/>
                <c:pt idx="0">
                  <c:v>2.9870671769242085E-2</c:v>
                </c:pt>
                <c:pt idx="1">
                  <c:v>2.6179299790632111E-2</c:v>
                </c:pt>
                <c:pt idx="2">
                  <c:v>2.3278466085981879E-2</c:v>
                </c:pt>
                <c:pt idx="3">
                  <c:v>2.2118424031693899E-2</c:v>
                </c:pt>
                <c:pt idx="4">
                  <c:v>2.8228798046342988E-2</c:v>
                </c:pt>
                <c:pt idx="5">
                  <c:v>2.71442427934948E-2</c:v>
                </c:pt>
                <c:pt idx="6">
                  <c:v>1.7377771930080096E-2</c:v>
                </c:pt>
                <c:pt idx="7">
                  <c:v>2.8000833065877355E-2</c:v>
                </c:pt>
                <c:pt idx="8">
                  <c:v>3.5071341728217562E-2</c:v>
                </c:pt>
                <c:pt idx="9">
                  <c:v>3.4045596151086793E-2</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'Area VIIa nephrops o250kW'!$C$94</c:f>
              <c:strCache>
                <c:ptCount val="1"/>
                <c:pt idx="0">
                  <c:v>Haddock</c:v>
                </c:pt>
              </c:strCache>
            </c:strRef>
          </c:tx>
          <c:spPr>
            <a:solidFill>
              <a:srgbClr val="648C2E"/>
            </a:solidFill>
            <a:ln>
              <a:solidFill>
                <a:srgbClr val="FFFFFF"/>
              </a:solidFill>
            </a:ln>
          </c:spPr>
          <c:invertIfNegative val="0"/>
          <c:cat>
            <c:numRef>
              <c:f>'Area VIIa nephrops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o250kW'!$D$94:$M$94</c:f>
              <c:numCache>
                <c:formatCode>0%</c:formatCode>
                <c:ptCount val="10"/>
                <c:pt idx="0">
                  <c:v>8.9683835347917958E-3</c:v>
                </c:pt>
                <c:pt idx="1">
                  <c:v>1.1671868151485973E-2</c:v>
                </c:pt>
                <c:pt idx="2">
                  <c:v>1.5136507741959009E-2</c:v>
                </c:pt>
                <c:pt idx="3">
                  <c:v>5.500794405071556E-3</c:v>
                </c:pt>
                <c:pt idx="4">
                  <c:v>1.5224424999357264E-2</c:v>
                </c:pt>
                <c:pt idx="5">
                  <c:v>1.2621824392172899E-2</c:v>
                </c:pt>
                <c:pt idx="6">
                  <c:v>2.4752147455914617E-2</c:v>
                </c:pt>
                <c:pt idx="7">
                  <c:v>2.9597221565859561E-2</c:v>
                </c:pt>
                <c:pt idx="8">
                  <c:v>2.3908969899401989E-2</c:v>
                </c:pt>
                <c:pt idx="9">
                  <c:v>3.3250425641060857E-2</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'Area VIIa nephrops o250kW'!$C$95</c:f>
              <c:strCache>
                <c:ptCount val="1"/>
                <c:pt idx="0">
                  <c:v>Cuttlefish</c:v>
                </c:pt>
              </c:strCache>
            </c:strRef>
          </c:tx>
          <c:spPr>
            <a:solidFill>
              <a:srgbClr val="C1D119"/>
            </a:solidFill>
            <a:ln>
              <a:solidFill>
                <a:srgbClr val="FFFFFF"/>
              </a:solidFill>
            </a:ln>
          </c:spPr>
          <c:invertIfNegative val="0"/>
          <c:cat>
            <c:numRef>
              <c:f>'Area VIIa nephrops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o250kW'!$D$95:$M$95</c:f>
              <c:numCache>
                <c:formatCode>0%</c:formatCode>
                <c:ptCount val="10"/>
                <c:pt idx="8">
                  <c:v>1.4126762761274756E-2</c:v>
                </c:pt>
                <c:pt idx="9">
                  <c:v>1.892774851420187E-2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'Area VIIa nephrops o250kW'!$C$96</c:f>
              <c:strCache>
                <c:ptCount val="1"/>
                <c:pt idx="0">
                  <c:v>Brill</c:v>
                </c:pt>
              </c:strCache>
            </c:strRef>
          </c:tx>
          <c:spPr>
            <a:solidFill>
              <a:srgbClr val="E84A38"/>
            </a:solidFill>
            <a:ln>
              <a:solidFill>
                <a:srgbClr val="FFFFFF"/>
              </a:solidFill>
            </a:ln>
          </c:spPr>
          <c:invertIfNegative val="0"/>
          <c:cat>
            <c:numRef>
              <c:f>'Area VIIa nephrops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o250kW'!$D$96:$M$96</c:f>
              <c:numCache>
                <c:formatCode>0%</c:formatCode>
                <c:ptCount val="10"/>
                <c:pt idx="8">
                  <c:v>6.0873667759539915E-3</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'Area VIIa nephrops o250kW'!$C$97</c:f>
              <c:strCache>
                <c:ptCount val="1"/>
                <c:pt idx="0">
                  <c:v>Squid</c:v>
                </c:pt>
              </c:strCache>
            </c:strRef>
          </c:tx>
          <c:spPr>
            <a:solidFill>
              <a:srgbClr val="0F9AA9"/>
            </a:solidFill>
            <a:ln>
              <a:solidFill>
                <a:srgbClr val="FFFFFF"/>
              </a:solidFill>
            </a:ln>
          </c:spPr>
          <c:invertIfNegative val="0"/>
          <c:cat>
            <c:numRef>
              <c:f>'Area VIIa nephrops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o250kW'!$D$97:$M$97</c:f>
              <c:numCache>
                <c:formatCode>0%</c:formatCode>
                <c:ptCount val="10"/>
                <c:pt idx="9">
                  <c:v>9.6904779739485497E-3</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'Area VIIa nephrops o250kW'!$C$98</c:f>
              <c:strCache>
                <c:ptCount val="1"/>
                <c:pt idx="0">
                  <c:v>Thornback Ray</c:v>
                </c:pt>
              </c:strCache>
            </c:strRef>
          </c:tx>
          <c:spPr>
            <a:solidFill>
              <a:srgbClr val="FED825"/>
            </a:solidFill>
            <a:ln>
              <a:solidFill>
                <a:srgbClr val="FFFFFF"/>
              </a:solidFill>
            </a:ln>
          </c:spPr>
          <c:invertIfNegative val="0"/>
          <c:cat>
            <c:numRef>
              <c:f>'Area VIIa nephrops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o250kW'!$D$98:$M$98</c:f>
              <c:numCache>
                <c:formatCode>0%</c:formatCode>
                <c:ptCount val="10"/>
                <c:pt idx="5">
                  <c:v>7.5468996857039417E-3</c:v>
                </c:pt>
                <c:pt idx="6">
                  <c:v>6.775669790932505E-3</c:v>
                </c:pt>
                <c:pt idx="7">
                  <c:v>3.9677060858814752E-3</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'Area VIIa nephrops o250kW'!$C$99</c:f>
              <c:strCache>
                <c:ptCount val="1"/>
                <c:pt idx="0">
                  <c:v>Turbot</c:v>
                </c:pt>
              </c:strCache>
            </c:strRef>
          </c:tx>
          <c:spPr>
            <a:solidFill>
              <a:srgbClr val="707271"/>
            </a:solidFill>
            <a:ln>
              <a:solidFill>
                <a:srgbClr val="FFFFFF"/>
              </a:solidFill>
            </a:ln>
          </c:spPr>
          <c:invertIfNegative val="0"/>
          <c:cat>
            <c:numRef>
              <c:f>'Area VIIa nephrops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o250kW'!$D$99:$M$99</c:f>
              <c:numCache>
                <c:formatCode>0%</c:formatCode>
                <c:ptCount val="10"/>
                <c:pt idx="7">
                  <c:v>3.9395607001544222E-3</c:v>
                </c:pt>
              </c:numCache>
            </c:numRef>
          </c:val>
          <c:extLst xmlns:c16r2="http://schemas.microsoft.com/office/drawing/2015/06/chart">
            <c:ext xmlns:c16="http://schemas.microsoft.com/office/drawing/2014/chart" uri="{C3380CC4-5D6E-409C-BE32-E72D297353CC}">
              <c16:uniqueId val="{00000007-282A-42F3-A8CE-7B6B063B5E4F}"/>
            </c:ext>
          </c:extLst>
        </c:ser>
        <c:ser>
          <c:idx val="8"/>
          <c:order val="8"/>
          <c:tx>
            <c:strRef>
              <c:f>'Area VIIa nephrops o250kW'!$C$100</c:f>
              <c:strCache>
                <c:ptCount val="1"/>
                <c:pt idx="0">
                  <c:v>Hake</c:v>
                </c:pt>
              </c:strCache>
            </c:strRef>
          </c:tx>
          <c:spPr>
            <a:solidFill>
              <a:srgbClr val="51AA81"/>
            </a:solidFill>
            <a:ln>
              <a:solidFill>
                <a:srgbClr val="FFFFFF"/>
              </a:solidFill>
            </a:ln>
          </c:spPr>
          <c:invertIfNegative val="0"/>
          <c:cat>
            <c:numRef>
              <c:f>'Area VIIa nephrops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o250kW'!$D$100:$M$100</c:f>
              <c:numCache>
                <c:formatCode>0%</c:formatCode>
                <c:ptCount val="10"/>
                <c:pt idx="1">
                  <c:v>7.5113874158571695E-3</c:v>
                </c:pt>
                <c:pt idx="6">
                  <c:v>1.3695671589830297E-2</c:v>
                </c:pt>
              </c:numCache>
            </c:numRef>
          </c:val>
          <c:extLst xmlns:c16r2="http://schemas.microsoft.com/office/drawing/2015/06/chart">
            <c:ext xmlns:c16="http://schemas.microsoft.com/office/drawing/2014/chart" uri="{C3380CC4-5D6E-409C-BE32-E72D297353CC}">
              <c16:uniqueId val="{00000008-282A-42F3-A8CE-7B6B063B5E4F}"/>
            </c:ext>
          </c:extLst>
        </c:ser>
        <c:ser>
          <c:idx val="9"/>
          <c:order val="9"/>
          <c:tx>
            <c:strRef>
              <c:f>'Area VIIa nephrops o250kW'!$C$101</c:f>
              <c:strCache>
                <c:ptCount val="1"/>
                <c:pt idx="0">
                  <c:v>Cod</c:v>
                </c:pt>
              </c:strCache>
            </c:strRef>
          </c:tx>
          <c:spPr>
            <a:solidFill>
              <a:srgbClr val="169FDB"/>
            </a:solidFill>
            <a:ln>
              <a:solidFill>
                <a:srgbClr val="FFFFFF"/>
              </a:solidFill>
            </a:ln>
          </c:spPr>
          <c:invertIfNegative val="0"/>
          <c:cat>
            <c:numRef>
              <c:f>'Area VIIa nephrops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o250kW'!$D$101:$M$101</c:f>
              <c:numCache>
                <c:formatCode>0%</c:formatCode>
                <c:ptCount val="10"/>
                <c:pt idx="0">
                  <c:v>2.1131016088965539E-2</c:v>
                </c:pt>
                <c:pt idx="1">
                  <c:v>2.4974161867940627E-2</c:v>
                </c:pt>
                <c:pt idx="2">
                  <c:v>1.5406664413799924E-2</c:v>
                </c:pt>
                <c:pt idx="3">
                  <c:v>1.9646145245776798E-2</c:v>
                </c:pt>
                <c:pt idx="4">
                  <c:v>2.5933686919299453E-2</c:v>
                </c:pt>
                <c:pt idx="5">
                  <c:v>1.7462817663215741E-2</c:v>
                </c:pt>
              </c:numCache>
            </c:numRef>
          </c:val>
          <c:extLst xmlns:c16r2="http://schemas.microsoft.com/office/drawing/2015/06/chart">
            <c:ext xmlns:c16="http://schemas.microsoft.com/office/drawing/2014/chart" uri="{C3380CC4-5D6E-409C-BE32-E72D297353CC}">
              <c16:uniqueId val="{00000009-282A-42F3-A8CE-7B6B063B5E4F}"/>
            </c:ext>
          </c:extLst>
        </c:ser>
        <c:ser>
          <c:idx val="10"/>
          <c:order val="10"/>
          <c:tx>
            <c:strRef>
              <c:f>'Area VIIa nephrops o250kW'!$C$102</c:f>
              <c:strCache>
                <c:ptCount val="1"/>
                <c:pt idx="0">
                  <c:v>Queen Scallops</c:v>
                </c:pt>
              </c:strCache>
            </c:strRef>
          </c:tx>
          <c:spPr>
            <a:solidFill>
              <a:srgbClr val="E40D2C"/>
            </a:solidFill>
            <a:ln>
              <a:solidFill>
                <a:srgbClr val="FFFFFF"/>
              </a:solidFill>
            </a:ln>
          </c:spPr>
          <c:invertIfNegative val="0"/>
          <c:cat>
            <c:numRef>
              <c:f>'Area VIIa nephrops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o250kW'!$D$102:$M$102</c:f>
              <c:numCache>
                <c:formatCode>0%</c:formatCode>
                <c:ptCount val="10"/>
                <c:pt idx="2">
                  <c:v>2.5890776518293919E-2</c:v>
                </c:pt>
                <c:pt idx="3">
                  <c:v>1.1482596525775955E-2</c:v>
                </c:pt>
                <c:pt idx="4">
                  <c:v>1.2098842436490495E-2</c:v>
                </c:pt>
              </c:numCache>
            </c:numRef>
          </c:val>
          <c:extLst xmlns:c16r2="http://schemas.microsoft.com/office/drawing/2015/06/chart">
            <c:ext xmlns:c16="http://schemas.microsoft.com/office/drawing/2014/chart" uri="{C3380CC4-5D6E-409C-BE32-E72D297353CC}">
              <c16:uniqueId val="{0000000A-282A-42F3-A8CE-7B6B063B5E4F}"/>
            </c:ext>
          </c:extLst>
        </c:ser>
        <c:ser>
          <c:idx val="11"/>
          <c:order val="11"/>
          <c:tx>
            <c:strRef>
              <c:f>'Area VIIa nephrops o250kW'!$C$103</c:f>
              <c:strCache>
                <c:ptCount val="1"/>
                <c:pt idx="0">
                  <c:v>Albacore</c:v>
                </c:pt>
              </c:strCache>
            </c:strRef>
          </c:tx>
          <c:spPr>
            <a:solidFill>
              <a:srgbClr val="B4C3E5"/>
            </a:solidFill>
            <a:ln>
              <a:solidFill>
                <a:srgbClr val="FFFFFF"/>
              </a:solidFill>
            </a:ln>
          </c:spPr>
          <c:invertIfNegative val="0"/>
          <c:cat>
            <c:numRef>
              <c:f>'Area VIIa nephrops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o250kW'!$D$103:$M$103</c:f>
              <c:numCache>
                <c:formatCode>0%</c:formatCode>
                <c:ptCount val="10"/>
                <c:pt idx="0">
                  <c:v>8.0772114249542757E-3</c:v>
                </c:pt>
              </c:numCache>
            </c:numRef>
          </c:val>
          <c:extLst xmlns:c16r2="http://schemas.microsoft.com/office/drawing/2015/06/chart">
            <c:ext xmlns:c16="http://schemas.microsoft.com/office/drawing/2014/chart" uri="{C3380CC4-5D6E-409C-BE32-E72D297353CC}">
              <c16:uniqueId val="{0000000B-282A-42F3-A8CE-7B6B063B5E4F}"/>
            </c:ext>
          </c:extLst>
        </c:ser>
        <c:ser>
          <c:idx val="12"/>
          <c:order val="12"/>
          <c:tx>
            <c:strRef>
              <c:f>'Area VIIa nephrops o250kW'!$C$104</c:f>
              <c:strCache>
                <c:ptCount val="1"/>
                <c:pt idx="0">
                  <c:v>Others</c:v>
                </c:pt>
              </c:strCache>
            </c:strRef>
          </c:tx>
          <c:spPr>
            <a:solidFill>
              <a:srgbClr val="55585A"/>
            </a:solidFill>
            <a:ln>
              <a:solidFill>
                <a:srgbClr val="FFFFFF"/>
              </a:solidFill>
            </a:ln>
          </c:spPr>
          <c:invertIfNegative val="0"/>
          <c:cat>
            <c:numRef>
              <c:f>'Area VIIa nephrops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o250kW'!$D$104:$M$104</c:f>
              <c:numCache>
                <c:formatCode>0%</c:formatCode>
                <c:ptCount val="10"/>
                <c:pt idx="0">
                  <c:v>5.6732873959664053E-2</c:v>
                </c:pt>
                <c:pt idx="1">
                  <c:v>5.2868464223060602E-2</c:v>
                </c:pt>
                <c:pt idx="2">
                  <c:v>5.683172522173071E-2</c:v>
                </c:pt>
                <c:pt idx="3">
                  <c:v>3.8080211356850649E-2</c:v>
                </c:pt>
                <c:pt idx="4">
                  <c:v>6.2391691377461797E-2</c:v>
                </c:pt>
                <c:pt idx="5">
                  <c:v>3.9992194668670641E-2</c:v>
                </c:pt>
                <c:pt idx="6">
                  <c:v>3.2011647243921131E-2</c:v>
                </c:pt>
                <c:pt idx="7">
                  <c:v>2.6281830767625858E-2</c:v>
                </c:pt>
                <c:pt idx="8">
                  <c:v>2.8771136445971658E-2</c:v>
                </c:pt>
                <c:pt idx="9">
                  <c:v>5.1267563341064269E-2</c:v>
                </c:pt>
              </c:numCache>
            </c:numRef>
          </c:val>
          <c:extLst xmlns:c16r2="http://schemas.microsoft.com/office/drawing/2015/06/chart">
            <c:ext xmlns:c16="http://schemas.microsoft.com/office/drawing/2014/chart" uri="{C3380CC4-5D6E-409C-BE32-E72D297353CC}">
              <c16:uniqueId val="{0000000C-282A-42F3-A8CE-7B6B063B5E4F}"/>
            </c:ext>
          </c:extLst>
        </c:ser>
        <c:dLbls>
          <c:showLegendKey val="0"/>
          <c:showVal val="0"/>
          <c:showCatName val="0"/>
          <c:showSerName val="0"/>
          <c:showPercent val="0"/>
          <c:showBubbleSize val="0"/>
        </c:dLbls>
        <c:gapWidth val="150"/>
        <c:overlap val="100"/>
        <c:axId val="616726528"/>
        <c:axId val="616728064"/>
      </c:barChart>
      <c:catAx>
        <c:axId val="616726528"/>
        <c:scaling>
          <c:orientation val="minMax"/>
        </c:scaling>
        <c:delete val="0"/>
        <c:axPos val="b"/>
        <c:numFmt formatCode="General" sourceLinked="1"/>
        <c:majorTickMark val="out"/>
        <c:minorTickMark val="none"/>
        <c:tickLblPos val="nextTo"/>
        <c:crossAx val="616728064"/>
        <c:crosses val="autoZero"/>
        <c:auto val="1"/>
        <c:lblAlgn val="ctr"/>
        <c:lblOffset val="100"/>
        <c:noMultiLvlLbl val="0"/>
      </c:catAx>
      <c:valAx>
        <c:axId val="616728064"/>
        <c:scaling>
          <c:orientation val="minMax"/>
          <c:max val="1"/>
          <c:min val="0"/>
        </c:scaling>
        <c:delete val="0"/>
        <c:axPos val="l"/>
        <c:majorGridlines/>
        <c:numFmt formatCode="0%" sourceLinked="1"/>
        <c:majorTickMark val="out"/>
        <c:minorTickMark val="none"/>
        <c:tickLblPos val="nextTo"/>
        <c:crossAx val="616726528"/>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seiners'!$C$92</c:f>
              <c:strCache>
                <c:ptCount val="1"/>
                <c:pt idx="0">
                  <c:v>Haddock</c:v>
                </c:pt>
              </c:strCache>
            </c:strRef>
          </c:tx>
          <c:spPr>
            <a:solidFill>
              <a:srgbClr val="2273B9"/>
            </a:solidFill>
            <a:ln>
              <a:solidFill>
                <a:srgbClr val="FFFFFF"/>
              </a:solidFill>
            </a:ln>
          </c:spPr>
          <c:invertIfNegative val="0"/>
          <c:cat>
            <c:numRef>
              <c:f>'NSWOS demersal seiners'!$D$91:$M$91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seiners'!$D$92:$M$92</c:f>
              <c:numCache>
                <c:formatCode>0%</c:formatCode>
                <c:ptCount val="10"/>
                <c:pt idx="0">
                  <c:v>0.3811053994021335</c:v>
                </c:pt>
                <c:pt idx="1">
                  <c:v>0.40288339130879031</c:v>
                </c:pt>
                <c:pt idx="2">
                  <c:v>0.37803519823251697</c:v>
                </c:pt>
                <c:pt idx="3">
                  <c:v>0.39840732056343686</c:v>
                </c:pt>
                <c:pt idx="4">
                  <c:v>0.33686366925591577</c:v>
                </c:pt>
                <c:pt idx="5">
                  <c:v>0.36537246228181097</c:v>
                </c:pt>
                <c:pt idx="6">
                  <c:v>0.37030308508093396</c:v>
                </c:pt>
                <c:pt idx="7">
                  <c:v>0.28415675870703894</c:v>
                </c:pt>
                <c:pt idx="8">
                  <c:v>0.25671695300445463</c:v>
                </c:pt>
                <c:pt idx="9">
                  <c:v>0.30963663607596087</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'NSWOS demersal seiners'!$C$93</c:f>
              <c:strCache>
                <c:ptCount val="1"/>
                <c:pt idx="0">
                  <c:v>Cod</c:v>
                </c:pt>
              </c:strCache>
            </c:strRef>
          </c:tx>
          <c:spPr>
            <a:solidFill>
              <a:srgbClr val="E87308"/>
            </a:solidFill>
            <a:ln>
              <a:solidFill>
                <a:srgbClr val="FFFFFF"/>
              </a:solidFill>
            </a:ln>
          </c:spPr>
          <c:invertIfNegative val="0"/>
          <c:cat>
            <c:numRef>
              <c:f>'NSWOS demersal seiners'!$D$91:$M$91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seiners'!$D$93:$M$93</c:f>
              <c:numCache>
                <c:formatCode>0%</c:formatCode>
                <c:ptCount val="10"/>
                <c:pt idx="0">
                  <c:v>0.15868701042379368</c:v>
                </c:pt>
                <c:pt idx="1">
                  <c:v>0.23301252933671651</c:v>
                </c:pt>
                <c:pt idx="2">
                  <c:v>0.2039349580920938</c:v>
                </c:pt>
                <c:pt idx="3">
                  <c:v>0.25906903623929112</c:v>
                </c:pt>
                <c:pt idx="4">
                  <c:v>0.1697730633251337</c:v>
                </c:pt>
                <c:pt idx="5">
                  <c:v>0.14226071779572208</c:v>
                </c:pt>
                <c:pt idx="6">
                  <c:v>0.21145673080378574</c:v>
                </c:pt>
                <c:pt idx="7">
                  <c:v>0.2447374754822042</c:v>
                </c:pt>
                <c:pt idx="8">
                  <c:v>0.21091627083559547</c:v>
                </c:pt>
                <c:pt idx="9">
                  <c:v>0.27031446803493236</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'NSWOS demersal seiners'!$C$94</c:f>
              <c:strCache>
                <c:ptCount val="1"/>
                <c:pt idx="0">
                  <c:v>Whiting</c:v>
                </c:pt>
              </c:strCache>
            </c:strRef>
          </c:tx>
          <c:spPr>
            <a:solidFill>
              <a:srgbClr val="648C2E"/>
            </a:solidFill>
            <a:ln>
              <a:solidFill>
                <a:srgbClr val="FFFFFF"/>
              </a:solidFill>
            </a:ln>
          </c:spPr>
          <c:invertIfNegative val="0"/>
          <c:cat>
            <c:numRef>
              <c:f>'NSWOS demersal seiners'!$D$91:$M$91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seiners'!$D$94:$M$94</c:f>
              <c:numCache>
                <c:formatCode>0%</c:formatCode>
                <c:ptCount val="10"/>
                <c:pt idx="0">
                  <c:v>0.1385916488205306</c:v>
                </c:pt>
                <c:pt idx="1">
                  <c:v>0.14201277591631517</c:v>
                </c:pt>
                <c:pt idx="2">
                  <c:v>0.13966621896681009</c:v>
                </c:pt>
                <c:pt idx="3">
                  <c:v>0.15817248853772609</c:v>
                </c:pt>
                <c:pt idx="4">
                  <c:v>0.11550740659263585</c:v>
                </c:pt>
                <c:pt idx="5">
                  <c:v>0.11159738637316681</c:v>
                </c:pt>
                <c:pt idx="6">
                  <c:v>0.13706851638502218</c:v>
                </c:pt>
                <c:pt idx="7">
                  <c:v>0.1305361736775586</c:v>
                </c:pt>
                <c:pt idx="8">
                  <c:v>0.12148302609165346</c:v>
                </c:pt>
                <c:pt idx="9">
                  <c:v>0.14805704459880681</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'NSWOS demersal seiners'!$C$95</c:f>
              <c:strCache>
                <c:ptCount val="1"/>
                <c:pt idx="0">
                  <c:v>Plaice</c:v>
                </c:pt>
              </c:strCache>
            </c:strRef>
          </c:tx>
          <c:spPr>
            <a:solidFill>
              <a:srgbClr val="C1D119"/>
            </a:solidFill>
            <a:ln>
              <a:solidFill>
                <a:srgbClr val="FFFFFF"/>
              </a:solidFill>
            </a:ln>
          </c:spPr>
          <c:invertIfNegative val="0"/>
          <c:cat>
            <c:numRef>
              <c:f>'NSWOS demersal seiners'!$D$91:$M$91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seiners'!$D$95:$M$95</c:f>
              <c:numCache>
                <c:formatCode>0%</c:formatCode>
                <c:ptCount val="10"/>
                <c:pt idx="0">
                  <c:v>8.1525052726194702E-2</c:v>
                </c:pt>
                <c:pt idx="2">
                  <c:v>7.2413035814194587E-2</c:v>
                </c:pt>
                <c:pt idx="3">
                  <c:v>3.9287734401327448E-2</c:v>
                </c:pt>
                <c:pt idx="4">
                  <c:v>0.1337351081083098</c:v>
                </c:pt>
                <c:pt idx="5">
                  <c:v>0.10885742833971571</c:v>
                </c:pt>
                <c:pt idx="6">
                  <c:v>6.0072866403013021E-2</c:v>
                </c:pt>
                <c:pt idx="7">
                  <c:v>5.4079495992379177E-2</c:v>
                </c:pt>
                <c:pt idx="8">
                  <c:v>0.10394572630390836</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'NSWOS demersal seiners'!$C$96</c:f>
              <c:strCache>
                <c:ptCount val="1"/>
                <c:pt idx="0">
                  <c:v>Squid</c:v>
                </c:pt>
              </c:strCache>
            </c:strRef>
          </c:tx>
          <c:spPr>
            <a:solidFill>
              <a:srgbClr val="E84A38"/>
            </a:solidFill>
            <a:ln>
              <a:solidFill>
                <a:srgbClr val="FFFFFF"/>
              </a:solidFill>
            </a:ln>
          </c:spPr>
          <c:invertIfNegative val="0"/>
          <c:cat>
            <c:numRef>
              <c:f>'NSWOS demersal seiners'!$D$91:$M$91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seiners'!$D$96:$M$96</c:f>
              <c:numCache>
                <c:formatCode>0%</c:formatCode>
                <c:ptCount val="10"/>
                <c:pt idx="5">
                  <c:v>6.2816203319949748E-2</c:v>
                </c:pt>
                <c:pt idx="6">
                  <c:v>3.3581266061603665E-2</c:v>
                </c:pt>
                <c:pt idx="8">
                  <c:v>6.3048511034280996E-2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'NSWOS demersal seiners'!$C$97</c:f>
              <c:strCache>
                <c:ptCount val="1"/>
                <c:pt idx="0">
                  <c:v>Hake</c:v>
                </c:pt>
              </c:strCache>
            </c:strRef>
          </c:tx>
          <c:spPr>
            <a:solidFill>
              <a:srgbClr val="0F9AA9"/>
            </a:solidFill>
            <a:ln>
              <a:solidFill>
                <a:srgbClr val="FFFFFF"/>
              </a:solidFill>
            </a:ln>
          </c:spPr>
          <c:invertIfNegative val="0"/>
          <c:cat>
            <c:numRef>
              <c:f>'NSWOS demersal seiners'!$D$91:$M$91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seiners'!$D$97:$M$97</c:f>
              <c:numCache>
                <c:formatCode>0%</c:formatCode>
                <c:ptCount val="10"/>
                <c:pt idx="9">
                  <c:v>9.1333548114193155E-2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'NSWOS demersal seiners'!$C$98</c:f>
              <c:strCache>
                <c:ptCount val="1"/>
                <c:pt idx="0">
                  <c:v>Anglerfish</c:v>
                </c:pt>
              </c:strCache>
            </c:strRef>
          </c:tx>
          <c:spPr>
            <a:solidFill>
              <a:srgbClr val="FED825"/>
            </a:solidFill>
            <a:ln>
              <a:solidFill>
                <a:srgbClr val="FFFFFF"/>
              </a:solidFill>
            </a:ln>
          </c:spPr>
          <c:invertIfNegative val="0"/>
          <c:cat>
            <c:numRef>
              <c:f>'NSWOS demersal seiners'!$D$91:$M$91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seiners'!$D$98:$M$98</c:f>
              <c:numCache>
                <c:formatCode>0%</c:formatCode>
                <c:ptCount val="10"/>
                <c:pt idx="1">
                  <c:v>3.5065122579948961E-2</c:v>
                </c:pt>
                <c:pt idx="7">
                  <c:v>4.6560879221878439E-2</c:v>
                </c:pt>
                <c:pt idx="9">
                  <c:v>3.9605922190055785E-2</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'NSWOS demersal seiners'!$C$99</c:f>
              <c:strCache>
                <c:ptCount val="1"/>
                <c:pt idx="0">
                  <c:v>Squid</c:v>
                </c:pt>
              </c:strCache>
            </c:strRef>
          </c:tx>
          <c:spPr>
            <a:solidFill>
              <a:srgbClr val="707271"/>
            </a:solidFill>
            <a:ln>
              <a:solidFill>
                <a:srgbClr val="FFFFFF"/>
              </a:solidFill>
            </a:ln>
          </c:spPr>
          <c:invertIfNegative val="0"/>
          <c:cat>
            <c:numRef>
              <c:f>'NSWOS demersal seiners'!$D$91:$M$91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seiners'!$D$99:$M$99</c:f>
              <c:numCache>
                <c:formatCode>0%</c:formatCode>
                <c:ptCount val="10"/>
                <c:pt idx="4">
                  <c:v>3.6234609815943543E-2</c:v>
                </c:pt>
              </c:numCache>
            </c:numRef>
          </c:val>
          <c:extLst xmlns:c16r2="http://schemas.microsoft.com/office/drawing/2015/06/chart">
            <c:ext xmlns:c16="http://schemas.microsoft.com/office/drawing/2014/chart" uri="{C3380CC4-5D6E-409C-BE32-E72D297353CC}">
              <c16:uniqueId val="{00000007-282A-42F3-A8CE-7B6B063B5E4F}"/>
            </c:ext>
          </c:extLst>
        </c:ser>
        <c:ser>
          <c:idx val="8"/>
          <c:order val="8"/>
          <c:tx>
            <c:strRef>
              <c:f>'NSWOS demersal seiners'!$C$100</c:f>
              <c:strCache>
                <c:ptCount val="1"/>
                <c:pt idx="0">
                  <c:v>Megrim</c:v>
                </c:pt>
              </c:strCache>
            </c:strRef>
          </c:tx>
          <c:spPr>
            <a:solidFill>
              <a:srgbClr val="51AA81"/>
            </a:solidFill>
            <a:ln>
              <a:solidFill>
                <a:srgbClr val="FFFFFF"/>
              </a:solidFill>
            </a:ln>
          </c:spPr>
          <c:invertIfNegative val="0"/>
          <c:cat>
            <c:numRef>
              <c:f>'NSWOS demersal seiners'!$D$91:$M$91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seiners'!$D$100:$M$100</c:f>
              <c:numCache>
                <c:formatCode>0%</c:formatCode>
                <c:ptCount val="10"/>
                <c:pt idx="0">
                  <c:v>5.8394990653742929E-2</c:v>
                </c:pt>
                <c:pt idx="1">
                  <c:v>6.8867637930788803E-2</c:v>
                </c:pt>
                <c:pt idx="2">
                  <c:v>4.2904960223447891E-2</c:v>
                </c:pt>
                <c:pt idx="3">
                  <c:v>4.2982851575333575E-2</c:v>
                </c:pt>
              </c:numCache>
            </c:numRef>
          </c:val>
          <c:extLst xmlns:c16r2="http://schemas.microsoft.com/office/drawing/2015/06/chart">
            <c:ext xmlns:c16="http://schemas.microsoft.com/office/drawing/2014/chart" uri="{C3380CC4-5D6E-409C-BE32-E72D297353CC}">
              <c16:uniqueId val="{00000008-282A-42F3-A8CE-7B6B063B5E4F}"/>
            </c:ext>
          </c:extLst>
        </c:ser>
        <c:ser>
          <c:idx val="9"/>
          <c:order val="9"/>
          <c:tx>
            <c:strRef>
              <c:f>'NSWOS demersal seiners'!$C$101</c:f>
              <c:strCache>
                <c:ptCount val="1"/>
                <c:pt idx="0">
                  <c:v>Others</c:v>
                </c:pt>
              </c:strCache>
            </c:strRef>
          </c:tx>
          <c:spPr>
            <a:solidFill>
              <a:srgbClr val="55585A"/>
            </a:solidFill>
            <a:ln>
              <a:solidFill>
                <a:srgbClr val="FFFFFF"/>
              </a:solidFill>
            </a:ln>
          </c:spPr>
          <c:invertIfNegative val="0"/>
          <c:cat>
            <c:numRef>
              <c:f>'NSWOS demersal seiners'!$D$91:$M$91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seiners'!$D$101:$M$101</c:f>
              <c:numCache>
                <c:formatCode>0%</c:formatCode>
                <c:ptCount val="10"/>
                <c:pt idx="0">
                  <c:v>0.18169589797360461</c:v>
                </c:pt>
                <c:pt idx="1">
                  <c:v>0.11815854292744025</c:v>
                </c:pt>
                <c:pt idx="2">
                  <c:v>0.16304562867093669</c:v>
                </c:pt>
                <c:pt idx="3">
                  <c:v>0.1020805686828849</c:v>
                </c:pt>
                <c:pt idx="4">
                  <c:v>0.20788614290206134</c:v>
                </c:pt>
                <c:pt idx="5">
                  <c:v>0.20909580188963464</c:v>
                </c:pt>
                <c:pt idx="6">
                  <c:v>0.18751753526564144</c:v>
                </c:pt>
                <c:pt idx="7">
                  <c:v>0.23992921691894062</c:v>
                </c:pt>
                <c:pt idx="8">
                  <c:v>0.24388951273010706</c:v>
                </c:pt>
                <c:pt idx="9">
                  <c:v>0.14105238098605102</c:v>
                </c:pt>
              </c:numCache>
            </c:numRef>
          </c:val>
          <c:extLst xmlns:c16r2="http://schemas.microsoft.com/office/drawing/2015/06/chart">
            <c:ext xmlns:c16="http://schemas.microsoft.com/office/drawing/2014/chart" uri="{C3380CC4-5D6E-409C-BE32-E72D297353CC}">
              <c16:uniqueId val="{00000009-282A-42F3-A8CE-7B6B063B5E4F}"/>
            </c:ext>
          </c:extLst>
        </c:ser>
        <c:dLbls>
          <c:showLegendKey val="0"/>
          <c:showVal val="0"/>
          <c:showCatName val="0"/>
          <c:showSerName val="0"/>
          <c:showPercent val="0"/>
          <c:showBubbleSize val="0"/>
        </c:dLbls>
        <c:gapWidth val="150"/>
        <c:overlap val="100"/>
        <c:axId val="944615424"/>
        <c:axId val="944616960"/>
      </c:barChart>
      <c:catAx>
        <c:axId val="944615424"/>
        <c:scaling>
          <c:orientation val="minMax"/>
        </c:scaling>
        <c:delete val="0"/>
        <c:axPos val="b"/>
        <c:numFmt formatCode="General" sourceLinked="1"/>
        <c:majorTickMark val="out"/>
        <c:minorTickMark val="none"/>
        <c:tickLblPos val="nextTo"/>
        <c:crossAx val="944616960"/>
        <c:crosses val="autoZero"/>
        <c:auto val="1"/>
        <c:lblAlgn val="ctr"/>
        <c:lblOffset val="100"/>
        <c:noMultiLvlLbl val="0"/>
      </c:catAx>
      <c:valAx>
        <c:axId val="944616960"/>
        <c:scaling>
          <c:orientation val="minMax"/>
          <c:max val="1"/>
          <c:min val="0"/>
        </c:scaling>
        <c:delete val="0"/>
        <c:axPos val="l"/>
        <c:majorGridlines/>
        <c:numFmt formatCode="0%" sourceLinked="1"/>
        <c:majorTickMark val="out"/>
        <c:minorTickMark val="none"/>
        <c:tickLblPos val="nextTo"/>
        <c:crossAx val="944615424"/>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o300kW'!$A$48</c:f>
          <c:strCache>
            <c:ptCount val="1"/>
            <c:pt idx="0">
              <c:v>Landings per kW day at sea (kg)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'NSWOS demersal u24m o300kW'!$D$2:$N$2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u24m o300kW'!$D$21:$N$21</c:f>
              <c:numCache>
                <c:formatCode>#,##0.00</c:formatCode>
                <c:ptCount val="11"/>
                <c:pt idx="0">
                  <c:v>4.2258948718997313</c:v>
                </c:pt>
                <c:pt idx="1">
                  <c:v>3.9944945625075072</c:v>
                </c:pt>
                <c:pt idx="2">
                  <c:v>4.2133033256281909</c:v>
                </c:pt>
                <c:pt idx="3">
                  <c:v>4.5158836522265746</c:v>
                </c:pt>
                <c:pt idx="4">
                  <c:v>4.6135786933189751</c:v>
                </c:pt>
                <c:pt idx="5">
                  <c:v>5.2187152787823354</c:v>
                </c:pt>
                <c:pt idx="6">
                  <c:v>5.2355957721480388</c:v>
                </c:pt>
                <c:pt idx="7">
                  <c:v>4.5318494353780689</c:v>
                </c:pt>
                <c:pt idx="8">
                  <c:v>5.2589592879072651</c:v>
                </c:pt>
                <c:pt idx="9">
                  <c:v>5.705976385971864</c:v>
                </c:pt>
                <c:pt idx="10">
                  <c:v>4.8940274084324935</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943121536"/>
        <c:axId val="943123072"/>
      </c:lineChart>
      <c:catAx>
        <c:axId val="943121536"/>
        <c:scaling>
          <c:orientation val="minMax"/>
        </c:scaling>
        <c:delete val="0"/>
        <c:axPos val="b"/>
        <c:numFmt formatCode="General" sourceLinked="1"/>
        <c:majorTickMark val="out"/>
        <c:minorTickMark val="none"/>
        <c:tickLblPos val="nextTo"/>
        <c:crossAx val="943123072"/>
        <c:crosses val="autoZero"/>
        <c:auto val="1"/>
        <c:lblAlgn val="ctr"/>
        <c:lblOffset val="100"/>
        <c:noMultiLvlLbl val="0"/>
      </c:catAx>
      <c:valAx>
        <c:axId val="943123072"/>
        <c:scaling>
          <c:orientation val="minMax"/>
        </c:scaling>
        <c:delete val="0"/>
        <c:axPos val="l"/>
        <c:majorGridlines>
          <c:spPr>
            <a:ln w="3175">
              <a:prstDash val="sysDot"/>
            </a:ln>
          </c:spPr>
        </c:majorGridlines>
        <c:numFmt formatCode="#,##0.00" sourceLinked="1"/>
        <c:majorTickMark val="out"/>
        <c:minorTickMark val="none"/>
        <c:tickLblPos val="nextTo"/>
        <c:crossAx val="943121536"/>
        <c:crosses val="autoZero"/>
        <c:crossBetween val="between"/>
      </c:valAx>
    </c:plotArea>
    <c:plotVisOnly val="0"/>
    <c:dispBlanksAs val="gap"/>
    <c:showDLblsOverMax val="0"/>
  </c:chart>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o300kW'!$A$49</c:f>
          <c:strCache>
            <c:ptCount val="1"/>
            <c:pt idx="0">
              <c:v>Fishing income per kW day at sea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'NSWOS demersal u24m o300kW'!$D$2:$N$2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u24m o300kW'!$D$22:$N$22</c:f>
              <c:numCache>
                <c:formatCode>#,##0.00</c:formatCode>
                <c:ptCount val="11"/>
                <c:pt idx="0">
                  <c:v>9.2296053390751496</c:v>
                </c:pt>
                <c:pt idx="1">
                  <c:v>8.0251113364284095</c:v>
                </c:pt>
                <c:pt idx="2">
                  <c:v>8.9935005817680107</c:v>
                </c:pt>
                <c:pt idx="3">
                  <c:v>10.7399098746082</c:v>
                </c:pt>
                <c:pt idx="4">
                  <c:v>9.4468437977494695</c:v>
                </c:pt>
                <c:pt idx="5">
                  <c:v>9.1880828606904696</c:v>
                </c:pt>
                <c:pt idx="6">
                  <c:v>10.4184844410658</c:v>
                </c:pt>
                <c:pt idx="7">
                  <c:v>8.6450895903605094</c:v>
                </c:pt>
                <c:pt idx="8">
                  <c:v>11.3831542466834</c:v>
                </c:pt>
                <c:pt idx="9">
                  <c:v>13.0647130444358</c:v>
                </c:pt>
                <c:pt idx="10">
                  <c:v>10.887282048627412</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943018368"/>
        <c:axId val="943019904"/>
      </c:lineChart>
      <c:catAx>
        <c:axId val="943018368"/>
        <c:scaling>
          <c:orientation val="minMax"/>
        </c:scaling>
        <c:delete val="0"/>
        <c:axPos val="b"/>
        <c:numFmt formatCode="General" sourceLinked="1"/>
        <c:majorTickMark val="out"/>
        <c:minorTickMark val="none"/>
        <c:tickLblPos val="nextTo"/>
        <c:crossAx val="943019904"/>
        <c:crosses val="autoZero"/>
        <c:auto val="1"/>
        <c:lblAlgn val="ctr"/>
        <c:lblOffset val="100"/>
        <c:noMultiLvlLbl val="0"/>
      </c:catAx>
      <c:valAx>
        <c:axId val="943019904"/>
        <c:scaling>
          <c:orientation val="minMax"/>
        </c:scaling>
        <c:delete val="0"/>
        <c:axPos val="l"/>
        <c:majorGridlines>
          <c:spPr>
            <a:ln w="3175">
              <a:prstDash val="sysDot"/>
            </a:ln>
          </c:spPr>
        </c:majorGridlines>
        <c:numFmt formatCode="#,##0.00" sourceLinked="1"/>
        <c:majorTickMark val="out"/>
        <c:minorTickMark val="none"/>
        <c:tickLblPos val="nextTo"/>
        <c:crossAx val="943018368"/>
        <c:crosses val="autoZero"/>
        <c:crossBetween val="between"/>
      </c:valAx>
    </c:plotArea>
    <c:plotVisOnly val="0"/>
    <c:dispBlanksAs val="gap"/>
    <c:showDLblsOverMax val="0"/>
  </c:chart>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o300kW'!$B$62</c:f>
          <c:strCache>
            <c:ptCount val="1"/>
            <c:pt idx="0">
              <c:v>Total cost per kW day at sea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'NSWOS demersal u24m o300kW'!$D$2:$N$2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u24m o300kW'!$D$23:$N$23</c:f>
              <c:numCache>
                <c:formatCode>#,##0.00</c:formatCode>
                <c:ptCount val="11"/>
                <c:pt idx="0">
                  <c:v>8.5127029203796205</c:v>
                </c:pt>
                <c:pt idx="1">
                  <c:v>7.1798470256763496</c:v>
                </c:pt>
                <c:pt idx="2">
                  <c:v>7.90548934124139</c:v>
                </c:pt>
                <c:pt idx="3">
                  <c:v>9.9855330779273892</c:v>
                </c:pt>
                <c:pt idx="4">
                  <c:v>9.84639236274624</c:v>
                </c:pt>
                <c:pt idx="5">
                  <c:v>9.0384487419463095</c:v>
                </c:pt>
                <c:pt idx="6">
                  <c:v>9.2660142776702692</c:v>
                </c:pt>
                <c:pt idx="7">
                  <c:v>7.9136302187303604</c:v>
                </c:pt>
                <c:pt idx="8">
                  <c:v>9.8653604265124493</c:v>
                </c:pt>
                <c:pt idx="9">
                  <c:v>10.9271090356232</c:v>
                </c:pt>
                <c:pt idx="10">
                  <c:v>9.4577839670614487</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943054208"/>
        <c:axId val="943060096"/>
      </c:lineChart>
      <c:catAx>
        <c:axId val="943054208"/>
        <c:scaling>
          <c:orientation val="minMax"/>
        </c:scaling>
        <c:delete val="0"/>
        <c:axPos val="b"/>
        <c:numFmt formatCode="General" sourceLinked="1"/>
        <c:majorTickMark val="out"/>
        <c:minorTickMark val="none"/>
        <c:tickLblPos val="nextTo"/>
        <c:crossAx val="943060096"/>
        <c:crosses val="autoZero"/>
        <c:auto val="1"/>
        <c:lblAlgn val="ctr"/>
        <c:lblOffset val="100"/>
        <c:noMultiLvlLbl val="0"/>
      </c:catAx>
      <c:valAx>
        <c:axId val="943060096"/>
        <c:scaling>
          <c:orientation val="minMax"/>
        </c:scaling>
        <c:delete val="0"/>
        <c:axPos val="l"/>
        <c:majorGridlines>
          <c:spPr>
            <a:ln w="3175">
              <a:prstDash val="sysDot"/>
            </a:ln>
          </c:spPr>
        </c:majorGridlines>
        <c:numFmt formatCode="#,##0.00" sourceLinked="1"/>
        <c:majorTickMark val="out"/>
        <c:minorTickMark val="none"/>
        <c:tickLblPos val="nextTo"/>
        <c:crossAx val="943054208"/>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o300kW'!$K$48</c:f>
          <c:strCache>
            <c:ptCount val="1"/>
            <c:pt idx="0">
              <c:v>Operating profit per kW day at sea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'NSWOS demersal u24m o300kW'!$D$2:$N$2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u24m o300kW'!$D$24:$N$24</c:f>
              <c:numCache>
                <c:formatCode>#,##0.00</c:formatCode>
                <c:ptCount val="11"/>
                <c:pt idx="0">
                  <c:v>1.07262064629098</c:v>
                </c:pt>
                <c:pt idx="1">
                  <c:v>0.95739432672846803</c:v>
                </c:pt>
                <c:pt idx="2">
                  <c:v>1.33659472180929</c:v>
                </c:pt>
                <c:pt idx="3">
                  <c:v>1.57495589581532</c:v>
                </c:pt>
                <c:pt idx="4">
                  <c:v>1.0191178732659301</c:v>
                </c:pt>
                <c:pt idx="5">
                  <c:v>1.8025386578990401</c:v>
                </c:pt>
                <c:pt idx="6">
                  <c:v>1.8019316339865199</c:v>
                </c:pt>
                <c:pt idx="7">
                  <c:v>1.12903304727209</c:v>
                </c:pt>
                <c:pt idx="8">
                  <c:v>2.1637218058060199</c:v>
                </c:pt>
                <c:pt idx="9">
                  <c:v>4.0972837442540699</c:v>
                </c:pt>
                <c:pt idx="10">
                  <c:v>3.0625677169045966</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43241856"/>
        <c:axId val="943243648"/>
      </c:lineChart>
      <c:catAx>
        <c:axId val="943241856"/>
        <c:scaling>
          <c:orientation val="minMax"/>
        </c:scaling>
        <c:delete val="0"/>
        <c:axPos val="b"/>
        <c:numFmt formatCode="General" sourceLinked="1"/>
        <c:majorTickMark val="out"/>
        <c:minorTickMark val="none"/>
        <c:tickLblPos val="nextTo"/>
        <c:crossAx val="943243648"/>
        <c:crosses val="autoZero"/>
        <c:auto val="1"/>
        <c:lblAlgn val="ctr"/>
        <c:lblOffset val="100"/>
        <c:noMultiLvlLbl val="0"/>
      </c:catAx>
      <c:valAx>
        <c:axId val="943243648"/>
        <c:scaling>
          <c:orientation val="minMax"/>
        </c:scaling>
        <c:delete val="0"/>
        <c:axPos val="l"/>
        <c:majorGridlines>
          <c:spPr>
            <a:ln w="3175">
              <a:prstDash val="sysDot"/>
            </a:ln>
          </c:spPr>
        </c:majorGridlines>
        <c:numFmt formatCode="#,##0.00" sourceLinked="1"/>
        <c:majorTickMark val="out"/>
        <c:minorTickMark val="none"/>
        <c:tickLblPos val="nextTo"/>
        <c:crossAx val="943241856"/>
        <c:crosses val="autoZero"/>
        <c:crossBetween val="between"/>
      </c:valAx>
    </c:plotArea>
    <c:plotVisOnly val="0"/>
    <c:dispBlanksAs val="gap"/>
    <c:showDLblsOverMax val="0"/>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o300kW'!$A$50</c:f>
          <c:strCache>
            <c:ptCount val="1"/>
            <c:pt idx="0">
              <c:v>Average price per tonne landed (£)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'NSWOS demersal u24m o300kW'!$D$2:$N$2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u24m o300kW'!$D$20:$N$20</c:f>
              <c:numCache>
                <c:formatCode>#,##0</c:formatCode>
                <c:ptCount val="11"/>
                <c:pt idx="0">
                  <c:v>2184</c:v>
                </c:pt>
                <c:pt idx="1">
                  <c:v>2009</c:v>
                </c:pt>
                <c:pt idx="2">
                  <c:v>2135</c:v>
                </c:pt>
                <c:pt idx="3">
                  <c:v>2378</c:v>
                </c:pt>
                <c:pt idx="4">
                  <c:v>2048</c:v>
                </c:pt>
                <c:pt idx="5">
                  <c:v>1761</c:v>
                </c:pt>
                <c:pt idx="6">
                  <c:v>1990</c:v>
                </c:pt>
                <c:pt idx="7">
                  <c:v>1908</c:v>
                </c:pt>
                <c:pt idx="8">
                  <c:v>2165</c:v>
                </c:pt>
                <c:pt idx="9">
                  <c:v>2290</c:v>
                </c:pt>
                <c:pt idx="10">
                  <c:v>2225</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43257472"/>
        <c:axId val="943259008"/>
      </c:lineChart>
      <c:catAx>
        <c:axId val="943257472"/>
        <c:scaling>
          <c:orientation val="minMax"/>
        </c:scaling>
        <c:delete val="0"/>
        <c:axPos val="b"/>
        <c:numFmt formatCode="General" sourceLinked="1"/>
        <c:majorTickMark val="out"/>
        <c:minorTickMark val="none"/>
        <c:tickLblPos val="nextTo"/>
        <c:crossAx val="943259008"/>
        <c:crosses val="autoZero"/>
        <c:auto val="1"/>
        <c:lblAlgn val="ctr"/>
        <c:lblOffset val="100"/>
        <c:noMultiLvlLbl val="0"/>
      </c:catAx>
      <c:valAx>
        <c:axId val="943259008"/>
        <c:scaling>
          <c:orientation val="minMax"/>
        </c:scaling>
        <c:delete val="0"/>
        <c:axPos val="l"/>
        <c:majorGridlines>
          <c:spPr>
            <a:ln w="3175">
              <a:prstDash val="sysDot"/>
            </a:ln>
          </c:spPr>
        </c:majorGridlines>
        <c:numFmt formatCode="#,##0" sourceLinked="1"/>
        <c:majorTickMark val="out"/>
        <c:minorTickMark val="none"/>
        <c:tickLblPos val="nextTo"/>
        <c:crossAx val="943257472"/>
        <c:crosses val="autoZero"/>
        <c:crossBetween val="between"/>
      </c:valAx>
    </c:plotArea>
    <c:plotVisOnly val="0"/>
    <c:dispBlanksAs val="gap"/>
    <c:showDLblsOverMax val="0"/>
  </c:chart>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o300kW'!$K$62</c:f>
          <c:strCache>
            <c:ptCount val="1"/>
            <c:pt idx="0">
              <c:v>Average annual operating profit per vessel (£'000)
NSWOS demersal under 24m over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'NSWOS demersal u24m o300kW'!$D$2:$N$2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u24m o300kW'!$D$37:$N$37</c:f>
              <c:numCache>
                <c:formatCode>#,##0.0</c:formatCode>
                <c:ptCount val="11"/>
                <c:pt idx="0">
                  <c:v>92.5</c:v>
                </c:pt>
                <c:pt idx="1">
                  <c:v>82</c:v>
                </c:pt>
                <c:pt idx="2">
                  <c:v>107.6</c:v>
                </c:pt>
                <c:pt idx="3">
                  <c:v>116.6</c:v>
                </c:pt>
                <c:pt idx="4">
                  <c:v>72.400000000000006</c:v>
                </c:pt>
                <c:pt idx="5">
                  <c:v>142.1</c:v>
                </c:pt>
                <c:pt idx="6">
                  <c:v>143.4</c:v>
                </c:pt>
                <c:pt idx="7">
                  <c:v>94.1</c:v>
                </c:pt>
                <c:pt idx="8">
                  <c:v>189</c:v>
                </c:pt>
                <c:pt idx="9">
                  <c:v>354.7</c:v>
                </c:pt>
                <c:pt idx="10">
                  <c:v>292.10000000000002</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44673920"/>
        <c:axId val="944675456"/>
      </c:lineChart>
      <c:catAx>
        <c:axId val="944673920"/>
        <c:scaling>
          <c:orientation val="minMax"/>
        </c:scaling>
        <c:delete val="0"/>
        <c:axPos val="b"/>
        <c:numFmt formatCode="General" sourceLinked="1"/>
        <c:majorTickMark val="out"/>
        <c:minorTickMark val="none"/>
        <c:tickLblPos val="nextTo"/>
        <c:crossAx val="944675456"/>
        <c:crosses val="autoZero"/>
        <c:auto val="1"/>
        <c:lblAlgn val="ctr"/>
        <c:lblOffset val="100"/>
        <c:noMultiLvlLbl val="0"/>
      </c:catAx>
      <c:valAx>
        <c:axId val="944675456"/>
        <c:scaling>
          <c:orientation val="minMax"/>
        </c:scaling>
        <c:delete val="0"/>
        <c:axPos val="l"/>
        <c:majorGridlines>
          <c:spPr>
            <a:ln w="3175">
              <a:prstDash val="sysDot"/>
            </a:ln>
          </c:spPr>
        </c:majorGridlines>
        <c:numFmt formatCode="#,##0.0" sourceLinked="1"/>
        <c:majorTickMark val="out"/>
        <c:minorTickMark val="none"/>
        <c:tickLblPos val="nextTo"/>
        <c:crossAx val="944673920"/>
        <c:crosses val="autoZero"/>
        <c:crossBetween val="between"/>
      </c:valAx>
    </c:plotArea>
    <c:plotVisOnly val="0"/>
    <c:dispBlanksAs val="gap"/>
    <c:showDLblsOverMax val="0"/>
  </c:chart>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o300kW'!$A$76</c:f>
          <c:strCache>
            <c:ptCount val="1"/>
            <c:pt idx="0">
              <c:v>Top 5 landed species by volume in 2017
NSWOS demersal under 24m over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C1D119"/>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E87308"/>
              </a:solidFill>
              <a:ln>
                <a:solidFill>
                  <a:srgbClr val="FFFFFF"/>
                </a:solidFill>
              </a:ln>
            </c:spPr>
          </c:dPt>
          <c:dPt>
            <c:idx val="3"/>
            <c:bubble3D val="0"/>
            <c:spPr>
              <a:solidFill>
                <a:srgbClr val="0F9AA9"/>
              </a:solidFill>
              <a:ln>
                <a:solidFill>
                  <a:srgbClr val="FFFFFF"/>
                </a:solidFill>
              </a:ln>
            </c:spPr>
          </c:dPt>
          <c:dPt>
            <c:idx val="4"/>
            <c:bubble3D val="0"/>
            <c:spPr>
              <a:solidFill>
                <a:srgbClr val="FED825"/>
              </a:solidFill>
              <a:ln>
                <a:solidFill>
                  <a:srgbClr val="FFFFFF"/>
                </a:solidFill>
              </a:ln>
            </c:spPr>
          </c:dPt>
          <c:dPt>
            <c:idx val="5"/>
            <c:bubble3D val="0"/>
            <c:spPr>
              <a:solidFill>
                <a:srgbClr val="55585A"/>
              </a:solidFill>
              <a:ln>
                <a:solidFill>
                  <a:srgbClr val="FFFFFF"/>
                </a:solidFill>
              </a:ln>
            </c:spPr>
          </c:dPt>
          <c:cat>
            <c:strRef>
              <c:f>'NSWOS demersal u24m o300kW'!$B$77:$B$82</c:f>
              <c:strCache>
                <c:ptCount val="6"/>
                <c:pt idx="0">
                  <c:v>Anglerfish - 21.0%</c:v>
                </c:pt>
                <c:pt idx="1">
                  <c:v>Haddock - 17.3%</c:v>
                </c:pt>
                <c:pt idx="2">
                  <c:v>Cod - 16.4%</c:v>
                </c:pt>
                <c:pt idx="3">
                  <c:v>Saithe - 7.3%</c:v>
                </c:pt>
                <c:pt idx="4">
                  <c:v>Whiting - 7.1%</c:v>
                </c:pt>
                <c:pt idx="5">
                  <c:v>Others - 31.0%</c:v>
                </c:pt>
              </c:strCache>
            </c:strRef>
          </c:cat>
          <c:val>
            <c:numRef>
              <c:f>'NSWOS demersal u24m o300kW'!$C$77:$C$82</c:f>
              <c:numCache>
                <c:formatCode>0.0%</c:formatCode>
                <c:ptCount val="6"/>
                <c:pt idx="0">
                  <c:v>0.20951676110682771</c:v>
                </c:pt>
                <c:pt idx="1">
                  <c:v>0.17263962209542799</c:v>
                </c:pt>
                <c:pt idx="2">
                  <c:v>0.16417317957852379</c:v>
                </c:pt>
                <c:pt idx="3">
                  <c:v>7.2619216586640667E-2</c:v>
                </c:pt>
                <c:pt idx="4">
                  <c:v>7.1447636584114085E-2</c:v>
                </c:pt>
                <c:pt idx="5">
                  <c:v>0.30960358404846566</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o300kW'!$F$76</c:f>
          <c:strCache>
            <c:ptCount val="1"/>
            <c:pt idx="0">
              <c:v>Top 5 landed species by value in 2017
NSWOS demersal under 24m over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'NSWOS demersal u24m o300kW'!$G$77:$G$82</c:f>
              <c:strCache>
                <c:ptCount val="6"/>
                <c:pt idx="0">
                  <c:v>Anglerfish - 28.5%</c:v>
                </c:pt>
                <c:pt idx="1">
                  <c:v>Cod - 16.7%</c:v>
                </c:pt>
                <c:pt idx="2">
                  <c:v>Nephrops - 11.0%</c:v>
                </c:pt>
                <c:pt idx="3">
                  <c:v>Haddock - 10.7%</c:v>
                </c:pt>
                <c:pt idx="4">
                  <c:v>Megrim - 6.0%</c:v>
                </c:pt>
                <c:pt idx="5">
                  <c:v>Others - 27.1%</c:v>
                </c:pt>
              </c:strCache>
            </c:strRef>
          </c:cat>
          <c:val>
            <c:numRef>
              <c:f>'NSWOS demersal u24m o300kW'!$H$77:$H$82</c:f>
              <c:numCache>
                <c:formatCode>0.0%</c:formatCode>
                <c:ptCount val="6"/>
                <c:pt idx="0">
                  <c:v>0.28495802875963722</c:v>
                </c:pt>
                <c:pt idx="1">
                  <c:v>0.16739386405508822</c:v>
                </c:pt>
                <c:pt idx="2">
                  <c:v>0.11005917413264532</c:v>
                </c:pt>
                <c:pt idx="3">
                  <c:v>0.10697390190378804</c:v>
                </c:pt>
                <c:pt idx="4">
                  <c:v>5.9896070159524986E-2</c:v>
                </c:pt>
                <c:pt idx="5">
                  <c:v>0.27071896098931614</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u24m o300kW'!$C$92</c:f>
              <c:strCache>
                <c:ptCount val="1"/>
                <c:pt idx="0">
                  <c:v>Anglerfish</c:v>
                </c:pt>
              </c:strCache>
            </c:strRef>
          </c:tx>
          <c:spPr>
            <a:solidFill>
              <a:srgbClr val="2273B9"/>
            </a:solidFill>
            <a:ln>
              <a:solidFill>
                <a:srgbClr val="FFFFFF"/>
              </a:solidFill>
            </a:ln>
          </c:spPr>
          <c:invertIfNegative val="0"/>
          <c:cat>
            <c:numRef>
              <c:f>'NSWOS demersal u24m o300kW'!$D$91:$M$91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o300kW'!$D$92:$M$92</c:f>
              <c:numCache>
                <c:formatCode>0%</c:formatCode>
                <c:ptCount val="10"/>
                <c:pt idx="0">
                  <c:v>0.3219342478582749</c:v>
                </c:pt>
                <c:pt idx="1">
                  <c:v>0.24683016030351709</c:v>
                </c:pt>
                <c:pt idx="2">
                  <c:v>0.26215008222703601</c:v>
                </c:pt>
                <c:pt idx="3">
                  <c:v>0.22334887057604921</c:v>
                </c:pt>
                <c:pt idx="4">
                  <c:v>0.20877589339854555</c:v>
                </c:pt>
                <c:pt idx="5">
                  <c:v>0.20885299978592098</c:v>
                </c:pt>
                <c:pt idx="6">
                  <c:v>0.25508867845839367</c:v>
                </c:pt>
                <c:pt idx="7">
                  <c:v>0.29532353105989179</c:v>
                </c:pt>
                <c:pt idx="8">
                  <c:v>0.28495802875963722</c:v>
                </c:pt>
                <c:pt idx="9">
                  <c:v>0.27418102492683555</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'NSWOS demersal u24m o300kW'!$C$93</c:f>
              <c:strCache>
                <c:ptCount val="1"/>
                <c:pt idx="0">
                  <c:v>Cod</c:v>
                </c:pt>
              </c:strCache>
            </c:strRef>
          </c:tx>
          <c:spPr>
            <a:solidFill>
              <a:srgbClr val="E87308"/>
            </a:solidFill>
            <a:ln>
              <a:solidFill>
                <a:srgbClr val="FFFFFF"/>
              </a:solidFill>
            </a:ln>
          </c:spPr>
          <c:invertIfNegative val="0"/>
          <c:cat>
            <c:numRef>
              <c:f>'NSWOS demersal u24m o300kW'!$D$91:$M$91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o300kW'!$D$93:$M$93</c:f>
              <c:numCache>
                <c:formatCode>0%</c:formatCode>
                <c:ptCount val="10"/>
                <c:pt idx="0">
                  <c:v>0.12168287047302789</c:v>
                </c:pt>
                <c:pt idx="1">
                  <c:v>0.14689738780462797</c:v>
                </c:pt>
                <c:pt idx="2">
                  <c:v>0.14280775600669515</c:v>
                </c:pt>
                <c:pt idx="3">
                  <c:v>0.14881319210730032</c:v>
                </c:pt>
                <c:pt idx="4">
                  <c:v>0.14053867994880148</c:v>
                </c:pt>
                <c:pt idx="5">
                  <c:v>0.15020086750447159</c:v>
                </c:pt>
                <c:pt idx="6">
                  <c:v>0.14744146143074563</c:v>
                </c:pt>
                <c:pt idx="7">
                  <c:v>0.15335816214068138</c:v>
                </c:pt>
                <c:pt idx="8">
                  <c:v>0.16739386405508822</c:v>
                </c:pt>
                <c:pt idx="9">
                  <c:v>0.16878299246999168</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'NSWOS demersal u24m o300kW'!$C$94</c:f>
              <c:strCache>
                <c:ptCount val="1"/>
                <c:pt idx="0">
                  <c:v>Nephrops</c:v>
                </c:pt>
              </c:strCache>
            </c:strRef>
          </c:tx>
          <c:spPr>
            <a:solidFill>
              <a:srgbClr val="648C2E"/>
            </a:solidFill>
            <a:ln>
              <a:solidFill>
                <a:srgbClr val="FFFFFF"/>
              </a:solidFill>
            </a:ln>
          </c:spPr>
          <c:invertIfNegative val="0"/>
          <c:cat>
            <c:numRef>
              <c:f>'NSWOS demersal u24m o300kW'!$D$91:$M$91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o300kW'!$D$94:$M$94</c:f>
              <c:numCache>
                <c:formatCode>0%</c:formatCode>
                <c:ptCount val="10"/>
                <c:pt idx="0">
                  <c:v>0.13238978563794429</c:v>
                </c:pt>
                <c:pt idx="2">
                  <c:v>7.8030921744673978E-2</c:v>
                </c:pt>
                <c:pt idx="3">
                  <c:v>0.12403411513664173</c:v>
                </c:pt>
                <c:pt idx="4">
                  <c:v>0.10274045822228119</c:v>
                </c:pt>
                <c:pt idx="5">
                  <c:v>0.12698797115171784</c:v>
                </c:pt>
                <c:pt idx="6">
                  <c:v>0.14539436123514304</c:v>
                </c:pt>
                <c:pt idx="7">
                  <c:v>0.10490004783077564</c:v>
                </c:pt>
                <c:pt idx="8">
                  <c:v>0.11005917413264532</c:v>
                </c:pt>
                <c:pt idx="9">
                  <c:v>0.15048469560260183</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'NSWOS demersal u24m o300kW'!$C$95</c:f>
              <c:strCache>
                <c:ptCount val="1"/>
                <c:pt idx="0">
                  <c:v>Haddock</c:v>
                </c:pt>
              </c:strCache>
            </c:strRef>
          </c:tx>
          <c:spPr>
            <a:solidFill>
              <a:srgbClr val="C1D119"/>
            </a:solidFill>
            <a:ln>
              <a:solidFill>
                <a:srgbClr val="FFFFFF"/>
              </a:solidFill>
            </a:ln>
          </c:spPr>
          <c:invertIfNegative val="0"/>
          <c:cat>
            <c:numRef>
              <c:f>'NSWOS demersal u24m o300kW'!$D$91:$M$91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o300kW'!$D$95:$M$95</c:f>
              <c:numCache>
                <c:formatCode>0%</c:formatCode>
                <c:ptCount val="10"/>
                <c:pt idx="0">
                  <c:v>0.10087473108461084</c:v>
                </c:pt>
                <c:pt idx="1">
                  <c:v>0.10150634890795365</c:v>
                </c:pt>
                <c:pt idx="2">
                  <c:v>9.5370990969775471E-2</c:v>
                </c:pt>
                <c:pt idx="3">
                  <c:v>0.12711800160679612</c:v>
                </c:pt>
                <c:pt idx="4">
                  <c:v>0.1915429680282755</c:v>
                </c:pt>
                <c:pt idx="5">
                  <c:v>0.19227705427281416</c:v>
                </c:pt>
                <c:pt idx="6">
                  <c:v>0.146299239451432</c:v>
                </c:pt>
                <c:pt idx="7">
                  <c:v>0.11687707363737342</c:v>
                </c:pt>
                <c:pt idx="8">
                  <c:v>0.10697390190378804</c:v>
                </c:pt>
                <c:pt idx="9">
                  <c:v>0.10290714644612196</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'NSWOS demersal u24m o300kW'!$C$96</c:f>
              <c:strCache>
                <c:ptCount val="1"/>
                <c:pt idx="0">
                  <c:v>Megrim</c:v>
                </c:pt>
              </c:strCache>
            </c:strRef>
          </c:tx>
          <c:spPr>
            <a:solidFill>
              <a:srgbClr val="E84A38"/>
            </a:solidFill>
            <a:ln>
              <a:solidFill>
                <a:srgbClr val="FFFFFF"/>
              </a:solidFill>
            </a:ln>
          </c:spPr>
          <c:invertIfNegative val="0"/>
          <c:cat>
            <c:numRef>
              <c:f>'NSWOS demersal u24m o300kW'!$D$91:$M$91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o300kW'!$D$96:$M$96</c:f>
              <c:numCache>
                <c:formatCode>0%</c:formatCode>
                <c:ptCount val="10"/>
                <c:pt idx="0">
                  <c:v>0.11293617333632636</c:v>
                </c:pt>
                <c:pt idx="1">
                  <c:v>0.10203311387018492</c:v>
                </c:pt>
                <c:pt idx="2">
                  <c:v>0.11426251850638043</c:v>
                </c:pt>
                <c:pt idx="3">
                  <c:v>0.1194510059861391</c:v>
                </c:pt>
                <c:pt idx="4">
                  <c:v>9.469733228248485E-2</c:v>
                </c:pt>
                <c:pt idx="5">
                  <c:v>7.7703531947885845E-2</c:v>
                </c:pt>
                <c:pt idx="6">
                  <c:v>5.6568036055150386E-2</c:v>
                </c:pt>
                <c:pt idx="8">
                  <c:v>5.9896070159524986E-2</c:v>
                </c:pt>
                <c:pt idx="9">
                  <c:v>6.3029655667108067E-2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'NSWOS demersal u24m o300kW'!$C$97</c:f>
              <c:strCache>
                <c:ptCount val="1"/>
                <c:pt idx="0">
                  <c:v>Squid</c:v>
                </c:pt>
              </c:strCache>
            </c:strRef>
          </c:tx>
          <c:spPr>
            <a:solidFill>
              <a:srgbClr val="0F9AA9"/>
            </a:solidFill>
            <a:ln>
              <a:solidFill>
                <a:srgbClr val="FFFFFF"/>
              </a:solidFill>
            </a:ln>
          </c:spPr>
          <c:invertIfNegative val="0"/>
          <c:cat>
            <c:numRef>
              <c:f>'NSWOS demersal u24m o300kW'!$D$91:$M$91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o300kW'!$D$97:$M$97</c:f>
              <c:numCache>
                <c:formatCode>0%</c:formatCode>
                <c:ptCount val="10"/>
                <c:pt idx="1">
                  <c:v>9.6348640923539661E-2</c:v>
                </c:pt>
                <c:pt idx="7">
                  <c:v>7.1527491717190847E-2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'NSWOS demersal u24m o300kW'!$C$98</c:f>
              <c:strCache>
                <c:ptCount val="1"/>
                <c:pt idx="0">
                  <c:v>Others</c:v>
                </c:pt>
              </c:strCache>
            </c:strRef>
          </c:tx>
          <c:spPr>
            <a:solidFill>
              <a:srgbClr val="55585A"/>
            </a:solidFill>
            <a:ln>
              <a:solidFill>
                <a:srgbClr val="FFFFFF"/>
              </a:solidFill>
            </a:ln>
          </c:spPr>
          <c:invertIfNegative val="0"/>
          <c:cat>
            <c:numRef>
              <c:f>'NSWOS demersal u24m o300kW'!$D$91:$M$91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o300kW'!$D$98:$M$98</c:f>
              <c:numCache>
                <c:formatCode>0%</c:formatCode>
                <c:ptCount val="10"/>
                <c:pt idx="0">
                  <c:v>0.21018219160981572</c:v>
                </c:pt>
                <c:pt idx="1">
                  <c:v>0.30638434819017674</c:v>
                </c:pt>
                <c:pt idx="2">
                  <c:v>0.30737773054543893</c:v>
                </c:pt>
                <c:pt idx="3">
                  <c:v>0.25723481458707353</c:v>
                </c:pt>
                <c:pt idx="4">
                  <c:v>0.26170466811961141</c:v>
                </c:pt>
                <c:pt idx="5">
                  <c:v>0.24397757533718958</c:v>
                </c:pt>
                <c:pt idx="6">
                  <c:v>0.24920822336913526</c:v>
                </c:pt>
                <c:pt idx="7">
                  <c:v>0.25801369361408694</c:v>
                </c:pt>
                <c:pt idx="8">
                  <c:v>0.27071896098931625</c:v>
                </c:pt>
                <c:pt idx="9">
                  <c:v>0.24061448488734091</c:v>
                </c:pt>
              </c:numCache>
            </c:numRef>
          </c:val>
          <c:extLst xmlns:c16r2="http://schemas.microsoft.com/office/drawing/2015/06/chart">
            <c:ext xmlns:c16="http://schemas.microsoft.com/office/drawing/2014/chart" uri="{C3380CC4-5D6E-409C-BE32-E72D297353CC}">
              <c16:uniqueId val="{00000006-282A-42F3-A8CE-7B6B063B5E4F}"/>
            </c:ext>
          </c:extLst>
        </c:ser>
        <c:dLbls>
          <c:showLegendKey val="0"/>
          <c:showVal val="0"/>
          <c:showCatName val="0"/>
          <c:showSerName val="0"/>
          <c:showPercent val="0"/>
          <c:showBubbleSize val="0"/>
        </c:dLbls>
        <c:gapWidth val="150"/>
        <c:overlap val="100"/>
        <c:axId val="945468544"/>
        <c:axId val="945470080"/>
      </c:barChart>
      <c:catAx>
        <c:axId val="945468544"/>
        <c:scaling>
          <c:orientation val="minMax"/>
        </c:scaling>
        <c:delete val="0"/>
        <c:axPos val="b"/>
        <c:numFmt formatCode="General" sourceLinked="1"/>
        <c:majorTickMark val="out"/>
        <c:minorTickMark val="none"/>
        <c:tickLblPos val="nextTo"/>
        <c:crossAx val="945470080"/>
        <c:crosses val="autoZero"/>
        <c:auto val="1"/>
        <c:lblAlgn val="ctr"/>
        <c:lblOffset val="100"/>
        <c:noMultiLvlLbl val="0"/>
      </c:catAx>
      <c:valAx>
        <c:axId val="945470080"/>
        <c:scaling>
          <c:orientation val="minMax"/>
          <c:max val="1"/>
          <c:min val="0"/>
        </c:scaling>
        <c:delete val="0"/>
        <c:axPos val="l"/>
        <c:majorGridlines/>
        <c:numFmt formatCode="0%" sourceLinked="1"/>
        <c:majorTickMark val="out"/>
        <c:minorTickMark val="none"/>
        <c:tickLblPos val="nextTo"/>
        <c:crossAx val="945468544"/>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VIIa nephrops o250kW'!$B$162</c:f>
              <c:strCache>
                <c:ptCount val="1"/>
                <c:pt idx="0">
                  <c:v>Nephrops</c:v>
                </c:pt>
              </c:strCache>
            </c:strRef>
          </c:tx>
          <c:spPr>
            <a:solidFill>
              <a:srgbClr val="2273B9"/>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o250kW'!$C$162:$E$162</c:f>
              <c:numCache>
                <c:formatCode>0%</c:formatCode>
                <c:ptCount val="3"/>
                <c:pt idx="0">
                  <c:v>0.80220705821587845</c:v>
                </c:pt>
                <c:pt idx="1">
                  <c:v>0.82758150364765548</c:v>
                </c:pt>
                <c:pt idx="2">
                  <c:v>0.78229294131176086</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'Area VIIa nephrops o250kW'!$B$163</c:f>
              <c:strCache>
                <c:ptCount val="1"/>
                <c:pt idx="0">
                  <c:v>Haddock</c:v>
                </c:pt>
              </c:strCache>
            </c:strRef>
          </c:tx>
          <c:spPr>
            <a:solidFill>
              <a:srgbClr val="648C2E"/>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o250kW'!$C$163:$E$163</c:f>
              <c:numCache>
                <c:formatCode>0%</c:formatCode>
                <c:ptCount val="3"/>
                <c:pt idx="0">
                  <c:v>4.7511083659278856E-2</c:v>
                </c:pt>
                <c:pt idx="1">
                  <c:v>8.2344507659312963E-2</c:v>
                </c:pt>
                <c:pt idx="2">
                  <c:v>3.0448088355053637E-2</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'Area VIIa nephrops o250kW'!$B$164</c:f>
              <c:strCache>
                <c:ptCount val="1"/>
                <c:pt idx="0">
                  <c:v>Anglerfish</c:v>
                </c:pt>
              </c:strCache>
            </c:strRef>
          </c:tx>
          <c:spPr>
            <a:solidFill>
              <a:srgbClr val="E87308"/>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o250kW'!$C$164:$E$164</c:f>
              <c:numCache>
                <c:formatCode>0%</c:formatCode>
                <c:ptCount val="3"/>
                <c:pt idx="0">
                  <c:v>3.0639157145257046E-2</c:v>
                </c:pt>
                <c:pt idx="1">
                  <c:v>3.1045309267739376E-2</c:v>
                </c:pt>
                <c:pt idx="2">
                  <c:v>3.9726504286562513E-2</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'Area VIIa nephrops o250kW'!$B$165</c:f>
              <c:strCache>
                <c:ptCount val="1"/>
                <c:pt idx="0">
                  <c:v>Les. Spot. Dog</c:v>
                </c:pt>
              </c:strCache>
            </c:strRef>
          </c:tx>
          <c:spPr>
            <a:solidFill>
              <a:srgbClr val="0F9AA9"/>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o250kW'!$C$165:$E$165</c:f>
              <c:numCache>
                <c:formatCode>0%</c:formatCode>
                <c:ptCount val="3"/>
                <c:pt idx="0">
                  <c:v>6.879752877368045E-2</c:v>
                </c:pt>
                <c:pt idx="1">
                  <c:v>2.0400385266271061E-2</c:v>
                </c:pt>
                <c:pt idx="2">
                  <c:v>0.10789841093267058</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'Area VIIa nephrops o250kW'!$B$166</c:f>
              <c:strCache>
                <c:ptCount val="1"/>
                <c:pt idx="0">
                  <c:v>Hake</c:v>
                </c:pt>
              </c:strCache>
            </c:strRef>
          </c:tx>
          <c:spPr>
            <a:solidFill>
              <a:srgbClr val="FED825"/>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o250kW'!$C$166:$E$166</c:f>
              <c:numCache>
                <c:formatCode>0%</c:formatCode>
                <c:ptCount val="3"/>
                <c:pt idx="0">
                  <c:v>0</c:v>
                </c:pt>
                <c:pt idx="1">
                  <c:v>8.0213748398972849E-3</c:v>
                </c:pt>
                <c:pt idx="2">
                  <c:v>0</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'Area VIIa nephrops o250kW'!$B$167</c:f>
              <c:strCache>
                <c:ptCount val="1"/>
                <c:pt idx="0">
                  <c:v>Thornback Ray</c:v>
                </c:pt>
              </c:strCache>
            </c:strRef>
          </c:tx>
          <c:spPr>
            <a:solidFill>
              <a:srgbClr val="707271"/>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o250kW'!$C$167:$E$167</c:f>
              <c:numCache>
                <c:formatCode>0%</c:formatCode>
                <c:ptCount val="3"/>
                <c:pt idx="0">
                  <c:v>0</c:v>
                </c:pt>
                <c:pt idx="1">
                  <c:v>0</c:v>
                </c:pt>
                <c:pt idx="2">
                  <c:v>6.5339282948328912E-3</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'Area VIIa nephrops o250kW'!$B$168</c:f>
              <c:strCache>
                <c:ptCount val="1"/>
                <c:pt idx="0">
                  <c:v>Cuttlefish</c:v>
                </c:pt>
              </c:strCache>
            </c:strRef>
          </c:tx>
          <c:spPr>
            <a:solidFill>
              <a:srgbClr val="C1D119"/>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o250kW'!$C$168:$E$168</c:f>
              <c:numCache>
                <c:formatCode>0%</c:formatCode>
                <c:ptCount val="3"/>
                <c:pt idx="0">
                  <c:v>1.4217451656632425E-2</c:v>
                </c:pt>
                <c:pt idx="1">
                  <c:v>0</c:v>
                </c:pt>
                <c:pt idx="2">
                  <c:v>0</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'Area VIIa nephrops o250kW'!$B$169</c:f>
              <c:strCache>
                <c:ptCount val="1"/>
                <c:pt idx="0">
                  <c:v>Others</c:v>
                </c:pt>
              </c:strCache>
            </c:strRef>
          </c:tx>
          <c:spPr>
            <a:solidFill>
              <a:srgbClr val="55585A"/>
            </a:solidFill>
            <a:ln>
              <a:solidFill>
                <a:srgbClr val="FFFFFF"/>
              </a:solidFill>
            </a:ln>
          </c:spPr>
          <c:invertIfNegative val="0"/>
          <c:cat>
            <c:strRef>
              <c:f>'Area VIIa nephrops o250kW'!$C$161:$E$161</c:f>
              <c:strCache>
                <c:ptCount val="3"/>
                <c:pt idx="0">
                  <c:v>Most
profitable
quartile</c:v>
                </c:pt>
                <c:pt idx="1">
                  <c:v>Middle 
two quartiles</c:v>
                </c:pt>
                <c:pt idx="2">
                  <c:v>Least
profitable
quartile</c:v>
                </c:pt>
              </c:strCache>
            </c:strRef>
          </c:cat>
          <c:val>
            <c:numRef>
              <c:f>'Area VIIa nephrops o250kW'!$C$169:$E$169</c:f>
              <c:numCache>
                <c:formatCode>0%</c:formatCode>
                <c:ptCount val="3"/>
                <c:pt idx="0">
                  <c:v>3.662772054927288E-2</c:v>
                </c:pt>
                <c:pt idx="1">
                  <c:v>3.0606919319123738E-2</c:v>
                </c:pt>
                <c:pt idx="2">
                  <c:v>3.3100126819119446E-2</c:v>
                </c:pt>
              </c:numCache>
            </c:numRef>
          </c:val>
          <c:extLst xmlns:c16r2="http://schemas.microsoft.com/office/drawing/2015/06/chart">
            <c:ext xmlns:c16="http://schemas.microsoft.com/office/drawing/2014/chart" uri="{C3380CC4-5D6E-409C-BE32-E72D297353CC}">
              <c16:uniqueId val="{00000007-DFDD-4C01-8393-1BE532AE55F9}"/>
            </c:ext>
          </c:extLst>
        </c:ser>
        <c:dLbls>
          <c:showLegendKey val="0"/>
          <c:showVal val="0"/>
          <c:showCatName val="0"/>
          <c:showSerName val="0"/>
          <c:showPercent val="0"/>
          <c:showBubbleSize val="0"/>
        </c:dLbls>
        <c:gapWidth val="150"/>
        <c:overlap val="100"/>
        <c:axId val="616459264"/>
        <c:axId val="616473344"/>
      </c:barChart>
      <c:catAx>
        <c:axId val="616459264"/>
        <c:scaling>
          <c:orientation val="minMax"/>
        </c:scaling>
        <c:delete val="0"/>
        <c:axPos val="b"/>
        <c:numFmt formatCode="General" sourceLinked="0"/>
        <c:majorTickMark val="out"/>
        <c:minorTickMark val="none"/>
        <c:tickLblPos val="nextTo"/>
        <c:crossAx val="616473344"/>
        <c:crosses val="autoZero"/>
        <c:auto val="1"/>
        <c:lblAlgn val="ctr"/>
        <c:lblOffset val="100"/>
        <c:noMultiLvlLbl val="0"/>
      </c:catAx>
      <c:valAx>
        <c:axId val="616473344"/>
        <c:scaling>
          <c:orientation val="minMax"/>
          <c:max val="1"/>
          <c:min val="0"/>
        </c:scaling>
        <c:delete val="0"/>
        <c:axPos val="l"/>
        <c:majorGridlines/>
        <c:minorGridlines/>
        <c:numFmt formatCode="0%" sourceLinked="1"/>
        <c:majorTickMark val="out"/>
        <c:minorTickMark val="none"/>
        <c:tickLblPos val="nextTo"/>
        <c:crossAx val="61645926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'NSWOS demersal u24m o300kW'!$B$162</c:f>
              <c:strCache>
                <c:ptCount val="1"/>
                <c:pt idx="0">
                  <c:v>Haddock</c:v>
                </c:pt>
              </c:strCache>
            </c:strRef>
          </c:tx>
          <c:spPr>
            <a:solidFill>
              <a:srgbClr val="C1D119"/>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o300kW'!$C$162:$E$162</c:f>
              <c:numCache>
                <c:formatCode>0%</c:formatCode>
                <c:ptCount val="3"/>
                <c:pt idx="0">
                  <c:v>0.14767479007552006</c:v>
                </c:pt>
                <c:pt idx="1">
                  <c:v>0.2219784004642516</c:v>
                </c:pt>
                <c:pt idx="2">
                  <c:v>0.25407015050193299</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'NSWOS demersal u24m o300kW'!$B$163</c:f>
              <c:strCache>
                <c:ptCount val="1"/>
                <c:pt idx="0">
                  <c:v>Anglerfish</c:v>
                </c:pt>
              </c:strCache>
            </c:strRef>
          </c:tx>
          <c:spPr>
            <a:solidFill>
              <a:srgbClr val="2273B9"/>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o300kW'!$C$163:$E$163</c:f>
              <c:numCache>
                <c:formatCode>0%</c:formatCode>
                <c:ptCount val="3"/>
                <c:pt idx="0">
                  <c:v>0.22989078881845726</c:v>
                </c:pt>
                <c:pt idx="1">
                  <c:v>0.21727614233018605</c:v>
                </c:pt>
                <c:pt idx="2">
                  <c:v>0.11052644652867637</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'NSWOS demersal u24m o300kW'!$B$164</c:f>
              <c:strCache>
                <c:ptCount val="1"/>
                <c:pt idx="0">
                  <c:v>Cod</c:v>
                </c:pt>
              </c:strCache>
            </c:strRef>
          </c:tx>
          <c:spPr>
            <a:solidFill>
              <a:srgbClr val="E87308"/>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o300kW'!$C$164:$E$164</c:f>
              <c:numCache>
                <c:formatCode>0%</c:formatCode>
                <c:ptCount val="3"/>
                <c:pt idx="0">
                  <c:v>0.2002047541159756</c:v>
                </c:pt>
                <c:pt idx="1">
                  <c:v>0.16121486797361947</c:v>
                </c:pt>
                <c:pt idx="2">
                  <c:v>7.4745695908391002E-2</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'NSWOS demersal u24m o300kW'!$B$165</c:f>
              <c:strCache>
                <c:ptCount val="1"/>
                <c:pt idx="0">
                  <c:v>Whiting</c:v>
                </c:pt>
              </c:strCache>
            </c:strRef>
          </c:tx>
          <c:spPr>
            <a:solidFill>
              <a:srgbClr val="FED825"/>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o300kW'!$C$165:$E$165</c:f>
              <c:numCache>
                <c:formatCode>0%</c:formatCode>
                <c:ptCount val="3"/>
                <c:pt idx="0">
                  <c:v>0</c:v>
                </c:pt>
                <c:pt idx="1">
                  <c:v>0.10863819909252487</c:v>
                </c:pt>
                <c:pt idx="2">
                  <c:v>8.8296604149387226E-2</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'NSWOS demersal u24m o300kW'!$B$166</c:f>
              <c:strCache>
                <c:ptCount val="1"/>
                <c:pt idx="0">
                  <c:v>Saithe</c:v>
                </c:pt>
              </c:strCache>
            </c:strRef>
          </c:tx>
          <c:spPr>
            <a:solidFill>
              <a:srgbClr val="0F9AA9"/>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o300kW'!$C$166:$E$166</c:f>
              <c:numCache>
                <c:formatCode>0%</c:formatCode>
                <c:ptCount val="3"/>
                <c:pt idx="0">
                  <c:v>7.6922369247560879E-2</c:v>
                </c:pt>
                <c:pt idx="1">
                  <c:v>7.6606417450834866E-2</c:v>
                </c:pt>
                <c:pt idx="2">
                  <c:v>0</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'NSWOS demersal u24m o300kW'!$B$167</c:f>
              <c:strCache>
                <c:ptCount val="1"/>
                <c:pt idx="0">
                  <c:v>Nephrops</c:v>
                </c:pt>
              </c:strCache>
            </c:strRef>
          </c:tx>
          <c:spPr>
            <a:solidFill>
              <a:srgbClr val="648C2E"/>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o300kW'!$C$167:$E$167</c:f>
              <c:numCache>
                <c:formatCode>0%</c:formatCode>
                <c:ptCount val="3"/>
                <c:pt idx="0">
                  <c:v>0</c:v>
                </c:pt>
                <c:pt idx="1">
                  <c:v>0</c:v>
                </c:pt>
                <c:pt idx="2">
                  <c:v>0.19880050205664934</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'NSWOS demersal u24m o300kW'!$B$168</c:f>
              <c:strCache>
                <c:ptCount val="1"/>
                <c:pt idx="0">
                  <c:v>Ling</c:v>
                </c:pt>
              </c:strCache>
            </c:strRef>
          </c:tx>
          <c:spPr>
            <a:solidFill>
              <a:srgbClr val="51AA81"/>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o300kW'!$C$168:$E$168</c:f>
              <c:numCache>
                <c:formatCode>0%</c:formatCode>
                <c:ptCount val="3"/>
                <c:pt idx="0">
                  <c:v>7.1257744473487497E-2</c:v>
                </c:pt>
                <c:pt idx="1">
                  <c:v>0</c:v>
                </c:pt>
                <c:pt idx="2">
                  <c:v>0</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'NSWOS demersal u24m o300kW'!$B$169</c:f>
              <c:strCache>
                <c:ptCount val="1"/>
                <c:pt idx="0">
                  <c:v>Others</c:v>
                </c:pt>
              </c:strCache>
            </c:strRef>
          </c:tx>
          <c:spPr>
            <a:solidFill>
              <a:srgbClr val="55585A"/>
            </a:solidFill>
            <a:ln>
              <a:solidFill>
                <a:srgbClr val="FFFFFF"/>
              </a:solidFill>
            </a:ln>
          </c:spPr>
          <c:invertIfNegative val="0"/>
          <c:cat>
            <c:strRef>
              <c:f>'NSWOS demersal u24m o300kW'!$C$161:$E$161</c:f>
              <c:strCache>
                <c:ptCount val="3"/>
                <c:pt idx="0">
                  <c:v>Most
profitable
quartile</c:v>
                </c:pt>
                <c:pt idx="1">
                  <c:v>Middle 
two quartiles</c:v>
                </c:pt>
                <c:pt idx="2">
                  <c:v>Least
profitable
quartile</c:v>
                </c:pt>
              </c:strCache>
            </c:strRef>
          </c:cat>
          <c:val>
            <c:numRef>
              <c:f>'NSWOS demersal u24m o300kW'!$C$169:$E$169</c:f>
              <c:numCache>
                <c:formatCode>0%</c:formatCode>
                <c:ptCount val="3"/>
                <c:pt idx="0">
                  <c:v>0.2740495532689986</c:v>
                </c:pt>
                <c:pt idx="1">
                  <c:v>0.21428597268858318</c:v>
                </c:pt>
                <c:pt idx="2">
                  <c:v>0.27356060085496314</c:v>
                </c:pt>
              </c:numCache>
            </c:numRef>
          </c:val>
          <c:extLst xmlns:c16r2="http://schemas.microsoft.com/office/drawing/2015/06/chart">
            <c:ext xmlns:c16="http://schemas.microsoft.com/office/drawing/2014/chart" uri="{C3380CC4-5D6E-409C-BE32-E72D297353CC}">
              <c16:uniqueId val="{00000007-DFDD-4C01-8393-1BE532AE55F9}"/>
            </c:ext>
          </c:extLst>
        </c:ser>
        <c:dLbls>
          <c:showLegendKey val="0"/>
          <c:showVal val="0"/>
          <c:showCatName val="0"/>
          <c:showSerName val="0"/>
          <c:showPercent val="0"/>
          <c:showBubbleSize val="0"/>
        </c:dLbls>
        <c:gapWidth val="150"/>
        <c:overlap val="100"/>
        <c:axId val="945192320"/>
        <c:axId val="945202304"/>
      </c:barChart>
      <c:catAx>
        <c:axId val="945192320"/>
        <c:scaling>
          <c:orientation val="minMax"/>
        </c:scaling>
        <c:delete val="0"/>
        <c:axPos val="b"/>
        <c:numFmt formatCode="General" sourceLinked="0"/>
        <c:majorTickMark val="out"/>
        <c:minorTickMark val="none"/>
        <c:tickLblPos val="nextTo"/>
        <c:crossAx val="945202304"/>
        <c:crosses val="autoZero"/>
        <c:auto val="1"/>
        <c:lblAlgn val="ctr"/>
        <c:lblOffset val="100"/>
        <c:noMultiLvlLbl val="0"/>
      </c:catAx>
      <c:valAx>
        <c:axId val="945202304"/>
        <c:scaling>
          <c:orientation val="minMax"/>
          <c:max val="1"/>
          <c:min val="0"/>
        </c:scaling>
        <c:delete val="0"/>
        <c:axPos val="l"/>
        <c:majorGridlines/>
        <c:minorGridlines/>
        <c:numFmt formatCode="0%" sourceLinked="1"/>
        <c:majorTickMark val="out"/>
        <c:minorTickMark val="none"/>
        <c:tickLblPos val="nextTo"/>
        <c:crossAx val="945192320"/>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'NSWOS demersal u24m o300kW'!$H$162</c:f>
              <c:strCache>
                <c:ptCount val="1"/>
                <c:pt idx="0">
                  <c:v>Anglerfish</c:v>
                </c:pt>
              </c:strCache>
            </c:strRef>
          </c:tx>
          <c:spPr>
            <a:solidFill>
              <a:srgbClr val="2273B9"/>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o300kW'!$I$162:$K$162</c:f>
              <c:numCache>
                <c:formatCode>0%</c:formatCode>
                <c:ptCount val="3"/>
                <c:pt idx="0">
                  <c:v>0.30465791152443894</c:v>
                </c:pt>
                <c:pt idx="1">
                  <c:v>0.31766095976912612</c:v>
                </c:pt>
                <c:pt idx="2">
                  <c:v>0.15386644502353305</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'NSWOS demersal u24m o300kW'!$H$163</c:f>
              <c:strCache>
                <c:ptCount val="1"/>
                <c:pt idx="0">
                  <c:v>Cod</c:v>
                </c:pt>
              </c:strCache>
            </c:strRef>
          </c:tx>
          <c:spPr>
            <a:solidFill>
              <a:srgbClr val="E87308"/>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o300kW'!$I$163:$K$163</c:f>
              <c:numCache>
                <c:formatCode>0%</c:formatCode>
                <c:ptCount val="3"/>
                <c:pt idx="0">
                  <c:v>0.19994104233902657</c:v>
                </c:pt>
                <c:pt idx="1">
                  <c:v>0.17617001102165225</c:v>
                </c:pt>
                <c:pt idx="2">
                  <c:v>7.2826454443332994E-2</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'NSWOS demersal u24m o300kW'!$H$164</c:f>
              <c:strCache>
                <c:ptCount val="1"/>
                <c:pt idx="0">
                  <c:v>Nephrops</c:v>
                </c:pt>
              </c:strCache>
            </c:strRef>
          </c:tx>
          <c:spPr>
            <a:solidFill>
              <a:srgbClr val="648C2E"/>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o300kW'!$I$164:$K$164</c:f>
              <c:numCache>
                <c:formatCode>0%</c:formatCode>
                <c:ptCount val="3"/>
                <c:pt idx="0">
                  <c:v>0</c:v>
                </c:pt>
                <c:pt idx="1">
                  <c:v>0.11926445563337462</c:v>
                </c:pt>
                <c:pt idx="2">
                  <c:v>0.33072074630179632</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'NSWOS demersal u24m o300kW'!$H$165</c:f>
              <c:strCache>
                <c:ptCount val="1"/>
                <c:pt idx="0">
                  <c:v>Haddock</c:v>
                </c:pt>
              </c:strCache>
            </c:strRef>
          </c:tx>
          <c:spPr>
            <a:solidFill>
              <a:srgbClr val="C1D119"/>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o300kW'!$I$165:$K$165</c:f>
              <c:numCache>
                <c:formatCode>0%</c:formatCode>
                <c:ptCount val="3"/>
                <c:pt idx="0">
                  <c:v>9.240194141183751E-2</c:v>
                </c:pt>
                <c:pt idx="1">
                  <c:v>0.11315949195365781</c:v>
                </c:pt>
                <c:pt idx="2">
                  <c:v>0.14598985018549968</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'NSWOS demersal u24m o300kW'!$H$166</c:f>
              <c:strCache>
                <c:ptCount val="1"/>
                <c:pt idx="0">
                  <c:v>Megrim</c:v>
                </c:pt>
              </c:strCache>
            </c:strRef>
          </c:tx>
          <c:spPr>
            <a:solidFill>
              <a:srgbClr val="E84A38"/>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o300kW'!$I$166:$K$166</c:f>
              <c:numCache>
                <c:formatCode>0%</c:formatCode>
                <c:ptCount val="3"/>
                <c:pt idx="0">
                  <c:v>8.0976928996508185E-2</c:v>
                </c:pt>
                <c:pt idx="1">
                  <c:v>5.6646126990659254E-2</c:v>
                </c:pt>
                <c:pt idx="2">
                  <c:v>0</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'NSWOS demersal u24m o300kW'!$H$167</c:f>
              <c:strCache>
                <c:ptCount val="1"/>
                <c:pt idx="0">
                  <c:v>Squid</c:v>
                </c:pt>
              </c:strCache>
            </c:strRef>
          </c:tx>
          <c:spPr>
            <a:solidFill>
              <a:srgbClr val="707271"/>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o300kW'!$I$167:$K$167</c:f>
              <c:numCache>
                <c:formatCode>0%</c:formatCode>
                <c:ptCount val="3"/>
                <c:pt idx="0">
                  <c:v>0</c:v>
                </c:pt>
                <c:pt idx="1">
                  <c:v>0</c:v>
                </c:pt>
                <c:pt idx="2">
                  <c:v>6.5963119957782382E-2</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'NSWOS demersal u24m o300kW'!$H$168</c:f>
              <c:strCache>
                <c:ptCount val="1"/>
                <c:pt idx="0">
                  <c:v>Cuttlefish</c:v>
                </c:pt>
              </c:strCache>
            </c:strRef>
          </c:tx>
          <c:spPr>
            <a:solidFill>
              <a:srgbClr val="169FDB"/>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o300kW'!$I$168:$K$168</c:f>
              <c:numCache>
                <c:formatCode>0%</c:formatCode>
                <c:ptCount val="3"/>
                <c:pt idx="0">
                  <c:v>8.0462521499526554E-2</c:v>
                </c:pt>
                <c:pt idx="1">
                  <c:v>0</c:v>
                </c:pt>
                <c:pt idx="2">
                  <c:v>0</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'NSWOS demersal u24m o300kW'!$H$169</c:f>
              <c:strCache>
                <c:ptCount val="1"/>
                <c:pt idx="0">
                  <c:v>Others</c:v>
                </c:pt>
              </c:strCache>
            </c:strRef>
          </c:tx>
          <c:spPr>
            <a:solidFill>
              <a:srgbClr val="55585A"/>
            </a:solidFill>
            <a:ln>
              <a:solidFill>
                <a:srgbClr val="FFFFFF"/>
              </a:solidFill>
            </a:ln>
          </c:spPr>
          <c:invertIfNegative val="0"/>
          <c:cat>
            <c:strRef>
              <c:f>'NSWOS demersal u24m o300kW'!$I$161:$K$161</c:f>
              <c:strCache>
                <c:ptCount val="3"/>
                <c:pt idx="0">
                  <c:v>Most
profitable
quartile</c:v>
                </c:pt>
                <c:pt idx="1">
                  <c:v>Middle 
two quartiles</c:v>
                </c:pt>
                <c:pt idx="2">
                  <c:v>Least
profitable
quartile</c:v>
                </c:pt>
              </c:strCache>
            </c:strRef>
          </c:cat>
          <c:val>
            <c:numRef>
              <c:f>'NSWOS demersal u24m o300kW'!$I$169:$K$169</c:f>
              <c:numCache>
                <c:formatCode>0%</c:formatCode>
                <c:ptCount val="3"/>
                <c:pt idx="0">
                  <c:v>0.2415596542286621</c:v>
                </c:pt>
                <c:pt idx="1">
                  <c:v>0.21709895463152984</c:v>
                </c:pt>
                <c:pt idx="2">
                  <c:v>0.23063338408805556</c:v>
                </c:pt>
              </c:numCache>
            </c:numRef>
          </c:val>
          <c:extLst xmlns:c16r2="http://schemas.microsoft.com/office/drawing/2015/06/chart">
            <c:ext xmlns:c16="http://schemas.microsoft.com/office/drawing/2014/chart" uri="{C3380CC4-5D6E-409C-BE32-E72D297353CC}">
              <c16:uniqueId val="{00000007-DC58-4725-8A67-0BDC09FD93CD}"/>
            </c:ext>
          </c:extLst>
        </c:ser>
        <c:dLbls>
          <c:showLegendKey val="0"/>
          <c:showVal val="0"/>
          <c:showCatName val="0"/>
          <c:showSerName val="0"/>
          <c:showPercent val="0"/>
          <c:showBubbleSize val="0"/>
        </c:dLbls>
        <c:gapWidth val="150"/>
        <c:overlap val="100"/>
        <c:axId val="945273088"/>
        <c:axId val="945274880"/>
      </c:barChart>
      <c:catAx>
        <c:axId val="945273088"/>
        <c:scaling>
          <c:orientation val="minMax"/>
        </c:scaling>
        <c:delete val="0"/>
        <c:axPos val="b"/>
        <c:numFmt formatCode="General" sourceLinked="0"/>
        <c:majorTickMark val="out"/>
        <c:minorTickMark val="none"/>
        <c:tickLblPos val="nextTo"/>
        <c:crossAx val="945274880"/>
        <c:crosses val="autoZero"/>
        <c:auto val="1"/>
        <c:lblAlgn val="ctr"/>
        <c:lblOffset val="100"/>
        <c:noMultiLvlLbl val="0"/>
      </c:catAx>
      <c:valAx>
        <c:axId val="945274880"/>
        <c:scaling>
          <c:orientation val="minMax"/>
          <c:max val="1"/>
          <c:min val="0"/>
        </c:scaling>
        <c:delete val="0"/>
        <c:axPos val="l"/>
        <c:majorGridlines/>
        <c:minorGridlines/>
        <c:numFmt formatCode="0%" sourceLinked="1"/>
        <c:majorTickMark val="out"/>
        <c:minorTickMark val="none"/>
        <c:tickLblPos val="nextTo"/>
        <c:crossAx val="94527308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o300kW'!$K$143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'NSWOS demersal u24m o300kW'!$K$139</c:f>
              <c:strCache>
                <c:ptCount val="1"/>
                <c:pt idx="0">
                  <c:v>Total income</c:v>
                </c:pt>
              </c:strCache>
            </c:strRef>
          </c:tx>
          <c:spPr>
            <a:solidFill>
              <a:schemeClr val="accent1"/>
            </a:solidFill>
            <a:ln>
              <a:solidFill>
                <a:schemeClr val="accent1"/>
              </a:solidFill>
            </a:ln>
          </c:spPr>
          <c:invertIfNegative val="0"/>
          <c:cat>
            <c:strRef>
              <c:f>'NSWOS demersal u24m o300kW'!$L$138:$N$138</c:f>
              <c:strCache>
                <c:ptCount val="3"/>
                <c:pt idx="0">
                  <c:v>Most
profitable
quartile</c:v>
                </c:pt>
                <c:pt idx="1">
                  <c:v>Middle
two quartiles</c:v>
                </c:pt>
                <c:pt idx="2">
                  <c:v>Least
profitable
quartile</c:v>
                </c:pt>
              </c:strCache>
            </c:strRef>
          </c:cat>
          <c:val>
            <c:numRef>
              <c:f>'NSWOS demersal u24m o300kW'!$L$139:$N$139</c:f>
              <c:numCache>
                <c:formatCode>#,##0</c:formatCode>
                <c:ptCount val="3"/>
                <c:pt idx="0">
                  <c:v>1878.7296249999999</c:v>
                </c:pt>
                <c:pt idx="1">
                  <c:v>1333.47126973684</c:v>
                </c:pt>
                <c:pt idx="2">
                  <c:v>652.66781249999997</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'NSWOS demersal u24m o300kW'!$K$140</c:f>
              <c:strCache>
                <c:ptCount val="1"/>
                <c:pt idx="0">
                  <c:v>Operating costs</c:v>
                </c:pt>
              </c:strCache>
            </c:strRef>
          </c:tx>
          <c:spPr>
            <a:solidFill>
              <a:schemeClr val="accent3"/>
            </a:solidFill>
          </c:spPr>
          <c:invertIfNegative val="0"/>
          <c:cat>
            <c:strRef>
              <c:f>'NSWOS demersal u24m o300kW'!$L$138:$N$138</c:f>
              <c:strCache>
                <c:ptCount val="3"/>
                <c:pt idx="0">
                  <c:v>Most
profitable
quartile</c:v>
                </c:pt>
                <c:pt idx="1">
                  <c:v>Middle
two quartiles</c:v>
                </c:pt>
                <c:pt idx="2">
                  <c:v>Least
profitable
quartile</c:v>
                </c:pt>
              </c:strCache>
            </c:strRef>
          </c:cat>
          <c:val>
            <c:numRef>
              <c:f>'NSWOS demersal u24m o300kW'!$L$140:$N$140</c:f>
              <c:numCache>
                <c:formatCode>#,##0</c:formatCode>
                <c:ptCount val="3"/>
                <c:pt idx="0">
                  <c:v>1283.0226250000001</c:v>
                </c:pt>
                <c:pt idx="1">
                  <c:v>973.26042105263195</c:v>
                </c:pt>
                <c:pt idx="2">
                  <c:v>550.78143750000004</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'NSWOS demersal u24m o300kW'!$K$141</c:f>
              <c:strCache>
                <c:ptCount val="1"/>
                <c:pt idx="0">
                  <c:v>Operating profit</c:v>
                </c:pt>
              </c:strCache>
            </c:strRef>
          </c:tx>
          <c:spPr>
            <a:solidFill>
              <a:schemeClr val="accent2"/>
            </a:solidFill>
          </c:spPr>
          <c:invertIfNegative val="0"/>
          <c:cat>
            <c:strRef>
              <c:f>'NSWOS demersal u24m o300kW'!$L$138:$N$138</c:f>
              <c:strCache>
                <c:ptCount val="3"/>
                <c:pt idx="0">
                  <c:v>Most
profitable
quartile</c:v>
                </c:pt>
                <c:pt idx="1">
                  <c:v>Middle
two quartiles</c:v>
                </c:pt>
                <c:pt idx="2">
                  <c:v>Least
profitable
quartile</c:v>
                </c:pt>
              </c:strCache>
            </c:strRef>
          </c:cat>
          <c:val>
            <c:numRef>
              <c:f>'NSWOS demersal u24m o300kW'!$L$141:$N$141</c:f>
              <c:numCache>
                <c:formatCode>#,##0</c:formatCode>
                <c:ptCount val="3"/>
                <c:pt idx="0">
                  <c:v>595.70699999999999</c:v>
                </c:pt>
                <c:pt idx="1">
                  <c:v>360.21084868421002</c:v>
                </c:pt>
                <c:pt idx="2">
                  <c:v>101.886375</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945359488"/>
        <c:axId val="945361280"/>
      </c:barChart>
      <c:catAx>
        <c:axId val="945359488"/>
        <c:scaling>
          <c:orientation val="minMax"/>
        </c:scaling>
        <c:delete val="0"/>
        <c:axPos val="b"/>
        <c:numFmt formatCode="General" sourceLinked="0"/>
        <c:majorTickMark val="out"/>
        <c:minorTickMark val="none"/>
        <c:tickLblPos val="nextTo"/>
        <c:crossAx val="945361280"/>
        <c:crosses val="autoZero"/>
        <c:auto val="1"/>
        <c:lblAlgn val="ctr"/>
        <c:lblOffset val="100"/>
        <c:noMultiLvlLbl val="0"/>
      </c:catAx>
      <c:valAx>
        <c:axId val="945361280"/>
        <c:scaling>
          <c:orientation val="minMax"/>
        </c:scaling>
        <c:delete val="0"/>
        <c:axPos val="l"/>
        <c:majorGridlines/>
        <c:title>
          <c:tx>
            <c:strRef>
              <c:f>'NSWOS demersal u24m o300kW'!$K$142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945359488"/>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u300kW'!$A$48</c:f>
          <c:strCache>
            <c:ptCount val="1"/>
            <c:pt idx="0">
              <c:v>Landings per kW day at sea (kg)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'NSWOS demersal u24m u300kW'!$D$2:$N$2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u24m u300kW'!$D$21:$N$21</c:f>
              <c:numCache>
                <c:formatCode>#,##0.00</c:formatCode>
                <c:ptCount val="11"/>
                <c:pt idx="0">
                  <c:v>3.980366780499951</c:v>
                </c:pt>
                <c:pt idx="1">
                  <c:v>4.2244803618778715</c:v>
                </c:pt>
                <c:pt idx="2">
                  <c:v>4.8252048042757378</c:v>
                </c:pt>
                <c:pt idx="3">
                  <c:v>5.4361576537832912</c:v>
                </c:pt>
                <c:pt idx="4">
                  <c:v>7.6696481775980656</c:v>
                </c:pt>
                <c:pt idx="5">
                  <c:v>7.9117780710727148</c:v>
                </c:pt>
                <c:pt idx="6">
                  <c:v>4.9696754209153182</c:v>
                </c:pt>
                <c:pt idx="7">
                  <c:v>3.9343450422785406</c:v>
                </c:pt>
                <c:pt idx="8">
                  <c:v>4.5515423706907621</c:v>
                </c:pt>
                <c:pt idx="9">
                  <c:v>4.810287087805639</c:v>
                </c:pt>
                <c:pt idx="10">
                  <c:v>4.8271181005656016</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945623040"/>
        <c:axId val="945624576"/>
      </c:lineChart>
      <c:catAx>
        <c:axId val="945623040"/>
        <c:scaling>
          <c:orientation val="minMax"/>
        </c:scaling>
        <c:delete val="0"/>
        <c:axPos val="b"/>
        <c:numFmt formatCode="General" sourceLinked="1"/>
        <c:majorTickMark val="out"/>
        <c:minorTickMark val="none"/>
        <c:tickLblPos val="nextTo"/>
        <c:crossAx val="945624576"/>
        <c:crosses val="autoZero"/>
        <c:auto val="1"/>
        <c:lblAlgn val="ctr"/>
        <c:lblOffset val="100"/>
        <c:noMultiLvlLbl val="0"/>
      </c:catAx>
      <c:valAx>
        <c:axId val="945624576"/>
        <c:scaling>
          <c:orientation val="minMax"/>
        </c:scaling>
        <c:delete val="0"/>
        <c:axPos val="l"/>
        <c:majorGridlines>
          <c:spPr>
            <a:ln w="3175">
              <a:prstDash val="sysDot"/>
            </a:ln>
          </c:spPr>
        </c:majorGridlines>
        <c:numFmt formatCode="#,##0.00" sourceLinked="1"/>
        <c:majorTickMark val="out"/>
        <c:minorTickMark val="none"/>
        <c:tickLblPos val="nextTo"/>
        <c:crossAx val="945623040"/>
        <c:crosses val="autoZero"/>
        <c:crossBetween val="between"/>
      </c:valAx>
    </c:plotArea>
    <c:plotVisOnly val="0"/>
    <c:dispBlanksAs val="gap"/>
    <c:showDLblsOverMax val="0"/>
  </c:chart>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u300kW'!$A$49</c:f>
          <c:strCache>
            <c:ptCount val="1"/>
            <c:pt idx="0">
              <c:v>Fishing income per kW day at sea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'NSWOS demersal u24m u300kW'!$D$2:$N$2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u24m u300kW'!$D$22:$N$22</c:f>
              <c:numCache>
                <c:formatCode>#,##0.00</c:formatCode>
                <c:ptCount val="11"/>
                <c:pt idx="0">
                  <c:v>7.0725884084266504</c:v>
                </c:pt>
                <c:pt idx="1">
                  <c:v>7.6577176967217202</c:v>
                </c:pt>
                <c:pt idx="2">
                  <c:v>8.3561327690120706</c:v>
                </c:pt>
                <c:pt idx="3">
                  <c:v>10.406870611540899</c:v>
                </c:pt>
                <c:pt idx="4">
                  <c:v>11.6241857088961</c:v>
                </c:pt>
                <c:pt idx="5">
                  <c:v>10.9910478306243</c:v>
                </c:pt>
                <c:pt idx="6">
                  <c:v>9.1718809501983802</c:v>
                </c:pt>
                <c:pt idx="7">
                  <c:v>7.9785186535742803</c:v>
                </c:pt>
                <c:pt idx="8">
                  <c:v>11.103165844636299</c:v>
                </c:pt>
                <c:pt idx="9">
                  <c:v>13.4724815752763</c:v>
                </c:pt>
                <c:pt idx="10">
                  <c:v>11.858797203331049</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945654784"/>
        <c:axId val="945656576"/>
      </c:lineChart>
      <c:catAx>
        <c:axId val="945654784"/>
        <c:scaling>
          <c:orientation val="minMax"/>
        </c:scaling>
        <c:delete val="0"/>
        <c:axPos val="b"/>
        <c:numFmt formatCode="General" sourceLinked="1"/>
        <c:majorTickMark val="out"/>
        <c:minorTickMark val="none"/>
        <c:tickLblPos val="nextTo"/>
        <c:crossAx val="945656576"/>
        <c:crosses val="autoZero"/>
        <c:auto val="1"/>
        <c:lblAlgn val="ctr"/>
        <c:lblOffset val="100"/>
        <c:noMultiLvlLbl val="0"/>
      </c:catAx>
      <c:valAx>
        <c:axId val="945656576"/>
        <c:scaling>
          <c:orientation val="minMax"/>
        </c:scaling>
        <c:delete val="0"/>
        <c:axPos val="l"/>
        <c:majorGridlines>
          <c:spPr>
            <a:ln w="3175">
              <a:prstDash val="sysDot"/>
            </a:ln>
          </c:spPr>
        </c:majorGridlines>
        <c:numFmt formatCode="#,##0.00" sourceLinked="1"/>
        <c:majorTickMark val="out"/>
        <c:minorTickMark val="none"/>
        <c:tickLblPos val="nextTo"/>
        <c:crossAx val="945654784"/>
        <c:crosses val="autoZero"/>
        <c:crossBetween val="between"/>
      </c:valAx>
    </c:plotArea>
    <c:plotVisOnly val="0"/>
    <c:dispBlanksAs val="gap"/>
    <c:showDLblsOverMax val="0"/>
  </c:chart>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u300kW'!$B$62</c:f>
          <c:strCache>
            <c:ptCount val="1"/>
            <c:pt idx="0">
              <c:v>Total cost per kW day at sea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'NSWOS demersal u24m u300kW'!$D$2:$N$2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u24m u300kW'!$D$23:$N$23</c:f>
              <c:numCache>
                <c:formatCode>#,##0.00</c:formatCode>
                <c:ptCount val="11"/>
                <c:pt idx="0">
                  <c:v>7.7028572886631403</c:v>
                </c:pt>
                <c:pt idx="1">
                  <c:v>6.5048007602264297</c:v>
                </c:pt>
                <c:pt idx="2">
                  <c:v>7.2255070657298299</c:v>
                </c:pt>
                <c:pt idx="3">
                  <c:v>10.929619573366001</c:v>
                </c:pt>
                <c:pt idx="4">
                  <c:v>11.340342824815201</c:v>
                </c:pt>
                <c:pt idx="5">
                  <c:v>10.334514286022401</c:v>
                </c:pt>
                <c:pt idx="6">
                  <c:v>8.5824249034534201</c:v>
                </c:pt>
                <c:pt idx="7">
                  <c:v>7.1463983050514202</c:v>
                </c:pt>
                <c:pt idx="8">
                  <c:v>9.3158741498728403</c:v>
                </c:pt>
                <c:pt idx="9">
                  <c:v>12.150938109150101</c:v>
                </c:pt>
                <c:pt idx="10">
                  <c:v>10.91794163447563</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714905856"/>
        <c:axId val="714924032"/>
      </c:lineChart>
      <c:catAx>
        <c:axId val="714905856"/>
        <c:scaling>
          <c:orientation val="minMax"/>
        </c:scaling>
        <c:delete val="0"/>
        <c:axPos val="b"/>
        <c:numFmt formatCode="General" sourceLinked="1"/>
        <c:majorTickMark val="out"/>
        <c:minorTickMark val="none"/>
        <c:tickLblPos val="nextTo"/>
        <c:crossAx val="714924032"/>
        <c:crosses val="autoZero"/>
        <c:auto val="1"/>
        <c:lblAlgn val="ctr"/>
        <c:lblOffset val="100"/>
        <c:noMultiLvlLbl val="0"/>
      </c:catAx>
      <c:valAx>
        <c:axId val="714924032"/>
        <c:scaling>
          <c:orientation val="minMax"/>
        </c:scaling>
        <c:delete val="0"/>
        <c:axPos val="l"/>
        <c:majorGridlines>
          <c:spPr>
            <a:ln w="3175">
              <a:prstDash val="sysDot"/>
            </a:ln>
          </c:spPr>
        </c:majorGridlines>
        <c:numFmt formatCode="#,##0.00" sourceLinked="1"/>
        <c:majorTickMark val="out"/>
        <c:minorTickMark val="none"/>
        <c:tickLblPos val="nextTo"/>
        <c:crossAx val="71490585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u300kW'!$K$48</c:f>
          <c:strCache>
            <c:ptCount val="1"/>
            <c:pt idx="0">
              <c:v>Operating profit per kW day at sea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'NSWOS demersal u24m u300kW'!$D$2:$N$2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u24m u300kW'!$D$24:$N$24</c:f>
              <c:numCache>
                <c:formatCode>#,##0.00</c:formatCode>
                <c:ptCount val="11"/>
                <c:pt idx="0">
                  <c:v>1.0238378175727001</c:v>
                </c:pt>
                <c:pt idx="1">
                  <c:v>1.58840553477349</c:v>
                </c:pt>
                <c:pt idx="2">
                  <c:v>1.5564281290646</c:v>
                </c:pt>
                <c:pt idx="3">
                  <c:v>2.99330120939308</c:v>
                </c:pt>
                <c:pt idx="4">
                  <c:v>2.3435686955573098</c:v>
                </c:pt>
                <c:pt idx="5">
                  <c:v>1.82731886210843</c:v>
                </c:pt>
                <c:pt idx="6">
                  <c:v>1.3864003617471099</c:v>
                </c:pt>
                <c:pt idx="7">
                  <c:v>1.36195703762177</c:v>
                </c:pt>
                <c:pt idx="8">
                  <c:v>1.83198391903</c:v>
                </c:pt>
                <c:pt idx="9">
                  <c:v>5.1250744520525604</c:v>
                </c:pt>
                <c:pt idx="10">
                  <c:v>4.2888139802434413</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44928256"/>
        <c:axId val="944929792"/>
      </c:lineChart>
      <c:catAx>
        <c:axId val="944928256"/>
        <c:scaling>
          <c:orientation val="minMax"/>
        </c:scaling>
        <c:delete val="0"/>
        <c:axPos val="b"/>
        <c:numFmt formatCode="General" sourceLinked="1"/>
        <c:majorTickMark val="out"/>
        <c:minorTickMark val="none"/>
        <c:tickLblPos val="nextTo"/>
        <c:crossAx val="944929792"/>
        <c:crosses val="autoZero"/>
        <c:auto val="1"/>
        <c:lblAlgn val="ctr"/>
        <c:lblOffset val="100"/>
        <c:noMultiLvlLbl val="0"/>
      </c:catAx>
      <c:valAx>
        <c:axId val="944929792"/>
        <c:scaling>
          <c:orientation val="minMax"/>
        </c:scaling>
        <c:delete val="0"/>
        <c:axPos val="l"/>
        <c:majorGridlines>
          <c:spPr>
            <a:ln w="3175">
              <a:prstDash val="sysDot"/>
            </a:ln>
          </c:spPr>
        </c:majorGridlines>
        <c:numFmt formatCode="#,##0.00" sourceLinked="1"/>
        <c:majorTickMark val="out"/>
        <c:minorTickMark val="none"/>
        <c:tickLblPos val="nextTo"/>
        <c:crossAx val="944928256"/>
        <c:crosses val="autoZero"/>
        <c:crossBetween val="between"/>
      </c:valAx>
    </c:plotArea>
    <c:plotVisOnly val="0"/>
    <c:dispBlanksAs val="gap"/>
    <c:showDLblsOverMax val="0"/>
  </c:chart>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u300kW'!$A$50</c:f>
          <c:strCache>
            <c:ptCount val="1"/>
            <c:pt idx="0">
              <c:v>Average price per tonne landed (£)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'NSWOS demersal u24m u300kW'!$D$2:$N$2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u24m u300kW'!$D$20:$N$20</c:f>
              <c:numCache>
                <c:formatCode>#,##0</c:formatCode>
                <c:ptCount val="11"/>
                <c:pt idx="0">
                  <c:v>1777</c:v>
                </c:pt>
                <c:pt idx="1">
                  <c:v>1813</c:v>
                </c:pt>
                <c:pt idx="2">
                  <c:v>1732</c:v>
                </c:pt>
                <c:pt idx="3">
                  <c:v>1914</c:v>
                </c:pt>
                <c:pt idx="4">
                  <c:v>1516</c:v>
                </c:pt>
                <c:pt idx="5">
                  <c:v>1389</c:v>
                </c:pt>
                <c:pt idx="6">
                  <c:v>1846</c:v>
                </c:pt>
                <c:pt idx="7">
                  <c:v>2028</c:v>
                </c:pt>
                <c:pt idx="8">
                  <c:v>2439</c:v>
                </c:pt>
                <c:pt idx="9">
                  <c:v>2801</c:v>
                </c:pt>
                <c:pt idx="10">
                  <c:v>2457</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45390336"/>
        <c:axId val="945391872"/>
      </c:lineChart>
      <c:catAx>
        <c:axId val="945390336"/>
        <c:scaling>
          <c:orientation val="minMax"/>
        </c:scaling>
        <c:delete val="0"/>
        <c:axPos val="b"/>
        <c:numFmt formatCode="General" sourceLinked="1"/>
        <c:majorTickMark val="out"/>
        <c:minorTickMark val="none"/>
        <c:tickLblPos val="nextTo"/>
        <c:crossAx val="945391872"/>
        <c:crosses val="autoZero"/>
        <c:auto val="1"/>
        <c:lblAlgn val="ctr"/>
        <c:lblOffset val="100"/>
        <c:noMultiLvlLbl val="0"/>
      </c:catAx>
      <c:valAx>
        <c:axId val="945391872"/>
        <c:scaling>
          <c:orientation val="minMax"/>
        </c:scaling>
        <c:delete val="0"/>
        <c:axPos val="l"/>
        <c:majorGridlines>
          <c:spPr>
            <a:ln w="3175">
              <a:prstDash val="sysDot"/>
            </a:ln>
          </c:spPr>
        </c:majorGridlines>
        <c:numFmt formatCode="#,##0" sourceLinked="1"/>
        <c:majorTickMark val="out"/>
        <c:minorTickMark val="none"/>
        <c:tickLblPos val="nextTo"/>
        <c:crossAx val="945390336"/>
        <c:crosses val="autoZero"/>
        <c:crossBetween val="between"/>
      </c:valAx>
    </c:plotArea>
    <c:plotVisOnly val="0"/>
    <c:dispBlanksAs val="gap"/>
    <c:showDLblsOverMax val="0"/>
  </c:chart>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'NSWOS demersal u24m u300kW'!$K$62</c:f>
          <c:strCache>
            <c:ptCount val="1"/>
            <c:pt idx="0">
              <c:v>Average annual operating profit per vessel (£'000)
NSWOS demersal under 24m under 300kW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'NSWOS demersal u24m u300kW'!$D$2:$N$2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'NSWOS demersal u24m u300kW'!$D$37:$N$37</c:f>
              <c:numCache>
                <c:formatCode>#,##0.0</c:formatCode>
                <c:ptCount val="11"/>
                <c:pt idx="0">
                  <c:v>29.9</c:v>
                </c:pt>
                <c:pt idx="1">
                  <c:v>41.7</c:v>
                </c:pt>
                <c:pt idx="2">
                  <c:v>47.3</c:v>
                </c:pt>
                <c:pt idx="3">
                  <c:v>75.599999999999994</c:v>
                </c:pt>
                <c:pt idx="4">
                  <c:v>52.4</c:v>
                </c:pt>
                <c:pt idx="5">
                  <c:v>49</c:v>
                </c:pt>
                <c:pt idx="6">
                  <c:v>32.6</c:v>
                </c:pt>
                <c:pt idx="7">
                  <c:v>33.799999999999997</c:v>
                </c:pt>
                <c:pt idx="8">
                  <c:v>55.7</c:v>
                </c:pt>
                <c:pt idx="9">
                  <c:v>94.2</c:v>
                </c:pt>
                <c:pt idx="10">
                  <c:v>112.4</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46253824"/>
        <c:axId val="946255360"/>
      </c:lineChart>
      <c:catAx>
        <c:axId val="946253824"/>
        <c:scaling>
          <c:orientation val="minMax"/>
        </c:scaling>
        <c:delete val="0"/>
        <c:axPos val="b"/>
        <c:numFmt formatCode="General" sourceLinked="1"/>
        <c:majorTickMark val="out"/>
        <c:minorTickMark val="none"/>
        <c:tickLblPos val="nextTo"/>
        <c:crossAx val="946255360"/>
        <c:crosses val="autoZero"/>
        <c:auto val="1"/>
        <c:lblAlgn val="ctr"/>
        <c:lblOffset val="100"/>
        <c:noMultiLvlLbl val="0"/>
      </c:catAx>
      <c:valAx>
        <c:axId val="946255360"/>
        <c:scaling>
          <c:orientation val="minMax"/>
        </c:scaling>
        <c:delete val="0"/>
        <c:axPos val="l"/>
        <c:majorGridlines>
          <c:spPr>
            <a:ln w="3175">
              <a:prstDash val="sysDot"/>
            </a:ln>
          </c:spPr>
        </c:majorGridlines>
        <c:numFmt formatCode="#,##0.0" sourceLinked="1"/>
        <c:majorTickMark val="out"/>
        <c:minorTickMark val="none"/>
        <c:tickLblPos val="nextTo"/>
        <c:crossAx val="946253824"/>
        <c:crosses val="autoZero"/>
        <c:crossBetween val="between"/>
      </c:valAx>
    </c:plotArea>
    <c:plotVisOnly val="0"/>
    <c:dispBlanksAs val="gap"/>
    <c:showDLblsOverMax val="0"/>
  </c:chart>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u300kW'!$A$76</c:f>
          <c:strCache>
            <c:ptCount val="1"/>
            <c:pt idx="0">
              <c:v>Top 5 landed species by volume in 2017
NSWOS demersal under 24m under 300kW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648C2E"/>
              </a:solidFill>
              <a:ln>
                <a:solidFill>
                  <a:srgbClr val="FFFFFF"/>
                </a:solidFill>
              </a:ln>
            </c:spPr>
          </c:dPt>
          <c:dPt>
            <c:idx val="3"/>
            <c:bubble3D val="0"/>
            <c:spPr>
              <a:solidFill>
                <a:srgbClr val="0F9AA9"/>
              </a:solidFill>
              <a:ln>
                <a:solidFill>
                  <a:srgbClr val="FFFFFF"/>
                </a:solidFill>
              </a:ln>
            </c:spPr>
          </c:dPt>
          <c:dPt>
            <c:idx val="4"/>
            <c:bubble3D val="0"/>
            <c:spPr>
              <a:solidFill>
                <a:srgbClr val="C1D119"/>
              </a:solidFill>
              <a:ln>
                <a:solidFill>
                  <a:srgbClr val="FFFFFF"/>
                </a:solidFill>
              </a:ln>
            </c:spPr>
          </c:dPt>
          <c:dPt>
            <c:idx val="5"/>
            <c:bubble3D val="0"/>
            <c:spPr>
              <a:solidFill>
                <a:srgbClr val="55585A"/>
              </a:solidFill>
              <a:ln>
                <a:solidFill>
                  <a:srgbClr val="FFFFFF"/>
                </a:solidFill>
              </a:ln>
            </c:spPr>
          </c:dPt>
          <c:cat>
            <c:strRef>
              <c:f>'NSWOS demersal u24m u300kW'!$B$77:$B$82</c:f>
              <c:strCache>
                <c:ptCount val="6"/>
                <c:pt idx="0">
                  <c:v>Anglerfish - 23.8%</c:v>
                </c:pt>
                <c:pt idx="1">
                  <c:v>Squid - 15.6%</c:v>
                </c:pt>
                <c:pt idx="2">
                  <c:v>Cod - 14.3%</c:v>
                </c:pt>
                <c:pt idx="3">
                  <c:v>Haddock - 7.6%</c:v>
                </c:pt>
                <c:pt idx="4">
                  <c:v>Nephrops - 7.0%</c:v>
                </c:pt>
                <c:pt idx="5">
                  <c:v>Others - 31.8%</c:v>
                </c:pt>
              </c:strCache>
            </c:strRef>
          </c:cat>
          <c:val>
            <c:numRef>
              <c:f>'NSWOS demersal u24m u300kW'!$C$77:$C$82</c:f>
              <c:numCache>
                <c:formatCode>0.0%</c:formatCode>
                <c:ptCount val="6"/>
                <c:pt idx="0">
                  <c:v>0.23759316544753178</c:v>
                </c:pt>
                <c:pt idx="1">
                  <c:v>0.1558709290808484</c:v>
                </c:pt>
                <c:pt idx="2">
                  <c:v>0.14287198385352212</c:v>
                </c:pt>
                <c:pt idx="3">
                  <c:v>7.5848368409550754E-2</c:v>
                </c:pt>
                <c:pt idx="4">
                  <c:v>6.9520087257769064E-2</c:v>
                </c:pt>
                <c:pt idx="5">
                  <c:v>0.31829546595077796</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trawl'!$A$49</c:f>
          <c:strCache>
            <c:ptCount val="1"/>
            <c:pt idx="0">
              <c:v>Fishing income per kW day at sea (£)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'Area VIIa demersal trawl'!$D$2:$N$2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demersal trawl'!$D$22:$N$22</c:f>
              <c:numCache>
                <c:formatCode>#,##0.00</c:formatCode>
                <c:ptCount val="11"/>
                <c:pt idx="0">
                  <c:v>4.7236430828917602</c:v>
                </c:pt>
                <c:pt idx="1">
                  <c:v>4.4380956465981498</c:v>
                </c:pt>
                <c:pt idx="2">
                  <c:v>5.0664957049594799</c:v>
                </c:pt>
                <c:pt idx="3">
                  <c:v>5.2934172180179004</c:v>
                </c:pt>
                <c:pt idx="4">
                  <c:v>7.7210038492706596</c:v>
                </c:pt>
                <c:pt idx="5">
                  <c:v>6.5447617081525102</c:v>
                </c:pt>
                <c:pt idx="6">
                  <c:v>7.3637293071781897</c:v>
                </c:pt>
                <c:pt idx="7">
                  <c:v>6.9036065604106804</c:v>
                </c:pt>
                <c:pt idx="8">
                  <c:v>7.64114370518132</c:v>
                </c:pt>
                <c:pt idx="9">
                  <c:v>7.0570154652670798</c:v>
                </c:pt>
                <c:pt idx="10">
                  <c:v>6.8242116411890681</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612798848"/>
        <c:axId val="612800384"/>
      </c:lineChart>
      <c:catAx>
        <c:axId val="612798848"/>
        <c:scaling>
          <c:orientation val="minMax"/>
        </c:scaling>
        <c:delete val="0"/>
        <c:axPos val="b"/>
        <c:numFmt formatCode="General" sourceLinked="1"/>
        <c:majorTickMark val="out"/>
        <c:minorTickMark val="none"/>
        <c:tickLblPos val="nextTo"/>
        <c:crossAx val="612800384"/>
        <c:crosses val="autoZero"/>
        <c:auto val="1"/>
        <c:lblAlgn val="ctr"/>
        <c:lblOffset val="100"/>
        <c:noMultiLvlLbl val="0"/>
      </c:catAx>
      <c:valAx>
        <c:axId val="612800384"/>
        <c:scaling>
          <c:orientation val="minMax"/>
        </c:scaling>
        <c:delete val="0"/>
        <c:axPos val="l"/>
        <c:majorGridlines>
          <c:spPr>
            <a:ln w="3175">
              <a:prstDash val="sysDot"/>
            </a:ln>
          </c:spPr>
        </c:majorGridlines>
        <c:numFmt formatCode="#,##0.00" sourceLinked="1"/>
        <c:majorTickMark val="out"/>
        <c:minorTickMark val="none"/>
        <c:tickLblPos val="nextTo"/>
        <c:crossAx val="612798848"/>
        <c:crosses val="autoZero"/>
        <c:crossBetween val="between"/>
      </c:valAx>
    </c:plotArea>
    <c:plotVisOnly val="0"/>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VIIa nephrops o250kW'!$H$162</c:f>
              <c:strCache>
                <c:ptCount val="1"/>
                <c:pt idx="0">
                  <c:v>Nephrops</c:v>
                </c:pt>
              </c:strCache>
            </c:strRef>
          </c:tx>
          <c:spPr>
            <a:solidFill>
              <a:srgbClr val="2273B9"/>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o250kW'!$I$162:$K$162</c:f>
              <c:numCache>
                <c:formatCode>0%</c:formatCode>
                <c:ptCount val="3"/>
                <c:pt idx="0">
                  <c:v>0.88401865338971097</c:v>
                </c:pt>
                <c:pt idx="1">
                  <c:v>0.89855019629828914</c:v>
                </c:pt>
                <c:pt idx="2">
                  <c:v>0.90922683159188966</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'Area VIIa nephrops o250kW'!$H$163</c:f>
              <c:strCache>
                <c:ptCount val="1"/>
                <c:pt idx="0">
                  <c:v>Anglerfish</c:v>
                </c:pt>
              </c:strCache>
            </c:strRef>
          </c:tx>
          <c:spPr>
            <a:solidFill>
              <a:srgbClr val="E87308"/>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o250kW'!$I$163:$K$163</c:f>
              <c:numCache>
                <c:formatCode>0%</c:formatCode>
                <c:ptCount val="3"/>
                <c:pt idx="0">
                  <c:v>3.2428577304564471E-2</c:v>
                </c:pt>
                <c:pt idx="1">
                  <c:v>3.5318365445213974E-2</c:v>
                </c:pt>
                <c:pt idx="2">
                  <c:v>4.1061699149287666E-2</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'Area VIIa nephrops o250kW'!$H$164</c:f>
              <c:strCache>
                <c:ptCount val="1"/>
                <c:pt idx="0">
                  <c:v>Haddock</c:v>
                </c:pt>
              </c:strCache>
            </c:strRef>
          </c:tx>
          <c:spPr>
            <a:solidFill>
              <a:srgbClr val="648C2E"/>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o250kW'!$I$164:$K$164</c:f>
              <c:numCache>
                <c:formatCode>0%</c:formatCode>
                <c:ptCount val="3"/>
                <c:pt idx="0">
                  <c:v>2.7469704774174632E-2</c:v>
                </c:pt>
                <c:pt idx="1">
                  <c:v>2.5124812704395261E-2</c:v>
                </c:pt>
                <c:pt idx="2">
                  <c:v>1.2577188539584859E-2</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'Area VIIa nephrops o250kW'!$H$165</c:f>
              <c:strCache>
                <c:ptCount val="1"/>
                <c:pt idx="0">
                  <c:v>Cuttlefish</c:v>
                </c:pt>
              </c:strCache>
            </c:strRef>
          </c:tx>
          <c:spPr>
            <a:solidFill>
              <a:srgbClr val="C1D119"/>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o250kW'!$I$165:$K$165</c:f>
              <c:numCache>
                <c:formatCode>0%</c:formatCode>
                <c:ptCount val="3"/>
                <c:pt idx="0">
                  <c:v>2.0833859931862382E-2</c:v>
                </c:pt>
                <c:pt idx="1">
                  <c:v>1.3855049612212969E-2</c:v>
                </c:pt>
                <c:pt idx="2">
                  <c:v>0</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'Area VIIa nephrops o250kW'!$H$166</c:f>
              <c:strCache>
                <c:ptCount val="1"/>
                <c:pt idx="0">
                  <c:v>Brill</c:v>
                </c:pt>
              </c:strCache>
            </c:strRef>
          </c:tx>
          <c:spPr>
            <a:solidFill>
              <a:srgbClr val="E84A38"/>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o250kW'!$I$166:$K$166</c:f>
              <c:numCache>
                <c:formatCode>0%</c:formatCode>
                <c:ptCount val="3"/>
                <c:pt idx="0">
                  <c:v>0</c:v>
                </c:pt>
                <c:pt idx="1">
                  <c:v>6.469186957704637E-3</c:v>
                </c:pt>
                <c:pt idx="2">
                  <c:v>7.0640300020175352E-3</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'Area VIIa nephrops o250kW'!$H$167</c:f>
              <c:strCache>
                <c:ptCount val="1"/>
                <c:pt idx="0">
                  <c:v>Les. Spot. Dog</c:v>
                </c:pt>
              </c:strCache>
            </c:strRef>
          </c:tx>
          <c:spPr>
            <a:solidFill>
              <a:srgbClr val="0F9AA9"/>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o250kW'!$I$167:$K$167</c:f>
              <c:numCache>
                <c:formatCode>0%</c:formatCode>
                <c:ptCount val="3"/>
                <c:pt idx="0">
                  <c:v>5.8506696291630916E-3</c:v>
                </c:pt>
                <c:pt idx="1">
                  <c:v>0</c:v>
                </c:pt>
                <c:pt idx="2">
                  <c:v>8.6152923356726495E-3</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'Area VIIa nephrops o250kW'!$H$168</c:f>
              <c:strCache>
                <c:ptCount val="1"/>
                <c:pt idx="0">
                  <c:v>Others</c:v>
                </c:pt>
              </c:strCache>
            </c:strRef>
          </c:tx>
          <c:spPr>
            <a:solidFill>
              <a:srgbClr val="55585A"/>
            </a:solidFill>
            <a:ln>
              <a:solidFill>
                <a:srgbClr val="FFFFFF"/>
              </a:solidFill>
            </a:ln>
          </c:spPr>
          <c:invertIfNegative val="0"/>
          <c:cat>
            <c:strRef>
              <c:f>'Area VIIa nephrops o250kW'!$I$161:$K$161</c:f>
              <c:strCache>
                <c:ptCount val="3"/>
                <c:pt idx="0">
                  <c:v>Most
profitable
quartile</c:v>
                </c:pt>
                <c:pt idx="1">
                  <c:v>Middle 
two quartiles</c:v>
                </c:pt>
                <c:pt idx="2">
                  <c:v>Least
profitable
quartile</c:v>
                </c:pt>
              </c:strCache>
            </c:strRef>
          </c:cat>
          <c:val>
            <c:numRef>
              <c:f>'Area VIIa nephrops o250kW'!$I$168:$K$168</c:f>
              <c:numCache>
                <c:formatCode>0%</c:formatCode>
                <c:ptCount val="3"/>
                <c:pt idx="0">
                  <c:v>2.9398534970524359E-2</c:v>
                </c:pt>
                <c:pt idx="1">
                  <c:v>2.0682388982184108E-2</c:v>
                </c:pt>
                <c:pt idx="2">
                  <c:v>2.1454958381547651E-2</c:v>
                </c:pt>
              </c:numCache>
            </c:numRef>
          </c:val>
          <c:extLst xmlns:c16r2="http://schemas.microsoft.com/office/drawing/2015/06/chart">
            <c:ext xmlns:c16="http://schemas.microsoft.com/office/drawing/2014/chart" uri="{C3380CC4-5D6E-409C-BE32-E72D297353CC}">
              <c16:uniqueId val="{00000006-DC58-4725-8A67-0BDC09FD93CD}"/>
            </c:ext>
          </c:extLst>
        </c:ser>
        <c:dLbls>
          <c:showLegendKey val="0"/>
          <c:showVal val="0"/>
          <c:showCatName val="0"/>
          <c:showSerName val="0"/>
          <c:showPercent val="0"/>
          <c:showBubbleSize val="0"/>
        </c:dLbls>
        <c:gapWidth val="150"/>
        <c:overlap val="100"/>
        <c:axId val="616513920"/>
        <c:axId val="616515456"/>
      </c:barChart>
      <c:catAx>
        <c:axId val="616513920"/>
        <c:scaling>
          <c:orientation val="minMax"/>
        </c:scaling>
        <c:delete val="0"/>
        <c:axPos val="b"/>
        <c:numFmt formatCode="General" sourceLinked="0"/>
        <c:majorTickMark val="out"/>
        <c:minorTickMark val="none"/>
        <c:tickLblPos val="nextTo"/>
        <c:crossAx val="616515456"/>
        <c:crosses val="autoZero"/>
        <c:auto val="1"/>
        <c:lblAlgn val="ctr"/>
        <c:lblOffset val="100"/>
        <c:noMultiLvlLbl val="0"/>
      </c:catAx>
      <c:valAx>
        <c:axId val="616515456"/>
        <c:scaling>
          <c:orientation val="minMax"/>
          <c:max val="1"/>
          <c:min val="0"/>
        </c:scaling>
        <c:delete val="0"/>
        <c:axPos val="l"/>
        <c:majorGridlines/>
        <c:minorGridlines/>
        <c:numFmt formatCode="0%" sourceLinked="1"/>
        <c:majorTickMark val="out"/>
        <c:minorTickMark val="none"/>
        <c:tickLblPos val="nextTo"/>
        <c:crossAx val="616513920"/>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'NSWOS demersal u24m u300kW'!$F$76</c:f>
          <c:strCache>
            <c:ptCount val="1"/>
            <c:pt idx="0">
              <c:v>Top 5 landed species by value in 2017
NSWOS demersal under 24m under 300kW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'NSWOS demersal u24m u300kW'!$G$77:$G$82</c:f>
              <c:strCache>
                <c:ptCount val="6"/>
                <c:pt idx="0">
                  <c:v>Squid - 27.5%</c:v>
                </c:pt>
                <c:pt idx="1">
                  <c:v>Anglerfish - 25.4%</c:v>
                </c:pt>
                <c:pt idx="2">
                  <c:v>Cod - 11.6%</c:v>
                </c:pt>
                <c:pt idx="3">
                  <c:v>Nephrops - 8.6%</c:v>
                </c:pt>
                <c:pt idx="4">
                  <c:v>Megrim - 6.6%</c:v>
                </c:pt>
                <c:pt idx="5">
                  <c:v>Others - 20.3%</c:v>
                </c:pt>
              </c:strCache>
            </c:strRef>
          </c:cat>
          <c:val>
            <c:numRef>
              <c:f>'NSWOS demersal u24m u300kW'!$H$77:$H$82</c:f>
              <c:numCache>
                <c:formatCode>0.0%</c:formatCode>
                <c:ptCount val="6"/>
                <c:pt idx="0">
                  <c:v>0.27534850338193778</c:v>
                </c:pt>
                <c:pt idx="1">
                  <c:v>0.25356492751390253</c:v>
                </c:pt>
                <c:pt idx="2">
                  <c:v>0.1160813020066233</c:v>
                </c:pt>
                <c:pt idx="3">
                  <c:v>8.5976802140008038E-2</c:v>
                </c:pt>
                <c:pt idx="4">
                  <c:v>6.556800645001569E-2</c:v>
                </c:pt>
                <c:pt idx="5">
                  <c:v>0.20346045850751271</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'NSWOS demersal u24m u300kW'!$C$92</c:f>
              <c:strCache>
                <c:ptCount val="1"/>
                <c:pt idx="0">
                  <c:v>Squid</c:v>
                </c:pt>
              </c:strCache>
            </c:strRef>
          </c:tx>
          <c:spPr>
            <a:solidFill>
              <a:srgbClr val="2273B9"/>
            </a:solidFill>
            <a:ln>
              <a:solidFill>
                <a:srgbClr val="FFFFFF"/>
              </a:solidFill>
            </a:ln>
          </c:spPr>
          <c:invertIfNegative val="0"/>
          <c:cat>
            <c:numRef>
              <c:f>'NSWOS demersal u24m u300kW'!$D$91:$M$91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u300kW'!$D$92:$M$92</c:f>
              <c:numCache>
                <c:formatCode>0%</c:formatCode>
                <c:ptCount val="10"/>
                <c:pt idx="1">
                  <c:v>0.15351944069348078</c:v>
                </c:pt>
                <c:pt idx="2">
                  <c:v>8.3490118175286482E-2</c:v>
                </c:pt>
                <c:pt idx="5">
                  <c:v>0.10670897823153228</c:v>
                </c:pt>
                <c:pt idx="6">
                  <c:v>8.3155511487980824E-2</c:v>
                </c:pt>
                <c:pt idx="7">
                  <c:v>0.15484957692255077</c:v>
                </c:pt>
                <c:pt idx="8">
                  <c:v>0.27534850338193778</c:v>
                </c:pt>
                <c:pt idx="9">
                  <c:v>0.21361885478695625</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'NSWOS demersal u24m u300kW'!$C$93</c:f>
              <c:strCache>
                <c:ptCount val="1"/>
                <c:pt idx="0">
                  <c:v>Anglerfish</c:v>
                </c:pt>
              </c:strCache>
            </c:strRef>
          </c:tx>
          <c:spPr>
            <a:solidFill>
              <a:srgbClr val="E87308"/>
            </a:solidFill>
            <a:ln>
              <a:solidFill>
                <a:srgbClr val="FFFFFF"/>
              </a:solidFill>
            </a:ln>
          </c:spPr>
          <c:invertIfNegative val="0"/>
          <c:cat>
            <c:numRef>
              <c:f>'NSWOS demersal u24m u300kW'!$D$91:$M$91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u300kW'!$D$93:$M$93</c:f>
              <c:numCache>
                <c:formatCode>0%</c:formatCode>
                <c:ptCount val="10"/>
                <c:pt idx="0">
                  <c:v>8.9578142835492314E-2</c:v>
                </c:pt>
                <c:pt idx="1">
                  <c:v>8.9815479723848637E-2</c:v>
                </c:pt>
                <c:pt idx="2">
                  <c:v>0.13763832121857594</c:v>
                </c:pt>
                <c:pt idx="3">
                  <c:v>7.8226021625191156E-2</c:v>
                </c:pt>
                <c:pt idx="4">
                  <c:v>7.1289040655606956E-2</c:v>
                </c:pt>
                <c:pt idx="5">
                  <c:v>0.14885821576618885</c:v>
                </c:pt>
                <c:pt idx="6">
                  <c:v>0.17859290264909811</c:v>
                </c:pt>
                <c:pt idx="7">
                  <c:v>0.29369838777206653</c:v>
                </c:pt>
                <c:pt idx="8">
                  <c:v>0.25356492751390253</c:v>
                </c:pt>
                <c:pt idx="9">
                  <c:v>0.18846342081952042</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'NSWOS demersal u24m u300kW'!$C$94</c:f>
              <c:strCache>
                <c:ptCount val="1"/>
                <c:pt idx="0">
                  <c:v>Cod</c:v>
                </c:pt>
              </c:strCache>
            </c:strRef>
          </c:tx>
          <c:spPr>
            <a:solidFill>
              <a:srgbClr val="648C2E"/>
            </a:solidFill>
            <a:ln>
              <a:solidFill>
                <a:srgbClr val="FFFFFF"/>
              </a:solidFill>
            </a:ln>
          </c:spPr>
          <c:invertIfNegative val="0"/>
          <c:cat>
            <c:numRef>
              <c:f>'NSWOS demersal u24m u300kW'!$D$91:$M$91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u300kW'!$D$94:$M$94</c:f>
              <c:numCache>
                <c:formatCode>0%</c:formatCode>
                <c:ptCount val="10"/>
                <c:pt idx="0">
                  <c:v>9.7829156406125578E-2</c:v>
                </c:pt>
                <c:pt idx="6">
                  <c:v>9.6503849964573757E-2</c:v>
                </c:pt>
                <c:pt idx="7">
                  <c:v>9.8814309625166907E-2</c:v>
                </c:pt>
                <c:pt idx="8">
                  <c:v>0.1160813020066233</c:v>
                </c:pt>
                <c:pt idx="9">
                  <c:v>0.18753901625091965</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'NSWOS demersal u24m u300kW'!$C$95</c:f>
              <c:strCache>
                <c:ptCount val="1"/>
                <c:pt idx="0">
                  <c:v>Nephrops</c:v>
                </c:pt>
              </c:strCache>
            </c:strRef>
          </c:tx>
          <c:spPr>
            <a:solidFill>
              <a:srgbClr val="C1D119"/>
            </a:solidFill>
            <a:ln>
              <a:solidFill>
                <a:srgbClr val="FFFFFF"/>
              </a:solidFill>
            </a:ln>
          </c:spPr>
          <c:invertIfNegative val="0"/>
          <c:cat>
            <c:numRef>
              <c:f>'NSWOS demersal u24m u300kW'!$D$91:$M$91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u300kW'!$D$95:$M$95</c:f>
              <c:numCache>
                <c:formatCode>0%</c:formatCode>
                <c:ptCount val="10"/>
                <c:pt idx="0">
                  <c:v>0.14064857351102794</c:v>
                </c:pt>
                <c:pt idx="1">
                  <c:v>0.16042374140721768</c:v>
                </c:pt>
                <c:pt idx="2">
                  <c:v>0.12929968627573948</c:v>
                </c:pt>
                <c:pt idx="3">
                  <c:v>0.14231995364883382</c:v>
                </c:pt>
                <c:pt idx="4">
                  <c:v>0.11288102268453902</c:v>
                </c:pt>
                <c:pt idx="5">
                  <c:v>9.3826731895711266E-2</c:v>
                </c:pt>
                <c:pt idx="6">
                  <c:v>0.19297668254240927</c:v>
                </c:pt>
                <c:pt idx="7">
                  <c:v>0.10651234653732483</c:v>
                </c:pt>
                <c:pt idx="8">
                  <c:v>8.5976802140008038E-2</c:v>
                </c:pt>
                <c:pt idx="9">
                  <c:v>5.7950249864941301E-2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'NSWOS demersal u24m u300kW'!$C$96</c:f>
              <c:strCache>
                <c:ptCount val="1"/>
                <c:pt idx="0">
                  <c:v>Megrim</c:v>
                </c:pt>
              </c:strCache>
            </c:strRef>
          </c:tx>
          <c:spPr>
            <a:solidFill>
              <a:srgbClr val="E84A38"/>
            </a:solidFill>
            <a:ln>
              <a:solidFill>
                <a:srgbClr val="FFFFFF"/>
              </a:solidFill>
            </a:ln>
          </c:spPr>
          <c:invertIfNegative val="0"/>
          <c:cat>
            <c:numRef>
              <c:f>'NSWOS demersal u24m u300kW'!$D$91:$M$91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u300kW'!$D$96:$M$96</c:f>
              <c:numCache>
                <c:formatCode>0%</c:formatCode>
                <c:ptCount val="10"/>
                <c:pt idx="0">
                  <c:v>9.701862841204055E-2</c:v>
                </c:pt>
                <c:pt idx="1">
                  <c:v>0.13595704014324711</c:v>
                </c:pt>
                <c:pt idx="2">
                  <c:v>0.13845665712487368</c:v>
                </c:pt>
                <c:pt idx="3">
                  <c:v>8.4227411473306715E-2</c:v>
                </c:pt>
                <c:pt idx="5">
                  <c:v>0.11173925024695418</c:v>
                </c:pt>
                <c:pt idx="7">
                  <c:v>0.10467888193926944</c:v>
                </c:pt>
                <c:pt idx="8">
                  <c:v>6.556800645001569E-2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'NSWOS demersal u24m u300kW'!$C$97</c:f>
              <c:strCache>
                <c:ptCount val="1"/>
                <c:pt idx="0">
                  <c:v>Haddock</c:v>
                </c:pt>
              </c:strCache>
            </c:strRef>
          </c:tx>
          <c:spPr>
            <a:solidFill>
              <a:srgbClr val="0F9AA9"/>
            </a:solidFill>
            <a:ln>
              <a:solidFill>
                <a:srgbClr val="FFFFFF"/>
              </a:solidFill>
            </a:ln>
          </c:spPr>
          <c:invertIfNegative val="0"/>
          <c:cat>
            <c:numRef>
              <c:f>'NSWOS demersal u24m u300kW'!$D$91:$M$91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u300kW'!$D$97:$M$97</c:f>
              <c:numCache>
                <c:formatCode>0%</c:formatCode>
                <c:ptCount val="10"/>
                <c:pt idx="3">
                  <c:v>0.26397718100898532</c:v>
                </c:pt>
                <c:pt idx="4">
                  <c:v>0.30130177258898977</c:v>
                </c:pt>
                <c:pt idx="5">
                  <c:v>0.11347803515808288</c:v>
                </c:pt>
                <c:pt idx="6">
                  <c:v>0.14809808879881728</c:v>
                </c:pt>
                <c:pt idx="9">
                  <c:v>7.4874414258606956E-2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'NSWOS demersal u24m u300kW'!$C$98</c:f>
              <c:strCache>
                <c:ptCount val="1"/>
                <c:pt idx="0">
                  <c:v>Plaice</c:v>
                </c:pt>
              </c:strCache>
            </c:strRef>
          </c:tx>
          <c:spPr>
            <a:solidFill>
              <a:srgbClr val="FED825"/>
            </a:solidFill>
            <a:ln>
              <a:solidFill>
                <a:srgbClr val="FFFFFF"/>
              </a:solidFill>
            </a:ln>
          </c:spPr>
          <c:invertIfNegative val="0"/>
          <c:cat>
            <c:numRef>
              <c:f>'NSWOS demersal u24m u300kW'!$D$91:$M$91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u300kW'!$D$98:$M$98</c:f>
              <c:numCache>
                <c:formatCode>0%</c:formatCode>
                <c:ptCount val="10"/>
                <c:pt idx="2">
                  <c:v>8.6141613000981859E-2</c:v>
                </c:pt>
                <c:pt idx="3">
                  <c:v>0.10495694435992931</c:v>
                </c:pt>
                <c:pt idx="4">
                  <c:v>8.6314561979122767E-2</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'NSWOS demersal u24m u300kW'!$C$99</c:f>
              <c:strCache>
                <c:ptCount val="1"/>
                <c:pt idx="0">
                  <c:v>Whiting</c:v>
                </c:pt>
              </c:strCache>
            </c:strRef>
          </c:tx>
          <c:spPr>
            <a:solidFill>
              <a:srgbClr val="707271"/>
            </a:solidFill>
            <a:ln>
              <a:solidFill>
                <a:srgbClr val="FFFFFF"/>
              </a:solidFill>
            </a:ln>
          </c:spPr>
          <c:invertIfNegative val="0"/>
          <c:cat>
            <c:numRef>
              <c:f>'NSWOS demersal u24m u300kW'!$D$91:$M$91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u300kW'!$D$99:$M$99</c:f>
              <c:numCache>
                <c:formatCode>0%</c:formatCode>
                <c:ptCount val="10"/>
                <c:pt idx="4">
                  <c:v>5.3566297721230199E-2</c:v>
                </c:pt>
              </c:numCache>
            </c:numRef>
          </c:val>
          <c:extLst xmlns:c16r2="http://schemas.microsoft.com/office/drawing/2015/06/chart">
            <c:ext xmlns:c16="http://schemas.microsoft.com/office/drawing/2014/chart" uri="{C3380CC4-5D6E-409C-BE32-E72D297353CC}">
              <c16:uniqueId val="{00000007-282A-42F3-A8CE-7B6B063B5E4F}"/>
            </c:ext>
          </c:extLst>
        </c:ser>
        <c:ser>
          <c:idx val="8"/>
          <c:order val="8"/>
          <c:tx>
            <c:strRef>
              <c:f>'NSWOS demersal u24m u300kW'!$C$100</c:f>
              <c:strCache>
                <c:ptCount val="1"/>
                <c:pt idx="0">
                  <c:v>Queen Scallops</c:v>
                </c:pt>
              </c:strCache>
            </c:strRef>
          </c:tx>
          <c:spPr>
            <a:solidFill>
              <a:srgbClr val="51AA81"/>
            </a:solidFill>
            <a:ln>
              <a:solidFill>
                <a:srgbClr val="FFFFFF"/>
              </a:solidFill>
            </a:ln>
          </c:spPr>
          <c:invertIfNegative val="0"/>
          <c:cat>
            <c:numRef>
              <c:f>'NSWOS demersal u24m u300kW'!$D$91:$M$91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u300kW'!$D$100:$M$100</c:f>
              <c:numCache>
                <c:formatCode>0%</c:formatCode>
                <c:ptCount val="10"/>
                <c:pt idx="1">
                  <c:v>8.9477736434549315E-2</c:v>
                </c:pt>
              </c:numCache>
            </c:numRef>
          </c:val>
          <c:extLst xmlns:c16r2="http://schemas.microsoft.com/office/drawing/2015/06/chart">
            <c:ext xmlns:c16="http://schemas.microsoft.com/office/drawing/2014/chart" uri="{C3380CC4-5D6E-409C-BE32-E72D297353CC}">
              <c16:uniqueId val="{00000008-282A-42F3-A8CE-7B6B063B5E4F}"/>
            </c:ext>
          </c:extLst>
        </c:ser>
        <c:ser>
          <c:idx val="9"/>
          <c:order val="9"/>
          <c:tx>
            <c:strRef>
              <c:f>'NSWOS demersal u24m u300kW'!$C$101</c:f>
              <c:strCache>
                <c:ptCount val="1"/>
                <c:pt idx="0">
                  <c:v>Sole</c:v>
                </c:pt>
              </c:strCache>
            </c:strRef>
          </c:tx>
          <c:spPr>
            <a:solidFill>
              <a:srgbClr val="169FDB"/>
            </a:solidFill>
            <a:ln>
              <a:solidFill>
                <a:srgbClr val="FFFFFF"/>
              </a:solidFill>
            </a:ln>
          </c:spPr>
          <c:invertIfNegative val="0"/>
          <c:cat>
            <c:numRef>
              <c:f>'NSWOS demersal u24m u300kW'!$D$91:$M$91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u300kW'!$D$101:$M$101</c:f>
              <c:numCache>
                <c:formatCode>0%</c:formatCode>
                <c:ptCount val="10"/>
                <c:pt idx="0">
                  <c:v>0.14099924967740071</c:v>
                </c:pt>
              </c:numCache>
            </c:numRef>
          </c:val>
          <c:extLst xmlns:c16r2="http://schemas.microsoft.com/office/drawing/2015/06/chart">
            <c:ext xmlns:c16="http://schemas.microsoft.com/office/drawing/2014/chart" uri="{C3380CC4-5D6E-409C-BE32-E72D297353CC}">
              <c16:uniqueId val="{00000009-282A-42F3-A8CE-7B6B063B5E4F}"/>
            </c:ext>
          </c:extLst>
        </c:ser>
        <c:ser>
          <c:idx val="10"/>
          <c:order val="10"/>
          <c:tx>
            <c:strRef>
              <c:f>'NSWOS demersal u24m u300kW'!$C$102</c:f>
              <c:strCache>
                <c:ptCount val="1"/>
                <c:pt idx="0">
                  <c:v>Others</c:v>
                </c:pt>
              </c:strCache>
            </c:strRef>
          </c:tx>
          <c:spPr>
            <a:solidFill>
              <a:srgbClr val="55585A"/>
            </a:solidFill>
            <a:ln>
              <a:solidFill>
                <a:srgbClr val="FFFFFF"/>
              </a:solidFill>
            </a:ln>
          </c:spPr>
          <c:invertIfNegative val="0"/>
          <c:cat>
            <c:numRef>
              <c:f>'NSWOS demersal u24m u300kW'!$D$91:$M$91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'NSWOS demersal u24m u300kW'!$D$102:$M$102</c:f>
              <c:numCache>
                <c:formatCode>0%</c:formatCode>
                <c:ptCount val="10"/>
                <c:pt idx="0">
                  <c:v>0.43392624915791289</c:v>
                </c:pt>
                <c:pt idx="1">
                  <c:v>0.37080656159765646</c:v>
                </c:pt>
                <c:pt idx="2">
                  <c:v>0.42497360420454255</c:v>
                </c:pt>
                <c:pt idx="3">
                  <c:v>0.3262924878837537</c:v>
                </c:pt>
                <c:pt idx="4">
                  <c:v>0.3746473043705113</c:v>
                </c:pt>
                <c:pt idx="5">
                  <c:v>0.42538878870153057</c:v>
                </c:pt>
                <c:pt idx="6">
                  <c:v>0.30067296455712078</c:v>
                </c:pt>
                <c:pt idx="7">
                  <c:v>0.24144649720362149</c:v>
                </c:pt>
                <c:pt idx="8">
                  <c:v>0.20346045850751263</c:v>
                </c:pt>
                <c:pt idx="9">
                  <c:v>0.27755404401905542</c:v>
                </c:pt>
              </c:numCache>
            </c:numRef>
          </c:val>
          <c:extLst xmlns:c16r2="http://schemas.microsoft.com/office/drawing/2015/06/chart">
            <c:ext xmlns:c16="http://schemas.microsoft.com/office/drawing/2014/chart" uri="{C3380CC4-5D6E-409C-BE32-E72D297353CC}">
              <c16:uniqueId val="{0000000A-282A-42F3-A8CE-7B6B063B5E4F}"/>
            </c:ext>
          </c:extLst>
        </c:ser>
        <c:dLbls>
          <c:showLegendKey val="0"/>
          <c:showVal val="0"/>
          <c:showCatName val="0"/>
          <c:showSerName val="0"/>
          <c:showPercent val="0"/>
          <c:showBubbleSize val="0"/>
        </c:dLbls>
        <c:gapWidth val="150"/>
        <c:overlap val="100"/>
        <c:axId val="945992448"/>
        <c:axId val="945993984"/>
      </c:barChart>
      <c:catAx>
        <c:axId val="945992448"/>
        <c:scaling>
          <c:orientation val="minMax"/>
        </c:scaling>
        <c:delete val="0"/>
        <c:axPos val="b"/>
        <c:numFmt formatCode="General" sourceLinked="1"/>
        <c:majorTickMark val="out"/>
        <c:minorTickMark val="none"/>
        <c:tickLblPos val="nextTo"/>
        <c:crossAx val="945993984"/>
        <c:crosses val="autoZero"/>
        <c:auto val="1"/>
        <c:lblAlgn val="ctr"/>
        <c:lblOffset val="100"/>
        <c:noMultiLvlLbl val="0"/>
      </c:catAx>
      <c:valAx>
        <c:axId val="945993984"/>
        <c:scaling>
          <c:orientation val="minMax"/>
          <c:max val="1"/>
          <c:min val="0"/>
        </c:scaling>
        <c:delete val="0"/>
        <c:axPos val="l"/>
        <c:majorGridlines/>
        <c:numFmt formatCode="0%" sourceLinked="1"/>
        <c:majorTickMark val="out"/>
        <c:minorTickMark val="none"/>
        <c:tickLblPos val="nextTo"/>
        <c:crossAx val="945992448"/>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10-12m'!$A$48</c:f>
          <c:strCache>
            <c:ptCount val="1"/>
            <c:pt idx="0">
              <c:v>Landings per kW day at sea (kg)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'Pots and traps 10-12m'!$D$2:$N$2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'Pots and traps 10-12m'!$D$21:$N$21</c:f>
              <c:numCache>
                <c:formatCode>#,##0.00</c:formatCode>
                <c:ptCount val="11"/>
                <c:pt idx="0">
                  <c:v>2.2713060564859902</c:v>
                </c:pt>
                <c:pt idx="1">
                  <c:v>2.1808527382359419</c:v>
                </c:pt>
                <c:pt idx="2">
                  <c:v>2.2710193878679434</c:v>
                </c:pt>
                <c:pt idx="3">
                  <c:v>2.431600273994182</c:v>
                </c:pt>
                <c:pt idx="4">
                  <c:v>2.6012214571402348</c:v>
                </c:pt>
                <c:pt idx="5">
                  <c:v>2.9679007287759784</c:v>
                </c:pt>
                <c:pt idx="6">
                  <c:v>2.7160059342685625</c:v>
                </c:pt>
                <c:pt idx="7">
                  <c:v>2.7291078619579356</c:v>
                </c:pt>
                <c:pt idx="8">
                  <c:v>3.0150781854551858</c:v>
                </c:pt>
                <c:pt idx="9">
                  <c:v>2.8928629843228562</c:v>
                </c:pt>
                <c:pt idx="10">
                  <c:v>2.5114833818321411</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945842048"/>
        <c:axId val="945843584"/>
      </c:lineChart>
      <c:catAx>
        <c:axId val="945842048"/>
        <c:scaling>
          <c:orientation val="minMax"/>
        </c:scaling>
        <c:delete val="0"/>
        <c:axPos val="b"/>
        <c:numFmt formatCode="General" sourceLinked="1"/>
        <c:majorTickMark val="out"/>
        <c:minorTickMark val="none"/>
        <c:tickLblPos val="nextTo"/>
        <c:crossAx val="945843584"/>
        <c:crosses val="autoZero"/>
        <c:auto val="1"/>
        <c:lblAlgn val="ctr"/>
        <c:lblOffset val="100"/>
        <c:noMultiLvlLbl val="0"/>
      </c:catAx>
      <c:valAx>
        <c:axId val="945843584"/>
        <c:scaling>
          <c:orientation val="minMax"/>
        </c:scaling>
        <c:delete val="0"/>
        <c:axPos val="l"/>
        <c:majorGridlines>
          <c:spPr>
            <a:ln w="3175">
              <a:prstDash val="sysDot"/>
            </a:ln>
          </c:spPr>
        </c:majorGridlines>
        <c:numFmt formatCode="#,##0.00" sourceLinked="1"/>
        <c:majorTickMark val="out"/>
        <c:minorTickMark val="none"/>
        <c:tickLblPos val="nextTo"/>
        <c:crossAx val="945842048"/>
        <c:crosses val="autoZero"/>
        <c:crossBetween val="between"/>
      </c:valAx>
    </c:plotArea>
    <c:plotVisOnly val="0"/>
    <c:dispBlanksAs val="gap"/>
    <c:showDLblsOverMax val="0"/>
  </c:chart>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10-12m'!$A$49</c:f>
          <c:strCache>
            <c:ptCount val="1"/>
            <c:pt idx="0">
              <c:v>Fishing income per kW day at sea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'Pots and traps 10-12m'!$D$2:$N$2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'Pots and traps 10-12m'!$D$22:$N$22</c:f>
              <c:numCache>
                <c:formatCode>#,##0.00</c:formatCode>
                <c:ptCount val="11"/>
                <c:pt idx="0">
                  <c:v>5.3356955698048303</c:v>
                </c:pt>
                <c:pt idx="1">
                  <c:v>5.0890423943933598</c:v>
                </c:pt>
                <c:pt idx="2">
                  <c:v>5.1695752214507804</c:v>
                </c:pt>
                <c:pt idx="3">
                  <c:v>5.6717166025969199</c:v>
                </c:pt>
                <c:pt idx="4">
                  <c:v>5.6475925957739399</c:v>
                </c:pt>
                <c:pt idx="5">
                  <c:v>5.5485938681187701</c:v>
                </c:pt>
                <c:pt idx="6">
                  <c:v>5.6176085788252799</c:v>
                </c:pt>
                <c:pt idx="7">
                  <c:v>5.8225415147990001</c:v>
                </c:pt>
                <c:pt idx="8">
                  <c:v>6.67800446455451</c:v>
                </c:pt>
                <c:pt idx="9">
                  <c:v>6.85446941286569</c:v>
                </c:pt>
                <c:pt idx="10">
                  <c:v>7.3868859612373621</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945878144"/>
        <c:axId val="945879680"/>
      </c:lineChart>
      <c:catAx>
        <c:axId val="945878144"/>
        <c:scaling>
          <c:orientation val="minMax"/>
        </c:scaling>
        <c:delete val="0"/>
        <c:axPos val="b"/>
        <c:numFmt formatCode="General" sourceLinked="1"/>
        <c:majorTickMark val="out"/>
        <c:minorTickMark val="none"/>
        <c:tickLblPos val="nextTo"/>
        <c:crossAx val="945879680"/>
        <c:crosses val="autoZero"/>
        <c:auto val="1"/>
        <c:lblAlgn val="ctr"/>
        <c:lblOffset val="100"/>
        <c:noMultiLvlLbl val="0"/>
      </c:catAx>
      <c:valAx>
        <c:axId val="945879680"/>
        <c:scaling>
          <c:orientation val="minMax"/>
        </c:scaling>
        <c:delete val="0"/>
        <c:axPos val="l"/>
        <c:majorGridlines>
          <c:spPr>
            <a:ln w="3175">
              <a:prstDash val="sysDot"/>
            </a:ln>
          </c:spPr>
        </c:majorGridlines>
        <c:numFmt formatCode="#,##0.00" sourceLinked="1"/>
        <c:majorTickMark val="out"/>
        <c:minorTickMark val="none"/>
        <c:tickLblPos val="nextTo"/>
        <c:crossAx val="945878144"/>
        <c:crosses val="autoZero"/>
        <c:crossBetween val="between"/>
      </c:valAx>
    </c:plotArea>
    <c:plotVisOnly val="0"/>
    <c:dispBlanksAs val="gap"/>
    <c:showDLblsOverMax val="0"/>
  </c:chart>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10-12m'!$B$62</c:f>
          <c:strCache>
            <c:ptCount val="1"/>
            <c:pt idx="0">
              <c:v>Total cost per kW day at sea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'Pots and traps 10-12m'!$D$2:$N$2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'Pots and traps 10-12m'!$D$23:$N$23</c:f>
              <c:numCache>
                <c:formatCode>#,##0.00</c:formatCode>
                <c:ptCount val="11"/>
                <c:pt idx="0">
                  <c:v>3.9919443581537601</c:v>
                </c:pt>
                <c:pt idx="1">
                  <c:v>3.5922001783010402</c:v>
                </c:pt>
                <c:pt idx="2">
                  <c:v>4.1364940191918196</c:v>
                </c:pt>
                <c:pt idx="3">
                  <c:v>4.9138578350682298</c:v>
                </c:pt>
                <c:pt idx="4">
                  <c:v>3.8565399592677601</c:v>
                </c:pt>
                <c:pt idx="5">
                  <c:v>4.4127490409332397</c:v>
                </c:pt>
                <c:pt idx="6">
                  <c:v>4.0823810719128399</c:v>
                </c:pt>
                <c:pt idx="7">
                  <c:v>3.9270973403254001</c:v>
                </c:pt>
                <c:pt idx="8">
                  <c:v>4.6377036757868204</c:v>
                </c:pt>
                <c:pt idx="9">
                  <c:v>4.9005452201871096</c:v>
                </c:pt>
                <c:pt idx="10">
                  <c:v>5.3075117848160023</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945734016"/>
        <c:axId val="945735552"/>
      </c:lineChart>
      <c:catAx>
        <c:axId val="945734016"/>
        <c:scaling>
          <c:orientation val="minMax"/>
        </c:scaling>
        <c:delete val="0"/>
        <c:axPos val="b"/>
        <c:numFmt formatCode="General" sourceLinked="1"/>
        <c:majorTickMark val="out"/>
        <c:minorTickMark val="none"/>
        <c:tickLblPos val="nextTo"/>
        <c:crossAx val="945735552"/>
        <c:crosses val="autoZero"/>
        <c:auto val="1"/>
        <c:lblAlgn val="ctr"/>
        <c:lblOffset val="100"/>
        <c:noMultiLvlLbl val="0"/>
      </c:catAx>
      <c:valAx>
        <c:axId val="945735552"/>
        <c:scaling>
          <c:orientation val="minMax"/>
        </c:scaling>
        <c:delete val="0"/>
        <c:axPos val="l"/>
        <c:majorGridlines>
          <c:spPr>
            <a:ln w="3175">
              <a:prstDash val="sysDot"/>
            </a:ln>
          </c:spPr>
        </c:majorGridlines>
        <c:numFmt formatCode="#,##0.00" sourceLinked="1"/>
        <c:majorTickMark val="out"/>
        <c:minorTickMark val="none"/>
        <c:tickLblPos val="nextTo"/>
        <c:crossAx val="94573401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10-12m'!$K$48</c:f>
          <c:strCache>
            <c:ptCount val="1"/>
            <c:pt idx="0">
              <c:v>Operating profit per kW day at sea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'Pots and traps 10-12m'!$D$2:$N$2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'Pots and traps 10-12m'!$D$24:$N$24</c:f>
              <c:numCache>
                <c:formatCode>#,##0.00</c:formatCode>
                <c:ptCount val="11"/>
                <c:pt idx="0">
                  <c:v>1.4290258631500801</c:v>
                </c:pt>
                <c:pt idx="1">
                  <c:v>1.5022843922562299</c:v>
                </c:pt>
                <c:pt idx="2">
                  <c:v>1.2301999481797099</c:v>
                </c:pt>
                <c:pt idx="3">
                  <c:v>0.77536074080977002</c:v>
                </c:pt>
                <c:pt idx="4">
                  <c:v>1.8463625215537101</c:v>
                </c:pt>
                <c:pt idx="5">
                  <c:v>1.24501999760305</c:v>
                </c:pt>
                <c:pt idx="6">
                  <c:v>1.6588134386293301</c:v>
                </c:pt>
                <c:pt idx="7">
                  <c:v>2.0166577013214599</c:v>
                </c:pt>
                <c:pt idx="8">
                  <c:v>2.2683959939431899</c:v>
                </c:pt>
                <c:pt idx="9">
                  <c:v>2.63989702825311</c:v>
                </c:pt>
                <c:pt idx="10">
                  <c:v>2.8186294867342583</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45888640"/>
        <c:axId val="945902720"/>
      </c:lineChart>
      <c:catAx>
        <c:axId val="945888640"/>
        <c:scaling>
          <c:orientation val="minMax"/>
        </c:scaling>
        <c:delete val="0"/>
        <c:axPos val="b"/>
        <c:numFmt formatCode="General" sourceLinked="1"/>
        <c:majorTickMark val="out"/>
        <c:minorTickMark val="none"/>
        <c:tickLblPos val="nextTo"/>
        <c:crossAx val="945902720"/>
        <c:crosses val="autoZero"/>
        <c:auto val="1"/>
        <c:lblAlgn val="ctr"/>
        <c:lblOffset val="100"/>
        <c:noMultiLvlLbl val="0"/>
      </c:catAx>
      <c:valAx>
        <c:axId val="945902720"/>
        <c:scaling>
          <c:orientation val="minMax"/>
        </c:scaling>
        <c:delete val="0"/>
        <c:axPos val="l"/>
        <c:majorGridlines>
          <c:spPr>
            <a:ln w="3175">
              <a:prstDash val="sysDot"/>
            </a:ln>
          </c:spPr>
        </c:majorGridlines>
        <c:numFmt formatCode="#,##0.00" sourceLinked="1"/>
        <c:majorTickMark val="out"/>
        <c:minorTickMark val="none"/>
        <c:tickLblPos val="nextTo"/>
        <c:crossAx val="945888640"/>
        <c:crosses val="autoZero"/>
        <c:crossBetween val="between"/>
      </c:valAx>
    </c:plotArea>
    <c:plotVisOnly val="0"/>
    <c:dispBlanksAs val="gap"/>
    <c:showDLblsOverMax val="0"/>
  </c:chart>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10-12m'!$A$50</c:f>
          <c:strCache>
            <c:ptCount val="1"/>
            <c:pt idx="0">
              <c:v>Average price per tonne landed (£)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'Pots and traps 10-12m'!$D$2:$N$2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'Pots and traps 10-12m'!$D$20:$N$20</c:f>
              <c:numCache>
                <c:formatCode>#,##0</c:formatCode>
                <c:ptCount val="11"/>
                <c:pt idx="0">
                  <c:v>2349</c:v>
                </c:pt>
                <c:pt idx="1">
                  <c:v>2334</c:v>
                </c:pt>
                <c:pt idx="2">
                  <c:v>2276</c:v>
                </c:pt>
                <c:pt idx="3">
                  <c:v>2333</c:v>
                </c:pt>
                <c:pt idx="4">
                  <c:v>2171</c:v>
                </c:pt>
                <c:pt idx="5">
                  <c:v>1870</c:v>
                </c:pt>
                <c:pt idx="6">
                  <c:v>2068</c:v>
                </c:pt>
                <c:pt idx="7">
                  <c:v>2133</c:v>
                </c:pt>
                <c:pt idx="8">
                  <c:v>2215</c:v>
                </c:pt>
                <c:pt idx="9">
                  <c:v>2369</c:v>
                </c:pt>
                <c:pt idx="10">
                  <c:v>2941</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45916544"/>
        <c:axId val="945922432"/>
      </c:lineChart>
      <c:catAx>
        <c:axId val="945916544"/>
        <c:scaling>
          <c:orientation val="minMax"/>
        </c:scaling>
        <c:delete val="0"/>
        <c:axPos val="b"/>
        <c:numFmt formatCode="General" sourceLinked="1"/>
        <c:majorTickMark val="out"/>
        <c:minorTickMark val="none"/>
        <c:tickLblPos val="nextTo"/>
        <c:crossAx val="945922432"/>
        <c:crosses val="autoZero"/>
        <c:auto val="1"/>
        <c:lblAlgn val="ctr"/>
        <c:lblOffset val="100"/>
        <c:noMultiLvlLbl val="0"/>
      </c:catAx>
      <c:valAx>
        <c:axId val="945922432"/>
        <c:scaling>
          <c:orientation val="minMax"/>
        </c:scaling>
        <c:delete val="0"/>
        <c:axPos val="l"/>
        <c:majorGridlines>
          <c:spPr>
            <a:ln w="3175">
              <a:prstDash val="sysDot"/>
            </a:ln>
          </c:spPr>
        </c:majorGridlines>
        <c:numFmt formatCode="#,##0" sourceLinked="1"/>
        <c:majorTickMark val="out"/>
        <c:minorTickMark val="none"/>
        <c:tickLblPos val="nextTo"/>
        <c:crossAx val="945916544"/>
        <c:crosses val="autoZero"/>
        <c:crossBetween val="between"/>
      </c:valAx>
    </c:plotArea>
    <c:plotVisOnly val="0"/>
    <c:dispBlanksAs val="gap"/>
    <c:showDLblsOverMax val="0"/>
  </c:chart>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10-12m'!$K$62</c:f>
          <c:strCache>
            <c:ptCount val="1"/>
            <c:pt idx="0">
              <c:v>Average annual operating profit per vessel (£'000)
Pots and traps 10-12m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'Pots and traps 10-12m'!$D$2:$N$2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'Pots and traps 10-12m'!$D$37:$N$37</c:f>
              <c:numCache>
                <c:formatCode>#,##0.0</c:formatCode>
                <c:ptCount val="11"/>
                <c:pt idx="0">
                  <c:v>30.1</c:v>
                </c:pt>
                <c:pt idx="1">
                  <c:v>32.1</c:v>
                </c:pt>
                <c:pt idx="2">
                  <c:v>27.3</c:v>
                </c:pt>
                <c:pt idx="3">
                  <c:v>15.5</c:v>
                </c:pt>
                <c:pt idx="4">
                  <c:v>37.4</c:v>
                </c:pt>
                <c:pt idx="5">
                  <c:v>25.3</c:v>
                </c:pt>
                <c:pt idx="6">
                  <c:v>35.9</c:v>
                </c:pt>
                <c:pt idx="7">
                  <c:v>45.3</c:v>
                </c:pt>
                <c:pt idx="8">
                  <c:v>49.7</c:v>
                </c:pt>
                <c:pt idx="9">
                  <c:v>56.5</c:v>
                </c:pt>
                <c:pt idx="10">
                  <c:v>60.4</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46153344"/>
        <c:axId val="946154880"/>
      </c:lineChart>
      <c:catAx>
        <c:axId val="946153344"/>
        <c:scaling>
          <c:orientation val="minMax"/>
        </c:scaling>
        <c:delete val="0"/>
        <c:axPos val="b"/>
        <c:numFmt formatCode="General" sourceLinked="1"/>
        <c:majorTickMark val="out"/>
        <c:minorTickMark val="none"/>
        <c:tickLblPos val="nextTo"/>
        <c:crossAx val="946154880"/>
        <c:crosses val="autoZero"/>
        <c:auto val="1"/>
        <c:lblAlgn val="ctr"/>
        <c:lblOffset val="100"/>
        <c:noMultiLvlLbl val="0"/>
      </c:catAx>
      <c:valAx>
        <c:axId val="946154880"/>
        <c:scaling>
          <c:orientation val="minMax"/>
        </c:scaling>
        <c:delete val="0"/>
        <c:axPos val="l"/>
        <c:majorGridlines>
          <c:spPr>
            <a:ln w="3175">
              <a:prstDash val="sysDot"/>
            </a:ln>
          </c:spPr>
        </c:majorGridlines>
        <c:numFmt formatCode="#,##0.0" sourceLinked="1"/>
        <c:majorTickMark val="out"/>
        <c:minorTickMark val="none"/>
        <c:tickLblPos val="nextTo"/>
        <c:crossAx val="946153344"/>
        <c:crosses val="autoZero"/>
        <c:crossBetween val="between"/>
      </c:valAx>
    </c:plotArea>
    <c:plotVisOnly val="0"/>
    <c:dispBlanksAs val="gap"/>
    <c:showDLblsOverMax val="0"/>
  </c:chart>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10-12m'!$A$76</c:f>
          <c:strCache>
            <c:ptCount val="1"/>
            <c:pt idx="0">
              <c:v>Top 5 landed species by volume in 2017
Pots and traps 10-12m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648C2E"/>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E87308"/>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'Pots and traps 10-12m'!$B$77:$B$82</c:f>
              <c:strCache>
                <c:ptCount val="6"/>
                <c:pt idx="0">
                  <c:v>Brown Crab - 43.6%</c:v>
                </c:pt>
                <c:pt idx="1">
                  <c:v>Whelks - 41.4%</c:v>
                </c:pt>
                <c:pt idx="2">
                  <c:v>Lobsters - 5.4%</c:v>
                </c:pt>
                <c:pt idx="3">
                  <c:v>Nephrops - 4.7%</c:v>
                </c:pt>
                <c:pt idx="4">
                  <c:v>Velvet Crab - 2.1%</c:v>
                </c:pt>
                <c:pt idx="5">
                  <c:v>Others - 2.9%</c:v>
                </c:pt>
              </c:strCache>
            </c:strRef>
          </c:cat>
          <c:val>
            <c:numRef>
              <c:f>'Pots and traps 10-12m'!$C$77:$C$82</c:f>
              <c:numCache>
                <c:formatCode>0.0%</c:formatCode>
                <c:ptCount val="6"/>
                <c:pt idx="0">
                  <c:v>0.43646761804977985</c:v>
                </c:pt>
                <c:pt idx="1">
                  <c:v>0.4136408182728325</c:v>
                </c:pt>
                <c:pt idx="2">
                  <c:v>5.3547274815276706E-2</c:v>
                </c:pt>
                <c:pt idx="3">
                  <c:v>4.6828582948547248E-2</c:v>
                </c:pt>
                <c:pt idx="4">
                  <c:v>2.0814890410976082E-2</c:v>
                </c:pt>
                <c:pt idx="5">
                  <c:v>2.870081550258774E-2</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10-12m'!$F$76</c:f>
          <c:strCache>
            <c:ptCount val="1"/>
            <c:pt idx="0">
              <c:v>Top 5 landed species by value in 2017
Pots and traps 10-12m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'Pots and traps 10-12m'!$G$77:$G$82</c:f>
              <c:strCache>
                <c:ptCount val="6"/>
                <c:pt idx="0">
                  <c:v>Brown Crab - 30.7%</c:v>
                </c:pt>
                <c:pt idx="1">
                  <c:v>Lobsters - 30.5%</c:v>
                </c:pt>
                <c:pt idx="2">
                  <c:v>Whelks - 19.8%</c:v>
                </c:pt>
                <c:pt idx="3">
                  <c:v>Nephrops - 13.5%</c:v>
                </c:pt>
                <c:pt idx="4">
                  <c:v>Velvet Crab - 2.7%</c:v>
                </c:pt>
                <c:pt idx="5">
                  <c:v>Others - 2.8%</c:v>
                </c:pt>
              </c:strCache>
            </c:strRef>
          </c:cat>
          <c:val>
            <c:numRef>
              <c:f>'Pots and traps 10-12m'!$H$77:$H$82</c:f>
              <c:numCache>
                <c:formatCode>0.0%</c:formatCode>
                <c:ptCount val="6"/>
                <c:pt idx="0">
                  <c:v>0.30700767815565938</c:v>
                </c:pt>
                <c:pt idx="1">
                  <c:v>0.30518581240775255</c:v>
                </c:pt>
                <c:pt idx="2">
                  <c:v>0.19813406995393612</c:v>
                </c:pt>
                <c:pt idx="3">
                  <c:v>0.1353723679594796</c:v>
                </c:pt>
                <c:pt idx="4">
                  <c:v>2.6727890067204659E-2</c:v>
                </c:pt>
                <c:pt idx="5">
                  <c:v>2.7572181455967737E-2</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o250kW'!$K$143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VIIa nephrops o250kW'!$K$139</c:f>
              <c:strCache>
                <c:ptCount val="1"/>
                <c:pt idx="0">
                  <c:v>Total income</c:v>
                </c:pt>
              </c:strCache>
            </c:strRef>
          </c:tx>
          <c:spPr>
            <a:solidFill>
              <a:schemeClr val="accent1"/>
            </a:solidFill>
            <a:ln>
              <a:solidFill>
                <a:schemeClr val="accent1"/>
              </a:solidFill>
            </a:ln>
          </c:spPr>
          <c:invertIfNegative val="0"/>
          <c:cat>
            <c:strRef>
              <c:f>'Area VIIa nephrops o250kW'!$L$138:$N$138</c:f>
              <c:strCache>
                <c:ptCount val="3"/>
                <c:pt idx="0">
                  <c:v>Most
profitable
quartile</c:v>
                </c:pt>
                <c:pt idx="1">
                  <c:v>Middle
two quartiles</c:v>
                </c:pt>
                <c:pt idx="2">
                  <c:v>Least
profitable
quartile</c:v>
                </c:pt>
              </c:strCache>
            </c:strRef>
          </c:cat>
          <c:val>
            <c:numRef>
              <c:f>'Area VIIa nephrops o250kW'!$L$139:$N$139</c:f>
              <c:numCache>
                <c:formatCode>#,##0</c:formatCode>
                <c:ptCount val="3"/>
                <c:pt idx="0">
                  <c:v>401.14681250000001</c:v>
                </c:pt>
                <c:pt idx="1">
                  <c:v>314.12212499999998</c:v>
                </c:pt>
                <c:pt idx="2">
                  <c:v>176.63481250000001</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'Area VIIa nephrops o250kW'!$K$140</c:f>
              <c:strCache>
                <c:ptCount val="1"/>
                <c:pt idx="0">
                  <c:v>Operating costs</c:v>
                </c:pt>
              </c:strCache>
            </c:strRef>
          </c:tx>
          <c:spPr>
            <a:solidFill>
              <a:schemeClr val="accent3"/>
            </a:solidFill>
          </c:spPr>
          <c:invertIfNegative val="0"/>
          <c:cat>
            <c:strRef>
              <c:f>'Area VIIa nephrops o250kW'!$L$138:$N$138</c:f>
              <c:strCache>
                <c:ptCount val="3"/>
                <c:pt idx="0">
                  <c:v>Most
profitable
quartile</c:v>
                </c:pt>
                <c:pt idx="1">
                  <c:v>Middle
two quartiles</c:v>
                </c:pt>
                <c:pt idx="2">
                  <c:v>Least
profitable
quartile</c:v>
                </c:pt>
              </c:strCache>
            </c:strRef>
          </c:cat>
          <c:val>
            <c:numRef>
              <c:f>'Area VIIa nephrops o250kW'!$L$140:$N$140</c:f>
              <c:numCache>
                <c:formatCode>#,##0</c:formatCode>
                <c:ptCount val="3"/>
                <c:pt idx="0">
                  <c:v>271.96243750000002</c:v>
                </c:pt>
                <c:pt idx="1">
                  <c:v>224.3388515625</c:v>
                </c:pt>
                <c:pt idx="2">
                  <c:v>136.51964062499999</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'Area VIIa nephrops o250kW'!$K$141</c:f>
              <c:strCache>
                <c:ptCount val="1"/>
                <c:pt idx="0">
                  <c:v>Operating profit</c:v>
                </c:pt>
              </c:strCache>
            </c:strRef>
          </c:tx>
          <c:spPr>
            <a:solidFill>
              <a:schemeClr val="accent2"/>
            </a:solidFill>
          </c:spPr>
          <c:invertIfNegative val="0"/>
          <c:cat>
            <c:strRef>
              <c:f>'Area VIIa nephrops o250kW'!$L$138:$N$138</c:f>
              <c:strCache>
                <c:ptCount val="3"/>
                <c:pt idx="0">
                  <c:v>Most
profitable
quartile</c:v>
                </c:pt>
                <c:pt idx="1">
                  <c:v>Middle
two quartiles</c:v>
                </c:pt>
                <c:pt idx="2">
                  <c:v>Least
profitable
quartile</c:v>
                </c:pt>
              </c:strCache>
            </c:strRef>
          </c:cat>
          <c:val>
            <c:numRef>
              <c:f>'Area VIIa nephrops o250kW'!$L$141:$N$141</c:f>
              <c:numCache>
                <c:formatCode>#,##0</c:formatCode>
                <c:ptCount val="3"/>
                <c:pt idx="0">
                  <c:v>129.18437499999999</c:v>
                </c:pt>
                <c:pt idx="1">
                  <c:v>89.7832734375</c:v>
                </c:pt>
                <c:pt idx="2">
                  <c:v>40.115171875000001</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616628992"/>
        <c:axId val="616630528"/>
      </c:barChart>
      <c:catAx>
        <c:axId val="616628992"/>
        <c:scaling>
          <c:orientation val="minMax"/>
        </c:scaling>
        <c:delete val="0"/>
        <c:axPos val="b"/>
        <c:numFmt formatCode="General" sourceLinked="0"/>
        <c:majorTickMark val="out"/>
        <c:minorTickMark val="none"/>
        <c:tickLblPos val="nextTo"/>
        <c:crossAx val="616630528"/>
        <c:crosses val="autoZero"/>
        <c:auto val="1"/>
        <c:lblAlgn val="ctr"/>
        <c:lblOffset val="100"/>
        <c:noMultiLvlLbl val="0"/>
      </c:catAx>
      <c:valAx>
        <c:axId val="616630528"/>
        <c:scaling>
          <c:orientation val="minMax"/>
        </c:scaling>
        <c:delete val="0"/>
        <c:axPos val="l"/>
        <c:majorGridlines/>
        <c:title>
          <c:tx>
            <c:strRef>
              <c:f>'Area VIIa nephrops o250kW'!$K$142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616628992"/>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'Pots and traps 10-12m'!$C$92</c:f>
              <c:strCache>
                <c:ptCount val="1"/>
                <c:pt idx="0">
                  <c:v>Brown Crab</c:v>
                </c:pt>
              </c:strCache>
            </c:strRef>
          </c:tx>
          <c:spPr>
            <a:solidFill>
              <a:srgbClr val="2273B9"/>
            </a:solidFill>
            <a:ln>
              <a:solidFill>
                <a:srgbClr val="FFFFFF"/>
              </a:solidFill>
            </a:ln>
          </c:spPr>
          <c:invertIfNegative val="0"/>
          <c:cat>
            <c:numRef>
              <c:f>'Pots and traps 10-12m'!$D$91:$M$91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'Pots and traps 10-12m'!$D$92:$M$92</c:f>
              <c:numCache>
                <c:formatCode>0%</c:formatCode>
                <c:ptCount val="10"/>
                <c:pt idx="0">
                  <c:v>0.23877081318779977</c:v>
                </c:pt>
                <c:pt idx="1">
                  <c:v>0.26774019371423424</c:v>
                </c:pt>
                <c:pt idx="2">
                  <c:v>0.27411338834899046</c:v>
                </c:pt>
                <c:pt idx="3">
                  <c:v>0.30426834207786557</c:v>
                </c:pt>
                <c:pt idx="4">
                  <c:v>0.27894958201547304</c:v>
                </c:pt>
                <c:pt idx="5">
                  <c:v>0.2953447627969884</c:v>
                </c:pt>
                <c:pt idx="6">
                  <c:v>0.24092261074492638</c:v>
                </c:pt>
                <c:pt idx="7">
                  <c:v>0.26075614489554366</c:v>
                </c:pt>
                <c:pt idx="8">
                  <c:v>0.30700767815565938</c:v>
                </c:pt>
                <c:pt idx="9">
                  <c:v>0.37047984552097657</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'Pots and traps 10-12m'!$C$93</c:f>
              <c:strCache>
                <c:ptCount val="1"/>
                <c:pt idx="0">
                  <c:v>Lobsters</c:v>
                </c:pt>
              </c:strCache>
            </c:strRef>
          </c:tx>
          <c:spPr>
            <a:solidFill>
              <a:srgbClr val="E87308"/>
            </a:solidFill>
            <a:ln>
              <a:solidFill>
                <a:srgbClr val="FFFFFF"/>
              </a:solidFill>
            </a:ln>
          </c:spPr>
          <c:invertIfNegative val="0"/>
          <c:cat>
            <c:numRef>
              <c:f>'Pots and traps 10-12m'!$D$91:$M$91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'Pots and traps 10-12m'!$D$93:$M$93</c:f>
              <c:numCache>
                <c:formatCode>0%</c:formatCode>
                <c:ptCount val="10"/>
                <c:pt idx="0">
                  <c:v>0.25038423634969287</c:v>
                </c:pt>
                <c:pt idx="1">
                  <c:v>0.25324758138988096</c:v>
                </c:pt>
                <c:pt idx="2">
                  <c:v>0.28809481728046404</c:v>
                </c:pt>
                <c:pt idx="3">
                  <c:v>0.28849265828123838</c:v>
                </c:pt>
                <c:pt idx="4">
                  <c:v>0.28756492376526455</c:v>
                </c:pt>
                <c:pt idx="5">
                  <c:v>0.27384272399416243</c:v>
                </c:pt>
                <c:pt idx="6">
                  <c:v>0.2781567338441796</c:v>
                </c:pt>
                <c:pt idx="7">
                  <c:v>0.27515093013024966</c:v>
                </c:pt>
                <c:pt idx="8">
                  <c:v>0.30518581240775255</c:v>
                </c:pt>
                <c:pt idx="9">
                  <c:v>0.30972317471098376</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'Pots and traps 10-12m'!$C$94</c:f>
              <c:strCache>
                <c:ptCount val="1"/>
                <c:pt idx="0">
                  <c:v>Whelks</c:v>
                </c:pt>
              </c:strCache>
            </c:strRef>
          </c:tx>
          <c:spPr>
            <a:solidFill>
              <a:srgbClr val="648C2E"/>
            </a:solidFill>
            <a:ln>
              <a:solidFill>
                <a:srgbClr val="FFFFFF"/>
              </a:solidFill>
            </a:ln>
          </c:spPr>
          <c:invertIfNegative val="0"/>
          <c:cat>
            <c:numRef>
              <c:f>'Pots and traps 10-12m'!$D$91:$M$91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'Pots and traps 10-12m'!$D$94:$M$94</c:f>
              <c:numCache>
                <c:formatCode>0%</c:formatCode>
                <c:ptCount val="10"/>
                <c:pt idx="0">
                  <c:v>9.5965472065254784E-2</c:v>
                </c:pt>
                <c:pt idx="1">
                  <c:v>9.6729695797215132E-2</c:v>
                </c:pt>
                <c:pt idx="2">
                  <c:v>9.5508021236884122E-2</c:v>
                </c:pt>
                <c:pt idx="3">
                  <c:v>0.10602575660173152</c:v>
                </c:pt>
                <c:pt idx="4">
                  <c:v>0.12921139742646884</c:v>
                </c:pt>
                <c:pt idx="5">
                  <c:v>0.15087878799481932</c:v>
                </c:pt>
                <c:pt idx="6">
                  <c:v>0.18700846698254864</c:v>
                </c:pt>
                <c:pt idx="7">
                  <c:v>0.20975210847198872</c:v>
                </c:pt>
                <c:pt idx="8">
                  <c:v>0.19813406995393612</c:v>
                </c:pt>
                <c:pt idx="9">
                  <c:v>0.16089798488180532</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'Pots and traps 10-12m'!$C$95</c:f>
              <c:strCache>
                <c:ptCount val="1"/>
                <c:pt idx="0">
                  <c:v>Nephrops</c:v>
                </c:pt>
              </c:strCache>
            </c:strRef>
          </c:tx>
          <c:spPr>
            <a:solidFill>
              <a:srgbClr val="C1D119"/>
            </a:solidFill>
            <a:ln>
              <a:solidFill>
                <a:srgbClr val="FFFFFF"/>
              </a:solidFill>
            </a:ln>
          </c:spPr>
          <c:invertIfNegative val="0"/>
          <c:cat>
            <c:numRef>
              <c:f>'Pots and traps 10-12m'!$D$91:$M$91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'Pots and traps 10-12m'!$D$95:$M$95</c:f>
              <c:numCache>
                <c:formatCode>0%</c:formatCode>
                <c:ptCount val="10"/>
                <c:pt idx="0">
                  <c:v>0.27537611943701967</c:v>
                </c:pt>
                <c:pt idx="1">
                  <c:v>0.25928186330672609</c:v>
                </c:pt>
                <c:pt idx="2">
                  <c:v>0.23179022632165028</c:v>
                </c:pt>
                <c:pt idx="3">
                  <c:v>0.21486522966248528</c:v>
                </c:pt>
                <c:pt idx="4">
                  <c:v>0.21992809482789846</c:v>
                </c:pt>
                <c:pt idx="5">
                  <c:v>0.20324171085216183</c:v>
                </c:pt>
                <c:pt idx="6">
                  <c:v>0.22621598859564637</c:v>
                </c:pt>
                <c:pt idx="7">
                  <c:v>0.19058750477896313</c:v>
                </c:pt>
                <c:pt idx="8">
                  <c:v>0.1353723679594796</c:v>
                </c:pt>
                <c:pt idx="9">
                  <c:v>0.10728037761416952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'Pots and traps 10-12m'!$C$96</c:f>
              <c:strCache>
                <c:ptCount val="1"/>
                <c:pt idx="0">
                  <c:v>Velvet Crab</c:v>
                </c:pt>
              </c:strCache>
            </c:strRef>
          </c:tx>
          <c:spPr>
            <a:solidFill>
              <a:srgbClr val="E84A38"/>
            </a:solidFill>
            <a:ln>
              <a:solidFill>
                <a:srgbClr val="FFFFFF"/>
              </a:solidFill>
            </a:ln>
          </c:spPr>
          <c:invertIfNegative val="0"/>
          <c:cat>
            <c:numRef>
              <c:f>'Pots and traps 10-12m'!$D$91:$M$91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'Pots and traps 10-12m'!$D$96:$M$96</c:f>
              <c:numCache>
                <c:formatCode>0%</c:formatCode>
                <c:ptCount val="10"/>
                <c:pt idx="0">
                  <c:v>8.9417262081037327E-2</c:v>
                </c:pt>
                <c:pt idx="1">
                  <c:v>8.4232345946711168E-2</c:v>
                </c:pt>
                <c:pt idx="2">
                  <c:v>6.6685511532898062E-2</c:v>
                </c:pt>
                <c:pt idx="3">
                  <c:v>4.1561217354519335E-2</c:v>
                </c:pt>
                <c:pt idx="4">
                  <c:v>4.2655971141643649E-2</c:v>
                </c:pt>
                <c:pt idx="5">
                  <c:v>4.2833618968880667E-2</c:v>
                </c:pt>
                <c:pt idx="6">
                  <c:v>4.0067950525374069E-2</c:v>
                </c:pt>
                <c:pt idx="7">
                  <c:v>2.9771610569495288E-2</c:v>
                </c:pt>
                <c:pt idx="8">
                  <c:v>2.6727890067204659E-2</c:v>
                </c:pt>
                <c:pt idx="9">
                  <c:v>1.8656116605780655E-2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'Pots and traps 10-12m'!$C$97</c:f>
              <c:strCache>
                <c:ptCount val="1"/>
                <c:pt idx="0">
                  <c:v>Others</c:v>
                </c:pt>
              </c:strCache>
            </c:strRef>
          </c:tx>
          <c:spPr>
            <a:solidFill>
              <a:srgbClr val="55585A"/>
            </a:solidFill>
            <a:ln>
              <a:solidFill>
                <a:srgbClr val="FFFFFF"/>
              </a:solidFill>
            </a:ln>
          </c:spPr>
          <c:invertIfNegative val="0"/>
          <c:cat>
            <c:numRef>
              <c:f>'Pots and traps 10-12m'!$D$91:$M$91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'Pots and traps 10-12m'!$D$97:$M$97</c:f>
              <c:numCache>
                <c:formatCode>0%</c:formatCode>
                <c:ptCount val="10"/>
                <c:pt idx="0">
                  <c:v>5.0086096879195567E-2</c:v>
                </c:pt>
                <c:pt idx="1">
                  <c:v>3.8768319845232393E-2</c:v>
                </c:pt>
                <c:pt idx="2">
                  <c:v>4.3808035279113033E-2</c:v>
                </c:pt>
                <c:pt idx="3">
                  <c:v>4.4786796022159903E-2</c:v>
                </c:pt>
                <c:pt idx="4">
                  <c:v>4.1690030823251456E-2</c:v>
                </c:pt>
                <c:pt idx="5">
                  <c:v>3.3858395392987392E-2</c:v>
                </c:pt>
                <c:pt idx="6">
                  <c:v>2.7628249307324951E-2</c:v>
                </c:pt>
                <c:pt idx="7">
                  <c:v>3.3981701153759536E-2</c:v>
                </c:pt>
                <c:pt idx="8">
                  <c:v>2.7572181455967675E-2</c:v>
                </c:pt>
                <c:pt idx="9">
                  <c:v>3.2962500666284207E-2</c:v>
                </c:pt>
              </c:numCache>
            </c:numRef>
          </c:val>
          <c:extLst xmlns:c16r2="http://schemas.microsoft.com/office/drawing/2015/06/chart">
            <c:ext xmlns:c16="http://schemas.microsoft.com/office/drawing/2014/chart" uri="{C3380CC4-5D6E-409C-BE32-E72D297353CC}">
              <c16:uniqueId val="{00000005-282A-42F3-A8CE-7B6B063B5E4F}"/>
            </c:ext>
          </c:extLst>
        </c:ser>
        <c:dLbls>
          <c:showLegendKey val="0"/>
          <c:showVal val="0"/>
          <c:showCatName val="0"/>
          <c:showSerName val="0"/>
          <c:showPercent val="0"/>
          <c:showBubbleSize val="0"/>
        </c:dLbls>
        <c:gapWidth val="150"/>
        <c:overlap val="100"/>
        <c:axId val="946610944"/>
        <c:axId val="946612480"/>
      </c:barChart>
      <c:catAx>
        <c:axId val="946610944"/>
        <c:scaling>
          <c:orientation val="minMax"/>
        </c:scaling>
        <c:delete val="0"/>
        <c:axPos val="b"/>
        <c:numFmt formatCode="General" sourceLinked="1"/>
        <c:majorTickMark val="out"/>
        <c:minorTickMark val="none"/>
        <c:tickLblPos val="nextTo"/>
        <c:crossAx val="946612480"/>
        <c:crosses val="autoZero"/>
        <c:auto val="1"/>
        <c:lblAlgn val="ctr"/>
        <c:lblOffset val="100"/>
        <c:noMultiLvlLbl val="0"/>
      </c:catAx>
      <c:valAx>
        <c:axId val="946612480"/>
        <c:scaling>
          <c:orientation val="minMax"/>
          <c:max val="1"/>
          <c:min val="0"/>
        </c:scaling>
        <c:delete val="0"/>
        <c:axPos val="l"/>
        <c:majorGridlines/>
        <c:numFmt formatCode="0%" sourceLinked="1"/>
        <c:majorTickMark val="out"/>
        <c:minorTickMark val="none"/>
        <c:tickLblPos val="nextTo"/>
        <c:crossAx val="946610944"/>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'Pots and traps 10-12m'!$B$162</c:f>
              <c:strCache>
                <c:ptCount val="1"/>
                <c:pt idx="0">
                  <c:v>Whelks</c:v>
                </c:pt>
              </c:strCache>
            </c:strRef>
          </c:tx>
          <c:spPr>
            <a:solidFill>
              <a:srgbClr val="648C2E"/>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10-12m'!$C$162:$E$162</c:f>
              <c:numCache>
                <c:formatCode>0%</c:formatCode>
                <c:ptCount val="3"/>
                <c:pt idx="0">
                  <c:v>0.47091019421258751</c:v>
                </c:pt>
                <c:pt idx="1">
                  <c:v>0.49958679602666789</c:v>
                </c:pt>
                <c:pt idx="2">
                  <c:v>0.29709309696279007</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'Pots and traps 10-12m'!$B$163</c:f>
              <c:strCache>
                <c:ptCount val="1"/>
                <c:pt idx="0">
                  <c:v>Brown Crab</c:v>
                </c:pt>
              </c:strCache>
            </c:strRef>
          </c:tx>
          <c:spPr>
            <a:solidFill>
              <a:srgbClr val="2273B9"/>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10-12m'!$C$163:$E$163</c:f>
              <c:numCache>
                <c:formatCode>0%</c:formatCode>
                <c:ptCount val="3"/>
                <c:pt idx="0">
                  <c:v>0.43476546629828167</c:v>
                </c:pt>
                <c:pt idx="1">
                  <c:v>0.35391067549457955</c:v>
                </c:pt>
                <c:pt idx="2">
                  <c:v>0.25205777286516112</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'Pots and traps 10-12m'!$B$164</c:f>
              <c:strCache>
                <c:ptCount val="1"/>
                <c:pt idx="0">
                  <c:v>Nephrops</c:v>
                </c:pt>
              </c:strCache>
            </c:strRef>
          </c:tx>
          <c:spPr>
            <a:solidFill>
              <a:srgbClr val="C1D119"/>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10-12m'!$C$164:$E$164</c:f>
              <c:numCache>
                <c:formatCode>0%</c:formatCode>
                <c:ptCount val="3"/>
                <c:pt idx="0">
                  <c:v>1.1158866573271585E-2</c:v>
                </c:pt>
                <c:pt idx="1">
                  <c:v>6.0772543650279488E-2</c:v>
                </c:pt>
                <c:pt idx="2">
                  <c:v>0.23209405030485089</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'Pots and traps 10-12m'!$B$165</c:f>
              <c:strCache>
                <c:ptCount val="1"/>
                <c:pt idx="0">
                  <c:v>Lobsters</c:v>
                </c:pt>
              </c:strCache>
            </c:strRef>
          </c:tx>
          <c:spPr>
            <a:solidFill>
              <a:srgbClr val="E87308"/>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10-12m'!$C$165:$E$165</c:f>
              <c:numCache>
                <c:formatCode>0%</c:formatCode>
                <c:ptCount val="3"/>
                <c:pt idx="0">
                  <c:v>6.0867478041851664E-2</c:v>
                </c:pt>
                <c:pt idx="1">
                  <c:v>4.7227494238759105E-2</c:v>
                </c:pt>
                <c:pt idx="2">
                  <c:v>0</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'Pots and traps 10-12m'!$B$166</c:f>
              <c:strCache>
                <c:ptCount val="1"/>
                <c:pt idx="0">
                  <c:v>Velvet Crab</c:v>
                </c:pt>
              </c:strCache>
            </c:strRef>
          </c:tx>
          <c:spPr>
            <a:solidFill>
              <a:srgbClr val="E84A38"/>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10-12m'!$C$166:$E$166</c:f>
              <c:numCache>
                <c:formatCode>0%</c:formatCode>
                <c:ptCount val="3"/>
                <c:pt idx="0">
                  <c:v>8.9109155869862705E-3</c:v>
                </c:pt>
                <c:pt idx="1">
                  <c:v>1.7845239690020158E-2</c:v>
                </c:pt>
                <c:pt idx="2">
                  <c:v>7.2383059229275903E-2</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'Pots and traps 10-12m'!$B$167</c:f>
              <c:strCache>
                <c:ptCount val="1"/>
                <c:pt idx="0">
                  <c:v>Thornback Ray</c:v>
                </c:pt>
              </c:strCache>
            </c:strRef>
          </c:tx>
          <c:spPr>
            <a:solidFill>
              <a:srgbClr val="0F9AA9"/>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10-12m'!$C$167:$E$167</c:f>
              <c:numCache>
                <c:formatCode>0%</c:formatCode>
                <c:ptCount val="3"/>
                <c:pt idx="0">
                  <c:v>0</c:v>
                </c:pt>
                <c:pt idx="1">
                  <c:v>0</c:v>
                </c:pt>
                <c:pt idx="2">
                  <c:v>7.5042740661703453E-2</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'Pots and traps 10-12m'!$B$168</c:f>
              <c:strCache>
                <c:ptCount val="1"/>
                <c:pt idx="0">
                  <c:v>Others</c:v>
                </c:pt>
              </c:strCache>
            </c:strRef>
          </c:tx>
          <c:spPr>
            <a:solidFill>
              <a:srgbClr val="55585A"/>
            </a:solidFill>
            <a:ln>
              <a:solidFill>
                <a:srgbClr val="FFFFFF"/>
              </a:solidFill>
            </a:ln>
          </c:spPr>
          <c:invertIfNegative val="0"/>
          <c:cat>
            <c:strRef>
              <c:f>'Pots and traps 10-12m'!$C$161:$E$161</c:f>
              <c:strCache>
                <c:ptCount val="3"/>
                <c:pt idx="0">
                  <c:v>Most
profitable
quartile</c:v>
                </c:pt>
                <c:pt idx="1">
                  <c:v>Middle 
two quartiles</c:v>
                </c:pt>
                <c:pt idx="2">
                  <c:v>Least
profitable
quartile</c:v>
                </c:pt>
              </c:strCache>
            </c:strRef>
          </c:cat>
          <c:val>
            <c:numRef>
              <c:f>'Pots and traps 10-12m'!$C$168:$E$168</c:f>
              <c:numCache>
                <c:formatCode>0%</c:formatCode>
                <c:ptCount val="3"/>
                <c:pt idx="0">
                  <c:v>1.338707928702132E-2</c:v>
                </c:pt>
                <c:pt idx="1">
                  <c:v>2.0657250899693835E-2</c:v>
                </c:pt>
                <c:pt idx="2">
                  <c:v>7.1329279976218518E-2</c:v>
                </c:pt>
              </c:numCache>
            </c:numRef>
          </c:val>
          <c:extLst xmlns:c16r2="http://schemas.microsoft.com/office/drawing/2015/06/chart">
            <c:ext xmlns:c16="http://schemas.microsoft.com/office/drawing/2014/chart" uri="{C3380CC4-5D6E-409C-BE32-E72D297353CC}">
              <c16:uniqueId val="{00000006-DFDD-4C01-8393-1BE532AE55F9}"/>
            </c:ext>
          </c:extLst>
        </c:ser>
        <c:dLbls>
          <c:showLegendKey val="0"/>
          <c:showVal val="0"/>
          <c:showCatName val="0"/>
          <c:showSerName val="0"/>
          <c:showPercent val="0"/>
          <c:showBubbleSize val="0"/>
        </c:dLbls>
        <c:gapWidth val="150"/>
        <c:overlap val="100"/>
        <c:axId val="946734976"/>
        <c:axId val="946736512"/>
      </c:barChart>
      <c:catAx>
        <c:axId val="946734976"/>
        <c:scaling>
          <c:orientation val="minMax"/>
        </c:scaling>
        <c:delete val="0"/>
        <c:axPos val="b"/>
        <c:numFmt formatCode="General" sourceLinked="0"/>
        <c:majorTickMark val="out"/>
        <c:minorTickMark val="none"/>
        <c:tickLblPos val="nextTo"/>
        <c:crossAx val="946736512"/>
        <c:crosses val="autoZero"/>
        <c:auto val="1"/>
        <c:lblAlgn val="ctr"/>
        <c:lblOffset val="100"/>
        <c:noMultiLvlLbl val="0"/>
      </c:catAx>
      <c:valAx>
        <c:axId val="946736512"/>
        <c:scaling>
          <c:orientation val="minMax"/>
          <c:max val="1"/>
          <c:min val="0"/>
        </c:scaling>
        <c:delete val="0"/>
        <c:axPos val="l"/>
        <c:majorGridlines/>
        <c:minorGridlines/>
        <c:numFmt formatCode="0%" sourceLinked="1"/>
        <c:majorTickMark val="out"/>
        <c:minorTickMark val="none"/>
        <c:tickLblPos val="nextTo"/>
        <c:crossAx val="946734976"/>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'Pots and traps 10-12m'!$H$162</c:f>
              <c:strCache>
                <c:ptCount val="1"/>
                <c:pt idx="0">
                  <c:v>Brown Crab</c:v>
                </c:pt>
              </c:strCache>
            </c:strRef>
          </c:tx>
          <c:spPr>
            <a:solidFill>
              <a:srgbClr val="2273B9"/>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10-12m'!$I$162:$K$162</c:f>
              <c:numCache>
                <c:formatCode>0%</c:formatCode>
                <c:ptCount val="3"/>
                <c:pt idx="0">
                  <c:v>0.32301858370597436</c:v>
                </c:pt>
                <c:pt idx="1">
                  <c:v>0.3348802435969262</c:v>
                </c:pt>
                <c:pt idx="2">
                  <c:v>0.1423585273926565</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'Pots and traps 10-12m'!$H$163</c:f>
              <c:strCache>
                <c:ptCount val="1"/>
                <c:pt idx="0">
                  <c:v>Lobsters</c:v>
                </c:pt>
              </c:strCache>
            </c:strRef>
          </c:tx>
          <c:spPr>
            <a:solidFill>
              <a:srgbClr val="E87308"/>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10-12m'!$I$163:$K$163</c:f>
              <c:numCache>
                <c:formatCode>0%</c:formatCode>
                <c:ptCount val="3"/>
                <c:pt idx="0">
                  <c:v>0.37696644277693492</c:v>
                </c:pt>
                <c:pt idx="1">
                  <c:v>0.27667796112105242</c:v>
                </c:pt>
                <c:pt idx="2">
                  <c:v>0.1836845387384721</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'Pots and traps 10-12m'!$H$164</c:f>
              <c:strCache>
                <c:ptCount val="1"/>
                <c:pt idx="0">
                  <c:v>Whelks</c:v>
                </c:pt>
              </c:strCache>
            </c:strRef>
          </c:tx>
          <c:spPr>
            <a:solidFill>
              <a:srgbClr val="648C2E"/>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10-12m'!$I$164:$K$164</c:f>
              <c:numCache>
                <c:formatCode>0%</c:formatCode>
                <c:ptCount val="3"/>
                <c:pt idx="0">
                  <c:v>0.24304546457111179</c:v>
                </c:pt>
                <c:pt idx="1">
                  <c:v>0.18465739748979623</c:v>
                </c:pt>
                <c:pt idx="2">
                  <c:v>0.10325320934558468</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'Pots and traps 10-12m'!$H$165</c:f>
              <c:strCache>
                <c:ptCount val="1"/>
                <c:pt idx="0">
                  <c:v>Nephrops</c:v>
                </c:pt>
              </c:strCache>
            </c:strRef>
          </c:tx>
          <c:spPr>
            <a:solidFill>
              <a:srgbClr val="C1D119"/>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10-12m'!$I$165:$K$165</c:f>
              <c:numCache>
                <c:formatCode>0%</c:formatCode>
                <c:ptCount val="3"/>
                <c:pt idx="0">
                  <c:v>3.4041873815004474E-2</c:v>
                </c:pt>
                <c:pt idx="1">
                  <c:v>0.14700351563107517</c:v>
                </c:pt>
                <c:pt idx="2">
                  <c:v>0.46605508120355577</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'Pots and traps 10-12m'!$H$166</c:f>
              <c:strCache>
                <c:ptCount val="1"/>
                <c:pt idx="0">
                  <c:v>Velvet Crab</c:v>
                </c:pt>
              </c:strCache>
            </c:strRef>
          </c:tx>
          <c:spPr>
            <a:solidFill>
              <a:srgbClr val="E84A38"/>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10-12m'!$I$166:$K$166</c:f>
              <c:numCache>
                <c:formatCode>0%</c:formatCode>
                <c:ptCount val="3"/>
                <c:pt idx="0">
                  <c:v>1.27745081574096E-2</c:v>
                </c:pt>
                <c:pt idx="1">
                  <c:v>2.7625353406509127E-2</c:v>
                </c:pt>
                <c:pt idx="2">
                  <c:v>7.5843144519972525E-2</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'Pots and traps 10-12m'!$H$167</c:f>
              <c:strCache>
                <c:ptCount val="1"/>
                <c:pt idx="0">
                  <c:v>Others</c:v>
                </c:pt>
              </c:strCache>
            </c:strRef>
          </c:tx>
          <c:spPr>
            <a:solidFill>
              <a:srgbClr val="55585A"/>
            </a:solidFill>
            <a:ln>
              <a:solidFill>
                <a:srgbClr val="FFFFFF"/>
              </a:solidFill>
            </a:ln>
          </c:spPr>
          <c:invertIfNegative val="0"/>
          <c:cat>
            <c:strRef>
              <c:f>'Pots and traps 10-12m'!$I$161:$K$161</c:f>
              <c:strCache>
                <c:ptCount val="3"/>
                <c:pt idx="0">
                  <c:v>Most
profitable
quartile</c:v>
                </c:pt>
                <c:pt idx="1">
                  <c:v>Middle 
two quartiles</c:v>
                </c:pt>
                <c:pt idx="2">
                  <c:v>Least
profitable
quartile</c:v>
                </c:pt>
              </c:strCache>
            </c:strRef>
          </c:cat>
          <c:val>
            <c:numRef>
              <c:f>'Pots and traps 10-12m'!$I$167:$K$167</c:f>
              <c:numCache>
                <c:formatCode>0%</c:formatCode>
                <c:ptCount val="3"/>
                <c:pt idx="0">
                  <c:v>1.0153126973564963E-2</c:v>
                </c:pt>
                <c:pt idx="1">
                  <c:v>2.915552875464078E-2</c:v>
                </c:pt>
                <c:pt idx="2">
                  <c:v>2.8805498799758356E-2</c:v>
                </c:pt>
              </c:numCache>
            </c:numRef>
          </c:val>
          <c:extLst xmlns:c16r2="http://schemas.microsoft.com/office/drawing/2015/06/chart">
            <c:ext xmlns:c16="http://schemas.microsoft.com/office/drawing/2014/chart" uri="{C3380CC4-5D6E-409C-BE32-E72D297353CC}">
              <c16:uniqueId val="{00000005-DC58-4725-8A67-0BDC09FD93CD}"/>
            </c:ext>
          </c:extLst>
        </c:ser>
        <c:dLbls>
          <c:showLegendKey val="0"/>
          <c:showVal val="0"/>
          <c:showCatName val="0"/>
          <c:showSerName val="0"/>
          <c:showPercent val="0"/>
          <c:showBubbleSize val="0"/>
        </c:dLbls>
        <c:gapWidth val="150"/>
        <c:overlap val="100"/>
        <c:axId val="946800896"/>
        <c:axId val="946806784"/>
      </c:barChart>
      <c:catAx>
        <c:axId val="946800896"/>
        <c:scaling>
          <c:orientation val="minMax"/>
        </c:scaling>
        <c:delete val="0"/>
        <c:axPos val="b"/>
        <c:numFmt formatCode="General" sourceLinked="0"/>
        <c:majorTickMark val="out"/>
        <c:minorTickMark val="none"/>
        <c:tickLblPos val="nextTo"/>
        <c:crossAx val="946806784"/>
        <c:crosses val="autoZero"/>
        <c:auto val="1"/>
        <c:lblAlgn val="ctr"/>
        <c:lblOffset val="100"/>
        <c:noMultiLvlLbl val="0"/>
      </c:catAx>
      <c:valAx>
        <c:axId val="946806784"/>
        <c:scaling>
          <c:orientation val="minMax"/>
          <c:max val="1"/>
          <c:min val="0"/>
        </c:scaling>
        <c:delete val="0"/>
        <c:axPos val="l"/>
        <c:majorGridlines/>
        <c:minorGridlines/>
        <c:numFmt formatCode="0%" sourceLinked="1"/>
        <c:majorTickMark val="out"/>
        <c:minorTickMark val="none"/>
        <c:tickLblPos val="nextTo"/>
        <c:crossAx val="946800896"/>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10-12m'!$K$143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'Pots and traps 10-12m'!$K$139</c:f>
              <c:strCache>
                <c:ptCount val="1"/>
                <c:pt idx="0">
                  <c:v>Total income</c:v>
                </c:pt>
              </c:strCache>
            </c:strRef>
          </c:tx>
          <c:spPr>
            <a:solidFill>
              <a:schemeClr val="accent1"/>
            </a:solidFill>
            <a:ln>
              <a:solidFill>
                <a:schemeClr val="accent1"/>
              </a:solidFill>
            </a:ln>
          </c:spPr>
          <c:invertIfNegative val="0"/>
          <c:cat>
            <c:strRef>
              <c:f>'Pots and traps 10-12m'!$L$138:$N$138</c:f>
              <c:strCache>
                <c:ptCount val="3"/>
                <c:pt idx="0">
                  <c:v>Most
profitable
quartile</c:v>
                </c:pt>
                <c:pt idx="1">
                  <c:v>Middle
two quartiles</c:v>
                </c:pt>
                <c:pt idx="2">
                  <c:v>Least
profitable
quartile</c:v>
                </c:pt>
              </c:strCache>
            </c:strRef>
          </c:cat>
          <c:val>
            <c:numRef>
              <c:f>'Pots and traps 10-12m'!$L$139:$N$139</c:f>
              <c:numCache>
                <c:formatCode>#,##0</c:formatCode>
                <c:ptCount val="3"/>
                <c:pt idx="0">
                  <c:v>260.11500000000001</c:v>
                </c:pt>
                <c:pt idx="1">
                  <c:v>157.69214843750001</c:v>
                </c:pt>
                <c:pt idx="2">
                  <c:v>70.41978125</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'Pots and traps 10-12m'!$K$140</c:f>
              <c:strCache>
                <c:ptCount val="1"/>
                <c:pt idx="0">
                  <c:v>Operating costs</c:v>
                </c:pt>
              </c:strCache>
            </c:strRef>
          </c:tx>
          <c:spPr>
            <a:solidFill>
              <a:schemeClr val="accent3"/>
            </a:solidFill>
          </c:spPr>
          <c:invertIfNegative val="0"/>
          <c:cat>
            <c:strRef>
              <c:f>'Pots and traps 10-12m'!$L$138:$N$138</c:f>
              <c:strCache>
                <c:ptCount val="3"/>
                <c:pt idx="0">
                  <c:v>Most
profitable
quartile</c:v>
                </c:pt>
                <c:pt idx="1">
                  <c:v>Middle
two quartiles</c:v>
                </c:pt>
                <c:pt idx="2">
                  <c:v>Least
profitable
quartile</c:v>
                </c:pt>
              </c:strCache>
            </c:strRef>
          </c:cat>
          <c:val>
            <c:numRef>
              <c:f>'Pots and traps 10-12m'!$L$140:$N$140</c:f>
              <c:numCache>
                <c:formatCode>#,##0</c:formatCode>
                <c:ptCount val="3"/>
                <c:pt idx="0">
                  <c:v>160.997609375</c:v>
                </c:pt>
                <c:pt idx="1">
                  <c:v>103.20861328125</c:v>
                </c:pt>
                <c:pt idx="2">
                  <c:v>52.368984374999997</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'Pots and traps 10-12m'!$K$141</c:f>
              <c:strCache>
                <c:ptCount val="1"/>
                <c:pt idx="0">
                  <c:v>Operating profit</c:v>
                </c:pt>
              </c:strCache>
            </c:strRef>
          </c:tx>
          <c:spPr>
            <a:solidFill>
              <a:schemeClr val="accent2"/>
            </a:solidFill>
          </c:spPr>
          <c:invertIfNegative val="0"/>
          <c:cat>
            <c:strRef>
              <c:f>'Pots and traps 10-12m'!$L$138:$N$138</c:f>
              <c:strCache>
                <c:ptCount val="3"/>
                <c:pt idx="0">
                  <c:v>Most
profitable
quartile</c:v>
                </c:pt>
                <c:pt idx="1">
                  <c:v>Middle
two quartiles</c:v>
                </c:pt>
                <c:pt idx="2">
                  <c:v>Least
profitable
quartile</c:v>
                </c:pt>
              </c:strCache>
            </c:strRef>
          </c:cat>
          <c:val>
            <c:numRef>
              <c:f>'Pots and traps 10-12m'!$L$141:$N$141</c:f>
              <c:numCache>
                <c:formatCode>#,##0</c:formatCode>
                <c:ptCount val="3"/>
                <c:pt idx="0">
                  <c:v>99.117390624999999</c:v>
                </c:pt>
                <c:pt idx="1">
                  <c:v>54.483535156249999</c:v>
                </c:pt>
                <c:pt idx="2">
                  <c:v>18.050796875</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946821760"/>
        <c:axId val="946823552"/>
      </c:barChart>
      <c:catAx>
        <c:axId val="946821760"/>
        <c:scaling>
          <c:orientation val="minMax"/>
        </c:scaling>
        <c:delete val="0"/>
        <c:axPos val="b"/>
        <c:numFmt formatCode="General" sourceLinked="0"/>
        <c:majorTickMark val="out"/>
        <c:minorTickMark val="none"/>
        <c:tickLblPos val="nextTo"/>
        <c:crossAx val="946823552"/>
        <c:crosses val="autoZero"/>
        <c:auto val="1"/>
        <c:lblAlgn val="ctr"/>
        <c:lblOffset val="100"/>
        <c:noMultiLvlLbl val="0"/>
      </c:catAx>
      <c:valAx>
        <c:axId val="946823552"/>
        <c:scaling>
          <c:orientation val="minMax"/>
        </c:scaling>
        <c:delete val="0"/>
        <c:axPos val="l"/>
        <c:majorGridlines/>
        <c:title>
          <c:tx>
            <c:strRef>
              <c:f>'Pots and traps 10-12m'!$K$142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94682176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12m'!$A$48</c:f>
          <c:strCache>
            <c:ptCount val="1"/>
            <c:pt idx="0">
              <c:v>Landings per kW day at sea (kg)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'Pots and traps over 12m'!$D$2:$N$2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'Pots and traps over 12m'!$D$21:$N$21</c:f>
              <c:numCache>
                <c:formatCode>#,##0.00</c:formatCode>
                <c:ptCount val="11"/>
                <c:pt idx="0">
                  <c:v>4.5653066805489653</c:v>
                </c:pt>
                <c:pt idx="1">
                  <c:v>4.5880218972763602</c:v>
                </c:pt>
                <c:pt idx="2">
                  <c:v>4.7810480487573388</c:v>
                </c:pt>
                <c:pt idx="3">
                  <c:v>5.1770079291394691</c:v>
                </c:pt>
                <c:pt idx="4">
                  <c:v>5.4239942308633093</c:v>
                </c:pt>
                <c:pt idx="5">
                  <c:v>5.6335442997851732</c:v>
                </c:pt>
                <c:pt idx="6">
                  <c:v>6.2562412767295923</c:v>
                </c:pt>
                <c:pt idx="7">
                  <c:v>5.9663764050953816</c:v>
                </c:pt>
                <c:pt idx="8">
                  <c:v>5.9448176177681304</c:v>
                </c:pt>
                <c:pt idx="9">
                  <c:v>5.6329504386691713</c:v>
                </c:pt>
                <c:pt idx="10">
                  <c:v>5.7388462178453752</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946352128"/>
        <c:axId val="946353664"/>
      </c:lineChart>
      <c:catAx>
        <c:axId val="946352128"/>
        <c:scaling>
          <c:orientation val="minMax"/>
        </c:scaling>
        <c:delete val="0"/>
        <c:axPos val="b"/>
        <c:numFmt formatCode="General" sourceLinked="1"/>
        <c:majorTickMark val="out"/>
        <c:minorTickMark val="none"/>
        <c:tickLblPos val="nextTo"/>
        <c:crossAx val="946353664"/>
        <c:crosses val="autoZero"/>
        <c:auto val="1"/>
        <c:lblAlgn val="ctr"/>
        <c:lblOffset val="100"/>
        <c:noMultiLvlLbl val="0"/>
      </c:catAx>
      <c:valAx>
        <c:axId val="946353664"/>
        <c:scaling>
          <c:orientation val="minMax"/>
        </c:scaling>
        <c:delete val="0"/>
        <c:axPos val="l"/>
        <c:majorGridlines>
          <c:spPr>
            <a:ln w="3175">
              <a:prstDash val="sysDot"/>
            </a:ln>
          </c:spPr>
        </c:majorGridlines>
        <c:numFmt formatCode="#,##0.00" sourceLinked="1"/>
        <c:majorTickMark val="out"/>
        <c:minorTickMark val="none"/>
        <c:tickLblPos val="nextTo"/>
        <c:crossAx val="946352128"/>
        <c:crosses val="autoZero"/>
        <c:crossBetween val="between"/>
      </c:valAx>
    </c:plotArea>
    <c:plotVisOnly val="0"/>
    <c:dispBlanksAs val="gap"/>
    <c:showDLblsOverMax val="0"/>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12m'!$A$49</c:f>
          <c:strCache>
            <c:ptCount val="1"/>
            <c:pt idx="0">
              <c:v>Fishing income per kW day at sea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'Pots and traps over 12m'!$D$2:$N$2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'Pots and traps over 12m'!$D$22:$N$22</c:f>
              <c:numCache>
                <c:formatCode>#,##0.00</c:formatCode>
                <c:ptCount val="11"/>
                <c:pt idx="0">
                  <c:v>7.2614668247841898</c:v>
                </c:pt>
                <c:pt idx="1">
                  <c:v>6.86859891267589</c:v>
                </c:pt>
                <c:pt idx="2">
                  <c:v>7.6847882450895399</c:v>
                </c:pt>
                <c:pt idx="3">
                  <c:v>8.2594212179698001</c:v>
                </c:pt>
                <c:pt idx="4">
                  <c:v>8.5255141699841204</c:v>
                </c:pt>
                <c:pt idx="5">
                  <c:v>9.4932364849594393</c:v>
                </c:pt>
                <c:pt idx="6">
                  <c:v>10.2551034813093</c:v>
                </c:pt>
                <c:pt idx="7">
                  <c:v>9.6787061338177498</c:v>
                </c:pt>
                <c:pt idx="8">
                  <c:v>10.104061735512399</c:v>
                </c:pt>
                <c:pt idx="9">
                  <c:v>10.481754526040101</c:v>
                </c:pt>
                <c:pt idx="10">
                  <c:v>11.659779868874889</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946424832"/>
        <c:axId val="946856704"/>
      </c:lineChart>
      <c:catAx>
        <c:axId val="946424832"/>
        <c:scaling>
          <c:orientation val="minMax"/>
        </c:scaling>
        <c:delete val="0"/>
        <c:axPos val="b"/>
        <c:numFmt formatCode="General" sourceLinked="1"/>
        <c:majorTickMark val="out"/>
        <c:minorTickMark val="none"/>
        <c:tickLblPos val="nextTo"/>
        <c:crossAx val="946856704"/>
        <c:crosses val="autoZero"/>
        <c:auto val="1"/>
        <c:lblAlgn val="ctr"/>
        <c:lblOffset val="100"/>
        <c:noMultiLvlLbl val="0"/>
      </c:catAx>
      <c:valAx>
        <c:axId val="946856704"/>
        <c:scaling>
          <c:orientation val="minMax"/>
        </c:scaling>
        <c:delete val="0"/>
        <c:axPos val="l"/>
        <c:majorGridlines>
          <c:spPr>
            <a:ln w="3175">
              <a:prstDash val="sysDot"/>
            </a:ln>
          </c:spPr>
        </c:majorGridlines>
        <c:numFmt formatCode="#,##0.00" sourceLinked="1"/>
        <c:majorTickMark val="out"/>
        <c:minorTickMark val="none"/>
        <c:tickLblPos val="nextTo"/>
        <c:crossAx val="946424832"/>
        <c:crosses val="autoZero"/>
        <c:crossBetween val="between"/>
      </c:valAx>
    </c:plotArea>
    <c:plotVisOnly val="0"/>
    <c:dispBlanksAs val="gap"/>
    <c:showDLblsOverMax val="0"/>
  </c:chart>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12m'!$B$62</c:f>
          <c:strCache>
            <c:ptCount val="1"/>
            <c:pt idx="0">
              <c:v>Total cost per kW day at sea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'Pots and traps over 12m'!$D$2:$N$2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'Pots and traps over 12m'!$D$23:$N$23</c:f>
              <c:numCache>
                <c:formatCode>#,##0.00</c:formatCode>
                <c:ptCount val="11"/>
                <c:pt idx="0">
                  <c:v>6.0644893416736902</c:v>
                </c:pt>
                <c:pt idx="1">
                  <c:v>6.0383736275448596</c:v>
                </c:pt>
                <c:pt idx="2">
                  <c:v>6.7746465880216196</c:v>
                </c:pt>
                <c:pt idx="3">
                  <c:v>7.9832192314528898</c:v>
                </c:pt>
                <c:pt idx="4">
                  <c:v>7.8656692002298696</c:v>
                </c:pt>
                <c:pt idx="5">
                  <c:v>8.3480411789411892</c:v>
                </c:pt>
                <c:pt idx="6">
                  <c:v>8.6274782115362392</c:v>
                </c:pt>
                <c:pt idx="7">
                  <c:v>7.9353773872094502</c:v>
                </c:pt>
                <c:pt idx="8">
                  <c:v>7.9435785236148098</c:v>
                </c:pt>
                <c:pt idx="9">
                  <c:v>8.8202695139376299</c:v>
                </c:pt>
                <c:pt idx="10">
                  <c:v>9.8563441659375535</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946497792"/>
        <c:axId val="946499584"/>
      </c:lineChart>
      <c:catAx>
        <c:axId val="946497792"/>
        <c:scaling>
          <c:orientation val="minMax"/>
        </c:scaling>
        <c:delete val="0"/>
        <c:axPos val="b"/>
        <c:numFmt formatCode="General" sourceLinked="1"/>
        <c:majorTickMark val="out"/>
        <c:minorTickMark val="none"/>
        <c:tickLblPos val="nextTo"/>
        <c:crossAx val="946499584"/>
        <c:crosses val="autoZero"/>
        <c:auto val="1"/>
        <c:lblAlgn val="ctr"/>
        <c:lblOffset val="100"/>
        <c:noMultiLvlLbl val="0"/>
      </c:catAx>
      <c:valAx>
        <c:axId val="946499584"/>
        <c:scaling>
          <c:orientation val="minMax"/>
        </c:scaling>
        <c:delete val="0"/>
        <c:axPos val="l"/>
        <c:majorGridlines>
          <c:spPr>
            <a:ln w="3175">
              <a:prstDash val="sysDot"/>
            </a:ln>
          </c:spPr>
        </c:majorGridlines>
        <c:numFmt formatCode="#,##0.00" sourceLinked="1"/>
        <c:majorTickMark val="out"/>
        <c:minorTickMark val="none"/>
        <c:tickLblPos val="nextTo"/>
        <c:crossAx val="946497792"/>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12m'!$K$48</c:f>
          <c:strCache>
            <c:ptCount val="1"/>
            <c:pt idx="0">
              <c:v>Operating profit per kW day at sea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'Pots and traps over 12m'!$D$2:$N$2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'Pots and traps over 12m'!$D$24:$N$24</c:f>
              <c:numCache>
                <c:formatCode>#,##0.00</c:formatCode>
                <c:ptCount val="11"/>
                <c:pt idx="0">
                  <c:v>1.2400403478759501</c:v>
                </c:pt>
                <c:pt idx="1">
                  <c:v>1.5451357768103799</c:v>
                </c:pt>
                <c:pt idx="2">
                  <c:v>0.969210659142972</c:v>
                </c:pt>
                <c:pt idx="3">
                  <c:v>0.76114482787696103</c:v>
                </c:pt>
                <c:pt idx="4">
                  <c:v>1.86601744593007</c:v>
                </c:pt>
                <c:pt idx="5">
                  <c:v>1.7292549611239301</c:v>
                </c:pt>
                <c:pt idx="6">
                  <c:v>2.14655873276079</c:v>
                </c:pt>
                <c:pt idx="7">
                  <c:v>2.2592336959060701</c:v>
                </c:pt>
                <c:pt idx="8">
                  <c:v>2.37849910694705</c:v>
                </c:pt>
                <c:pt idx="9">
                  <c:v>3.0396270243592798</c:v>
                </c:pt>
                <c:pt idx="10">
                  <c:v>3.3364644699629742</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46533888"/>
        <c:axId val="946535424"/>
      </c:lineChart>
      <c:catAx>
        <c:axId val="946533888"/>
        <c:scaling>
          <c:orientation val="minMax"/>
        </c:scaling>
        <c:delete val="0"/>
        <c:axPos val="b"/>
        <c:numFmt formatCode="General" sourceLinked="1"/>
        <c:majorTickMark val="out"/>
        <c:minorTickMark val="none"/>
        <c:tickLblPos val="nextTo"/>
        <c:crossAx val="946535424"/>
        <c:crosses val="autoZero"/>
        <c:auto val="1"/>
        <c:lblAlgn val="ctr"/>
        <c:lblOffset val="100"/>
        <c:noMultiLvlLbl val="0"/>
      </c:catAx>
      <c:valAx>
        <c:axId val="946535424"/>
        <c:scaling>
          <c:orientation val="minMax"/>
        </c:scaling>
        <c:delete val="0"/>
        <c:axPos val="l"/>
        <c:majorGridlines>
          <c:spPr>
            <a:ln w="3175">
              <a:prstDash val="sysDot"/>
            </a:ln>
          </c:spPr>
        </c:majorGridlines>
        <c:numFmt formatCode="#,##0.00" sourceLinked="1"/>
        <c:majorTickMark val="out"/>
        <c:minorTickMark val="none"/>
        <c:tickLblPos val="nextTo"/>
        <c:crossAx val="946533888"/>
        <c:crosses val="autoZero"/>
        <c:crossBetween val="between"/>
      </c:valAx>
    </c:plotArea>
    <c:plotVisOnly val="0"/>
    <c:dispBlanksAs val="gap"/>
    <c:showDLblsOverMax val="0"/>
  </c:chart>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12m'!$A$50</c:f>
          <c:strCache>
            <c:ptCount val="1"/>
            <c:pt idx="0">
              <c:v>Average price per tonne landed (£)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'Pots and traps over 12m'!$D$2:$N$2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'Pots and traps over 12m'!$D$20:$N$20</c:f>
              <c:numCache>
                <c:formatCode>#,##0</c:formatCode>
                <c:ptCount val="11"/>
                <c:pt idx="0">
                  <c:v>1591</c:v>
                </c:pt>
                <c:pt idx="1">
                  <c:v>1497</c:v>
                </c:pt>
                <c:pt idx="2">
                  <c:v>1607</c:v>
                </c:pt>
                <c:pt idx="3">
                  <c:v>1595</c:v>
                </c:pt>
                <c:pt idx="4">
                  <c:v>1572</c:v>
                </c:pt>
                <c:pt idx="5">
                  <c:v>1685</c:v>
                </c:pt>
                <c:pt idx="6">
                  <c:v>1639</c:v>
                </c:pt>
                <c:pt idx="7">
                  <c:v>1622</c:v>
                </c:pt>
                <c:pt idx="8">
                  <c:v>1700</c:v>
                </c:pt>
                <c:pt idx="9">
                  <c:v>1861</c:v>
                </c:pt>
                <c:pt idx="10">
                  <c:v>2032</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47225344"/>
        <c:axId val="947226880"/>
      </c:lineChart>
      <c:catAx>
        <c:axId val="947225344"/>
        <c:scaling>
          <c:orientation val="minMax"/>
        </c:scaling>
        <c:delete val="0"/>
        <c:axPos val="b"/>
        <c:numFmt formatCode="General" sourceLinked="1"/>
        <c:majorTickMark val="out"/>
        <c:minorTickMark val="none"/>
        <c:tickLblPos val="nextTo"/>
        <c:crossAx val="947226880"/>
        <c:crosses val="autoZero"/>
        <c:auto val="1"/>
        <c:lblAlgn val="ctr"/>
        <c:lblOffset val="100"/>
        <c:noMultiLvlLbl val="0"/>
      </c:catAx>
      <c:valAx>
        <c:axId val="947226880"/>
        <c:scaling>
          <c:orientation val="minMax"/>
        </c:scaling>
        <c:delete val="0"/>
        <c:axPos val="l"/>
        <c:majorGridlines>
          <c:spPr>
            <a:ln w="3175">
              <a:prstDash val="sysDot"/>
            </a:ln>
          </c:spPr>
        </c:majorGridlines>
        <c:numFmt formatCode="#,##0" sourceLinked="1"/>
        <c:majorTickMark val="out"/>
        <c:minorTickMark val="none"/>
        <c:tickLblPos val="nextTo"/>
        <c:crossAx val="947225344"/>
        <c:crosses val="autoZero"/>
        <c:crossBetween val="between"/>
      </c:valAx>
    </c:plotArea>
    <c:plotVisOnly val="0"/>
    <c:dispBlanksAs val="gap"/>
    <c:showDLblsOverMax val="0"/>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12m'!$K$62</c:f>
          <c:strCache>
            <c:ptCount val="1"/>
            <c:pt idx="0">
              <c:v>Average annual operating profit per vessel (£'000)
Pots and traps over 12m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'Pots and traps over 12m'!$D$2:$N$2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'Pots and traps over 12m'!$D$37:$N$37</c:f>
              <c:numCache>
                <c:formatCode>#,##0.0</c:formatCode>
                <c:ptCount val="11"/>
                <c:pt idx="0">
                  <c:v>48.3</c:v>
                </c:pt>
                <c:pt idx="1">
                  <c:v>66.099999999999994</c:v>
                </c:pt>
                <c:pt idx="2">
                  <c:v>43.9</c:v>
                </c:pt>
                <c:pt idx="3">
                  <c:v>32.299999999999997</c:v>
                </c:pt>
                <c:pt idx="4">
                  <c:v>75.400000000000006</c:v>
                </c:pt>
                <c:pt idx="5">
                  <c:v>68.599999999999994</c:v>
                </c:pt>
                <c:pt idx="6">
                  <c:v>88.3</c:v>
                </c:pt>
                <c:pt idx="7">
                  <c:v>92.2</c:v>
                </c:pt>
                <c:pt idx="8">
                  <c:v>107.1</c:v>
                </c:pt>
                <c:pt idx="9">
                  <c:v>145</c:v>
                </c:pt>
                <c:pt idx="10">
                  <c:v>156.1</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47535872"/>
        <c:axId val="947537408"/>
      </c:lineChart>
      <c:catAx>
        <c:axId val="947535872"/>
        <c:scaling>
          <c:orientation val="minMax"/>
        </c:scaling>
        <c:delete val="0"/>
        <c:axPos val="b"/>
        <c:numFmt formatCode="General" sourceLinked="1"/>
        <c:majorTickMark val="out"/>
        <c:minorTickMark val="none"/>
        <c:tickLblPos val="nextTo"/>
        <c:crossAx val="947537408"/>
        <c:crosses val="autoZero"/>
        <c:auto val="1"/>
        <c:lblAlgn val="ctr"/>
        <c:lblOffset val="100"/>
        <c:noMultiLvlLbl val="0"/>
      </c:catAx>
      <c:valAx>
        <c:axId val="947537408"/>
        <c:scaling>
          <c:orientation val="minMax"/>
        </c:scaling>
        <c:delete val="0"/>
        <c:axPos val="l"/>
        <c:majorGridlines>
          <c:spPr>
            <a:ln w="3175">
              <a:prstDash val="sysDot"/>
            </a:ln>
          </c:spPr>
        </c:majorGridlines>
        <c:numFmt formatCode="#,##0.0" sourceLinked="1"/>
        <c:majorTickMark val="out"/>
        <c:minorTickMark val="none"/>
        <c:tickLblPos val="nextTo"/>
        <c:crossAx val="947535872"/>
        <c:crosses val="autoZero"/>
        <c:crossBetween val="between"/>
      </c:valAx>
    </c:plotArea>
    <c:plotVisOnly val="0"/>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u250kW'!$A$48</c:f>
          <c:strCache>
            <c:ptCount val="1"/>
            <c:pt idx="0">
              <c:v>Landings per kW day at sea (kg)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'Area VIIa nephrops u250kW'!$D$2:$N$2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nephrops u250kW'!$D$21:$N$21</c:f>
              <c:numCache>
                <c:formatCode>#,##0.00</c:formatCode>
                <c:ptCount val="11"/>
                <c:pt idx="0">
                  <c:v>2.9979950544730811</c:v>
                </c:pt>
                <c:pt idx="1">
                  <c:v>2.9298110682466518</c:v>
                </c:pt>
                <c:pt idx="2">
                  <c:v>3.1605046133727686</c:v>
                </c:pt>
                <c:pt idx="3">
                  <c:v>3.3590217052065969</c:v>
                </c:pt>
                <c:pt idx="4">
                  <c:v>3.3961332581277488</c:v>
                </c:pt>
                <c:pt idx="5">
                  <c:v>3.1737213048446584</c:v>
                </c:pt>
                <c:pt idx="6">
                  <c:v>2.7335049176467137</c:v>
                </c:pt>
                <c:pt idx="7">
                  <c:v>3.4300323559517234</c:v>
                </c:pt>
                <c:pt idx="8">
                  <c:v>3.3455574085994826</c:v>
                </c:pt>
                <c:pt idx="9">
                  <c:v>3.5150585909622967</c:v>
                </c:pt>
                <c:pt idx="10">
                  <c:v>3.1141212522437902</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616884096"/>
        <c:axId val="616885632"/>
      </c:lineChart>
      <c:catAx>
        <c:axId val="616884096"/>
        <c:scaling>
          <c:orientation val="minMax"/>
        </c:scaling>
        <c:delete val="0"/>
        <c:axPos val="b"/>
        <c:numFmt formatCode="General" sourceLinked="1"/>
        <c:majorTickMark val="out"/>
        <c:minorTickMark val="none"/>
        <c:tickLblPos val="nextTo"/>
        <c:crossAx val="616885632"/>
        <c:crosses val="autoZero"/>
        <c:auto val="1"/>
        <c:lblAlgn val="ctr"/>
        <c:lblOffset val="100"/>
        <c:noMultiLvlLbl val="0"/>
      </c:catAx>
      <c:valAx>
        <c:axId val="616885632"/>
        <c:scaling>
          <c:orientation val="minMax"/>
        </c:scaling>
        <c:delete val="0"/>
        <c:axPos val="l"/>
        <c:majorGridlines>
          <c:spPr>
            <a:ln w="3175">
              <a:prstDash val="sysDot"/>
            </a:ln>
          </c:spPr>
        </c:majorGridlines>
        <c:numFmt formatCode="#,##0.00" sourceLinked="1"/>
        <c:majorTickMark val="out"/>
        <c:minorTickMark val="none"/>
        <c:tickLblPos val="nextTo"/>
        <c:crossAx val="616884096"/>
        <c:crosses val="autoZero"/>
        <c:crossBetween val="between"/>
      </c:valAx>
    </c:plotArea>
    <c:plotVisOnly val="0"/>
    <c:dispBlanksAs val="gap"/>
    <c:showDLblsOverMax val="0"/>
  </c:chart>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over 12m'!$A$76</c:f>
          <c:strCache>
            <c:ptCount val="1"/>
            <c:pt idx="0">
              <c:v>Top 5 landed species by volume in 2017
Pots and traps over 12m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'Pots and traps over 12m'!$B$77:$B$82</c:f>
              <c:strCache>
                <c:ptCount val="6"/>
                <c:pt idx="0">
                  <c:v>Brown Crab - 69.5%</c:v>
                </c:pt>
                <c:pt idx="1">
                  <c:v>Whelks - 27.3%</c:v>
                </c:pt>
                <c:pt idx="2">
                  <c:v>Lobsters - 2.1%</c:v>
                </c:pt>
                <c:pt idx="3">
                  <c:v>Nephrops - 0.4%</c:v>
                </c:pt>
                <c:pt idx="4">
                  <c:v>Scallops - 0.3%</c:v>
                </c:pt>
                <c:pt idx="5">
                  <c:v>Others - 0.3%</c:v>
                </c:pt>
              </c:strCache>
            </c:strRef>
          </c:cat>
          <c:val>
            <c:numRef>
              <c:f>'Pots and traps over 12m'!$C$77:$C$82</c:f>
              <c:numCache>
                <c:formatCode>0.0%</c:formatCode>
                <c:ptCount val="6"/>
                <c:pt idx="0">
                  <c:v>0.69523757388414853</c:v>
                </c:pt>
                <c:pt idx="1">
                  <c:v>0.2727536635778815</c:v>
                </c:pt>
                <c:pt idx="2">
                  <c:v>2.133507479375317E-2</c:v>
                </c:pt>
                <c:pt idx="3">
                  <c:v>4.3789183254411401E-3</c:v>
                </c:pt>
                <c:pt idx="4">
                  <c:v>2.9973485720549862E-3</c:v>
                </c:pt>
                <c:pt idx="5">
                  <c:v>3.2974208467205779E-3</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'Pots and traps over 12m'!$F$76</c:f>
          <c:strCache>
            <c:ptCount val="1"/>
            <c:pt idx="0">
              <c:v>Top 5 landed species by value in 2017
Pots and traps over 12m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'Pots and traps over 12m'!$G$77:$G$82</c:f>
              <c:strCache>
                <c:ptCount val="6"/>
                <c:pt idx="0">
                  <c:v>Brown Crab - 65.6%</c:v>
                </c:pt>
                <c:pt idx="1">
                  <c:v>Whelks - 16.5%</c:v>
                </c:pt>
                <c:pt idx="2">
                  <c:v>Lobsters - 15.5%</c:v>
                </c:pt>
                <c:pt idx="3">
                  <c:v>Nephrops - 1.7%</c:v>
                </c:pt>
                <c:pt idx="4">
                  <c:v>Scallops - 0.3%</c:v>
                </c:pt>
                <c:pt idx="5">
                  <c:v>Others - 0.4%</c:v>
                </c:pt>
              </c:strCache>
            </c:strRef>
          </c:cat>
          <c:val>
            <c:numRef>
              <c:f>'Pots and traps over 12m'!$H$77:$H$82</c:f>
              <c:numCache>
                <c:formatCode>0.0%</c:formatCode>
                <c:ptCount val="6"/>
                <c:pt idx="0">
                  <c:v>0.65620434401264849</c:v>
                </c:pt>
                <c:pt idx="1">
                  <c:v>0.16459154176276219</c:v>
                </c:pt>
                <c:pt idx="2">
                  <c:v>0.15482540535012129</c:v>
                </c:pt>
                <c:pt idx="3">
                  <c:v>1.7162182220602736E-2</c:v>
                </c:pt>
                <c:pt idx="4">
                  <c:v>3.4432314881145559E-3</c:v>
                </c:pt>
                <c:pt idx="5">
                  <c:v>3.7732951657507563E-3</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'Pots and traps over 12m'!$C$92</c:f>
              <c:strCache>
                <c:ptCount val="1"/>
                <c:pt idx="0">
                  <c:v>Brown Crab</c:v>
                </c:pt>
              </c:strCache>
            </c:strRef>
          </c:tx>
          <c:spPr>
            <a:solidFill>
              <a:srgbClr val="2273B9"/>
            </a:solidFill>
            <a:ln>
              <a:solidFill>
                <a:srgbClr val="FFFFFF"/>
              </a:solidFill>
            </a:ln>
          </c:spPr>
          <c:invertIfNegative val="0"/>
          <c:cat>
            <c:numRef>
              <c:f>'Pots and traps over 12m'!$D$91:$M$91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'Pots and traps over 12m'!$D$92:$M$92</c:f>
              <c:numCache>
                <c:formatCode>0%</c:formatCode>
                <c:ptCount val="10"/>
                <c:pt idx="0">
                  <c:v>0.63679382987949118</c:v>
                </c:pt>
                <c:pt idx="1">
                  <c:v>0.64114731156542981</c:v>
                </c:pt>
                <c:pt idx="2">
                  <c:v>0.69225711783258248</c:v>
                </c:pt>
                <c:pt idx="3">
                  <c:v>0.67486559742674879</c:v>
                </c:pt>
                <c:pt idx="4">
                  <c:v>0.67918896346830626</c:v>
                </c:pt>
                <c:pt idx="5">
                  <c:v>0.69110500848740464</c:v>
                </c:pt>
                <c:pt idx="6">
                  <c:v>0.65413165043225752</c:v>
                </c:pt>
                <c:pt idx="7">
                  <c:v>0.65885088969926464</c:v>
                </c:pt>
                <c:pt idx="8">
                  <c:v>0.65620434401264849</c:v>
                </c:pt>
                <c:pt idx="9">
                  <c:v>0.72073284476915656</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'Pots and traps over 12m'!$C$93</c:f>
              <c:strCache>
                <c:ptCount val="1"/>
                <c:pt idx="0">
                  <c:v>Whelks</c:v>
                </c:pt>
              </c:strCache>
            </c:strRef>
          </c:tx>
          <c:spPr>
            <a:solidFill>
              <a:srgbClr val="E87308"/>
            </a:solidFill>
            <a:ln>
              <a:solidFill>
                <a:srgbClr val="FFFFFF"/>
              </a:solidFill>
            </a:ln>
          </c:spPr>
          <c:invertIfNegative val="0"/>
          <c:cat>
            <c:numRef>
              <c:f>'Pots and traps over 12m'!$D$91:$M$91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'Pots and traps over 12m'!$D$93:$M$93</c:f>
              <c:numCache>
                <c:formatCode>0%</c:formatCode>
                <c:ptCount val="10"/>
                <c:pt idx="0">
                  <c:v>0.10837123748984767</c:v>
                </c:pt>
                <c:pt idx="1">
                  <c:v>0.114939979162288</c:v>
                </c:pt>
                <c:pt idx="2">
                  <c:v>9.5295333486732026E-2</c:v>
                </c:pt>
                <c:pt idx="3">
                  <c:v>0.10853852783950846</c:v>
                </c:pt>
                <c:pt idx="4">
                  <c:v>0.10549430572290004</c:v>
                </c:pt>
                <c:pt idx="5">
                  <c:v>0.12372497772393211</c:v>
                </c:pt>
                <c:pt idx="6">
                  <c:v>0.14778877413796834</c:v>
                </c:pt>
                <c:pt idx="7">
                  <c:v>0.15533268499115252</c:v>
                </c:pt>
                <c:pt idx="8">
                  <c:v>0.16459154176276219</c:v>
                </c:pt>
                <c:pt idx="9">
                  <c:v>0.15741634421236511</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'Pots and traps over 12m'!$C$94</c:f>
              <c:strCache>
                <c:ptCount val="1"/>
                <c:pt idx="0">
                  <c:v>Lobsters</c:v>
                </c:pt>
              </c:strCache>
            </c:strRef>
          </c:tx>
          <c:spPr>
            <a:solidFill>
              <a:srgbClr val="648C2E"/>
            </a:solidFill>
            <a:ln>
              <a:solidFill>
                <a:srgbClr val="FFFFFF"/>
              </a:solidFill>
            </a:ln>
          </c:spPr>
          <c:invertIfNegative val="0"/>
          <c:cat>
            <c:numRef>
              <c:f>'Pots and traps over 12m'!$D$91:$M$91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'Pots and traps over 12m'!$D$94:$M$94</c:f>
              <c:numCache>
                <c:formatCode>0%</c:formatCode>
                <c:ptCount val="10"/>
                <c:pt idx="0">
                  <c:v>0.19850220648586245</c:v>
                </c:pt>
                <c:pt idx="1">
                  <c:v>0.18479515273383387</c:v>
                </c:pt>
                <c:pt idx="2">
                  <c:v>0.16782130296555955</c:v>
                </c:pt>
                <c:pt idx="3">
                  <c:v>0.1639772613622261</c:v>
                </c:pt>
                <c:pt idx="4">
                  <c:v>0.15884565042170812</c:v>
                </c:pt>
                <c:pt idx="5">
                  <c:v>0.151889199789952</c:v>
                </c:pt>
                <c:pt idx="6">
                  <c:v>0.16861370937041739</c:v>
                </c:pt>
                <c:pt idx="7">
                  <c:v>0.1602214383725768</c:v>
                </c:pt>
                <c:pt idx="8">
                  <c:v>0.15482540535012129</c:v>
                </c:pt>
                <c:pt idx="9">
                  <c:v>0.10862037619456574</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'Pots and traps over 12m'!$C$95</c:f>
              <c:strCache>
                <c:ptCount val="1"/>
                <c:pt idx="0">
                  <c:v>Nephrops</c:v>
                </c:pt>
              </c:strCache>
            </c:strRef>
          </c:tx>
          <c:spPr>
            <a:solidFill>
              <a:srgbClr val="C1D119"/>
            </a:solidFill>
            <a:ln>
              <a:solidFill>
                <a:srgbClr val="FFFFFF"/>
              </a:solidFill>
            </a:ln>
          </c:spPr>
          <c:invertIfNegative val="0"/>
          <c:cat>
            <c:numRef>
              <c:f>'Pots and traps over 12m'!$D$91:$M$91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'Pots and traps over 12m'!$D$95:$M$95</c:f>
              <c:numCache>
                <c:formatCode>0%</c:formatCode>
                <c:ptCount val="10"/>
                <c:pt idx="0">
                  <c:v>2.707862184106823E-2</c:v>
                </c:pt>
                <c:pt idx="1">
                  <c:v>4.0176563261408366E-2</c:v>
                </c:pt>
                <c:pt idx="2">
                  <c:v>2.8314739674004309E-2</c:v>
                </c:pt>
                <c:pt idx="3">
                  <c:v>3.67946187894631E-2</c:v>
                </c:pt>
                <c:pt idx="4">
                  <c:v>4.2663779415131137E-2</c:v>
                </c:pt>
                <c:pt idx="5">
                  <c:v>2.5146485637423398E-2</c:v>
                </c:pt>
                <c:pt idx="6">
                  <c:v>2.0866568835280486E-2</c:v>
                </c:pt>
                <c:pt idx="7">
                  <c:v>1.9430120611925807E-2</c:v>
                </c:pt>
                <c:pt idx="8">
                  <c:v>1.7162182220602736E-2</c:v>
                </c:pt>
                <c:pt idx="9">
                  <c:v>8.8570910885621863E-3</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'Pots and traps over 12m'!$C$96</c:f>
              <c:strCache>
                <c:ptCount val="1"/>
                <c:pt idx="0">
                  <c:v>Scallops</c:v>
                </c:pt>
              </c:strCache>
            </c:strRef>
          </c:tx>
          <c:spPr>
            <a:solidFill>
              <a:srgbClr val="E84A38"/>
            </a:solidFill>
            <a:ln>
              <a:solidFill>
                <a:srgbClr val="FFFFFF"/>
              </a:solidFill>
            </a:ln>
          </c:spPr>
          <c:invertIfNegative val="0"/>
          <c:cat>
            <c:numRef>
              <c:f>'Pots and traps over 12m'!$D$91:$M$91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'Pots and traps over 12m'!$D$96:$M$96</c:f>
              <c:numCache>
                <c:formatCode>0%</c:formatCode>
                <c:ptCount val="10"/>
                <c:pt idx="6">
                  <c:v>3.9537384111871026E-3</c:v>
                </c:pt>
                <c:pt idx="7">
                  <c:v>2.069180715653009E-3</c:v>
                </c:pt>
                <c:pt idx="8">
                  <c:v>3.4432314881145559E-3</c:v>
                </c:pt>
                <c:pt idx="9">
                  <c:v>1.9952907433810566E-3</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'Pots and traps over 12m'!$C$97</c:f>
              <c:strCache>
                <c:ptCount val="1"/>
                <c:pt idx="0">
                  <c:v>Velvet Crab</c:v>
                </c:pt>
              </c:strCache>
            </c:strRef>
          </c:tx>
          <c:spPr>
            <a:solidFill>
              <a:srgbClr val="0F9AA9"/>
            </a:solidFill>
            <a:ln>
              <a:solidFill>
                <a:srgbClr val="FFFFFF"/>
              </a:solidFill>
            </a:ln>
          </c:spPr>
          <c:invertIfNegative val="0"/>
          <c:cat>
            <c:numRef>
              <c:f>'Pots and traps over 12m'!$D$91:$M$91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'Pots and traps over 12m'!$D$97:$M$97</c:f>
              <c:numCache>
                <c:formatCode>0%</c:formatCode>
                <c:ptCount val="10"/>
                <c:pt idx="0">
                  <c:v>1.1794118020844431E-2</c:v>
                </c:pt>
                <c:pt idx="1">
                  <c:v>7.2518766608382582E-3</c:v>
                </c:pt>
                <c:pt idx="2">
                  <c:v>5.3891594931420265E-3</c:v>
                </c:pt>
                <c:pt idx="3">
                  <c:v>3.7313923522522682E-3</c:v>
                </c:pt>
                <c:pt idx="5">
                  <c:v>3.1002370332188734E-3</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'Pots and traps over 12m'!$C$98</c:f>
              <c:strCache>
                <c:ptCount val="1"/>
                <c:pt idx="0">
                  <c:v>Pollack</c:v>
                </c:pt>
              </c:strCache>
            </c:strRef>
          </c:tx>
          <c:spPr>
            <a:solidFill>
              <a:srgbClr val="FED825"/>
            </a:solidFill>
            <a:ln>
              <a:solidFill>
                <a:srgbClr val="FFFFFF"/>
              </a:solidFill>
            </a:ln>
          </c:spPr>
          <c:invertIfNegative val="0"/>
          <c:cat>
            <c:numRef>
              <c:f>'Pots and traps over 12m'!$D$91:$M$91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'Pots and traps over 12m'!$D$98:$M$98</c:f>
              <c:numCache>
                <c:formatCode>0%</c:formatCode>
                <c:ptCount val="10"/>
                <c:pt idx="4">
                  <c:v>5.2590220467925572E-3</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'Pots and traps over 12m'!$C$99</c:f>
              <c:strCache>
                <c:ptCount val="1"/>
                <c:pt idx="0">
                  <c:v>Others</c:v>
                </c:pt>
              </c:strCache>
            </c:strRef>
          </c:tx>
          <c:spPr>
            <a:solidFill>
              <a:srgbClr val="55585A"/>
            </a:solidFill>
            <a:ln>
              <a:solidFill>
                <a:srgbClr val="FFFFFF"/>
              </a:solidFill>
            </a:ln>
          </c:spPr>
          <c:invertIfNegative val="0"/>
          <c:cat>
            <c:numRef>
              <c:f>'Pots and traps over 12m'!$D$91:$M$91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'Pots and traps over 12m'!$D$99:$M$99</c:f>
              <c:numCache>
                <c:formatCode>0%</c:formatCode>
                <c:ptCount val="10"/>
                <c:pt idx="0">
                  <c:v>1.7459986282886045E-2</c:v>
                </c:pt>
                <c:pt idx="1">
                  <c:v>1.1689116616201721E-2</c:v>
                </c:pt>
                <c:pt idx="2">
                  <c:v>1.0922346547979633E-2</c:v>
                </c:pt>
                <c:pt idx="3">
                  <c:v>1.2092602229801257E-2</c:v>
                </c:pt>
                <c:pt idx="4">
                  <c:v>8.5482789251619239E-3</c:v>
                </c:pt>
                <c:pt idx="5">
                  <c:v>5.0340913280689679E-3</c:v>
                </c:pt>
                <c:pt idx="6">
                  <c:v>4.6455588128891988E-3</c:v>
                </c:pt>
                <c:pt idx="7">
                  <c:v>4.0956856094272109E-3</c:v>
                </c:pt>
                <c:pt idx="8">
                  <c:v>3.7732951657506873E-3</c:v>
                </c:pt>
                <c:pt idx="9">
                  <c:v>2.3780529919693676E-3</c:v>
                </c:pt>
              </c:numCache>
            </c:numRef>
          </c:val>
          <c:extLst xmlns:c16r2="http://schemas.microsoft.com/office/drawing/2015/06/chart">
            <c:ext xmlns:c16="http://schemas.microsoft.com/office/drawing/2014/chart" uri="{C3380CC4-5D6E-409C-BE32-E72D297353CC}">
              <c16:uniqueId val="{00000007-282A-42F3-A8CE-7B6B063B5E4F}"/>
            </c:ext>
          </c:extLst>
        </c:ser>
        <c:dLbls>
          <c:showLegendKey val="0"/>
          <c:showVal val="0"/>
          <c:showCatName val="0"/>
          <c:showSerName val="0"/>
          <c:showPercent val="0"/>
          <c:showBubbleSize val="0"/>
        </c:dLbls>
        <c:gapWidth val="150"/>
        <c:overlap val="100"/>
        <c:axId val="947393664"/>
        <c:axId val="947395200"/>
      </c:barChart>
      <c:catAx>
        <c:axId val="947393664"/>
        <c:scaling>
          <c:orientation val="minMax"/>
        </c:scaling>
        <c:delete val="0"/>
        <c:axPos val="b"/>
        <c:numFmt formatCode="General" sourceLinked="1"/>
        <c:majorTickMark val="out"/>
        <c:minorTickMark val="none"/>
        <c:tickLblPos val="nextTo"/>
        <c:crossAx val="947395200"/>
        <c:crosses val="autoZero"/>
        <c:auto val="1"/>
        <c:lblAlgn val="ctr"/>
        <c:lblOffset val="100"/>
        <c:noMultiLvlLbl val="0"/>
      </c:catAx>
      <c:valAx>
        <c:axId val="947395200"/>
        <c:scaling>
          <c:orientation val="minMax"/>
          <c:max val="1"/>
          <c:min val="0"/>
        </c:scaling>
        <c:delete val="0"/>
        <c:axPos val="l"/>
        <c:majorGridlines/>
        <c:numFmt formatCode="0%" sourceLinked="1"/>
        <c:majorTickMark val="out"/>
        <c:minorTickMark val="none"/>
        <c:tickLblPos val="nextTo"/>
        <c:crossAx val="947393664"/>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'Pots and traps over 12m'!$B$162</c:f>
              <c:strCache>
                <c:ptCount val="1"/>
                <c:pt idx="0">
                  <c:v>Brown Crab</c:v>
                </c:pt>
              </c:strCache>
            </c:strRef>
          </c:tx>
          <c:spPr>
            <a:solidFill>
              <a:srgbClr val="2273B9"/>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12m'!$C$162:$E$162</c:f>
              <c:numCache>
                <c:formatCode>0%</c:formatCode>
                <c:ptCount val="3"/>
                <c:pt idx="0">
                  <c:v>0.83763849517775646</c:v>
                </c:pt>
                <c:pt idx="1">
                  <c:v>0.623964088034755</c:v>
                </c:pt>
                <c:pt idx="2">
                  <c:v>0.57178217490160321</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'Pots and traps over 12m'!$B$163</c:f>
              <c:strCache>
                <c:ptCount val="1"/>
                <c:pt idx="0">
                  <c:v>Whelks</c:v>
                </c:pt>
              </c:strCache>
            </c:strRef>
          </c:tx>
          <c:spPr>
            <a:solidFill>
              <a:srgbClr val="E87308"/>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12m'!$C$163:$E$163</c:f>
              <c:numCache>
                <c:formatCode>0%</c:formatCode>
                <c:ptCount val="3"/>
                <c:pt idx="0">
                  <c:v>0.13618152130150313</c:v>
                </c:pt>
                <c:pt idx="1">
                  <c:v>0.34212018038541864</c:v>
                </c:pt>
                <c:pt idx="2">
                  <c:v>0.30758521829573426</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'Pots and traps over 12m'!$B$164</c:f>
              <c:strCache>
                <c:ptCount val="1"/>
                <c:pt idx="0">
                  <c:v>Lobsters</c:v>
                </c:pt>
              </c:strCache>
            </c:strRef>
          </c:tx>
          <c:spPr>
            <a:solidFill>
              <a:srgbClr val="648C2E"/>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12m'!$C$164:$E$164</c:f>
              <c:numCache>
                <c:formatCode>0%</c:formatCode>
                <c:ptCount val="3"/>
                <c:pt idx="0">
                  <c:v>2.4839083809152802E-2</c:v>
                </c:pt>
                <c:pt idx="1">
                  <c:v>2.1011459642372391E-2</c:v>
                </c:pt>
                <c:pt idx="2">
                  <c:v>3.9209869266330577E-2</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'Pots and traps over 12m'!$B$165</c:f>
              <c:strCache>
                <c:ptCount val="1"/>
                <c:pt idx="0">
                  <c:v>Nephrops</c:v>
                </c:pt>
              </c:strCache>
            </c:strRef>
          </c:tx>
          <c:spPr>
            <a:solidFill>
              <a:srgbClr val="C1D119"/>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12m'!$C$165:$E$165</c:f>
              <c:numCache>
                <c:formatCode>0%</c:formatCode>
                <c:ptCount val="3"/>
                <c:pt idx="0">
                  <c:v>0</c:v>
                </c:pt>
                <c:pt idx="1">
                  <c:v>9.1040684585974151E-3</c:v>
                </c:pt>
                <c:pt idx="2">
                  <c:v>2.5983593121941258E-2</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'Pots and traps over 12m'!$B$166</c:f>
              <c:strCache>
                <c:ptCount val="1"/>
                <c:pt idx="0">
                  <c:v>Velvet Crab</c:v>
                </c:pt>
              </c:strCache>
            </c:strRef>
          </c:tx>
          <c:spPr>
            <a:solidFill>
              <a:srgbClr val="0F9AA9"/>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12m'!$C$166:$E$166</c:f>
              <c:numCache>
                <c:formatCode>0%</c:formatCode>
                <c:ptCount val="3"/>
                <c:pt idx="0">
                  <c:v>9.3752479896098051E-4</c:v>
                </c:pt>
                <c:pt idx="1">
                  <c:v>1.588258212081937E-3</c:v>
                </c:pt>
                <c:pt idx="2">
                  <c:v>0</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'Pots and traps over 12m'!$B$167</c:f>
              <c:strCache>
                <c:ptCount val="1"/>
                <c:pt idx="0">
                  <c:v>Scallops</c:v>
                </c:pt>
              </c:strCache>
            </c:strRef>
          </c:tx>
          <c:spPr>
            <a:solidFill>
              <a:srgbClr val="E84A38"/>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12m'!$C$167:$E$167</c:f>
              <c:numCache>
                <c:formatCode>0%</c:formatCode>
                <c:ptCount val="3"/>
                <c:pt idx="0">
                  <c:v>0</c:v>
                </c:pt>
                <c:pt idx="1">
                  <c:v>0</c:v>
                </c:pt>
                <c:pt idx="2">
                  <c:v>3.8732339273263472E-2</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'Pots and traps over 12m'!$B$168</c:f>
              <c:strCache>
                <c:ptCount val="1"/>
                <c:pt idx="0">
                  <c:v>Spider Crabs</c:v>
                </c:pt>
              </c:strCache>
            </c:strRef>
          </c:tx>
          <c:spPr>
            <a:solidFill>
              <a:srgbClr val="FED825"/>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12m'!$C$168:$E$168</c:f>
              <c:numCache>
                <c:formatCode>0%</c:formatCode>
                <c:ptCount val="3"/>
                <c:pt idx="0">
                  <c:v>4.0335427483722202E-4</c:v>
                </c:pt>
                <c:pt idx="1">
                  <c:v>0</c:v>
                </c:pt>
                <c:pt idx="2">
                  <c:v>0</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'Pots and traps over 12m'!$B$169</c:f>
              <c:strCache>
                <c:ptCount val="1"/>
                <c:pt idx="0">
                  <c:v>Others</c:v>
                </c:pt>
              </c:strCache>
            </c:strRef>
          </c:tx>
          <c:spPr>
            <a:solidFill>
              <a:srgbClr val="55585A"/>
            </a:solidFill>
            <a:ln>
              <a:solidFill>
                <a:srgbClr val="FFFFFF"/>
              </a:solidFill>
            </a:ln>
          </c:spPr>
          <c:invertIfNegative val="0"/>
          <c:cat>
            <c:strRef>
              <c:f>'Pots and traps over 12m'!$C$161:$E$161</c:f>
              <c:strCache>
                <c:ptCount val="3"/>
                <c:pt idx="0">
                  <c:v>Most
profitable
quartile</c:v>
                </c:pt>
                <c:pt idx="1">
                  <c:v>Middle 
two quartiles</c:v>
                </c:pt>
                <c:pt idx="2">
                  <c:v>Least
profitable
quartile</c:v>
                </c:pt>
              </c:strCache>
            </c:strRef>
          </c:cat>
          <c:val>
            <c:numRef>
              <c:f>'Pots and traps over 12m'!$C$169:$E$169</c:f>
              <c:numCache>
                <c:formatCode>0%</c:formatCode>
                <c:ptCount val="3"/>
                <c:pt idx="0">
                  <c:v>2.0637789366340087E-8</c:v>
                </c:pt>
                <c:pt idx="1">
                  <c:v>2.2119452667745954E-3</c:v>
                </c:pt>
                <c:pt idx="2">
                  <c:v>1.6706805141127212E-2</c:v>
                </c:pt>
              </c:numCache>
            </c:numRef>
          </c:val>
          <c:extLst xmlns:c16r2="http://schemas.microsoft.com/office/drawing/2015/06/chart">
            <c:ext xmlns:c16="http://schemas.microsoft.com/office/drawing/2014/chart" uri="{C3380CC4-5D6E-409C-BE32-E72D297353CC}">
              <c16:uniqueId val="{00000007-DFDD-4C01-8393-1BE532AE55F9}"/>
            </c:ext>
          </c:extLst>
        </c:ser>
        <c:dLbls>
          <c:showLegendKey val="0"/>
          <c:showVal val="0"/>
          <c:showCatName val="0"/>
          <c:showSerName val="0"/>
          <c:showPercent val="0"/>
          <c:showBubbleSize val="0"/>
        </c:dLbls>
        <c:gapWidth val="150"/>
        <c:overlap val="100"/>
        <c:axId val="947458048"/>
        <c:axId val="947459584"/>
      </c:barChart>
      <c:catAx>
        <c:axId val="947458048"/>
        <c:scaling>
          <c:orientation val="minMax"/>
        </c:scaling>
        <c:delete val="0"/>
        <c:axPos val="b"/>
        <c:numFmt formatCode="General" sourceLinked="0"/>
        <c:majorTickMark val="out"/>
        <c:minorTickMark val="none"/>
        <c:tickLblPos val="nextTo"/>
        <c:crossAx val="947459584"/>
        <c:crosses val="autoZero"/>
        <c:auto val="1"/>
        <c:lblAlgn val="ctr"/>
        <c:lblOffset val="100"/>
        <c:noMultiLvlLbl val="0"/>
      </c:catAx>
      <c:valAx>
        <c:axId val="947459584"/>
        <c:scaling>
          <c:orientation val="minMax"/>
          <c:max val="1"/>
          <c:min val="0"/>
        </c:scaling>
        <c:delete val="0"/>
        <c:axPos val="l"/>
        <c:majorGridlines/>
        <c:minorGridlines/>
        <c:numFmt formatCode="0%" sourceLinked="1"/>
        <c:majorTickMark val="out"/>
        <c:minorTickMark val="none"/>
        <c:tickLblPos val="nextTo"/>
        <c:crossAx val="94745804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'Pots and traps over 12m'!$H$162</c:f>
              <c:strCache>
                <c:ptCount val="1"/>
                <c:pt idx="0">
                  <c:v>Brown Crab</c:v>
                </c:pt>
              </c:strCache>
            </c:strRef>
          </c:tx>
          <c:spPr>
            <a:solidFill>
              <a:srgbClr val="2273B9"/>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12m'!$I$162:$K$162</c:f>
              <c:numCache>
                <c:formatCode>0%</c:formatCode>
                <c:ptCount val="3"/>
                <c:pt idx="0">
                  <c:v>0.74846335104600337</c:v>
                </c:pt>
                <c:pt idx="1">
                  <c:v>0.61608099620005863</c:v>
                </c:pt>
                <c:pt idx="2">
                  <c:v>0.43472054599759619</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'Pots and traps over 12m'!$H$163</c:f>
              <c:strCache>
                <c:ptCount val="1"/>
                <c:pt idx="0">
                  <c:v>Whelks</c:v>
                </c:pt>
              </c:strCache>
            </c:strRef>
          </c:tx>
          <c:spPr>
            <a:solidFill>
              <a:srgbClr val="E87308"/>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12m'!$I$163:$K$163</c:f>
              <c:numCache>
                <c:formatCode>0%</c:formatCode>
                <c:ptCount val="3"/>
                <c:pt idx="0">
                  <c:v>7.987576046890385E-2</c:v>
                </c:pt>
                <c:pt idx="1">
                  <c:v>0.24083250148706489</c:v>
                </c:pt>
                <c:pt idx="2">
                  <c:v>0.15406924941553224</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'Pots and traps over 12m'!$H$164</c:f>
              <c:strCache>
                <c:ptCount val="1"/>
                <c:pt idx="0">
                  <c:v>Lobsters</c:v>
                </c:pt>
              </c:strCache>
            </c:strRef>
          </c:tx>
          <c:spPr>
            <a:solidFill>
              <a:srgbClr val="648C2E"/>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12m'!$I$164:$K$164</c:f>
              <c:numCache>
                <c:formatCode>0%</c:formatCode>
                <c:ptCount val="3"/>
                <c:pt idx="0">
                  <c:v>0.17069510169117483</c:v>
                </c:pt>
                <c:pt idx="1">
                  <c:v>0.12494822203873647</c:v>
                </c:pt>
                <c:pt idx="2">
                  <c:v>0.24200603235750801</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'Pots and traps over 12m'!$H$165</c:f>
              <c:strCache>
                <c:ptCount val="1"/>
                <c:pt idx="0">
                  <c:v>Nephrops</c:v>
                </c:pt>
              </c:strCache>
            </c:strRef>
          </c:tx>
          <c:spPr>
            <a:solidFill>
              <a:srgbClr val="C1D119"/>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12m'!$I$165:$K$165</c:f>
              <c:numCache>
                <c:formatCode>0%</c:formatCode>
                <c:ptCount val="3"/>
                <c:pt idx="0">
                  <c:v>0</c:v>
                </c:pt>
                <c:pt idx="1">
                  <c:v>1.4771087231106553E-2</c:v>
                </c:pt>
                <c:pt idx="2">
                  <c:v>0.11223324150208761</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'Pots and traps over 12m'!$H$166</c:f>
              <c:strCache>
                <c:ptCount val="1"/>
                <c:pt idx="0">
                  <c:v>Velvet Crab</c:v>
                </c:pt>
              </c:strCache>
            </c:strRef>
          </c:tx>
          <c:spPr>
            <a:solidFill>
              <a:srgbClr val="0F9AA9"/>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12m'!$I$166:$K$166</c:f>
              <c:numCache>
                <c:formatCode>0%</c:formatCode>
                <c:ptCount val="3"/>
                <c:pt idx="0">
                  <c:v>7.3260454207158855E-4</c:v>
                </c:pt>
                <c:pt idx="1">
                  <c:v>1.9983048433372809E-3</c:v>
                </c:pt>
                <c:pt idx="2">
                  <c:v>0</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'Pots and traps over 12m'!$H$167</c:f>
              <c:strCache>
                <c:ptCount val="1"/>
                <c:pt idx="0">
                  <c:v>Scallops</c:v>
                </c:pt>
              </c:strCache>
            </c:strRef>
          </c:tx>
          <c:spPr>
            <a:solidFill>
              <a:srgbClr val="E84A38"/>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12m'!$I$167:$K$167</c:f>
              <c:numCache>
                <c:formatCode>0%</c:formatCode>
                <c:ptCount val="3"/>
                <c:pt idx="0">
                  <c:v>0</c:v>
                </c:pt>
                <c:pt idx="1">
                  <c:v>0</c:v>
                </c:pt>
                <c:pt idx="2">
                  <c:v>3.8670402414285571E-2</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'Pots and traps over 12m'!$H$168</c:f>
              <c:strCache>
                <c:ptCount val="1"/>
                <c:pt idx="0">
                  <c:v>Spider Crabs</c:v>
                </c:pt>
              </c:strCache>
            </c:strRef>
          </c:tx>
          <c:spPr>
            <a:solidFill>
              <a:srgbClr val="FED825"/>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12m'!$I$168:$K$168</c:f>
              <c:numCache>
                <c:formatCode>0%</c:formatCode>
                <c:ptCount val="3"/>
                <c:pt idx="0">
                  <c:v>2.3315029590474404E-4</c:v>
                </c:pt>
                <c:pt idx="1">
                  <c:v>0</c:v>
                </c:pt>
                <c:pt idx="2">
                  <c:v>0</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'Pots and traps over 12m'!$H$169</c:f>
              <c:strCache>
                <c:ptCount val="1"/>
                <c:pt idx="0">
                  <c:v>Others</c:v>
                </c:pt>
              </c:strCache>
            </c:strRef>
          </c:tx>
          <c:spPr>
            <a:solidFill>
              <a:srgbClr val="55585A"/>
            </a:solidFill>
            <a:ln>
              <a:solidFill>
                <a:srgbClr val="FFFFFF"/>
              </a:solidFill>
            </a:ln>
          </c:spPr>
          <c:invertIfNegative val="0"/>
          <c:cat>
            <c:strRef>
              <c:f>'Pots and traps over 12m'!$I$161:$K$161</c:f>
              <c:strCache>
                <c:ptCount val="3"/>
                <c:pt idx="0">
                  <c:v>Most
profitable
quartile</c:v>
                </c:pt>
                <c:pt idx="1">
                  <c:v>Middle 
two quartiles</c:v>
                </c:pt>
                <c:pt idx="2">
                  <c:v>Least
profitable
quartile</c:v>
                </c:pt>
              </c:strCache>
            </c:strRef>
          </c:cat>
          <c:val>
            <c:numRef>
              <c:f>'Pots and traps over 12m'!$I$169:$K$169</c:f>
              <c:numCache>
                <c:formatCode>0%</c:formatCode>
                <c:ptCount val="3"/>
                <c:pt idx="0">
                  <c:v>3.1955941559580481E-8</c:v>
                </c:pt>
                <c:pt idx="1">
                  <c:v>1.368888199696161E-3</c:v>
                </c:pt>
                <c:pt idx="2">
                  <c:v>1.8300528312990449E-2</c:v>
                </c:pt>
              </c:numCache>
            </c:numRef>
          </c:val>
          <c:extLst xmlns:c16r2="http://schemas.microsoft.com/office/drawing/2015/06/chart">
            <c:ext xmlns:c16="http://schemas.microsoft.com/office/drawing/2014/chart" uri="{C3380CC4-5D6E-409C-BE32-E72D297353CC}">
              <c16:uniqueId val="{00000007-DC58-4725-8A67-0BDC09FD93CD}"/>
            </c:ext>
          </c:extLst>
        </c:ser>
        <c:dLbls>
          <c:showLegendKey val="0"/>
          <c:showVal val="0"/>
          <c:showCatName val="0"/>
          <c:showSerName val="0"/>
          <c:showPercent val="0"/>
          <c:showBubbleSize val="0"/>
        </c:dLbls>
        <c:gapWidth val="150"/>
        <c:overlap val="100"/>
        <c:axId val="947595520"/>
        <c:axId val="947605504"/>
      </c:barChart>
      <c:catAx>
        <c:axId val="947595520"/>
        <c:scaling>
          <c:orientation val="minMax"/>
        </c:scaling>
        <c:delete val="0"/>
        <c:axPos val="b"/>
        <c:numFmt formatCode="General" sourceLinked="0"/>
        <c:majorTickMark val="out"/>
        <c:minorTickMark val="none"/>
        <c:tickLblPos val="nextTo"/>
        <c:crossAx val="947605504"/>
        <c:crosses val="autoZero"/>
        <c:auto val="1"/>
        <c:lblAlgn val="ctr"/>
        <c:lblOffset val="100"/>
        <c:noMultiLvlLbl val="0"/>
      </c:catAx>
      <c:valAx>
        <c:axId val="947605504"/>
        <c:scaling>
          <c:orientation val="minMax"/>
          <c:max val="1"/>
          <c:min val="0"/>
        </c:scaling>
        <c:delete val="0"/>
        <c:axPos val="l"/>
        <c:majorGridlines/>
        <c:minorGridlines/>
        <c:numFmt formatCode="0%" sourceLinked="1"/>
        <c:majorTickMark val="out"/>
        <c:minorTickMark val="none"/>
        <c:tickLblPos val="nextTo"/>
        <c:crossAx val="947595520"/>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'Pots and traps over 12m'!$K$143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'Pots and traps over 12m'!$K$139</c:f>
              <c:strCache>
                <c:ptCount val="1"/>
                <c:pt idx="0">
                  <c:v>Total income</c:v>
                </c:pt>
              </c:strCache>
            </c:strRef>
          </c:tx>
          <c:spPr>
            <a:solidFill>
              <a:schemeClr val="accent1"/>
            </a:solidFill>
            <a:ln>
              <a:solidFill>
                <a:schemeClr val="accent1"/>
              </a:solidFill>
            </a:ln>
          </c:spPr>
          <c:invertIfNegative val="0"/>
          <c:cat>
            <c:strRef>
              <c:f>'Pots and traps over 12m'!$L$138:$N$138</c:f>
              <c:strCache>
                <c:ptCount val="3"/>
                <c:pt idx="0">
                  <c:v>Most
profitable
quartile</c:v>
                </c:pt>
                <c:pt idx="1">
                  <c:v>Middle
two quartiles</c:v>
                </c:pt>
                <c:pt idx="2">
                  <c:v>Least
profitable
quartile</c:v>
                </c:pt>
              </c:strCache>
            </c:strRef>
          </c:cat>
          <c:val>
            <c:numRef>
              <c:f>'Pots and traps over 12m'!$L$139:$N$139</c:f>
              <c:numCache>
                <c:formatCode>#,##0</c:formatCode>
                <c:ptCount val="3"/>
                <c:pt idx="0">
                  <c:v>963.13587500000006</c:v>
                </c:pt>
                <c:pt idx="1">
                  <c:v>549.35806249999996</c:v>
                </c:pt>
                <c:pt idx="2">
                  <c:v>201.53289062499999</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'Pots and traps over 12m'!$K$140</c:f>
              <c:strCache>
                <c:ptCount val="1"/>
                <c:pt idx="0">
                  <c:v>Operating costs</c:v>
                </c:pt>
              </c:strCache>
            </c:strRef>
          </c:tx>
          <c:spPr>
            <a:solidFill>
              <a:schemeClr val="accent3"/>
            </a:solidFill>
          </c:spPr>
          <c:invertIfNegative val="0"/>
          <c:cat>
            <c:strRef>
              <c:f>'Pots and traps over 12m'!$L$138:$N$138</c:f>
              <c:strCache>
                <c:ptCount val="3"/>
                <c:pt idx="0">
                  <c:v>Most
profitable
quartile</c:v>
                </c:pt>
                <c:pt idx="1">
                  <c:v>Middle
two quartiles</c:v>
                </c:pt>
                <c:pt idx="2">
                  <c:v>Least
profitable
quartile</c:v>
                </c:pt>
              </c:strCache>
            </c:strRef>
          </c:cat>
          <c:val>
            <c:numRef>
              <c:f>'Pots and traps over 12m'!$L$140:$N$140</c:f>
              <c:numCache>
                <c:formatCode>#,##0</c:formatCode>
                <c:ptCount val="3"/>
                <c:pt idx="0">
                  <c:v>685.86268749999999</c:v>
                </c:pt>
                <c:pt idx="1">
                  <c:v>412.895078125</c:v>
                </c:pt>
                <c:pt idx="2">
                  <c:v>171.63878124999999</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'Pots and traps over 12m'!$K$141</c:f>
              <c:strCache>
                <c:ptCount val="1"/>
                <c:pt idx="0">
                  <c:v>Operating profit</c:v>
                </c:pt>
              </c:strCache>
            </c:strRef>
          </c:tx>
          <c:spPr>
            <a:solidFill>
              <a:schemeClr val="accent2"/>
            </a:solidFill>
          </c:spPr>
          <c:invertIfNegative val="0"/>
          <c:cat>
            <c:strRef>
              <c:f>'Pots and traps over 12m'!$L$138:$N$138</c:f>
              <c:strCache>
                <c:ptCount val="3"/>
                <c:pt idx="0">
                  <c:v>Most
profitable
quartile</c:v>
                </c:pt>
                <c:pt idx="1">
                  <c:v>Middle
two quartiles</c:v>
                </c:pt>
                <c:pt idx="2">
                  <c:v>Least
profitable
quartile</c:v>
                </c:pt>
              </c:strCache>
            </c:strRef>
          </c:cat>
          <c:val>
            <c:numRef>
              <c:f>'Pots and traps over 12m'!$L$141:$N$141</c:f>
              <c:numCache>
                <c:formatCode>#,##0</c:formatCode>
                <c:ptCount val="3"/>
                <c:pt idx="0">
                  <c:v>277.27318750000001</c:v>
                </c:pt>
                <c:pt idx="1">
                  <c:v>136.46298437499999</c:v>
                </c:pt>
                <c:pt idx="2">
                  <c:v>29.894109374999999</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947624576"/>
        <c:axId val="947638656"/>
      </c:barChart>
      <c:catAx>
        <c:axId val="947624576"/>
        <c:scaling>
          <c:orientation val="minMax"/>
        </c:scaling>
        <c:delete val="0"/>
        <c:axPos val="b"/>
        <c:numFmt formatCode="General" sourceLinked="0"/>
        <c:majorTickMark val="out"/>
        <c:minorTickMark val="none"/>
        <c:tickLblPos val="nextTo"/>
        <c:crossAx val="947638656"/>
        <c:crosses val="autoZero"/>
        <c:auto val="1"/>
        <c:lblAlgn val="ctr"/>
        <c:lblOffset val="100"/>
        <c:noMultiLvlLbl val="0"/>
      </c:catAx>
      <c:valAx>
        <c:axId val="947638656"/>
        <c:scaling>
          <c:orientation val="minMax"/>
        </c:scaling>
        <c:delete val="0"/>
        <c:axPos val="l"/>
        <c:majorGridlines/>
        <c:title>
          <c:tx>
            <c:strRef>
              <c:f>'Pots and traps over 12m'!$K$142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947624576"/>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o250kW'!$A$48</c:f>
          <c:strCache>
            <c:ptCount val="1"/>
            <c:pt idx="0">
              <c:v>Landings per kW day at sea (kg)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'South West beamers o250kW'!$D$2:$N$2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'South West beamers o250kW'!$D$21:$N$21</c:f>
              <c:numCache>
                <c:formatCode>#,##0.00</c:formatCode>
                <c:ptCount val="11"/>
                <c:pt idx="0">
                  <c:v>1.7150029874346744</c:v>
                </c:pt>
                <c:pt idx="1">
                  <c:v>1.6756410432724693</c:v>
                </c:pt>
                <c:pt idx="2">
                  <c:v>1.9447497800508939</c:v>
                </c:pt>
                <c:pt idx="3">
                  <c:v>2.0418818543647177</c:v>
                </c:pt>
                <c:pt idx="4">
                  <c:v>2.284056788630092</c:v>
                </c:pt>
                <c:pt idx="5">
                  <c:v>2.176908811754287</c:v>
                </c:pt>
                <c:pt idx="6">
                  <c:v>2.0186501234681971</c:v>
                </c:pt>
                <c:pt idx="7">
                  <c:v>2.2926983898693432</c:v>
                </c:pt>
                <c:pt idx="8">
                  <c:v>2.1799462159080503</c:v>
                </c:pt>
                <c:pt idx="9">
                  <c:v>2.1038285098917218</c:v>
                </c:pt>
                <c:pt idx="10">
                  <c:v>1.9853501444560031</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947007488"/>
        <c:axId val="947009024"/>
      </c:lineChart>
      <c:catAx>
        <c:axId val="947007488"/>
        <c:scaling>
          <c:orientation val="minMax"/>
        </c:scaling>
        <c:delete val="0"/>
        <c:axPos val="b"/>
        <c:numFmt formatCode="General" sourceLinked="1"/>
        <c:majorTickMark val="out"/>
        <c:minorTickMark val="none"/>
        <c:tickLblPos val="nextTo"/>
        <c:crossAx val="947009024"/>
        <c:crosses val="autoZero"/>
        <c:auto val="1"/>
        <c:lblAlgn val="ctr"/>
        <c:lblOffset val="100"/>
        <c:noMultiLvlLbl val="0"/>
      </c:catAx>
      <c:valAx>
        <c:axId val="947009024"/>
        <c:scaling>
          <c:orientation val="minMax"/>
        </c:scaling>
        <c:delete val="0"/>
        <c:axPos val="l"/>
        <c:majorGridlines>
          <c:spPr>
            <a:ln w="3175">
              <a:prstDash val="sysDot"/>
            </a:ln>
          </c:spPr>
        </c:majorGridlines>
        <c:numFmt formatCode="#,##0.00" sourceLinked="1"/>
        <c:majorTickMark val="out"/>
        <c:minorTickMark val="none"/>
        <c:tickLblPos val="nextTo"/>
        <c:crossAx val="947007488"/>
        <c:crosses val="autoZero"/>
        <c:crossBetween val="between"/>
      </c:valAx>
    </c:plotArea>
    <c:plotVisOnly val="0"/>
    <c:dispBlanksAs val="gap"/>
    <c:showDLblsOverMax val="0"/>
  </c:chart>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o250kW'!$A$49</c:f>
          <c:strCache>
            <c:ptCount val="1"/>
            <c:pt idx="0">
              <c:v>Fishing income per kW day at sea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'South West beamers o250kW'!$D$2:$N$2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'South West beamers o250kW'!$D$22:$N$22</c:f>
              <c:numCache>
                <c:formatCode>#,##0.00</c:formatCode>
                <c:ptCount val="11"/>
                <c:pt idx="0">
                  <c:v>4.95147154407905</c:v>
                </c:pt>
                <c:pt idx="1">
                  <c:v>4.80151968337589</c:v>
                </c:pt>
                <c:pt idx="2">
                  <c:v>5.6909502142888</c:v>
                </c:pt>
                <c:pt idx="3">
                  <c:v>6.4645348475827804</c:v>
                </c:pt>
                <c:pt idx="4">
                  <c:v>6.0921425621325804</c:v>
                </c:pt>
                <c:pt idx="5">
                  <c:v>5.7479105243957003</c:v>
                </c:pt>
                <c:pt idx="6">
                  <c:v>5.44134772187053</c:v>
                </c:pt>
                <c:pt idx="7">
                  <c:v>5.7900665405175404</c:v>
                </c:pt>
                <c:pt idx="8">
                  <c:v>6.6806627161163998</c:v>
                </c:pt>
                <c:pt idx="9">
                  <c:v>7.0978922647500804</c:v>
                </c:pt>
                <c:pt idx="10">
                  <c:v>7.0897714367529003</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947043328"/>
        <c:axId val="947049216"/>
      </c:lineChart>
      <c:catAx>
        <c:axId val="947043328"/>
        <c:scaling>
          <c:orientation val="minMax"/>
        </c:scaling>
        <c:delete val="0"/>
        <c:axPos val="b"/>
        <c:numFmt formatCode="General" sourceLinked="1"/>
        <c:majorTickMark val="out"/>
        <c:minorTickMark val="none"/>
        <c:tickLblPos val="nextTo"/>
        <c:crossAx val="947049216"/>
        <c:crosses val="autoZero"/>
        <c:auto val="1"/>
        <c:lblAlgn val="ctr"/>
        <c:lblOffset val="100"/>
        <c:noMultiLvlLbl val="0"/>
      </c:catAx>
      <c:valAx>
        <c:axId val="947049216"/>
        <c:scaling>
          <c:orientation val="minMax"/>
        </c:scaling>
        <c:delete val="0"/>
        <c:axPos val="l"/>
        <c:majorGridlines>
          <c:spPr>
            <a:ln w="3175">
              <a:prstDash val="sysDot"/>
            </a:ln>
          </c:spPr>
        </c:majorGridlines>
        <c:numFmt formatCode="#,##0.00" sourceLinked="1"/>
        <c:majorTickMark val="out"/>
        <c:minorTickMark val="none"/>
        <c:tickLblPos val="nextTo"/>
        <c:crossAx val="947043328"/>
        <c:crosses val="autoZero"/>
        <c:crossBetween val="between"/>
      </c:valAx>
    </c:plotArea>
    <c:plotVisOnly val="0"/>
    <c:dispBlanksAs val="gap"/>
    <c:showDLblsOverMax val="0"/>
  </c:chart>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o250kW'!$B$62</c:f>
          <c:strCache>
            <c:ptCount val="1"/>
            <c:pt idx="0">
              <c:v>Total cost per kW day at sea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'South West beamers o250kW'!$D$2:$N$2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'South West beamers o250kW'!$D$23:$N$23</c:f>
              <c:numCache>
                <c:formatCode>#,##0.00</c:formatCode>
                <c:ptCount val="11"/>
                <c:pt idx="0">
                  <c:v>5.0121023498276802</c:v>
                </c:pt>
                <c:pt idx="1">
                  <c:v>4.3875889890840103</c:v>
                </c:pt>
                <c:pt idx="2">
                  <c:v>5.0360705974245796</c:v>
                </c:pt>
                <c:pt idx="3">
                  <c:v>5.8385656667685799</c:v>
                </c:pt>
                <c:pt idx="4">
                  <c:v>6.0414622259100996</c:v>
                </c:pt>
                <c:pt idx="5">
                  <c:v>5.6665042067471099</c:v>
                </c:pt>
                <c:pt idx="6">
                  <c:v>5.42165848743808</c:v>
                </c:pt>
                <c:pt idx="7">
                  <c:v>6.7250756142244699</c:v>
                </c:pt>
                <c:pt idx="8">
                  <c:v>5.5785826173179203</c:v>
                </c:pt>
                <c:pt idx="9">
                  <c:v>5.94849979169331</c:v>
                </c:pt>
                <c:pt idx="10">
                  <c:v>6.1179677020032042</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947140864"/>
        <c:axId val="947150848"/>
      </c:lineChart>
      <c:catAx>
        <c:axId val="947140864"/>
        <c:scaling>
          <c:orientation val="minMax"/>
        </c:scaling>
        <c:delete val="0"/>
        <c:axPos val="b"/>
        <c:numFmt formatCode="General" sourceLinked="1"/>
        <c:majorTickMark val="out"/>
        <c:minorTickMark val="none"/>
        <c:tickLblPos val="nextTo"/>
        <c:crossAx val="947150848"/>
        <c:crosses val="autoZero"/>
        <c:auto val="1"/>
        <c:lblAlgn val="ctr"/>
        <c:lblOffset val="100"/>
        <c:noMultiLvlLbl val="0"/>
      </c:catAx>
      <c:valAx>
        <c:axId val="947150848"/>
        <c:scaling>
          <c:orientation val="minMax"/>
        </c:scaling>
        <c:delete val="0"/>
        <c:axPos val="l"/>
        <c:majorGridlines>
          <c:spPr>
            <a:ln w="3175">
              <a:prstDash val="sysDot"/>
            </a:ln>
          </c:spPr>
        </c:majorGridlines>
        <c:numFmt formatCode="#,##0.00" sourceLinked="1"/>
        <c:majorTickMark val="out"/>
        <c:minorTickMark val="none"/>
        <c:tickLblPos val="nextTo"/>
        <c:crossAx val="947140864"/>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o250kW'!$K$48</c:f>
          <c:strCache>
            <c:ptCount val="1"/>
            <c:pt idx="0">
              <c:v>Operating profit per kW day at sea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'South West beamers o250kW'!$D$2:$N$2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'South West beamers o250kW'!$D$24:$N$24</c:f>
              <c:numCache>
                <c:formatCode>#,##0.00</c:formatCode>
                <c:ptCount val="11"/>
                <c:pt idx="0">
                  <c:v>-2.6610109749031101E-2</c:v>
                </c:pt>
                <c:pt idx="1">
                  <c:v>0.41393069429188201</c:v>
                </c:pt>
                <c:pt idx="2">
                  <c:v>0.74456594123478703</c:v>
                </c:pt>
                <c:pt idx="3">
                  <c:v>0.73361113855229099</c:v>
                </c:pt>
                <c:pt idx="4">
                  <c:v>0.25780177274523802</c:v>
                </c:pt>
                <c:pt idx="5">
                  <c:v>0.101561963149816</c:v>
                </c:pt>
                <c:pt idx="6">
                  <c:v>0.456990842284974</c:v>
                </c:pt>
                <c:pt idx="7">
                  <c:v>0.54796953591359399</c:v>
                </c:pt>
                <c:pt idx="8">
                  <c:v>1.10208009879848</c:v>
                </c:pt>
                <c:pt idx="9">
                  <c:v>1.16164241467638</c:v>
                </c:pt>
                <c:pt idx="10">
                  <c:v>0.98403966121255892</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47172864"/>
        <c:axId val="947174400"/>
      </c:lineChart>
      <c:catAx>
        <c:axId val="947172864"/>
        <c:scaling>
          <c:orientation val="minMax"/>
        </c:scaling>
        <c:delete val="0"/>
        <c:axPos val="b"/>
        <c:numFmt formatCode="General" sourceLinked="1"/>
        <c:majorTickMark val="out"/>
        <c:minorTickMark val="none"/>
        <c:tickLblPos val="nextTo"/>
        <c:crossAx val="947174400"/>
        <c:crosses val="autoZero"/>
        <c:auto val="1"/>
        <c:lblAlgn val="ctr"/>
        <c:lblOffset val="100"/>
        <c:noMultiLvlLbl val="0"/>
      </c:catAx>
      <c:valAx>
        <c:axId val="947174400"/>
        <c:scaling>
          <c:orientation val="minMax"/>
        </c:scaling>
        <c:delete val="0"/>
        <c:axPos val="l"/>
        <c:majorGridlines>
          <c:spPr>
            <a:ln w="3175">
              <a:prstDash val="sysDot"/>
            </a:ln>
          </c:spPr>
        </c:majorGridlines>
        <c:numFmt formatCode="#,##0.00" sourceLinked="1"/>
        <c:majorTickMark val="out"/>
        <c:minorTickMark val="none"/>
        <c:tickLblPos val="nextTo"/>
        <c:crossAx val="947172864"/>
        <c:crosses val="autoZero"/>
        <c:crossBetween val="between"/>
      </c:valAx>
    </c:plotArea>
    <c:plotVisOnly val="0"/>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u250kW'!$A$49</c:f>
          <c:strCache>
            <c:ptCount val="1"/>
            <c:pt idx="0">
              <c:v>Fishing income per kW day at sea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'Area VIIa nephrops u250kW'!$D$2:$N$2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nephrops u250kW'!$D$22:$N$22</c:f>
              <c:numCache>
                <c:formatCode>#,##0.00</c:formatCode>
                <c:ptCount val="11"/>
                <c:pt idx="0">
                  <c:v>5.9525812560818698</c:v>
                </c:pt>
                <c:pt idx="1">
                  <c:v>4.7137849266128899</c:v>
                </c:pt>
                <c:pt idx="2">
                  <c:v>5.0499572816834899</c:v>
                </c:pt>
                <c:pt idx="3">
                  <c:v>7.3067629174269504</c:v>
                </c:pt>
                <c:pt idx="4">
                  <c:v>7.6897604744374197</c:v>
                </c:pt>
                <c:pt idx="5">
                  <c:v>6.1075381168963396</c:v>
                </c:pt>
                <c:pt idx="6">
                  <c:v>5.8991646843751404</c:v>
                </c:pt>
                <c:pt idx="7">
                  <c:v>6.8652971139851697</c:v>
                </c:pt>
                <c:pt idx="8">
                  <c:v>7.2063765901788797</c:v>
                </c:pt>
                <c:pt idx="9">
                  <c:v>7.3519962281159197</c:v>
                </c:pt>
                <c:pt idx="10">
                  <c:v>6.7456164589688523</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616785024"/>
        <c:axId val="616786560"/>
      </c:lineChart>
      <c:catAx>
        <c:axId val="616785024"/>
        <c:scaling>
          <c:orientation val="minMax"/>
        </c:scaling>
        <c:delete val="0"/>
        <c:axPos val="b"/>
        <c:numFmt formatCode="General" sourceLinked="1"/>
        <c:majorTickMark val="out"/>
        <c:minorTickMark val="none"/>
        <c:tickLblPos val="nextTo"/>
        <c:crossAx val="616786560"/>
        <c:crosses val="autoZero"/>
        <c:auto val="1"/>
        <c:lblAlgn val="ctr"/>
        <c:lblOffset val="100"/>
        <c:noMultiLvlLbl val="0"/>
      </c:catAx>
      <c:valAx>
        <c:axId val="616786560"/>
        <c:scaling>
          <c:orientation val="minMax"/>
        </c:scaling>
        <c:delete val="0"/>
        <c:axPos val="l"/>
        <c:majorGridlines>
          <c:spPr>
            <a:ln w="3175">
              <a:prstDash val="sysDot"/>
            </a:ln>
          </c:spPr>
        </c:majorGridlines>
        <c:numFmt formatCode="#,##0.00" sourceLinked="1"/>
        <c:majorTickMark val="out"/>
        <c:minorTickMark val="none"/>
        <c:tickLblPos val="nextTo"/>
        <c:crossAx val="616785024"/>
        <c:crosses val="autoZero"/>
        <c:crossBetween val="between"/>
      </c:valAx>
    </c:plotArea>
    <c:plotVisOnly val="0"/>
    <c:dispBlanksAs val="gap"/>
    <c:showDLblsOverMax val="0"/>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o250kW'!$A$50</c:f>
          <c:strCache>
            <c:ptCount val="1"/>
            <c:pt idx="0">
              <c:v>Average price per tonne landed (£)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'South West beamers o250kW'!$D$2:$N$2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'South West beamers o250kW'!$D$20:$N$20</c:f>
              <c:numCache>
                <c:formatCode>#,##0</c:formatCode>
                <c:ptCount val="11"/>
                <c:pt idx="0">
                  <c:v>2887</c:v>
                </c:pt>
                <c:pt idx="1">
                  <c:v>2865</c:v>
                </c:pt>
                <c:pt idx="2">
                  <c:v>2926</c:v>
                </c:pt>
                <c:pt idx="3">
                  <c:v>3166</c:v>
                </c:pt>
                <c:pt idx="4">
                  <c:v>2667</c:v>
                </c:pt>
                <c:pt idx="5">
                  <c:v>2640</c:v>
                </c:pt>
                <c:pt idx="6">
                  <c:v>2696</c:v>
                </c:pt>
                <c:pt idx="7">
                  <c:v>2525</c:v>
                </c:pt>
                <c:pt idx="8">
                  <c:v>3065</c:v>
                </c:pt>
                <c:pt idx="9">
                  <c:v>3374</c:v>
                </c:pt>
                <c:pt idx="10">
                  <c:v>3571</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48376320"/>
        <c:axId val="948377856"/>
      </c:lineChart>
      <c:catAx>
        <c:axId val="948376320"/>
        <c:scaling>
          <c:orientation val="minMax"/>
        </c:scaling>
        <c:delete val="0"/>
        <c:axPos val="b"/>
        <c:numFmt formatCode="General" sourceLinked="1"/>
        <c:majorTickMark val="out"/>
        <c:minorTickMark val="none"/>
        <c:tickLblPos val="nextTo"/>
        <c:crossAx val="948377856"/>
        <c:crosses val="autoZero"/>
        <c:auto val="1"/>
        <c:lblAlgn val="ctr"/>
        <c:lblOffset val="100"/>
        <c:noMultiLvlLbl val="0"/>
      </c:catAx>
      <c:valAx>
        <c:axId val="948377856"/>
        <c:scaling>
          <c:orientation val="minMax"/>
        </c:scaling>
        <c:delete val="0"/>
        <c:axPos val="l"/>
        <c:majorGridlines>
          <c:spPr>
            <a:ln w="3175">
              <a:prstDash val="sysDot"/>
            </a:ln>
          </c:spPr>
        </c:majorGridlines>
        <c:numFmt formatCode="#,##0" sourceLinked="1"/>
        <c:majorTickMark val="out"/>
        <c:minorTickMark val="none"/>
        <c:tickLblPos val="nextTo"/>
        <c:crossAx val="948376320"/>
        <c:crosses val="autoZero"/>
        <c:crossBetween val="between"/>
      </c:valAx>
    </c:plotArea>
    <c:plotVisOnly val="0"/>
    <c:dispBlanksAs val="gap"/>
    <c:showDLblsOverMax val="0"/>
  </c:chart>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o250kW'!$K$62</c:f>
          <c:strCache>
            <c:ptCount val="1"/>
            <c:pt idx="0">
              <c:v>Average annual operating profit per vessel (£'000)
South West beamers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'South West beamers o250kW'!$D$2:$N$2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'South West beamers o250kW'!$D$37:$N$37</c:f>
              <c:numCache>
                <c:formatCode>#,##0.0</c:formatCode>
                <c:ptCount val="11"/>
                <c:pt idx="0">
                  <c:v>-3.3</c:v>
                </c:pt>
                <c:pt idx="1">
                  <c:v>55.3</c:v>
                </c:pt>
                <c:pt idx="2">
                  <c:v>97.1</c:v>
                </c:pt>
                <c:pt idx="3">
                  <c:v>100.1</c:v>
                </c:pt>
                <c:pt idx="4">
                  <c:v>34.4</c:v>
                </c:pt>
                <c:pt idx="5">
                  <c:v>13.6</c:v>
                </c:pt>
                <c:pt idx="6">
                  <c:v>60.7</c:v>
                </c:pt>
                <c:pt idx="7">
                  <c:v>66.8</c:v>
                </c:pt>
                <c:pt idx="8">
                  <c:v>143</c:v>
                </c:pt>
                <c:pt idx="9">
                  <c:v>164.8</c:v>
                </c:pt>
                <c:pt idx="10">
                  <c:v>130.9</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48424704"/>
        <c:axId val="948426240"/>
      </c:lineChart>
      <c:catAx>
        <c:axId val="948424704"/>
        <c:scaling>
          <c:orientation val="minMax"/>
        </c:scaling>
        <c:delete val="0"/>
        <c:axPos val="b"/>
        <c:numFmt formatCode="General" sourceLinked="1"/>
        <c:majorTickMark val="out"/>
        <c:minorTickMark val="none"/>
        <c:tickLblPos val="nextTo"/>
        <c:crossAx val="948426240"/>
        <c:crosses val="autoZero"/>
        <c:auto val="1"/>
        <c:lblAlgn val="ctr"/>
        <c:lblOffset val="100"/>
        <c:noMultiLvlLbl val="0"/>
      </c:catAx>
      <c:valAx>
        <c:axId val="948426240"/>
        <c:scaling>
          <c:orientation val="minMax"/>
        </c:scaling>
        <c:delete val="0"/>
        <c:axPos val="l"/>
        <c:majorGridlines>
          <c:spPr>
            <a:ln w="3175">
              <a:prstDash val="sysDot"/>
            </a:ln>
          </c:spPr>
        </c:majorGridlines>
        <c:numFmt formatCode="#,##0.0" sourceLinked="1"/>
        <c:majorTickMark val="out"/>
        <c:minorTickMark val="none"/>
        <c:tickLblPos val="nextTo"/>
        <c:crossAx val="948424704"/>
        <c:crosses val="autoZero"/>
        <c:crossBetween val="between"/>
      </c:valAx>
    </c:plotArea>
    <c:plotVisOnly val="0"/>
    <c:dispBlanksAs val="gap"/>
    <c:showDLblsOverMax val="0"/>
  </c:chart>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o250kW'!$A$76</c:f>
          <c:strCache>
            <c:ptCount val="1"/>
            <c:pt idx="0">
              <c:v>Top 5 landed species by volume in 2017
South West beamers over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648C2E"/>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C1D119"/>
              </a:solidFill>
              <a:ln>
                <a:solidFill>
                  <a:srgbClr val="FFFFFF"/>
                </a:solidFill>
              </a:ln>
            </c:spPr>
          </c:dPt>
          <c:dPt>
            <c:idx val="3"/>
            <c:bubble3D val="0"/>
            <c:spPr>
              <a:solidFill>
                <a:srgbClr val="0F9AA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'South West beamers o250kW'!$B$77:$B$82</c:f>
              <c:strCache>
                <c:ptCount val="6"/>
                <c:pt idx="0">
                  <c:v>Cuttlefish - 31.3%</c:v>
                </c:pt>
                <c:pt idx="1">
                  <c:v>Anglerfish - 15.9%</c:v>
                </c:pt>
                <c:pt idx="2">
                  <c:v>Scallops - 9.0%</c:v>
                </c:pt>
                <c:pt idx="3">
                  <c:v>Plaice - 8.0%</c:v>
                </c:pt>
                <c:pt idx="4">
                  <c:v>Megrim - 7.0%</c:v>
                </c:pt>
                <c:pt idx="5">
                  <c:v>Others - 28.8%</c:v>
                </c:pt>
              </c:strCache>
            </c:strRef>
          </c:cat>
          <c:val>
            <c:numRef>
              <c:f>'South West beamers o250kW'!$C$77:$C$82</c:f>
              <c:numCache>
                <c:formatCode>0.0%</c:formatCode>
                <c:ptCount val="6"/>
                <c:pt idx="0">
                  <c:v>0.31255095939897387</c:v>
                </c:pt>
                <c:pt idx="1">
                  <c:v>0.15892108971283031</c:v>
                </c:pt>
                <c:pt idx="2">
                  <c:v>9.0060571762096892E-2</c:v>
                </c:pt>
                <c:pt idx="3">
                  <c:v>8.0021522972330311E-2</c:v>
                </c:pt>
                <c:pt idx="4">
                  <c:v>7.0120707156319878E-2</c:v>
                </c:pt>
                <c:pt idx="5">
                  <c:v>0.28832514899744865</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o250kW'!$F$76</c:f>
          <c:strCache>
            <c:ptCount val="1"/>
            <c:pt idx="0">
              <c:v>Top 5 landed species by value in 2017
South West beamers over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'South West beamers o250kW'!$G$77:$G$82</c:f>
              <c:strCache>
                <c:ptCount val="6"/>
                <c:pt idx="0">
                  <c:v>Cuttlefish - 34.4%</c:v>
                </c:pt>
                <c:pt idx="1">
                  <c:v>Sole - 16.7%</c:v>
                </c:pt>
                <c:pt idx="2">
                  <c:v>Anglerfish - 14.7%</c:v>
                </c:pt>
                <c:pt idx="3">
                  <c:v>Scallops - 6.0%</c:v>
                </c:pt>
                <c:pt idx="4">
                  <c:v>Megrim - 5.8%</c:v>
                </c:pt>
                <c:pt idx="5">
                  <c:v>Others - 22.4%</c:v>
                </c:pt>
              </c:strCache>
            </c:strRef>
          </c:cat>
          <c:val>
            <c:numRef>
              <c:f>'South West beamers o250kW'!$H$77:$H$82</c:f>
              <c:numCache>
                <c:formatCode>0.0%</c:formatCode>
                <c:ptCount val="6"/>
                <c:pt idx="0">
                  <c:v>0.34389322254499871</c:v>
                </c:pt>
                <c:pt idx="1">
                  <c:v>0.16655002156799645</c:v>
                </c:pt>
                <c:pt idx="2">
                  <c:v>0.14722793279623939</c:v>
                </c:pt>
                <c:pt idx="3">
                  <c:v>6.0119720275846271E-2</c:v>
                </c:pt>
                <c:pt idx="4">
                  <c:v>5.8167882732344585E-2</c:v>
                </c:pt>
                <c:pt idx="5">
                  <c:v>0.22404122008257465</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'South West beamers o250kW'!$C$92</c:f>
              <c:strCache>
                <c:ptCount val="1"/>
                <c:pt idx="0">
                  <c:v>Cuttlefish</c:v>
                </c:pt>
              </c:strCache>
            </c:strRef>
          </c:tx>
          <c:spPr>
            <a:solidFill>
              <a:srgbClr val="2273B9"/>
            </a:solidFill>
            <a:ln>
              <a:solidFill>
                <a:srgbClr val="FFFFFF"/>
              </a:solidFill>
            </a:ln>
          </c:spPr>
          <c:invertIfNegative val="0"/>
          <c:cat>
            <c:numRef>
              <c:f>'South West beamers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'South West beamers o250kW'!$D$92:$M$92</c:f>
              <c:numCache>
                <c:formatCode>0%</c:formatCode>
                <c:ptCount val="10"/>
                <c:pt idx="0">
                  <c:v>0.1168736573303006</c:v>
                </c:pt>
                <c:pt idx="1">
                  <c:v>0.18897788198092114</c:v>
                </c:pt>
                <c:pt idx="2">
                  <c:v>0.21610734670189594</c:v>
                </c:pt>
                <c:pt idx="3">
                  <c:v>0.23263143342409665</c:v>
                </c:pt>
                <c:pt idx="4">
                  <c:v>0.14030825448075429</c:v>
                </c:pt>
                <c:pt idx="5">
                  <c:v>0.12026512423791083</c:v>
                </c:pt>
                <c:pt idx="6">
                  <c:v>0.19761453663319356</c:v>
                </c:pt>
                <c:pt idx="7">
                  <c:v>0.20718827503181445</c:v>
                </c:pt>
                <c:pt idx="8">
                  <c:v>0.34389322254499871</c:v>
                </c:pt>
                <c:pt idx="9">
                  <c:v>0.31005789361176161</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'South West beamers o250kW'!$C$93</c:f>
              <c:strCache>
                <c:ptCount val="1"/>
                <c:pt idx="0">
                  <c:v>Sole</c:v>
                </c:pt>
              </c:strCache>
            </c:strRef>
          </c:tx>
          <c:spPr>
            <a:solidFill>
              <a:srgbClr val="E87308"/>
            </a:solidFill>
            <a:ln>
              <a:solidFill>
                <a:srgbClr val="FFFFFF"/>
              </a:solidFill>
            </a:ln>
          </c:spPr>
          <c:invertIfNegative val="0"/>
          <c:cat>
            <c:numRef>
              <c:f>'South West beamers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'South West beamers o250kW'!$D$93:$M$93</c:f>
              <c:numCache>
                <c:formatCode>0%</c:formatCode>
                <c:ptCount val="10"/>
                <c:pt idx="0">
                  <c:v>0.1917297399809009</c:v>
                </c:pt>
                <c:pt idx="1">
                  <c:v>0.16259534544391124</c:v>
                </c:pt>
                <c:pt idx="2">
                  <c:v>0.15271132897590886</c:v>
                </c:pt>
                <c:pt idx="3">
                  <c:v>0.15735087795315056</c:v>
                </c:pt>
                <c:pt idx="4">
                  <c:v>0.17597771187498396</c:v>
                </c:pt>
                <c:pt idx="5">
                  <c:v>0.17149999564235588</c:v>
                </c:pt>
                <c:pt idx="6">
                  <c:v>0.1529604113862818</c:v>
                </c:pt>
                <c:pt idx="7">
                  <c:v>0.18959752305170621</c:v>
                </c:pt>
                <c:pt idx="8">
                  <c:v>0.16655002156799645</c:v>
                </c:pt>
                <c:pt idx="9">
                  <c:v>0.1989988305301208</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'South West beamers o250kW'!$C$94</c:f>
              <c:strCache>
                <c:ptCount val="1"/>
                <c:pt idx="0">
                  <c:v>Anglerfish</c:v>
                </c:pt>
              </c:strCache>
            </c:strRef>
          </c:tx>
          <c:spPr>
            <a:solidFill>
              <a:srgbClr val="648C2E"/>
            </a:solidFill>
            <a:ln>
              <a:solidFill>
                <a:srgbClr val="FFFFFF"/>
              </a:solidFill>
            </a:ln>
          </c:spPr>
          <c:invertIfNegative val="0"/>
          <c:cat>
            <c:numRef>
              <c:f>'South West beamers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'South West beamers o250kW'!$D$94:$M$94</c:f>
              <c:numCache>
                <c:formatCode>0%</c:formatCode>
                <c:ptCount val="10"/>
                <c:pt idx="0">
                  <c:v>0.28037579193155016</c:v>
                </c:pt>
                <c:pt idx="1">
                  <c:v>0.30040629038624361</c:v>
                </c:pt>
                <c:pt idx="2">
                  <c:v>0.27830795114098117</c:v>
                </c:pt>
                <c:pt idx="3">
                  <c:v>0.25198608219493079</c:v>
                </c:pt>
                <c:pt idx="4">
                  <c:v>0.28517094755325861</c:v>
                </c:pt>
                <c:pt idx="5">
                  <c:v>0.27769541338015363</c:v>
                </c:pt>
                <c:pt idx="6">
                  <c:v>0.2339463935669272</c:v>
                </c:pt>
                <c:pt idx="7">
                  <c:v>0.22867763511208491</c:v>
                </c:pt>
                <c:pt idx="8">
                  <c:v>0.14722793279623939</c:v>
                </c:pt>
                <c:pt idx="9">
                  <c:v>0.1218423334557529</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'South West beamers o250kW'!$C$95</c:f>
              <c:strCache>
                <c:ptCount val="1"/>
                <c:pt idx="0">
                  <c:v>Scallops</c:v>
                </c:pt>
              </c:strCache>
            </c:strRef>
          </c:tx>
          <c:spPr>
            <a:solidFill>
              <a:srgbClr val="C1D119"/>
            </a:solidFill>
            <a:ln>
              <a:solidFill>
                <a:srgbClr val="FFFFFF"/>
              </a:solidFill>
            </a:ln>
          </c:spPr>
          <c:invertIfNegative val="0"/>
          <c:cat>
            <c:numRef>
              <c:f>'South West beamers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'South West beamers o250kW'!$D$95:$M$95</c:f>
              <c:numCache>
                <c:formatCode>0%</c:formatCode>
                <c:ptCount val="10"/>
                <c:pt idx="3">
                  <c:v>4.5391276854152195E-2</c:v>
                </c:pt>
                <c:pt idx="6">
                  <c:v>6.4679750568691893E-2</c:v>
                </c:pt>
                <c:pt idx="8">
                  <c:v>6.0119720275846271E-2</c:v>
                </c:pt>
                <c:pt idx="9">
                  <c:v>6.6985309283962929E-2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'South West beamers o250kW'!$C$96</c:f>
              <c:strCache>
                <c:ptCount val="1"/>
                <c:pt idx="0">
                  <c:v>Megrim</c:v>
                </c:pt>
              </c:strCache>
            </c:strRef>
          </c:tx>
          <c:spPr>
            <a:solidFill>
              <a:srgbClr val="E84A38"/>
            </a:solidFill>
            <a:ln>
              <a:solidFill>
                <a:srgbClr val="FFFFFF"/>
              </a:solidFill>
            </a:ln>
          </c:spPr>
          <c:invertIfNegative val="0"/>
          <c:cat>
            <c:numRef>
              <c:f>'South West beamers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'South West beamers o250kW'!$D$96:$M$96</c:f>
              <c:numCache>
                <c:formatCode>0%</c:formatCode>
                <c:ptCount val="10"/>
                <c:pt idx="0">
                  <c:v>0.11952337661396036</c:v>
                </c:pt>
                <c:pt idx="1">
                  <c:v>0.10156975767325048</c:v>
                </c:pt>
                <c:pt idx="2">
                  <c:v>9.3708070450954445E-2</c:v>
                </c:pt>
                <c:pt idx="3">
                  <c:v>8.0103634922956996E-2</c:v>
                </c:pt>
                <c:pt idx="4">
                  <c:v>0.11589115064289357</c:v>
                </c:pt>
                <c:pt idx="5">
                  <c:v>0.12993787550520974</c:v>
                </c:pt>
                <c:pt idx="6">
                  <c:v>0.11720822020461284</c:v>
                </c:pt>
                <c:pt idx="7">
                  <c:v>9.0714107937631044E-2</c:v>
                </c:pt>
                <c:pt idx="8">
                  <c:v>5.8167882732344585E-2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'South West beamers o250kW'!$C$97</c:f>
              <c:strCache>
                <c:ptCount val="1"/>
                <c:pt idx="0">
                  <c:v>Turbot</c:v>
                </c:pt>
              </c:strCache>
            </c:strRef>
          </c:tx>
          <c:spPr>
            <a:solidFill>
              <a:srgbClr val="0F9AA9"/>
            </a:solidFill>
            <a:ln>
              <a:solidFill>
                <a:srgbClr val="FFFFFF"/>
              </a:solidFill>
            </a:ln>
          </c:spPr>
          <c:invertIfNegative val="0"/>
          <c:cat>
            <c:numRef>
              <c:f>'South West beamers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'South West beamers o250kW'!$D$97:$M$97</c:f>
              <c:numCache>
                <c:formatCode>0%</c:formatCode>
                <c:ptCount val="10"/>
                <c:pt idx="7">
                  <c:v>4.652832410234798E-2</c:v>
                </c:pt>
                <c:pt idx="9">
                  <c:v>5.3956703026340765E-2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'South West beamers o250kW'!$C$98</c:f>
              <c:strCache>
                <c:ptCount val="1"/>
                <c:pt idx="0">
                  <c:v>Lemon Sole</c:v>
                </c:pt>
              </c:strCache>
            </c:strRef>
          </c:tx>
          <c:spPr>
            <a:solidFill>
              <a:srgbClr val="FED825"/>
            </a:solidFill>
            <a:ln>
              <a:solidFill>
                <a:srgbClr val="FFFFFF"/>
              </a:solidFill>
            </a:ln>
          </c:spPr>
          <c:invertIfNegative val="0"/>
          <c:cat>
            <c:numRef>
              <c:f>'South West beamers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'South West beamers o250kW'!$D$98:$M$98</c:f>
              <c:numCache>
                <c:formatCode>0%</c:formatCode>
                <c:ptCount val="10"/>
                <c:pt idx="0">
                  <c:v>4.7146323694459057E-2</c:v>
                </c:pt>
                <c:pt idx="1">
                  <c:v>4.3539432955672489E-2</c:v>
                </c:pt>
                <c:pt idx="2">
                  <c:v>4.0347316780703663E-2</c:v>
                </c:pt>
                <c:pt idx="4">
                  <c:v>4.3967083899322176E-2</c:v>
                </c:pt>
                <c:pt idx="5">
                  <c:v>5.1733637009427139E-2</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'South West beamers o250kW'!$C$99</c:f>
              <c:strCache>
                <c:ptCount val="1"/>
                <c:pt idx="0">
                  <c:v>Others</c:v>
                </c:pt>
              </c:strCache>
            </c:strRef>
          </c:tx>
          <c:spPr>
            <a:solidFill>
              <a:srgbClr val="55585A"/>
            </a:solidFill>
            <a:ln>
              <a:solidFill>
                <a:srgbClr val="FFFFFF"/>
              </a:solidFill>
            </a:ln>
          </c:spPr>
          <c:invertIfNegative val="0"/>
          <c:cat>
            <c:numRef>
              <c:f>'South West beamers o250kW'!$D$91:$M$91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'South West beamers o250kW'!$D$99:$M$99</c:f>
              <c:numCache>
                <c:formatCode>0%</c:formatCode>
                <c:ptCount val="10"/>
                <c:pt idx="0">
                  <c:v>0.24435111044882893</c:v>
                </c:pt>
                <c:pt idx="1">
                  <c:v>0.20291129156000101</c:v>
                </c:pt>
                <c:pt idx="2">
                  <c:v>0.21881798594955595</c:v>
                </c:pt>
                <c:pt idx="3">
                  <c:v>0.23253669465071281</c:v>
                </c:pt>
                <c:pt idx="4">
                  <c:v>0.23868485154878738</c:v>
                </c:pt>
                <c:pt idx="5">
                  <c:v>0.24886795422494276</c:v>
                </c:pt>
                <c:pt idx="6">
                  <c:v>0.23359068764029273</c:v>
                </c:pt>
                <c:pt idx="7">
                  <c:v>0.23729413476441538</c:v>
                </c:pt>
                <c:pt idx="8">
                  <c:v>0.22404122008257463</c:v>
                </c:pt>
                <c:pt idx="9">
                  <c:v>0.248158930092061</c:v>
                </c:pt>
              </c:numCache>
            </c:numRef>
          </c:val>
          <c:extLst xmlns:c16r2="http://schemas.microsoft.com/office/drawing/2015/06/chart">
            <c:ext xmlns:c16="http://schemas.microsoft.com/office/drawing/2014/chart" uri="{C3380CC4-5D6E-409C-BE32-E72D297353CC}">
              <c16:uniqueId val="{00000007-282A-42F3-A8CE-7B6B063B5E4F}"/>
            </c:ext>
          </c:extLst>
        </c:ser>
        <c:dLbls>
          <c:showLegendKey val="0"/>
          <c:showVal val="0"/>
          <c:showCatName val="0"/>
          <c:showSerName val="0"/>
          <c:showPercent val="0"/>
          <c:showBubbleSize val="0"/>
        </c:dLbls>
        <c:gapWidth val="150"/>
        <c:overlap val="100"/>
        <c:axId val="948245632"/>
        <c:axId val="948247168"/>
      </c:barChart>
      <c:catAx>
        <c:axId val="948245632"/>
        <c:scaling>
          <c:orientation val="minMax"/>
        </c:scaling>
        <c:delete val="0"/>
        <c:axPos val="b"/>
        <c:numFmt formatCode="General" sourceLinked="1"/>
        <c:majorTickMark val="out"/>
        <c:minorTickMark val="none"/>
        <c:tickLblPos val="nextTo"/>
        <c:crossAx val="948247168"/>
        <c:crosses val="autoZero"/>
        <c:auto val="1"/>
        <c:lblAlgn val="ctr"/>
        <c:lblOffset val="100"/>
        <c:noMultiLvlLbl val="0"/>
      </c:catAx>
      <c:valAx>
        <c:axId val="948247168"/>
        <c:scaling>
          <c:orientation val="minMax"/>
          <c:max val="1"/>
          <c:min val="0"/>
        </c:scaling>
        <c:delete val="0"/>
        <c:axPos val="l"/>
        <c:majorGridlines/>
        <c:numFmt formatCode="0%" sourceLinked="1"/>
        <c:majorTickMark val="out"/>
        <c:minorTickMark val="none"/>
        <c:tickLblPos val="nextTo"/>
        <c:crossAx val="94824563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'South West beamers o250kW'!$B$162</c:f>
              <c:strCache>
                <c:ptCount val="1"/>
                <c:pt idx="0">
                  <c:v>Cuttlefish</c:v>
                </c:pt>
              </c:strCache>
            </c:strRef>
          </c:tx>
          <c:spPr>
            <a:solidFill>
              <a:srgbClr val="2273B9"/>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o250kW'!$C$162:$E$162</c:f>
              <c:numCache>
                <c:formatCode>0%</c:formatCode>
                <c:ptCount val="3"/>
                <c:pt idx="0">
                  <c:v>0.3229220926080647</c:v>
                </c:pt>
                <c:pt idx="1">
                  <c:v>0.29112262216787488</c:v>
                </c:pt>
                <c:pt idx="2">
                  <c:v>0.28860030424190242</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'South West beamers o250kW'!$B$163</c:f>
              <c:strCache>
                <c:ptCount val="1"/>
                <c:pt idx="0">
                  <c:v>Anglerfish</c:v>
                </c:pt>
              </c:strCache>
            </c:strRef>
          </c:tx>
          <c:spPr>
            <a:solidFill>
              <a:srgbClr val="648C2E"/>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o250kW'!$C$163:$E$163</c:f>
              <c:numCache>
                <c:formatCode>0%</c:formatCode>
                <c:ptCount val="3"/>
                <c:pt idx="0">
                  <c:v>0.12483114227775755</c:v>
                </c:pt>
                <c:pt idx="1">
                  <c:v>0.23365557218568683</c:v>
                </c:pt>
                <c:pt idx="2">
                  <c:v>0.19802750607512459</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'South West beamers o250kW'!$B$164</c:f>
              <c:strCache>
                <c:ptCount val="1"/>
                <c:pt idx="0">
                  <c:v>Plaice</c:v>
                </c:pt>
              </c:strCache>
            </c:strRef>
          </c:tx>
          <c:spPr>
            <a:solidFill>
              <a:srgbClr val="0F9AA9"/>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o250kW'!$C$164:$E$164</c:f>
              <c:numCache>
                <c:formatCode>0%</c:formatCode>
                <c:ptCount val="3"/>
                <c:pt idx="0">
                  <c:v>9.8341773751682557E-2</c:v>
                </c:pt>
                <c:pt idx="1">
                  <c:v>0.11372984191110562</c:v>
                </c:pt>
                <c:pt idx="2">
                  <c:v>3.8778744750166044E-2</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'South West beamers o250kW'!$B$165</c:f>
              <c:strCache>
                <c:ptCount val="1"/>
                <c:pt idx="0">
                  <c:v>Gurnard</c:v>
                </c:pt>
              </c:strCache>
            </c:strRef>
          </c:tx>
          <c:spPr>
            <a:solidFill>
              <a:srgbClr val="FED825"/>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o250kW'!$C$165:$E$165</c:f>
              <c:numCache>
                <c:formatCode>0%</c:formatCode>
                <c:ptCount val="3"/>
                <c:pt idx="0">
                  <c:v>0</c:v>
                </c:pt>
                <c:pt idx="1">
                  <c:v>8.1838409277371613E-2</c:v>
                </c:pt>
                <c:pt idx="2">
                  <c:v>0</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'South West beamers o250kW'!$B$166</c:f>
              <c:strCache>
                <c:ptCount val="1"/>
                <c:pt idx="0">
                  <c:v>Megrim</c:v>
                </c:pt>
              </c:strCache>
            </c:strRef>
          </c:tx>
          <c:spPr>
            <a:solidFill>
              <a:srgbClr val="E84A38"/>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o250kW'!$C$166:$E$166</c:f>
              <c:numCache>
                <c:formatCode>0%</c:formatCode>
                <c:ptCount val="3"/>
                <c:pt idx="0">
                  <c:v>0</c:v>
                </c:pt>
                <c:pt idx="1">
                  <c:v>7.7563122253840391E-2</c:v>
                </c:pt>
                <c:pt idx="2">
                  <c:v>0.10656369315207956</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'South West beamers o250kW'!$B$167</c:f>
              <c:strCache>
                <c:ptCount val="1"/>
                <c:pt idx="0">
                  <c:v>Scallops</c:v>
                </c:pt>
              </c:strCache>
            </c:strRef>
          </c:tx>
          <c:spPr>
            <a:solidFill>
              <a:srgbClr val="C1D119"/>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o250kW'!$C$167:$E$167</c:f>
              <c:numCache>
                <c:formatCode>0%</c:formatCode>
                <c:ptCount val="3"/>
                <c:pt idx="0">
                  <c:v>9.2123218279367286E-2</c:v>
                </c:pt>
                <c:pt idx="1">
                  <c:v>0</c:v>
                </c:pt>
                <c:pt idx="2">
                  <c:v>0.15963878594360742</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'South West beamers o250kW'!$B$168</c:f>
              <c:strCache>
                <c:ptCount val="1"/>
                <c:pt idx="0">
                  <c:v>Sole</c:v>
                </c:pt>
              </c:strCache>
            </c:strRef>
          </c:tx>
          <c:spPr>
            <a:solidFill>
              <a:srgbClr val="E87308"/>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o250kW'!$C$168:$E$168</c:f>
              <c:numCache>
                <c:formatCode>0%</c:formatCode>
                <c:ptCount val="3"/>
                <c:pt idx="0">
                  <c:v>6.6542333661152628E-2</c:v>
                </c:pt>
                <c:pt idx="1">
                  <c:v>0</c:v>
                </c:pt>
                <c:pt idx="2">
                  <c:v>0</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'South West beamers o250kW'!$B$169</c:f>
              <c:strCache>
                <c:ptCount val="1"/>
                <c:pt idx="0">
                  <c:v>Others</c:v>
                </c:pt>
              </c:strCache>
            </c:strRef>
          </c:tx>
          <c:spPr>
            <a:solidFill>
              <a:srgbClr val="55585A"/>
            </a:solidFill>
            <a:ln>
              <a:solidFill>
                <a:srgbClr val="FFFFFF"/>
              </a:solidFill>
            </a:ln>
          </c:spPr>
          <c:invertIfNegative val="0"/>
          <c:cat>
            <c:strRef>
              <c:f>'South West beamers o250kW'!$C$161:$E$161</c:f>
              <c:strCache>
                <c:ptCount val="3"/>
                <c:pt idx="0">
                  <c:v>Most
profitable
quartile</c:v>
                </c:pt>
                <c:pt idx="1">
                  <c:v>Middle 
two quartiles</c:v>
                </c:pt>
                <c:pt idx="2">
                  <c:v>Least
profitable
quartile</c:v>
                </c:pt>
              </c:strCache>
            </c:strRef>
          </c:cat>
          <c:val>
            <c:numRef>
              <c:f>'South West beamers o250kW'!$C$169:$E$169</c:f>
              <c:numCache>
                <c:formatCode>0%</c:formatCode>
                <c:ptCount val="3"/>
                <c:pt idx="0">
                  <c:v>0.29523943942197528</c:v>
                </c:pt>
                <c:pt idx="1">
                  <c:v>0.20209043220412071</c:v>
                </c:pt>
                <c:pt idx="2">
                  <c:v>0.20839096583711991</c:v>
                </c:pt>
              </c:numCache>
            </c:numRef>
          </c:val>
          <c:extLst xmlns:c16r2="http://schemas.microsoft.com/office/drawing/2015/06/chart">
            <c:ext xmlns:c16="http://schemas.microsoft.com/office/drawing/2014/chart" uri="{C3380CC4-5D6E-409C-BE32-E72D297353CC}">
              <c16:uniqueId val="{00000007-DFDD-4C01-8393-1BE532AE55F9}"/>
            </c:ext>
          </c:extLst>
        </c:ser>
        <c:dLbls>
          <c:showLegendKey val="0"/>
          <c:showVal val="0"/>
          <c:showCatName val="0"/>
          <c:showSerName val="0"/>
          <c:showPercent val="0"/>
          <c:showBubbleSize val="0"/>
        </c:dLbls>
        <c:gapWidth val="150"/>
        <c:overlap val="100"/>
        <c:axId val="948506624"/>
        <c:axId val="948508160"/>
      </c:barChart>
      <c:catAx>
        <c:axId val="948506624"/>
        <c:scaling>
          <c:orientation val="minMax"/>
        </c:scaling>
        <c:delete val="0"/>
        <c:axPos val="b"/>
        <c:numFmt formatCode="General" sourceLinked="0"/>
        <c:majorTickMark val="out"/>
        <c:minorTickMark val="none"/>
        <c:tickLblPos val="nextTo"/>
        <c:crossAx val="948508160"/>
        <c:crosses val="autoZero"/>
        <c:auto val="1"/>
        <c:lblAlgn val="ctr"/>
        <c:lblOffset val="100"/>
        <c:noMultiLvlLbl val="0"/>
      </c:catAx>
      <c:valAx>
        <c:axId val="948508160"/>
        <c:scaling>
          <c:orientation val="minMax"/>
          <c:max val="1"/>
          <c:min val="0"/>
        </c:scaling>
        <c:delete val="0"/>
        <c:axPos val="l"/>
        <c:majorGridlines/>
        <c:minorGridlines/>
        <c:numFmt formatCode="0%" sourceLinked="1"/>
        <c:majorTickMark val="out"/>
        <c:minorTickMark val="none"/>
        <c:tickLblPos val="nextTo"/>
        <c:crossAx val="94850662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'South West beamers o250kW'!$H$162</c:f>
              <c:strCache>
                <c:ptCount val="1"/>
                <c:pt idx="0">
                  <c:v>Cuttlefish</c:v>
                </c:pt>
              </c:strCache>
            </c:strRef>
          </c:tx>
          <c:spPr>
            <a:solidFill>
              <a:srgbClr val="2273B9"/>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o250kW'!$I$162:$K$162</c:f>
              <c:numCache>
                <c:formatCode>0%</c:formatCode>
                <c:ptCount val="3"/>
                <c:pt idx="0">
                  <c:v>0.34519188739806217</c:v>
                </c:pt>
                <c:pt idx="1">
                  <c:v>0.37599680803899166</c:v>
                </c:pt>
                <c:pt idx="2">
                  <c:v>0.33028963832751085</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'South West beamers o250kW'!$H$163</c:f>
              <c:strCache>
                <c:ptCount val="1"/>
                <c:pt idx="0">
                  <c:v>Sole</c:v>
                </c:pt>
              </c:strCache>
            </c:strRef>
          </c:tx>
          <c:spPr>
            <a:solidFill>
              <a:srgbClr val="E87308"/>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o250kW'!$I$163:$K$163</c:f>
              <c:numCache>
                <c:formatCode>0%</c:formatCode>
                <c:ptCount val="3"/>
                <c:pt idx="0">
                  <c:v>0.21632743633036644</c:v>
                </c:pt>
                <c:pt idx="1">
                  <c:v>0.1761517483644553</c:v>
                </c:pt>
                <c:pt idx="2">
                  <c:v>9.5388340583083889E-2</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'South West beamers o250kW'!$H$164</c:f>
              <c:strCache>
                <c:ptCount val="1"/>
                <c:pt idx="0">
                  <c:v>Anglerfish</c:v>
                </c:pt>
              </c:strCache>
            </c:strRef>
          </c:tx>
          <c:spPr>
            <a:solidFill>
              <a:srgbClr val="648C2E"/>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o250kW'!$I$164:$K$164</c:f>
              <c:numCache>
                <c:formatCode>0%</c:formatCode>
                <c:ptCount val="3"/>
                <c:pt idx="0">
                  <c:v>0.11136042789488695</c:v>
                </c:pt>
                <c:pt idx="1">
                  <c:v>0.16199946983863064</c:v>
                </c:pt>
                <c:pt idx="2">
                  <c:v>0.19622440303998268</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'South West beamers o250kW'!$H$165</c:f>
              <c:strCache>
                <c:ptCount val="1"/>
                <c:pt idx="0">
                  <c:v>Megrim</c:v>
                </c:pt>
              </c:strCache>
            </c:strRef>
          </c:tx>
          <c:spPr>
            <a:solidFill>
              <a:srgbClr val="E84A38"/>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o250kW'!$I$165:$K$165</c:f>
              <c:numCache>
                <c:formatCode>0%</c:formatCode>
                <c:ptCount val="3"/>
                <c:pt idx="0">
                  <c:v>0</c:v>
                </c:pt>
                <c:pt idx="1">
                  <c:v>6.9262019768594571E-2</c:v>
                </c:pt>
                <c:pt idx="2">
                  <c:v>9.8654455786756107E-2</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'South West beamers o250kW'!$H$166</c:f>
              <c:strCache>
                <c:ptCount val="1"/>
                <c:pt idx="0">
                  <c:v>Turbot</c:v>
                </c:pt>
              </c:strCache>
            </c:strRef>
          </c:tx>
          <c:spPr>
            <a:solidFill>
              <a:srgbClr val="707271"/>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o250kW'!$I$166:$K$166</c:f>
              <c:numCache>
                <c:formatCode>0%</c:formatCode>
                <c:ptCount val="3"/>
                <c:pt idx="0">
                  <c:v>5.2546627617576995E-2</c:v>
                </c:pt>
                <c:pt idx="1">
                  <c:v>5.0179459080089348E-2</c:v>
                </c:pt>
                <c:pt idx="2">
                  <c:v>0</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'South West beamers o250kW'!$H$167</c:f>
              <c:strCache>
                <c:ptCount val="1"/>
                <c:pt idx="0">
                  <c:v>Scallops</c:v>
                </c:pt>
              </c:strCache>
            </c:strRef>
          </c:tx>
          <c:spPr>
            <a:solidFill>
              <a:srgbClr val="C1D119"/>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o250kW'!$I$167:$K$167</c:f>
              <c:numCache>
                <c:formatCode>0%</c:formatCode>
                <c:ptCount val="3"/>
                <c:pt idx="0">
                  <c:v>6.194631154897897E-2</c:v>
                </c:pt>
                <c:pt idx="1">
                  <c:v>0</c:v>
                </c:pt>
                <c:pt idx="2">
                  <c:v>0.11046331739728001</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'South West beamers o250kW'!$H$168</c:f>
              <c:strCache>
                <c:ptCount val="1"/>
                <c:pt idx="0">
                  <c:v>Others</c:v>
                </c:pt>
              </c:strCache>
            </c:strRef>
          </c:tx>
          <c:spPr>
            <a:solidFill>
              <a:srgbClr val="55585A"/>
            </a:solidFill>
            <a:ln>
              <a:solidFill>
                <a:srgbClr val="FFFFFF"/>
              </a:solidFill>
            </a:ln>
          </c:spPr>
          <c:invertIfNegative val="0"/>
          <c:cat>
            <c:strRef>
              <c:f>'South West beamers o250kW'!$I$161:$K$161</c:f>
              <c:strCache>
                <c:ptCount val="3"/>
                <c:pt idx="0">
                  <c:v>Most
profitable
quartile</c:v>
                </c:pt>
                <c:pt idx="1">
                  <c:v>Middle 
two quartiles</c:v>
                </c:pt>
                <c:pt idx="2">
                  <c:v>Least
profitable
quartile</c:v>
                </c:pt>
              </c:strCache>
            </c:strRef>
          </c:cat>
          <c:val>
            <c:numRef>
              <c:f>'South West beamers o250kW'!$I$168:$K$168</c:f>
              <c:numCache>
                <c:formatCode>0%</c:formatCode>
                <c:ptCount val="3"/>
                <c:pt idx="0">
                  <c:v>0.2126273092101284</c:v>
                </c:pt>
                <c:pt idx="1">
                  <c:v>0.16641049490923843</c:v>
                </c:pt>
                <c:pt idx="2">
                  <c:v>0.16897984486538642</c:v>
                </c:pt>
              </c:numCache>
            </c:numRef>
          </c:val>
          <c:extLst xmlns:c16r2="http://schemas.microsoft.com/office/drawing/2015/06/chart">
            <c:ext xmlns:c16="http://schemas.microsoft.com/office/drawing/2014/chart" uri="{C3380CC4-5D6E-409C-BE32-E72D297353CC}">
              <c16:uniqueId val="{00000006-DC58-4725-8A67-0BDC09FD93CD}"/>
            </c:ext>
          </c:extLst>
        </c:ser>
        <c:dLbls>
          <c:showLegendKey val="0"/>
          <c:showVal val="0"/>
          <c:showCatName val="0"/>
          <c:showSerName val="0"/>
          <c:showPercent val="0"/>
          <c:showBubbleSize val="0"/>
        </c:dLbls>
        <c:gapWidth val="150"/>
        <c:overlap val="100"/>
        <c:axId val="948556928"/>
        <c:axId val="948558464"/>
      </c:barChart>
      <c:catAx>
        <c:axId val="948556928"/>
        <c:scaling>
          <c:orientation val="minMax"/>
        </c:scaling>
        <c:delete val="0"/>
        <c:axPos val="b"/>
        <c:numFmt formatCode="General" sourceLinked="0"/>
        <c:majorTickMark val="out"/>
        <c:minorTickMark val="none"/>
        <c:tickLblPos val="nextTo"/>
        <c:crossAx val="948558464"/>
        <c:crosses val="autoZero"/>
        <c:auto val="1"/>
        <c:lblAlgn val="ctr"/>
        <c:lblOffset val="100"/>
        <c:noMultiLvlLbl val="0"/>
      </c:catAx>
      <c:valAx>
        <c:axId val="948558464"/>
        <c:scaling>
          <c:orientation val="minMax"/>
          <c:max val="1"/>
          <c:min val="0"/>
        </c:scaling>
        <c:delete val="0"/>
        <c:axPos val="l"/>
        <c:majorGridlines/>
        <c:minorGridlines/>
        <c:numFmt formatCode="0%" sourceLinked="1"/>
        <c:majorTickMark val="out"/>
        <c:minorTickMark val="none"/>
        <c:tickLblPos val="nextTo"/>
        <c:crossAx val="94855692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o250kW'!$K$143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'South West beamers o250kW'!$K$139</c:f>
              <c:strCache>
                <c:ptCount val="1"/>
                <c:pt idx="0">
                  <c:v>Total income</c:v>
                </c:pt>
              </c:strCache>
            </c:strRef>
          </c:tx>
          <c:spPr>
            <a:solidFill>
              <a:schemeClr val="accent1"/>
            </a:solidFill>
            <a:ln>
              <a:solidFill>
                <a:schemeClr val="accent1"/>
              </a:solidFill>
            </a:ln>
          </c:spPr>
          <c:invertIfNegative val="0"/>
          <c:cat>
            <c:strRef>
              <c:f>'South West beamers o250kW'!$L$138:$N$138</c:f>
              <c:strCache>
                <c:ptCount val="3"/>
                <c:pt idx="0">
                  <c:v>Most
profitable
quartile</c:v>
                </c:pt>
                <c:pt idx="1">
                  <c:v>Middle
two quartiles</c:v>
                </c:pt>
                <c:pt idx="2">
                  <c:v>Least
profitable
quartile</c:v>
                </c:pt>
              </c:strCache>
            </c:strRef>
          </c:cat>
          <c:val>
            <c:numRef>
              <c:f>'South West beamers o250kW'!$L$139:$N$139</c:f>
              <c:numCache>
                <c:formatCode>#,##0</c:formatCode>
                <c:ptCount val="3"/>
                <c:pt idx="0">
                  <c:v>1224.4361249999999</c:v>
                </c:pt>
                <c:pt idx="1">
                  <c:v>1014.3315625</c:v>
                </c:pt>
                <c:pt idx="2">
                  <c:v>783.2784375</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'South West beamers o250kW'!$K$140</c:f>
              <c:strCache>
                <c:ptCount val="1"/>
                <c:pt idx="0">
                  <c:v>Operating costs</c:v>
                </c:pt>
              </c:strCache>
            </c:strRef>
          </c:tx>
          <c:spPr>
            <a:solidFill>
              <a:schemeClr val="accent3"/>
            </a:solidFill>
          </c:spPr>
          <c:invertIfNegative val="0"/>
          <c:cat>
            <c:strRef>
              <c:f>'South West beamers o250kW'!$L$138:$N$138</c:f>
              <c:strCache>
                <c:ptCount val="3"/>
                <c:pt idx="0">
                  <c:v>Most
profitable
quartile</c:v>
                </c:pt>
                <c:pt idx="1">
                  <c:v>Middle
two quartiles</c:v>
                </c:pt>
                <c:pt idx="2">
                  <c:v>Least
profitable
quartile</c:v>
                </c:pt>
              </c:strCache>
            </c:strRef>
          </c:cat>
          <c:val>
            <c:numRef>
              <c:f>'South West beamers o250kW'!$L$140:$N$140</c:f>
              <c:numCache>
                <c:formatCode>#,##0</c:formatCode>
                <c:ptCount val="3"/>
                <c:pt idx="0">
                  <c:v>964.21043750000001</c:v>
                </c:pt>
                <c:pt idx="1">
                  <c:v>841.05290624999998</c:v>
                </c:pt>
                <c:pt idx="2">
                  <c:v>728.44556250000005</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'South West beamers o250kW'!$K$141</c:f>
              <c:strCache>
                <c:ptCount val="1"/>
                <c:pt idx="0">
                  <c:v>Operating profit</c:v>
                </c:pt>
              </c:strCache>
            </c:strRef>
          </c:tx>
          <c:spPr>
            <a:solidFill>
              <a:schemeClr val="accent2"/>
            </a:solidFill>
          </c:spPr>
          <c:invertIfNegative val="0"/>
          <c:cat>
            <c:strRef>
              <c:f>'South West beamers o250kW'!$L$138:$N$138</c:f>
              <c:strCache>
                <c:ptCount val="3"/>
                <c:pt idx="0">
                  <c:v>Most
profitable
quartile</c:v>
                </c:pt>
                <c:pt idx="1">
                  <c:v>Middle
two quartiles</c:v>
                </c:pt>
                <c:pt idx="2">
                  <c:v>Least
profitable
quartile</c:v>
                </c:pt>
              </c:strCache>
            </c:strRef>
          </c:cat>
          <c:val>
            <c:numRef>
              <c:f>'South West beamers o250kW'!$L$141:$N$141</c:f>
              <c:numCache>
                <c:formatCode>#,##0</c:formatCode>
                <c:ptCount val="3"/>
                <c:pt idx="0">
                  <c:v>260.22568749999999</c:v>
                </c:pt>
                <c:pt idx="1">
                  <c:v>173.27865625000001</c:v>
                </c:pt>
                <c:pt idx="2">
                  <c:v>54.832875000000001</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948852224"/>
        <c:axId val="948853760"/>
      </c:barChart>
      <c:catAx>
        <c:axId val="948852224"/>
        <c:scaling>
          <c:orientation val="minMax"/>
        </c:scaling>
        <c:delete val="0"/>
        <c:axPos val="b"/>
        <c:numFmt formatCode="General" sourceLinked="0"/>
        <c:majorTickMark val="out"/>
        <c:minorTickMark val="none"/>
        <c:tickLblPos val="nextTo"/>
        <c:crossAx val="948853760"/>
        <c:crosses val="autoZero"/>
        <c:auto val="1"/>
        <c:lblAlgn val="ctr"/>
        <c:lblOffset val="100"/>
        <c:noMultiLvlLbl val="0"/>
      </c:catAx>
      <c:valAx>
        <c:axId val="948853760"/>
        <c:scaling>
          <c:orientation val="minMax"/>
        </c:scaling>
        <c:delete val="0"/>
        <c:axPos val="l"/>
        <c:majorGridlines/>
        <c:title>
          <c:tx>
            <c:strRef>
              <c:f>'South West beamers o250kW'!$K$142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948852224"/>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u250kW'!$A$48</c:f>
          <c:strCache>
            <c:ptCount val="1"/>
            <c:pt idx="0">
              <c:v>Landings per kW day at sea (kg)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'South West beamers u250kW'!$D$2:$N$2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'South West beamers u250kW'!$D$21:$N$21</c:f>
              <c:numCache>
                <c:formatCode>#,##0.00</c:formatCode>
                <c:ptCount val="11"/>
                <c:pt idx="0">
                  <c:v>2.746801393158937</c:v>
                </c:pt>
                <c:pt idx="1">
                  <c:v>2.8611077974770645</c:v>
                </c:pt>
                <c:pt idx="2">
                  <c:v>3.4513299031142308</c:v>
                </c:pt>
                <c:pt idx="3">
                  <c:v>3.8085538478773047</c:v>
                </c:pt>
                <c:pt idx="4">
                  <c:v>4.2919013629767271</c:v>
                </c:pt>
                <c:pt idx="5">
                  <c:v>4.3490862065457643</c:v>
                </c:pt>
                <c:pt idx="6">
                  <c:v>4.2099381255955901</c:v>
                </c:pt>
                <c:pt idx="7">
                  <c:v>4.4918609369670488</c:v>
                </c:pt>
                <c:pt idx="8">
                  <c:v>4.0842536957200126</c:v>
                </c:pt>
                <c:pt idx="9">
                  <c:v>4.1442075566627725</c:v>
                </c:pt>
                <c:pt idx="10">
                  <c:v>3.7859476362541131</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947931776"/>
        <c:axId val="947933568"/>
      </c:lineChart>
      <c:catAx>
        <c:axId val="947931776"/>
        <c:scaling>
          <c:orientation val="minMax"/>
        </c:scaling>
        <c:delete val="0"/>
        <c:axPos val="b"/>
        <c:numFmt formatCode="General" sourceLinked="1"/>
        <c:majorTickMark val="out"/>
        <c:minorTickMark val="none"/>
        <c:tickLblPos val="nextTo"/>
        <c:crossAx val="947933568"/>
        <c:crosses val="autoZero"/>
        <c:auto val="1"/>
        <c:lblAlgn val="ctr"/>
        <c:lblOffset val="100"/>
        <c:noMultiLvlLbl val="0"/>
      </c:catAx>
      <c:valAx>
        <c:axId val="947933568"/>
        <c:scaling>
          <c:orientation val="minMax"/>
        </c:scaling>
        <c:delete val="0"/>
        <c:axPos val="l"/>
        <c:majorGridlines>
          <c:spPr>
            <a:ln w="3175">
              <a:prstDash val="sysDot"/>
            </a:ln>
          </c:spPr>
        </c:majorGridlines>
        <c:numFmt formatCode="#,##0.00" sourceLinked="1"/>
        <c:majorTickMark val="out"/>
        <c:minorTickMark val="none"/>
        <c:tickLblPos val="nextTo"/>
        <c:crossAx val="947931776"/>
        <c:crosses val="autoZero"/>
        <c:crossBetween val="between"/>
      </c:valAx>
    </c:plotArea>
    <c:plotVisOnly val="0"/>
    <c:dispBlanksAs val="gap"/>
    <c:showDLblsOverMax val="0"/>
  </c:chart>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u250kW'!$A$49</c:f>
          <c:strCache>
            <c:ptCount val="1"/>
            <c:pt idx="0">
              <c:v>Fishing income per kW day at sea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'South West beamers u250kW'!$D$2:$N$2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'South West beamers u250kW'!$D$22:$N$22</c:f>
              <c:numCache>
                <c:formatCode>#,##0.00</c:formatCode>
                <c:ptCount val="11"/>
                <c:pt idx="0">
                  <c:v>8.9073844777512701</c:v>
                </c:pt>
                <c:pt idx="1">
                  <c:v>9.1141034061729709</c:v>
                </c:pt>
                <c:pt idx="2">
                  <c:v>11.1274240198975</c:v>
                </c:pt>
                <c:pt idx="3">
                  <c:v>13.363539064752</c:v>
                </c:pt>
                <c:pt idx="4">
                  <c:v>12.2665716653463</c:v>
                </c:pt>
                <c:pt idx="5">
                  <c:v>11.852635900154199</c:v>
                </c:pt>
                <c:pt idx="6">
                  <c:v>11.8583198113853</c:v>
                </c:pt>
                <c:pt idx="7">
                  <c:v>11.7200498763101</c:v>
                </c:pt>
                <c:pt idx="8">
                  <c:v>13.232572481696399</c:v>
                </c:pt>
                <c:pt idx="9">
                  <c:v>15.0660175868453</c:v>
                </c:pt>
                <c:pt idx="10">
                  <c:v>13.51721577447903</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947980160"/>
        <c:axId val="947981696"/>
      </c:lineChart>
      <c:catAx>
        <c:axId val="947980160"/>
        <c:scaling>
          <c:orientation val="minMax"/>
        </c:scaling>
        <c:delete val="0"/>
        <c:axPos val="b"/>
        <c:numFmt formatCode="General" sourceLinked="1"/>
        <c:majorTickMark val="out"/>
        <c:minorTickMark val="none"/>
        <c:tickLblPos val="nextTo"/>
        <c:crossAx val="947981696"/>
        <c:crosses val="autoZero"/>
        <c:auto val="1"/>
        <c:lblAlgn val="ctr"/>
        <c:lblOffset val="100"/>
        <c:noMultiLvlLbl val="0"/>
      </c:catAx>
      <c:valAx>
        <c:axId val="947981696"/>
        <c:scaling>
          <c:orientation val="minMax"/>
        </c:scaling>
        <c:delete val="0"/>
        <c:axPos val="l"/>
        <c:majorGridlines>
          <c:spPr>
            <a:ln w="3175">
              <a:prstDash val="sysDot"/>
            </a:ln>
          </c:spPr>
        </c:majorGridlines>
        <c:numFmt formatCode="#,##0.00" sourceLinked="1"/>
        <c:majorTickMark val="out"/>
        <c:minorTickMark val="none"/>
        <c:tickLblPos val="nextTo"/>
        <c:crossAx val="947980160"/>
        <c:crosses val="autoZero"/>
        <c:crossBetween val="between"/>
      </c:valAx>
    </c:plotArea>
    <c:plotVisOnly val="0"/>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u250kW'!$B$62</c:f>
          <c:strCache>
            <c:ptCount val="1"/>
            <c:pt idx="0">
              <c:v>Total cost per kW day at sea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'Area VIIa nephrops u250kW'!$D$2:$N$2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nephrops u250kW'!$D$23:$N$23</c:f>
              <c:numCache>
                <c:formatCode>#,##0.00</c:formatCode>
                <c:ptCount val="11"/>
                <c:pt idx="0">
                  <c:v>4.7219815734328501</c:v>
                </c:pt>
                <c:pt idx="1">
                  <c:v>3.5652105427710801</c:v>
                </c:pt>
                <c:pt idx="2">
                  <c:v>4.2197497711603402</c:v>
                </c:pt>
                <c:pt idx="3">
                  <c:v>5.5378675653623697</c:v>
                </c:pt>
                <c:pt idx="4">
                  <c:v>6.1199321717721498</c:v>
                </c:pt>
                <c:pt idx="5">
                  <c:v>4.8606798701151801</c:v>
                </c:pt>
                <c:pt idx="6">
                  <c:v>4.9638315063600196</c:v>
                </c:pt>
                <c:pt idx="7">
                  <c:v>5.4538187088931203</c:v>
                </c:pt>
                <c:pt idx="8">
                  <c:v>5.62432566646405</c:v>
                </c:pt>
                <c:pt idx="9">
                  <c:v>6.00586321006835</c:v>
                </c:pt>
                <c:pt idx="10">
                  <c:v>5.6530556581505245</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616821888"/>
        <c:axId val="616823424"/>
      </c:lineChart>
      <c:catAx>
        <c:axId val="616821888"/>
        <c:scaling>
          <c:orientation val="minMax"/>
        </c:scaling>
        <c:delete val="0"/>
        <c:axPos val="b"/>
        <c:numFmt formatCode="General" sourceLinked="1"/>
        <c:majorTickMark val="out"/>
        <c:minorTickMark val="none"/>
        <c:tickLblPos val="nextTo"/>
        <c:crossAx val="616823424"/>
        <c:crosses val="autoZero"/>
        <c:auto val="1"/>
        <c:lblAlgn val="ctr"/>
        <c:lblOffset val="100"/>
        <c:noMultiLvlLbl val="0"/>
      </c:catAx>
      <c:valAx>
        <c:axId val="616823424"/>
        <c:scaling>
          <c:orientation val="minMax"/>
        </c:scaling>
        <c:delete val="0"/>
        <c:axPos val="l"/>
        <c:majorGridlines>
          <c:spPr>
            <a:ln w="3175">
              <a:prstDash val="sysDot"/>
            </a:ln>
          </c:spPr>
        </c:majorGridlines>
        <c:numFmt formatCode="#,##0.00" sourceLinked="1"/>
        <c:majorTickMark val="out"/>
        <c:minorTickMark val="none"/>
        <c:tickLblPos val="nextTo"/>
        <c:crossAx val="616821888"/>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u250kW'!$B$62</c:f>
          <c:strCache>
            <c:ptCount val="1"/>
            <c:pt idx="0">
              <c:v>Total cost per kW day at sea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'South West beamers u250kW'!$D$2:$N$2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'South West beamers u250kW'!$D$23:$N$23</c:f>
              <c:numCache>
                <c:formatCode>#,##0.00</c:formatCode>
                <c:ptCount val="11"/>
                <c:pt idx="0">
                  <c:v>8.8627668963367903</c:v>
                </c:pt>
                <c:pt idx="1">
                  <c:v>8.1584281824648208</c:v>
                </c:pt>
                <c:pt idx="2">
                  <c:v>10.732481107119799</c:v>
                </c:pt>
                <c:pt idx="3">
                  <c:v>12.854151677206</c:v>
                </c:pt>
                <c:pt idx="4">
                  <c:v>11.0030596078371</c:v>
                </c:pt>
                <c:pt idx="5">
                  <c:v>11.158304828372501</c:v>
                </c:pt>
                <c:pt idx="6">
                  <c:v>11.6161526465338</c:v>
                </c:pt>
                <c:pt idx="7">
                  <c:v>10.718748384691301</c:v>
                </c:pt>
                <c:pt idx="8">
                  <c:v>10.0475431140319</c:v>
                </c:pt>
                <c:pt idx="9">
                  <c:v>11.298990980317701</c:v>
                </c:pt>
                <c:pt idx="10">
                  <c:v>10.439132776390224</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948008064"/>
        <c:axId val="948009600"/>
      </c:lineChart>
      <c:catAx>
        <c:axId val="948008064"/>
        <c:scaling>
          <c:orientation val="minMax"/>
        </c:scaling>
        <c:delete val="0"/>
        <c:axPos val="b"/>
        <c:numFmt formatCode="General" sourceLinked="1"/>
        <c:majorTickMark val="out"/>
        <c:minorTickMark val="none"/>
        <c:tickLblPos val="nextTo"/>
        <c:crossAx val="948009600"/>
        <c:crosses val="autoZero"/>
        <c:auto val="1"/>
        <c:lblAlgn val="ctr"/>
        <c:lblOffset val="100"/>
        <c:noMultiLvlLbl val="0"/>
      </c:catAx>
      <c:valAx>
        <c:axId val="948009600"/>
        <c:scaling>
          <c:orientation val="minMax"/>
        </c:scaling>
        <c:delete val="0"/>
        <c:axPos val="l"/>
        <c:majorGridlines>
          <c:spPr>
            <a:ln w="3175">
              <a:prstDash val="sysDot"/>
            </a:ln>
          </c:spPr>
        </c:majorGridlines>
        <c:numFmt formatCode="#,##0.00" sourceLinked="1"/>
        <c:majorTickMark val="out"/>
        <c:minorTickMark val="none"/>
        <c:tickLblPos val="nextTo"/>
        <c:crossAx val="948008064"/>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u250kW'!$K$48</c:f>
          <c:strCache>
            <c:ptCount val="1"/>
            <c:pt idx="0">
              <c:v>Operating profit per kW day at sea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'South West beamers u250kW'!$D$2:$N$2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'South West beamers u250kW'!$D$24:$N$24</c:f>
              <c:numCache>
                <c:formatCode>#,##0.00</c:formatCode>
                <c:ptCount val="11"/>
                <c:pt idx="0">
                  <c:v>4.7307241087866901E-2</c:v>
                </c:pt>
                <c:pt idx="1">
                  <c:v>0.96855449875915101</c:v>
                </c:pt>
                <c:pt idx="2">
                  <c:v>0.43738389795948701</c:v>
                </c:pt>
                <c:pt idx="3">
                  <c:v>0.517425864261715</c:v>
                </c:pt>
                <c:pt idx="4">
                  <c:v>1.79239176512708</c:v>
                </c:pt>
                <c:pt idx="5">
                  <c:v>0.76187420822887397</c:v>
                </c:pt>
                <c:pt idx="6">
                  <c:v>0.64660031166300502</c:v>
                </c:pt>
                <c:pt idx="7">
                  <c:v>1.70351554671531</c:v>
                </c:pt>
                <c:pt idx="8">
                  <c:v>3.1850293676644199</c:v>
                </c:pt>
                <c:pt idx="9">
                  <c:v>3.7670266065276401</c:v>
                </c:pt>
                <c:pt idx="10">
                  <c:v>3.0780829980888069</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48896128"/>
        <c:axId val="948897664"/>
      </c:lineChart>
      <c:catAx>
        <c:axId val="948896128"/>
        <c:scaling>
          <c:orientation val="minMax"/>
        </c:scaling>
        <c:delete val="0"/>
        <c:axPos val="b"/>
        <c:numFmt formatCode="General" sourceLinked="1"/>
        <c:majorTickMark val="out"/>
        <c:minorTickMark val="none"/>
        <c:tickLblPos val="nextTo"/>
        <c:crossAx val="948897664"/>
        <c:crosses val="autoZero"/>
        <c:auto val="1"/>
        <c:lblAlgn val="ctr"/>
        <c:lblOffset val="100"/>
        <c:noMultiLvlLbl val="0"/>
      </c:catAx>
      <c:valAx>
        <c:axId val="948897664"/>
        <c:scaling>
          <c:orientation val="minMax"/>
        </c:scaling>
        <c:delete val="0"/>
        <c:axPos val="l"/>
        <c:majorGridlines>
          <c:spPr>
            <a:ln w="3175">
              <a:prstDash val="sysDot"/>
            </a:ln>
          </c:spPr>
        </c:majorGridlines>
        <c:numFmt formatCode="#,##0.00" sourceLinked="1"/>
        <c:majorTickMark val="out"/>
        <c:minorTickMark val="none"/>
        <c:tickLblPos val="nextTo"/>
        <c:crossAx val="948896128"/>
        <c:crosses val="autoZero"/>
        <c:crossBetween val="between"/>
      </c:valAx>
    </c:plotArea>
    <c:plotVisOnly val="0"/>
    <c:dispBlanksAs val="gap"/>
    <c:showDLblsOverMax val="0"/>
  </c:chart>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u250kW'!$A$50</c:f>
          <c:strCache>
            <c:ptCount val="1"/>
            <c:pt idx="0">
              <c:v>Average price per tonne landed (£)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'South West beamers u250kW'!$D$2:$N$2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'South West beamers u250kW'!$D$20:$N$20</c:f>
              <c:numCache>
                <c:formatCode>#,##0</c:formatCode>
                <c:ptCount val="11"/>
                <c:pt idx="0">
                  <c:v>3243</c:v>
                </c:pt>
                <c:pt idx="1">
                  <c:v>3186</c:v>
                </c:pt>
                <c:pt idx="2">
                  <c:v>3224</c:v>
                </c:pt>
                <c:pt idx="3">
                  <c:v>3509</c:v>
                </c:pt>
                <c:pt idx="4">
                  <c:v>2858</c:v>
                </c:pt>
                <c:pt idx="5">
                  <c:v>2725</c:v>
                </c:pt>
                <c:pt idx="6">
                  <c:v>2817</c:v>
                </c:pt>
                <c:pt idx="7">
                  <c:v>2609</c:v>
                </c:pt>
                <c:pt idx="8">
                  <c:v>3240</c:v>
                </c:pt>
                <c:pt idx="9">
                  <c:v>3635</c:v>
                </c:pt>
                <c:pt idx="10">
                  <c:v>3570</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48944256"/>
        <c:axId val="948946048"/>
      </c:lineChart>
      <c:catAx>
        <c:axId val="948944256"/>
        <c:scaling>
          <c:orientation val="minMax"/>
        </c:scaling>
        <c:delete val="0"/>
        <c:axPos val="b"/>
        <c:numFmt formatCode="General" sourceLinked="1"/>
        <c:majorTickMark val="out"/>
        <c:minorTickMark val="none"/>
        <c:tickLblPos val="nextTo"/>
        <c:crossAx val="948946048"/>
        <c:crosses val="autoZero"/>
        <c:auto val="1"/>
        <c:lblAlgn val="ctr"/>
        <c:lblOffset val="100"/>
        <c:noMultiLvlLbl val="0"/>
      </c:catAx>
      <c:valAx>
        <c:axId val="948946048"/>
        <c:scaling>
          <c:orientation val="minMax"/>
        </c:scaling>
        <c:delete val="0"/>
        <c:axPos val="l"/>
        <c:majorGridlines>
          <c:spPr>
            <a:ln w="3175">
              <a:prstDash val="sysDot"/>
            </a:ln>
          </c:spPr>
        </c:majorGridlines>
        <c:numFmt formatCode="#,##0" sourceLinked="1"/>
        <c:majorTickMark val="out"/>
        <c:minorTickMark val="none"/>
        <c:tickLblPos val="nextTo"/>
        <c:crossAx val="948944256"/>
        <c:crosses val="autoZero"/>
        <c:crossBetween val="between"/>
      </c:valAx>
    </c:plotArea>
    <c:plotVisOnly val="0"/>
    <c:dispBlanksAs val="gap"/>
    <c:showDLblsOverMax val="0"/>
  </c:chart>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u250kW'!$K$62</c:f>
          <c:strCache>
            <c:ptCount val="1"/>
            <c:pt idx="0">
              <c:v>Average annual operating profit per vessel (£'000)
South West beamers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'South West beamers u250kW'!$D$2:$N$2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'South West beamers u250kW'!$D$37:$N$37</c:f>
              <c:numCache>
                <c:formatCode>#,##0.0</c:formatCode>
                <c:ptCount val="11"/>
                <c:pt idx="0">
                  <c:v>2.2999999999999998</c:v>
                </c:pt>
                <c:pt idx="1">
                  <c:v>45.6</c:v>
                </c:pt>
                <c:pt idx="2">
                  <c:v>23.1</c:v>
                </c:pt>
                <c:pt idx="3">
                  <c:v>24.3</c:v>
                </c:pt>
                <c:pt idx="4">
                  <c:v>95.2</c:v>
                </c:pt>
                <c:pt idx="5">
                  <c:v>41.3</c:v>
                </c:pt>
                <c:pt idx="6">
                  <c:v>33.9</c:v>
                </c:pt>
                <c:pt idx="7">
                  <c:v>82.8</c:v>
                </c:pt>
                <c:pt idx="8">
                  <c:v>163.1</c:v>
                </c:pt>
                <c:pt idx="9">
                  <c:v>188.3</c:v>
                </c:pt>
                <c:pt idx="10">
                  <c:v>147.5</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49226112"/>
        <c:axId val="949236096"/>
      </c:lineChart>
      <c:catAx>
        <c:axId val="949226112"/>
        <c:scaling>
          <c:orientation val="minMax"/>
        </c:scaling>
        <c:delete val="0"/>
        <c:axPos val="b"/>
        <c:numFmt formatCode="General" sourceLinked="1"/>
        <c:majorTickMark val="out"/>
        <c:minorTickMark val="none"/>
        <c:tickLblPos val="nextTo"/>
        <c:crossAx val="949236096"/>
        <c:crosses val="autoZero"/>
        <c:auto val="1"/>
        <c:lblAlgn val="ctr"/>
        <c:lblOffset val="100"/>
        <c:noMultiLvlLbl val="0"/>
      </c:catAx>
      <c:valAx>
        <c:axId val="949236096"/>
        <c:scaling>
          <c:orientation val="minMax"/>
        </c:scaling>
        <c:delete val="0"/>
        <c:axPos val="l"/>
        <c:majorGridlines>
          <c:spPr>
            <a:ln w="3175">
              <a:prstDash val="sysDot"/>
            </a:ln>
          </c:spPr>
        </c:majorGridlines>
        <c:numFmt formatCode="#,##0.0" sourceLinked="1"/>
        <c:majorTickMark val="out"/>
        <c:minorTickMark val="none"/>
        <c:tickLblPos val="nextTo"/>
        <c:crossAx val="949226112"/>
        <c:crosses val="autoZero"/>
        <c:crossBetween val="between"/>
      </c:valAx>
    </c:plotArea>
    <c:plotVisOnly val="0"/>
    <c:dispBlanksAs val="gap"/>
    <c:showDLblsOverMax val="0"/>
  </c:chart>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u250kW'!$A$76</c:f>
          <c:strCache>
            <c:ptCount val="1"/>
            <c:pt idx="0">
              <c:v>Top 5 landed species by volume in 2017
South West beamers under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C1D119"/>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648C2E"/>
              </a:solidFill>
              <a:ln>
                <a:solidFill>
                  <a:srgbClr val="FFFFFF"/>
                </a:solidFill>
              </a:ln>
            </c:spPr>
          </c:dPt>
          <c:dPt>
            <c:idx val="3"/>
            <c:bubble3D val="0"/>
            <c:spPr>
              <a:solidFill>
                <a:srgbClr val="E87308"/>
              </a:solidFill>
              <a:ln>
                <a:solidFill>
                  <a:srgbClr val="FFFFFF"/>
                </a:solidFill>
              </a:ln>
            </c:spPr>
          </c:dPt>
          <c:dPt>
            <c:idx val="4"/>
            <c:bubble3D val="0"/>
            <c:spPr>
              <a:solidFill>
                <a:srgbClr val="0F9AA9"/>
              </a:solidFill>
              <a:ln>
                <a:solidFill>
                  <a:srgbClr val="FFFFFF"/>
                </a:solidFill>
              </a:ln>
            </c:spPr>
          </c:dPt>
          <c:dPt>
            <c:idx val="5"/>
            <c:bubble3D val="0"/>
            <c:spPr>
              <a:solidFill>
                <a:srgbClr val="55585A"/>
              </a:solidFill>
              <a:ln>
                <a:solidFill>
                  <a:srgbClr val="FFFFFF"/>
                </a:solidFill>
              </a:ln>
            </c:spPr>
          </c:dPt>
          <c:cat>
            <c:strRef>
              <c:f>'South West beamers u250kW'!$B$77:$B$82</c:f>
              <c:strCache>
                <c:ptCount val="6"/>
                <c:pt idx="0">
                  <c:v>Cuttlefish - 31.4%</c:v>
                </c:pt>
                <c:pt idx="1">
                  <c:v>Plaice - 16.2%</c:v>
                </c:pt>
                <c:pt idx="2">
                  <c:v>Anglerfish - 10.7%</c:v>
                </c:pt>
                <c:pt idx="3">
                  <c:v>Sole - 9.5%</c:v>
                </c:pt>
                <c:pt idx="4">
                  <c:v>Scallops - 5.4%</c:v>
                </c:pt>
                <c:pt idx="5">
                  <c:v>Others - 26.7%</c:v>
                </c:pt>
              </c:strCache>
            </c:strRef>
          </c:cat>
          <c:val>
            <c:numRef>
              <c:f>'South West beamers u250kW'!$C$77:$C$82</c:f>
              <c:numCache>
                <c:formatCode>0.0%</c:formatCode>
                <c:ptCount val="6"/>
                <c:pt idx="0">
                  <c:v>0.31432531048648665</c:v>
                </c:pt>
                <c:pt idx="1">
                  <c:v>0.16177895388784011</c:v>
                </c:pt>
                <c:pt idx="2">
                  <c:v>0.10732192738776598</c:v>
                </c:pt>
                <c:pt idx="3">
                  <c:v>9.5294579490367695E-2</c:v>
                </c:pt>
                <c:pt idx="4">
                  <c:v>5.3960336224323217E-2</c:v>
                </c:pt>
                <c:pt idx="5">
                  <c:v>0.26731889252321639</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'South West beamers u250kW'!$F$76</c:f>
          <c:strCache>
            <c:ptCount val="1"/>
            <c:pt idx="0">
              <c:v>Top 5 landed species by value in 2017
South West beamers under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'South West beamers u250kW'!$G$77:$G$82</c:f>
              <c:strCache>
                <c:ptCount val="6"/>
                <c:pt idx="0">
                  <c:v>Cuttlefish - 32.0%</c:v>
                </c:pt>
                <c:pt idx="1">
                  <c:v>Sole - 27.2%</c:v>
                </c:pt>
                <c:pt idx="2">
                  <c:v>Anglerfish - 9.3%</c:v>
                </c:pt>
                <c:pt idx="3">
                  <c:v>Plaice - 7.0%</c:v>
                </c:pt>
                <c:pt idx="4">
                  <c:v>Turbot - 4.9%</c:v>
                </c:pt>
                <c:pt idx="5">
                  <c:v>Others - 19.5%</c:v>
                </c:pt>
              </c:strCache>
            </c:strRef>
          </c:cat>
          <c:val>
            <c:numRef>
              <c:f>'South West beamers u250kW'!$H$77:$H$82</c:f>
              <c:numCache>
                <c:formatCode>0.0%</c:formatCode>
                <c:ptCount val="6"/>
                <c:pt idx="0">
                  <c:v>0.32023519744373052</c:v>
                </c:pt>
                <c:pt idx="1">
                  <c:v>0.27223885926658448</c:v>
                </c:pt>
                <c:pt idx="2">
                  <c:v>9.2816538249853961E-2</c:v>
                </c:pt>
                <c:pt idx="3">
                  <c:v>7.0313613493307101E-2</c:v>
                </c:pt>
                <c:pt idx="4">
                  <c:v>4.893626673533865E-2</c:v>
                </c:pt>
                <c:pt idx="5">
                  <c:v>0.19545952481118523</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'South West beamers u250kW'!$C$92</c:f>
              <c:strCache>
                <c:ptCount val="1"/>
                <c:pt idx="0">
                  <c:v>Cuttlefish</c:v>
                </c:pt>
              </c:strCache>
            </c:strRef>
          </c:tx>
          <c:spPr>
            <a:solidFill>
              <a:srgbClr val="2273B9"/>
            </a:solidFill>
            <a:ln>
              <a:solidFill>
                <a:srgbClr val="FFFFFF"/>
              </a:solidFill>
            </a:ln>
          </c:spPr>
          <c:invertIfNegative val="0"/>
          <c:cat>
            <c:numRef>
              <c:f>'South West beamers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'South West beamers u250kW'!$D$92:$M$92</c:f>
              <c:numCache>
                <c:formatCode>0%</c:formatCode>
                <c:ptCount val="10"/>
                <c:pt idx="0">
                  <c:v>8.086246780013949E-2</c:v>
                </c:pt>
                <c:pt idx="1">
                  <c:v>0.14007208780597025</c:v>
                </c:pt>
                <c:pt idx="2">
                  <c:v>0.18708206644291148</c:v>
                </c:pt>
                <c:pt idx="3">
                  <c:v>0.22384681641890572</c:v>
                </c:pt>
                <c:pt idx="4">
                  <c:v>0.1766973012290359</c:v>
                </c:pt>
                <c:pt idx="5">
                  <c:v>0.13221071188071332</c:v>
                </c:pt>
                <c:pt idx="6">
                  <c:v>0.21384471077836212</c:v>
                </c:pt>
                <c:pt idx="7">
                  <c:v>0.20228788958969762</c:v>
                </c:pt>
                <c:pt idx="8">
                  <c:v>0.32023519744373052</c:v>
                </c:pt>
                <c:pt idx="9">
                  <c:v>0.23084533951850805</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'South West beamers u250kW'!$C$93</c:f>
              <c:strCache>
                <c:ptCount val="1"/>
                <c:pt idx="0">
                  <c:v>Sole</c:v>
                </c:pt>
              </c:strCache>
            </c:strRef>
          </c:tx>
          <c:spPr>
            <a:solidFill>
              <a:srgbClr val="E87308"/>
            </a:solidFill>
            <a:ln>
              <a:solidFill>
                <a:srgbClr val="FFFFFF"/>
              </a:solidFill>
            </a:ln>
          </c:spPr>
          <c:invertIfNegative val="0"/>
          <c:cat>
            <c:numRef>
              <c:f>'South West beamers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'South West beamers u250kW'!$D$93:$M$93</c:f>
              <c:numCache>
                <c:formatCode>0%</c:formatCode>
                <c:ptCount val="10"/>
                <c:pt idx="0">
                  <c:v>0.45275829143524465</c:v>
                </c:pt>
                <c:pt idx="1">
                  <c:v>0.40240199308359392</c:v>
                </c:pt>
                <c:pt idx="2">
                  <c:v>0.33156660992514703</c:v>
                </c:pt>
                <c:pt idx="3">
                  <c:v>0.29406838089216569</c:v>
                </c:pt>
                <c:pt idx="4">
                  <c:v>0.30145441913556698</c:v>
                </c:pt>
                <c:pt idx="5">
                  <c:v>0.31327666193874859</c:v>
                </c:pt>
                <c:pt idx="6">
                  <c:v>0.249869726285287</c:v>
                </c:pt>
                <c:pt idx="7">
                  <c:v>0.30845283126236539</c:v>
                </c:pt>
                <c:pt idx="8">
                  <c:v>0.27223885926658448</c:v>
                </c:pt>
                <c:pt idx="9">
                  <c:v>0.30769114425855748</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'South West beamers u250kW'!$C$94</c:f>
              <c:strCache>
                <c:ptCount val="1"/>
                <c:pt idx="0">
                  <c:v>Anglerfish</c:v>
                </c:pt>
              </c:strCache>
            </c:strRef>
          </c:tx>
          <c:spPr>
            <a:solidFill>
              <a:srgbClr val="648C2E"/>
            </a:solidFill>
            <a:ln>
              <a:solidFill>
                <a:srgbClr val="FFFFFF"/>
              </a:solidFill>
            </a:ln>
          </c:spPr>
          <c:invertIfNegative val="0"/>
          <c:cat>
            <c:numRef>
              <c:f>'South West beamers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'South West beamers u250kW'!$D$94:$M$94</c:f>
              <c:numCache>
                <c:formatCode>0%</c:formatCode>
                <c:ptCount val="10"/>
                <c:pt idx="0">
                  <c:v>9.5852401431500006E-2</c:v>
                </c:pt>
                <c:pt idx="1">
                  <c:v>0.12724607025407647</c:v>
                </c:pt>
                <c:pt idx="2">
                  <c:v>0.14822174683036446</c:v>
                </c:pt>
                <c:pt idx="3">
                  <c:v>0.14256844405533975</c:v>
                </c:pt>
                <c:pt idx="4">
                  <c:v>0.16006378193680476</c:v>
                </c:pt>
                <c:pt idx="5">
                  <c:v>0.15584372871393073</c:v>
                </c:pt>
                <c:pt idx="6">
                  <c:v>0.13602908656050966</c:v>
                </c:pt>
                <c:pt idx="7">
                  <c:v>0.13059844942228363</c:v>
                </c:pt>
                <c:pt idx="8">
                  <c:v>9.2816538249853961E-2</c:v>
                </c:pt>
                <c:pt idx="9">
                  <c:v>8.0712681003342612E-2</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'South West beamers u250kW'!$C$95</c:f>
              <c:strCache>
                <c:ptCount val="1"/>
                <c:pt idx="0">
                  <c:v>Plaice</c:v>
                </c:pt>
              </c:strCache>
            </c:strRef>
          </c:tx>
          <c:spPr>
            <a:solidFill>
              <a:srgbClr val="C1D119"/>
            </a:solidFill>
            <a:ln>
              <a:solidFill>
                <a:srgbClr val="FFFFFF"/>
              </a:solidFill>
            </a:ln>
          </c:spPr>
          <c:invertIfNegative val="0"/>
          <c:cat>
            <c:numRef>
              <c:f>'South West beamers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'South West beamers u250kW'!$D$95:$M$95</c:f>
              <c:numCache>
                <c:formatCode>0%</c:formatCode>
                <c:ptCount val="10"/>
                <c:pt idx="0">
                  <c:v>8.2830863352137046E-2</c:v>
                </c:pt>
                <c:pt idx="1">
                  <c:v>6.6601642060057795E-2</c:v>
                </c:pt>
                <c:pt idx="2">
                  <c:v>6.0442343814953545E-2</c:v>
                </c:pt>
                <c:pt idx="3">
                  <c:v>5.3407606103133838E-2</c:v>
                </c:pt>
                <c:pt idx="4">
                  <c:v>5.2158610912627544E-2</c:v>
                </c:pt>
                <c:pt idx="6">
                  <c:v>5.8053617621774058E-2</c:v>
                </c:pt>
                <c:pt idx="7">
                  <c:v>6.8758930702755891E-2</c:v>
                </c:pt>
                <c:pt idx="8">
                  <c:v>7.0313613493307101E-2</c:v>
                </c:pt>
                <c:pt idx="9">
                  <c:v>8.9849243774235685E-2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'South West beamers u250kW'!$C$96</c:f>
              <c:strCache>
                <c:ptCount val="1"/>
                <c:pt idx="0">
                  <c:v>Turbot</c:v>
                </c:pt>
              </c:strCache>
            </c:strRef>
          </c:tx>
          <c:spPr>
            <a:solidFill>
              <a:srgbClr val="E84A38"/>
            </a:solidFill>
            <a:ln>
              <a:solidFill>
                <a:srgbClr val="FFFFFF"/>
              </a:solidFill>
            </a:ln>
          </c:spPr>
          <c:invertIfNegative val="0"/>
          <c:cat>
            <c:numRef>
              <c:f>'South West beamers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'South West beamers u250kW'!$D$96:$M$96</c:f>
              <c:numCache>
                <c:formatCode>0%</c:formatCode>
                <c:ptCount val="10"/>
                <c:pt idx="8">
                  <c:v>4.893626673533865E-2</c:v>
                </c:pt>
                <c:pt idx="9">
                  <c:v>5.0217620401693121E-2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'South West beamers u250kW'!$C$97</c:f>
              <c:strCache>
                <c:ptCount val="1"/>
                <c:pt idx="0">
                  <c:v>Scallops</c:v>
                </c:pt>
              </c:strCache>
            </c:strRef>
          </c:tx>
          <c:spPr>
            <a:solidFill>
              <a:srgbClr val="0F9AA9"/>
            </a:solidFill>
            <a:ln>
              <a:solidFill>
                <a:srgbClr val="FFFFFF"/>
              </a:solidFill>
            </a:ln>
          </c:spPr>
          <c:invertIfNegative val="0"/>
          <c:cat>
            <c:numRef>
              <c:f>'South West beamers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'South West beamers u250kW'!$D$97:$M$97</c:f>
              <c:numCache>
                <c:formatCode>0%</c:formatCode>
                <c:ptCount val="10"/>
                <c:pt idx="0">
                  <c:v>5.534881723705834E-2</c:v>
                </c:pt>
                <c:pt idx="1">
                  <c:v>7.4243760705418924E-2</c:v>
                </c:pt>
                <c:pt idx="2">
                  <c:v>4.7239726205152002E-2</c:v>
                </c:pt>
                <c:pt idx="3">
                  <c:v>4.362686323507322E-2</c:v>
                </c:pt>
                <c:pt idx="4">
                  <c:v>5.7940910727911209E-2</c:v>
                </c:pt>
                <c:pt idx="5">
                  <c:v>7.156080587492529E-2</c:v>
                </c:pt>
                <c:pt idx="6">
                  <c:v>8.3039232908570543E-2</c:v>
                </c:pt>
                <c:pt idx="7">
                  <c:v>5.9237091732385019E-2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'South West beamers u250kW'!$C$98</c:f>
              <c:strCache>
                <c:ptCount val="1"/>
                <c:pt idx="0">
                  <c:v>Lemon Sole</c:v>
                </c:pt>
              </c:strCache>
            </c:strRef>
          </c:tx>
          <c:spPr>
            <a:solidFill>
              <a:srgbClr val="FED825"/>
            </a:solidFill>
            <a:ln>
              <a:solidFill>
                <a:srgbClr val="FFFFFF"/>
              </a:solidFill>
            </a:ln>
          </c:spPr>
          <c:invertIfNegative val="0"/>
          <c:cat>
            <c:numRef>
              <c:f>'South West beamers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'South West beamers u250kW'!$D$98:$M$98</c:f>
              <c:numCache>
                <c:formatCode>0%</c:formatCode>
                <c:ptCount val="10"/>
                <c:pt idx="5">
                  <c:v>6.1823384450716522E-2</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'South West beamers u250kW'!$C$99</c:f>
              <c:strCache>
                <c:ptCount val="1"/>
                <c:pt idx="0">
                  <c:v>Others</c:v>
                </c:pt>
              </c:strCache>
            </c:strRef>
          </c:tx>
          <c:spPr>
            <a:solidFill>
              <a:srgbClr val="55585A"/>
            </a:solidFill>
            <a:ln>
              <a:solidFill>
                <a:srgbClr val="FFFFFF"/>
              </a:solidFill>
            </a:ln>
          </c:spPr>
          <c:invertIfNegative val="0"/>
          <c:cat>
            <c:numRef>
              <c:f>'South West beamers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'South West beamers u250kW'!$D$99:$M$99</c:f>
              <c:numCache>
                <c:formatCode>0%</c:formatCode>
                <c:ptCount val="10"/>
                <c:pt idx="0">
                  <c:v>0.23234715874392045</c:v>
                </c:pt>
                <c:pt idx="1">
                  <c:v>0.18943444609088264</c:v>
                </c:pt>
                <c:pt idx="2">
                  <c:v>0.22544750678147146</c:v>
                </c:pt>
                <c:pt idx="3">
                  <c:v>0.24248188929538181</c:v>
                </c:pt>
                <c:pt idx="4">
                  <c:v>0.25168497605805357</c:v>
                </c:pt>
                <c:pt idx="5">
                  <c:v>0.26528470714096553</c:v>
                </c:pt>
                <c:pt idx="6">
                  <c:v>0.25916362584549663</c:v>
                </c:pt>
                <c:pt idx="7">
                  <c:v>0.23066480729051245</c:v>
                </c:pt>
                <c:pt idx="8">
                  <c:v>0.19545952481118534</c:v>
                </c:pt>
                <c:pt idx="9">
                  <c:v>0.24068397104366304</c:v>
                </c:pt>
              </c:numCache>
            </c:numRef>
          </c:val>
          <c:extLst xmlns:c16r2="http://schemas.microsoft.com/office/drawing/2015/06/chart">
            <c:ext xmlns:c16="http://schemas.microsoft.com/office/drawing/2014/chart" uri="{C3380CC4-5D6E-409C-BE32-E72D297353CC}">
              <c16:uniqueId val="{00000007-282A-42F3-A8CE-7B6B063B5E4F}"/>
            </c:ext>
          </c:extLst>
        </c:ser>
        <c:dLbls>
          <c:showLegendKey val="0"/>
          <c:showVal val="0"/>
          <c:showCatName val="0"/>
          <c:showSerName val="0"/>
          <c:showPercent val="0"/>
          <c:showBubbleSize val="0"/>
        </c:dLbls>
        <c:gapWidth val="150"/>
        <c:overlap val="100"/>
        <c:axId val="949108736"/>
        <c:axId val="949110272"/>
      </c:barChart>
      <c:catAx>
        <c:axId val="949108736"/>
        <c:scaling>
          <c:orientation val="minMax"/>
        </c:scaling>
        <c:delete val="0"/>
        <c:axPos val="b"/>
        <c:numFmt formatCode="General" sourceLinked="1"/>
        <c:majorTickMark val="out"/>
        <c:minorTickMark val="none"/>
        <c:tickLblPos val="nextTo"/>
        <c:crossAx val="949110272"/>
        <c:crosses val="autoZero"/>
        <c:auto val="1"/>
        <c:lblAlgn val="ctr"/>
        <c:lblOffset val="100"/>
        <c:noMultiLvlLbl val="0"/>
      </c:catAx>
      <c:valAx>
        <c:axId val="949110272"/>
        <c:scaling>
          <c:orientation val="minMax"/>
          <c:max val="1"/>
          <c:min val="0"/>
        </c:scaling>
        <c:delete val="0"/>
        <c:axPos val="l"/>
        <c:majorGridlines/>
        <c:numFmt formatCode="0%" sourceLinked="1"/>
        <c:majorTickMark val="out"/>
        <c:minorTickMark val="none"/>
        <c:tickLblPos val="nextTo"/>
        <c:crossAx val="949108736"/>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'South West beamers u250kW'!$B$162</c:f>
              <c:strCache>
                <c:ptCount val="1"/>
                <c:pt idx="0">
                  <c:v>Cuttlefish</c:v>
                </c:pt>
              </c:strCache>
            </c:strRef>
          </c:tx>
          <c:spPr>
            <a:solidFill>
              <a:srgbClr val="2273B9"/>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u250kW'!$C$162:$E$162</c:f>
              <c:numCache>
                <c:formatCode>0%</c:formatCode>
                <c:ptCount val="3"/>
                <c:pt idx="0">
                  <c:v>0.32635951537972757</c:v>
                </c:pt>
                <c:pt idx="1">
                  <c:v>0.23483358334685406</c:v>
                </c:pt>
                <c:pt idx="2">
                  <c:v>0.36421490090660907</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'South West beamers u250kW'!$B$163</c:f>
              <c:strCache>
                <c:ptCount val="1"/>
                <c:pt idx="0">
                  <c:v>Anglerfish</c:v>
                </c:pt>
              </c:strCache>
            </c:strRef>
          </c:tx>
          <c:spPr>
            <a:solidFill>
              <a:srgbClr val="648C2E"/>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u250kW'!$C$163:$E$163</c:f>
              <c:numCache>
                <c:formatCode>0%</c:formatCode>
                <c:ptCount val="3"/>
                <c:pt idx="0">
                  <c:v>0.11655255123952082</c:v>
                </c:pt>
                <c:pt idx="1">
                  <c:v>0.19099194963284946</c:v>
                </c:pt>
                <c:pt idx="2">
                  <c:v>6.447632538696807E-2</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'South West beamers u250kW'!$B$164</c:f>
              <c:strCache>
                <c:ptCount val="1"/>
                <c:pt idx="0">
                  <c:v>Plaice</c:v>
                </c:pt>
              </c:strCache>
            </c:strRef>
          </c:tx>
          <c:spPr>
            <a:solidFill>
              <a:srgbClr val="C1D119"/>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u250kW'!$C$164:$E$164</c:f>
              <c:numCache>
                <c:formatCode>0%</c:formatCode>
                <c:ptCount val="3"/>
                <c:pt idx="0">
                  <c:v>0.15128627849345114</c:v>
                </c:pt>
                <c:pt idx="1">
                  <c:v>0.16944622212356261</c:v>
                </c:pt>
                <c:pt idx="2">
                  <c:v>0.16890381440213992</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'South West beamers u250kW'!$B$165</c:f>
              <c:strCache>
                <c:ptCount val="1"/>
                <c:pt idx="0">
                  <c:v>Sole</c:v>
                </c:pt>
              </c:strCache>
            </c:strRef>
          </c:tx>
          <c:spPr>
            <a:solidFill>
              <a:srgbClr val="E87308"/>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u250kW'!$C$165:$E$165</c:f>
              <c:numCache>
                <c:formatCode>0%</c:formatCode>
                <c:ptCount val="3"/>
                <c:pt idx="0">
                  <c:v>9.0209265656076787E-2</c:v>
                </c:pt>
                <c:pt idx="1">
                  <c:v>0.11430362125505195</c:v>
                </c:pt>
                <c:pt idx="2">
                  <c:v>8.0037564031684896E-2</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'South West beamers u250kW'!$B$166</c:f>
              <c:strCache>
                <c:ptCount val="1"/>
                <c:pt idx="0">
                  <c:v>Scallops</c:v>
                </c:pt>
              </c:strCache>
            </c:strRef>
          </c:tx>
          <c:spPr>
            <a:solidFill>
              <a:srgbClr val="0F9AA9"/>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u250kW'!$C$166:$E$166</c:f>
              <c:numCache>
                <c:formatCode>0%</c:formatCode>
                <c:ptCount val="3"/>
                <c:pt idx="0">
                  <c:v>0</c:v>
                </c:pt>
                <c:pt idx="1">
                  <c:v>9.3887109090834003E-2</c:v>
                </c:pt>
                <c:pt idx="2">
                  <c:v>7.6876812602797218E-2</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'South West beamers u250kW'!$B$167</c:f>
              <c:strCache>
                <c:ptCount val="1"/>
                <c:pt idx="0">
                  <c:v>Gurnard</c:v>
                </c:pt>
              </c:strCache>
            </c:strRef>
          </c:tx>
          <c:spPr>
            <a:solidFill>
              <a:srgbClr val="707271"/>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u250kW'!$C$167:$E$167</c:f>
              <c:numCache>
                <c:formatCode>0%</c:formatCode>
                <c:ptCount val="3"/>
                <c:pt idx="0">
                  <c:v>5.5395065430730236E-2</c:v>
                </c:pt>
                <c:pt idx="1">
                  <c:v>0</c:v>
                </c:pt>
                <c:pt idx="2">
                  <c:v>0</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'South West beamers u250kW'!$B$168</c:f>
              <c:strCache>
                <c:ptCount val="1"/>
                <c:pt idx="0">
                  <c:v>Others</c:v>
                </c:pt>
              </c:strCache>
            </c:strRef>
          </c:tx>
          <c:spPr>
            <a:solidFill>
              <a:srgbClr val="55585A"/>
            </a:solidFill>
            <a:ln>
              <a:solidFill>
                <a:srgbClr val="FFFFFF"/>
              </a:solidFill>
            </a:ln>
          </c:spPr>
          <c:invertIfNegative val="0"/>
          <c:cat>
            <c:strRef>
              <c:f>'South West beamers u250kW'!$C$161:$E$161</c:f>
              <c:strCache>
                <c:ptCount val="3"/>
                <c:pt idx="0">
                  <c:v>Most
profitable
quartile</c:v>
                </c:pt>
                <c:pt idx="1">
                  <c:v>Middle 
two quartiles</c:v>
                </c:pt>
                <c:pt idx="2">
                  <c:v>Least
profitable
quartile</c:v>
                </c:pt>
              </c:strCache>
            </c:strRef>
          </c:cat>
          <c:val>
            <c:numRef>
              <c:f>'South West beamers u250kW'!$C$168:$E$168</c:f>
              <c:numCache>
                <c:formatCode>0%</c:formatCode>
                <c:ptCount val="3"/>
                <c:pt idx="0">
                  <c:v>0.26019732380049343</c:v>
                </c:pt>
                <c:pt idx="1">
                  <c:v>0.19653751455084789</c:v>
                </c:pt>
                <c:pt idx="2">
                  <c:v>0.24549058266980084</c:v>
                </c:pt>
              </c:numCache>
            </c:numRef>
          </c:val>
          <c:extLst xmlns:c16r2="http://schemas.microsoft.com/office/drawing/2015/06/chart">
            <c:ext xmlns:c16="http://schemas.microsoft.com/office/drawing/2014/chart" uri="{C3380CC4-5D6E-409C-BE32-E72D297353CC}">
              <c16:uniqueId val="{00000006-DFDD-4C01-8393-1BE532AE55F9}"/>
            </c:ext>
          </c:extLst>
        </c:ser>
        <c:dLbls>
          <c:showLegendKey val="0"/>
          <c:showVal val="0"/>
          <c:showCatName val="0"/>
          <c:showSerName val="0"/>
          <c:showPercent val="0"/>
          <c:showBubbleSize val="0"/>
        </c:dLbls>
        <c:gapWidth val="150"/>
        <c:overlap val="100"/>
        <c:axId val="949171712"/>
        <c:axId val="949173248"/>
      </c:barChart>
      <c:catAx>
        <c:axId val="949171712"/>
        <c:scaling>
          <c:orientation val="minMax"/>
        </c:scaling>
        <c:delete val="0"/>
        <c:axPos val="b"/>
        <c:numFmt formatCode="General" sourceLinked="0"/>
        <c:majorTickMark val="out"/>
        <c:minorTickMark val="none"/>
        <c:tickLblPos val="nextTo"/>
        <c:crossAx val="949173248"/>
        <c:crosses val="autoZero"/>
        <c:auto val="1"/>
        <c:lblAlgn val="ctr"/>
        <c:lblOffset val="100"/>
        <c:noMultiLvlLbl val="0"/>
      </c:catAx>
      <c:valAx>
        <c:axId val="949173248"/>
        <c:scaling>
          <c:orientation val="minMax"/>
          <c:max val="1"/>
          <c:min val="0"/>
        </c:scaling>
        <c:delete val="0"/>
        <c:axPos val="l"/>
        <c:majorGridlines/>
        <c:minorGridlines/>
        <c:numFmt formatCode="0%" sourceLinked="1"/>
        <c:majorTickMark val="out"/>
        <c:minorTickMark val="none"/>
        <c:tickLblPos val="nextTo"/>
        <c:crossAx val="949171712"/>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'South West beamers u250kW'!$H$162</c:f>
              <c:strCache>
                <c:ptCount val="1"/>
                <c:pt idx="0">
                  <c:v>Sole</c:v>
                </c:pt>
              </c:strCache>
            </c:strRef>
          </c:tx>
          <c:spPr>
            <a:solidFill>
              <a:srgbClr val="E87308"/>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u250kW'!$I$162:$K$162</c:f>
              <c:numCache>
                <c:formatCode>0%</c:formatCode>
                <c:ptCount val="3"/>
                <c:pt idx="0">
                  <c:v>0.26600743610860422</c:v>
                </c:pt>
                <c:pt idx="1">
                  <c:v>0.31127009784647386</c:v>
                </c:pt>
                <c:pt idx="2">
                  <c:v>0.23231645224487379</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'South West beamers u250kW'!$H$163</c:f>
              <c:strCache>
                <c:ptCount val="1"/>
                <c:pt idx="0">
                  <c:v>Cuttlefish</c:v>
                </c:pt>
              </c:strCache>
            </c:strRef>
          </c:tx>
          <c:spPr>
            <a:solidFill>
              <a:srgbClr val="2273B9"/>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u250kW'!$I$163:$K$163</c:f>
              <c:numCache>
                <c:formatCode>0%</c:formatCode>
                <c:ptCount val="3"/>
                <c:pt idx="0">
                  <c:v>0.33262785856263938</c:v>
                </c:pt>
                <c:pt idx="1">
                  <c:v>0.29453768313223738</c:v>
                </c:pt>
                <c:pt idx="2">
                  <c:v>0.40233298576357768</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'South West beamers u250kW'!$H$164</c:f>
              <c:strCache>
                <c:ptCount val="1"/>
                <c:pt idx="0">
                  <c:v>Anglerfish</c:v>
                </c:pt>
              </c:strCache>
            </c:strRef>
          </c:tx>
          <c:spPr>
            <a:solidFill>
              <a:srgbClr val="648C2E"/>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u250kW'!$I$164:$K$164</c:f>
              <c:numCache>
                <c:formatCode>0%</c:formatCode>
                <c:ptCount val="3"/>
                <c:pt idx="0">
                  <c:v>9.8179299557847918E-2</c:v>
                </c:pt>
                <c:pt idx="1">
                  <c:v>0.10848728195334327</c:v>
                </c:pt>
                <c:pt idx="2">
                  <c:v>5.7590255982076205E-2</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'South West beamers u250kW'!$H$165</c:f>
              <c:strCache>
                <c:ptCount val="1"/>
                <c:pt idx="0">
                  <c:v>Plaice</c:v>
                </c:pt>
              </c:strCache>
            </c:strRef>
          </c:tx>
          <c:spPr>
            <a:solidFill>
              <a:srgbClr val="C1D119"/>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u250kW'!$I$165:$K$165</c:f>
              <c:numCache>
                <c:formatCode>0%</c:formatCode>
                <c:ptCount val="3"/>
                <c:pt idx="0">
                  <c:v>6.844777278237528E-2</c:v>
                </c:pt>
                <c:pt idx="1">
                  <c:v>7.4590582657082211E-2</c:v>
                </c:pt>
                <c:pt idx="2">
                  <c:v>7.4418479430229514E-2</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'South West beamers u250kW'!$H$166</c:f>
              <c:strCache>
                <c:ptCount val="1"/>
                <c:pt idx="0">
                  <c:v>Lemon Sole</c:v>
                </c:pt>
              </c:strCache>
            </c:strRef>
          </c:tx>
          <c:spPr>
            <a:solidFill>
              <a:srgbClr val="FED825"/>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u250kW'!$I$166:$K$166</c:f>
              <c:numCache>
                <c:formatCode>0%</c:formatCode>
                <c:ptCount val="3"/>
                <c:pt idx="0">
                  <c:v>0</c:v>
                </c:pt>
                <c:pt idx="1">
                  <c:v>5.1706668655320413E-2</c:v>
                </c:pt>
                <c:pt idx="2">
                  <c:v>0</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'South West beamers u250kW'!$H$167</c:f>
              <c:strCache>
                <c:ptCount val="1"/>
                <c:pt idx="0">
                  <c:v>Turbot</c:v>
                </c:pt>
              </c:strCache>
            </c:strRef>
          </c:tx>
          <c:spPr>
            <a:solidFill>
              <a:srgbClr val="E84A38"/>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u250kW'!$I$167:$K$167</c:f>
              <c:numCache>
                <c:formatCode>0%</c:formatCode>
                <c:ptCount val="3"/>
                <c:pt idx="0">
                  <c:v>4.7960501759238008E-2</c:v>
                </c:pt>
                <c:pt idx="1">
                  <c:v>0</c:v>
                </c:pt>
                <c:pt idx="2">
                  <c:v>5.9318005419997544E-2</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'South West beamers u250kW'!$H$168</c:f>
              <c:strCache>
                <c:ptCount val="1"/>
                <c:pt idx="0">
                  <c:v>Others</c:v>
                </c:pt>
              </c:strCache>
            </c:strRef>
          </c:tx>
          <c:spPr>
            <a:solidFill>
              <a:srgbClr val="55585A"/>
            </a:solidFill>
            <a:ln>
              <a:solidFill>
                <a:srgbClr val="FFFFFF"/>
              </a:solidFill>
            </a:ln>
          </c:spPr>
          <c:invertIfNegative val="0"/>
          <c:cat>
            <c:strRef>
              <c:f>'South West beamers u250kW'!$I$161:$K$161</c:f>
              <c:strCache>
                <c:ptCount val="3"/>
                <c:pt idx="0">
                  <c:v>Most
profitable
quartile</c:v>
                </c:pt>
                <c:pt idx="1">
                  <c:v>Middle 
two quartiles</c:v>
                </c:pt>
                <c:pt idx="2">
                  <c:v>Least
profitable
quartile</c:v>
                </c:pt>
              </c:strCache>
            </c:strRef>
          </c:cat>
          <c:val>
            <c:numRef>
              <c:f>'South West beamers u250kW'!$I$168:$K$168</c:f>
              <c:numCache>
                <c:formatCode>0%</c:formatCode>
                <c:ptCount val="3"/>
                <c:pt idx="0">
                  <c:v>0.18677713122929518</c:v>
                </c:pt>
                <c:pt idx="1">
                  <c:v>0.15940768575554298</c:v>
                </c:pt>
                <c:pt idx="2">
                  <c:v>0.1740238211592452</c:v>
                </c:pt>
              </c:numCache>
            </c:numRef>
          </c:val>
          <c:extLst xmlns:c16r2="http://schemas.microsoft.com/office/drawing/2015/06/chart">
            <c:ext xmlns:c16="http://schemas.microsoft.com/office/drawing/2014/chart" uri="{C3380CC4-5D6E-409C-BE32-E72D297353CC}">
              <c16:uniqueId val="{00000006-DC58-4725-8A67-0BDC09FD93CD}"/>
            </c:ext>
          </c:extLst>
        </c:ser>
        <c:dLbls>
          <c:showLegendKey val="0"/>
          <c:showVal val="0"/>
          <c:showCatName val="0"/>
          <c:showSerName val="0"/>
          <c:showPercent val="0"/>
          <c:showBubbleSize val="0"/>
        </c:dLbls>
        <c:gapWidth val="150"/>
        <c:overlap val="100"/>
        <c:axId val="949361280"/>
        <c:axId val="949367168"/>
      </c:barChart>
      <c:catAx>
        <c:axId val="949361280"/>
        <c:scaling>
          <c:orientation val="minMax"/>
        </c:scaling>
        <c:delete val="0"/>
        <c:axPos val="b"/>
        <c:numFmt formatCode="General" sourceLinked="0"/>
        <c:majorTickMark val="out"/>
        <c:minorTickMark val="none"/>
        <c:tickLblPos val="nextTo"/>
        <c:crossAx val="949367168"/>
        <c:crosses val="autoZero"/>
        <c:auto val="1"/>
        <c:lblAlgn val="ctr"/>
        <c:lblOffset val="100"/>
        <c:noMultiLvlLbl val="0"/>
      </c:catAx>
      <c:valAx>
        <c:axId val="949367168"/>
        <c:scaling>
          <c:orientation val="minMax"/>
          <c:max val="1"/>
          <c:min val="0"/>
        </c:scaling>
        <c:delete val="0"/>
        <c:axPos val="l"/>
        <c:majorGridlines/>
        <c:minorGridlines/>
        <c:numFmt formatCode="0%" sourceLinked="1"/>
        <c:majorTickMark val="out"/>
        <c:minorTickMark val="none"/>
        <c:tickLblPos val="nextTo"/>
        <c:crossAx val="949361280"/>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West beamers u250kW'!$K$143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'South West beamers u250kW'!$K$139</c:f>
              <c:strCache>
                <c:ptCount val="1"/>
                <c:pt idx="0">
                  <c:v>Total income</c:v>
                </c:pt>
              </c:strCache>
            </c:strRef>
          </c:tx>
          <c:spPr>
            <a:solidFill>
              <a:schemeClr val="accent1"/>
            </a:solidFill>
            <a:ln>
              <a:solidFill>
                <a:schemeClr val="accent1"/>
              </a:solidFill>
            </a:ln>
          </c:spPr>
          <c:invertIfNegative val="0"/>
          <c:cat>
            <c:strRef>
              <c:f>'South West beamers u250kW'!$L$138:$N$138</c:f>
              <c:strCache>
                <c:ptCount val="3"/>
                <c:pt idx="0">
                  <c:v>Most
profitable
quartile</c:v>
                </c:pt>
                <c:pt idx="1">
                  <c:v>Middle
two quartiles</c:v>
                </c:pt>
                <c:pt idx="2">
                  <c:v>Least
profitable
quartile</c:v>
                </c:pt>
              </c:strCache>
            </c:strRef>
          </c:cat>
          <c:val>
            <c:numRef>
              <c:f>'South West beamers u250kW'!$L$139:$N$139</c:f>
              <c:numCache>
                <c:formatCode>#,##0</c:formatCode>
                <c:ptCount val="3"/>
                <c:pt idx="0">
                  <c:v>1038.958875</c:v>
                </c:pt>
                <c:pt idx="1">
                  <c:v>741.50800000000004</c:v>
                </c:pt>
                <c:pt idx="2">
                  <c:v>487.17959374999998</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'South West beamers u250kW'!$K$140</c:f>
              <c:strCache>
                <c:ptCount val="1"/>
                <c:pt idx="0">
                  <c:v>Operating costs</c:v>
                </c:pt>
              </c:strCache>
            </c:strRef>
          </c:tx>
          <c:spPr>
            <a:solidFill>
              <a:schemeClr val="accent3"/>
            </a:solidFill>
          </c:spPr>
          <c:invertIfNegative val="0"/>
          <c:cat>
            <c:strRef>
              <c:f>'South West beamers u250kW'!$L$138:$N$138</c:f>
              <c:strCache>
                <c:ptCount val="3"/>
                <c:pt idx="0">
                  <c:v>Most
profitable
quartile</c:v>
                </c:pt>
                <c:pt idx="1">
                  <c:v>Middle
two quartiles</c:v>
                </c:pt>
                <c:pt idx="2">
                  <c:v>Least
profitable
quartile</c:v>
                </c:pt>
              </c:strCache>
            </c:strRef>
          </c:cat>
          <c:val>
            <c:numRef>
              <c:f>'South West beamers u250kW'!$L$140:$N$140</c:f>
              <c:numCache>
                <c:formatCode>#,##0</c:formatCode>
                <c:ptCount val="3"/>
                <c:pt idx="0">
                  <c:v>752.27281249999999</c:v>
                </c:pt>
                <c:pt idx="1">
                  <c:v>557.84832812499997</c:v>
                </c:pt>
                <c:pt idx="2">
                  <c:v>389.37309375000001</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'South West beamers u250kW'!$K$141</c:f>
              <c:strCache>
                <c:ptCount val="1"/>
                <c:pt idx="0">
                  <c:v>Operating profit</c:v>
                </c:pt>
              </c:strCache>
            </c:strRef>
          </c:tx>
          <c:spPr>
            <a:solidFill>
              <a:schemeClr val="accent2"/>
            </a:solidFill>
          </c:spPr>
          <c:invertIfNegative val="0"/>
          <c:cat>
            <c:strRef>
              <c:f>'South West beamers u250kW'!$L$138:$N$138</c:f>
              <c:strCache>
                <c:ptCount val="3"/>
                <c:pt idx="0">
                  <c:v>Most
profitable
quartile</c:v>
                </c:pt>
                <c:pt idx="1">
                  <c:v>Middle
two quartiles</c:v>
                </c:pt>
                <c:pt idx="2">
                  <c:v>Least
profitable
quartile</c:v>
                </c:pt>
              </c:strCache>
            </c:strRef>
          </c:cat>
          <c:val>
            <c:numRef>
              <c:f>'South West beamers u250kW'!$L$141:$N$141</c:f>
              <c:numCache>
                <c:formatCode>#,##0</c:formatCode>
                <c:ptCount val="3"/>
                <c:pt idx="0">
                  <c:v>286.68606249999999</c:v>
                </c:pt>
                <c:pt idx="1">
                  <c:v>183.65967187499999</c:v>
                </c:pt>
                <c:pt idx="2">
                  <c:v>97.8065</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949402624"/>
        <c:axId val="949404416"/>
      </c:barChart>
      <c:catAx>
        <c:axId val="949402624"/>
        <c:scaling>
          <c:orientation val="minMax"/>
        </c:scaling>
        <c:delete val="0"/>
        <c:axPos val="b"/>
        <c:numFmt formatCode="General" sourceLinked="0"/>
        <c:majorTickMark val="out"/>
        <c:minorTickMark val="none"/>
        <c:tickLblPos val="nextTo"/>
        <c:crossAx val="949404416"/>
        <c:crosses val="autoZero"/>
        <c:auto val="1"/>
        <c:lblAlgn val="ctr"/>
        <c:lblOffset val="100"/>
        <c:noMultiLvlLbl val="0"/>
      </c:catAx>
      <c:valAx>
        <c:axId val="949404416"/>
        <c:scaling>
          <c:orientation val="minMax"/>
        </c:scaling>
        <c:delete val="0"/>
        <c:axPos val="l"/>
        <c:majorGridlines/>
        <c:title>
          <c:tx>
            <c:strRef>
              <c:f>'South West beamers u250kW'!$K$142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949402624"/>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u250kW'!$K$48</c:f>
          <c:strCache>
            <c:ptCount val="1"/>
            <c:pt idx="0">
              <c:v>Operating profit per kW day at sea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'Area VIIa nephrops u250kW'!$D$2:$N$2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nephrops u250kW'!$D$24:$N$24</c:f>
              <c:numCache>
                <c:formatCode>#,##0.00</c:formatCode>
                <c:ptCount val="11"/>
                <c:pt idx="0">
                  <c:v>1.2348248783512901</c:v>
                </c:pt>
                <c:pt idx="1">
                  <c:v>1.2191718484296801</c:v>
                </c:pt>
                <c:pt idx="2">
                  <c:v>0.91752536513613403</c:v>
                </c:pt>
                <c:pt idx="3">
                  <c:v>1.76889535206459</c:v>
                </c:pt>
                <c:pt idx="4">
                  <c:v>1.76409909432179</c:v>
                </c:pt>
                <c:pt idx="5">
                  <c:v>1.29742158260358</c:v>
                </c:pt>
                <c:pt idx="6">
                  <c:v>0.96645384564556602</c:v>
                </c:pt>
                <c:pt idx="7">
                  <c:v>1.4114784050920499</c:v>
                </c:pt>
                <c:pt idx="8">
                  <c:v>1.5820509237148299</c:v>
                </c:pt>
                <c:pt idx="9">
                  <c:v>1.9823487722105499</c:v>
                </c:pt>
                <c:pt idx="10">
                  <c:v>1.6763025381235304</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614019456"/>
        <c:axId val="614020992"/>
      </c:lineChart>
      <c:catAx>
        <c:axId val="614019456"/>
        <c:scaling>
          <c:orientation val="minMax"/>
        </c:scaling>
        <c:delete val="0"/>
        <c:axPos val="b"/>
        <c:numFmt formatCode="General" sourceLinked="1"/>
        <c:majorTickMark val="out"/>
        <c:minorTickMark val="none"/>
        <c:tickLblPos val="nextTo"/>
        <c:crossAx val="614020992"/>
        <c:crosses val="autoZero"/>
        <c:auto val="1"/>
        <c:lblAlgn val="ctr"/>
        <c:lblOffset val="100"/>
        <c:noMultiLvlLbl val="0"/>
      </c:catAx>
      <c:valAx>
        <c:axId val="614020992"/>
        <c:scaling>
          <c:orientation val="minMax"/>
        </c:scaling>
        <c:delete val="0"/>
        <c:axPos val="l"/>
        <c:majorGridlines>
          <c:spPr>
            <a:ln w="3175">
              <a:prstDash val="sysDot"/>
            </a:ln>
          </c:spPr>
        </c:majorGridlines>
        <c:numFmt formatCode="#,##0.00" sourceLinked="1"/>
        <c:majorTickMark val="out"/>
        <c:minorTickMark val="none"/>
        <c:tickLblPos val="nextTo"/>
        <c:crossAx val="614019456"/>
        <c:crosses val="autoZero"/>
        <c:crossBetween val="between"/>
      </c:valAx>
    </c:plotArea>
    <c:plotVisOnly val="0"/>
    <c:dispBlanksAs val="gap"/>
    <c:showDLblsOverMax val="0"/>
  </c:chart>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15m'!$A$48</c:f>
          <c:strCache>
            <c:ptCount val="1"/>
            <c:pt idx="0">
              <c:v>Landings per kW day at sea (kg)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'UK scallop dredge over 15m'!$D$2:$N$2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'UK scallop dredge over 15m'!$D$21:$N$21</c:f>
              <c:numCache>
                <c:formatCode>#,##0.00</c:formatCode>
                <c:ptCount val="11"/>
                <c:pt idx="0">
                  <c:v>4.0504854080688926</c:v>
                </c:pt>
                <c:pt idx="1">
                  <c:v>4.6061345147319805</c:v>
                </c:pt>
                <c:pt idx="2">
                  <c:v>4.9786789111940379</c:v>
                </c:pt>
                <c:pt idx="3">
                  <c:v>6.805957843798577</c:v>
                </c:pt>
                <c:pt idx="4">
                  <c:v>6.496297028462787</c:v>
                </c:pt>
                <c:pt idx="5">
                  <c:v>5.0777762035513634</c:v>
                </c:pt>
                <c:pt idx="6">
                  <c:v>4.0604424612985017</c:v>
                </c:pt>
                <c:pt idx="7">
                  <c:v>4.1892301372872467</c:v>
                </c:pt>
                <c:pt idx="8">
                  <c:v>3.8801635456308552</c:v>
                </c:pt>
                <c:pt idx="9">
                  <c:v>3.3474676818724278</c:v>
                </c:pt>
                <c:pt idx="10">
                  <c:v>3.0767737227786207</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948568448"/>
        <c:axId val="948569984"/>
      </c:lineChart>
      <c:catAx>
        <c:axId val="948568448"/>
        <c:scaling>
          <c:orientation val="minMax"/>
        </c:scaling>
        <c:delete val="0"/>
        <c:axPos val="b"/>
        <c:numFmt formatCode="General" sourceLinked="1"/>
        <c:majorTickMark val="out"/>
        <c:minorTickMark val="none"/>
        <c:tickLblPos val="nextTo"/>
        <c:crossAx val="948569984"/>
        <c:crosses val="autoZero"/>
        <c:auto val="1"/>
        <c:lblAlgn val="ctr"/>
        <c:lblOffset val="100"/>
        <c:noMultiLvlLbl val="0"/>
      </c:catAx>
      <c:valAx>
        <c:axId val="948569984"/>
        <c:scaling>
          <c:orientation val="minMax"/>
        </c:scaling>
        <c:delete val="0"/>
        <c:axPos val="l"/>
        <c:majorGridlines>
          <c:spPr>
            <a:ln w="3175">
              <a:prstDash val="sysDot"/>
            </a:ln>
          </c:spPr>
        </c:majorGridlines>
        <c:numFmt formatCode="#,##0.00" sourceLinked="1"/>
        <c:majorTickMark val="out"/>
        <c:minorTickMark val="none"/>
        <c:tickLblPos val="nextTo"/>
        <c:crossAx val="948568448"/>
        <c:crosses val="autoZero"/>
        <c:crossBetween val="between"/>
      </c:valAx>
    </c:plotArea>
    <c:plotVisOnly val="0"/>
    <c:dispBlanksAs val="gap"/>
    <c:showDLblsOverMax val="0"/>
  </c:chart>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15m'!$A$49</c:f>
          <c:strCache>
            <c:ptCount val="1"/>
            <c:pt idx="0">
              <c:v>Fishing income per kW day at sea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'UK scallop dredge over 15m'!$D$2:$N$2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'UK scallop dredge over 15m'!$D$22:$N$22</c:f>
              <c:numCache>
                <c:formatCode>#,##0.00</c:formatCode>
                <c:ptCount val="11"/>
                <c:pt idx="0">
                  <c:v>7.1894264213691903</c:v>
                </c:pt>
                <c:pt idx="1">
                  <c:v>7.2899367897117804</c:v>
                </c:pt>
                <c:pt idx="2">
                  <c:v>7.5634768403133599</c:v>
                </c:pt>
                <c:pt idx="3">
                  <c:v>8.6358812653994796</c:v>
                </c:pt>
                <c:pt idx="4">
                  <c:v>8.1187676715027308</c:v>
                </c:pt>
                <c:pt idx="5">
                  <c:v>6.9359204555318499</c:v>
                </c:pt>
                <c:pt idx="6">
                  <c:v>6.3695958276868199</c:v>
                </c:pt>
                <c:pt idx="7">
                  <c:v>6.5091457231720096</c:v>
                </c:pt>
                <c:pt idx="8">
                  <c:v>7.2596074255027103</c:v>
                </c:pt>
                <c:pt idx="9">
                  <c:v>7.3712658118548697</c:v>
                </c:pt>
                <c:pt idx="10">
                  <c:v>7.1486316463544908</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948604288"/>
        <c:axId val="948606080"/>
      </c:lineChart>
      <c:catAx>
        <c:axId val="948604288"/>
        <c:scaling>
          <c:orientation val="minMax"/>
        </c:scaling>
        <c:delete val="0"/>
        <c:axPos val="b"/>
        <c:numFmt formatCode="General" sourceLinked="1"/>
        <c:majorTickMark val="out"/>
        <c:minorTickMark val="none"/>
        <c:tickLblPos val="nextTo"/>
        <c:crossAx val="948606080"/>
        <c:crosses val="autoZero"/>
        <c:auto val="1"/>
        <c:lblAlgn val="ctr"/>
        <c:lblOffset val="100"/>
        <c:noMultiLvlLbl val="0"/>
      </c:catAx>
      <c:valAx>
        <c:axId val="948606080"/>
        <c:scaling>
          <c:orientation val="minMax"/>
        </c:scaling>
        <c:delete val="0"/>
        <c:axPos val="l"/>
        <c:majorGridlines>
          <c:spPr>
            <a:ln w="3175">
              <a:prstDash val="sysDot"/>
            </a:ln>
          </c:spPr>
        </c:majorGridlines>
        <c:numFmt formatCode="#,##0.00" sourceLinked="1"/>
        <c:majorTickMark val="out"/>
        <c:minorTickMark val="none"/>
        <c:tickLblPos val="nextTo"/>
        <c:crossAx val="948604288"/>
        <c:crosses val="autoZero"/>
        <c:crossBetween val="between"/>
      </c:valAx>
    </c:plotArea>
    <c:plotVisOnly val="0"/>
    <c:dispBlanksAs val="gap"/>
    <c:showDLblsOverMax val="0"/>
  </c:chart>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15m'!$B$62</c:f>
          <c:strCache>
            <c:ptCount val="1"/>
            <c:pt idx="0">
              <c:v>Total cost per kW day at sea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'UK scallop dredge over 15m'!$D$2:$N$2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'UK scallop dredge over 15m'!$D$23:$N$23</c:f>
              <c:numCache>
                <c:formatCode>#,##0.00</c:formatCode>
                <c:ptCount val="11"/>
                <c:pt idx="0">
                  <c:v>5.8705172833985797</c:v>
                </c:pt>
                <c:pt idx="1">
                  <c:v>5.9523990370408999</c:v>
                </c:pt>
                <c:pt idx="2">
                  <c:v>5.9113736016877096</c:v>
                </c:pt>
                <c:pt idx="3">
                  <c:v>6.6300021215538401</c:v>
                </c:pt>
                <c:pt idx="4">
                  <c:v>6.44684041197862</c:v>
                </c:pt>
                <c:pt idx="5">
                  <c:v>5.7378088920006496</c:v>
                </c:pt>
                <c:pt idx="6">
                  <c:v>5.4076730653071099</c:v>
                </c:pt>
                <c:pt idx="7">
                  <c:v>5.3532054598596197</c:v>
                </c:pt>
                <c:pt idx="8">
                  <c:v>6.3206438862808003</c:v>
                </c:pt>
                <c:pt idx="9">
                  <c:v>5.8491220957394603</c:v>
                </c:pt>
                <c:pt idx="10">
                  <c:v>5.8153928109412156</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948628096"/>
        <c:axId val="948703616"/>
      </c:lineChart>
      <c:catAx>
        <c:axId val="948628096"/>
        <c:scaling>
          <c:orientation val="minMax"/>
        </c:scaling>
        <c:delete val="0"/>
        <c:axPos val="b"/>
        <c:numFmt formatCode="General" sourceLinked="1"/>
        <c:majorTickMark val="out"/>
        <c:minorTickMark val="none"/>
        <c:tickLblPos val="nextTo"/>
        <c:crossAx val="948703616"/>
        <c:crosses val="autoZero"/>
        <c:auto val="1"/>
        <c:lblAlgn val="ctr"/>
        <c:lblOffset val="100"/>
        <c:noMultiLvlLbl val="0"/>
      </c:catAx>
      <c:valAx>
        <c:axId val="948703616"/>
        <c:scaling>
          <c:orientation val="minMax"/>
        </c:scaling>
        <c:delete val="0"/>
        <c:axPos val="l"/>
        <c:majorGridlines>
          <c:spPr>
            <a:ln w="3175">
              <a:prstDash val="sysDot"/>
            </a:ln>
          </c:spPr>
        </c:majorGridlines>
        <c:numFmt formatCode="#,##0.00" sourceLinked="1"/>
        <c:majorTickMark val="out"/>
        <c:minorTickMark val="none"/>
        <c:tickLblPos val="nextTo"/>
        <c:crossAx val="94862809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15m'!$K$48</c:f>
          <c:strCache>
            <c:ptCount val="1"/>
            <c:pt idx="0">
              <c:v>Operating profit per kW day at sea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'UK scallop dredge over 15m'!$D$2:$N$2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'UK scallop dredge over 15m'!$D$24:$N$24</c:f>
              <c:numCache>
                <c:formatCode>#,##0.00</c:formatCode>
                <c:ptCount val="11"/>
                <c:pt idx="0">
                  <c:v>1.4713332689254499</c:v>
                </c:pt>
                <c:pt idx="1">
                  <c:v>1.49115058983156</c:v>
                </c:pt>
                <c:pt idx="2">
                  <c:v>2.0008230793313002</c:v>
                </c:pt>
                <c:pt idx="3">
                  <c:v>2.0994354770721699</c:v>
                </c:pt>
                <c:pt idx="4">
                  <c:v>1.8064101401047401</c:v>
                </c:pt>
                <c:pt idx="5">
                  <c:v>1.2673304037897</c:v>
                </c:pt>
                <c:pt idx="6">
                  <c:v>1.0197010568990399</c:v>
                </c:pt>
                <c:pt idx="7">
                  <c:v>1.25950653966787</c:v>
                </c:pt>
                <c:pt idx="8">
                  <c:v>0.970645765195564</c:v>
                </c:pt>
                <c:pt idx="9">
                  <c:v>1.55761413613134</c:v>
                </c:pt>
                <c:pt idx="10">
                  <c:v>1.367637947082774</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48742016"/>
        <c:axId val="948743552"/>
      </c:lineChart>
      <c:catAx>
        <c:axId val="948742016"/>
        <c:scaling>
          <c:orientation val="minMax"/>
        </c:scaling>
        <c:delete val="0"/>
        <c:axPos val="b"/>
        <c:numFmt formatCode="General" sourceLinked="1"/>
        <c:majorTickMark val="out"/>
        <c:minorTickMark val="none"/>
        <c:tickLblPos val="nextTo"/>
        <c:crossAx val="948743552"/>
        <c:crosses val="autoZero"/>
        <c:auto val="1"/>
        <c:lblAlgn val="ctr"/>
        <c:lblOffset val="100"/>
        <c:noMultiLvlLbl val="0"/>
      </c:catAx>
      <c:valAx>
        <c:axId val="948743552"/>
        <c:scaling>
          <c:orientation val="minMax"/>
        </c:scaling>
        <c:delete val="0"/>
        <c:axPos val="l"/>
        <c:majorGridlines>
          <c:spPr>
            <a:ln w="3175">
              <a:prstDash val="sysDot"/>
            </a:ln>
          </c:spPr>
        </c:majorGridlines>
        <c:numFmt formatCode="#,##0.00" sourceLinked="1"/>
        <c:majorTickMark val="out"/>
        <c:minorTickMark val="none"/>
        <c:tickLblPos val="nextTo"/>
        <c:crossAx val="948742016"/>
        <c:crosses val="autoZero"/>
        <c:crossBetween val="between"/>
      </c:valAx>
    </c:plotArea>
    <c:plotVisOnly val="0"/>
    <c:dispBlanksAs val="gap"/>
    <c:showDLblsOverMax val="0"/>
  </c:chart>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15m'!$A$50</c:f>
          <c:strCache>
            <c:ptCount val="1"/>
            <c:pt idx="0">
              <c:v>Average price per tonne landed (£)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'UK scallop dredge over 15m'!$D$2:$N$2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'UK scallop dredge over 15m'!$D$20:$N$20</c:f>
              <c:numCache>
                <c:formatCode>#,##0</c:formatCode>
                <c:ptCount val="11"/>
                <c:pt idx="0">
                  <c:v>1775</c:v>
                </c:pt>
                <c:pt idx="1">
                  <c:v>1583</c:v>
                </c:pt>
                <c:pt idx="2">
                  <c:v>1519</c:v>
                </c:pt>
                <c:pt idx="3">
                  <c:v>1269</c:v>
                </c:pt>
                <c:pt idx="4">
                  <c:v>1250</c:v>
                </c:pt>
                <c:pt idx="5">
                  <c:v>1366</c:v>
                </c:pt>
                <c:pt idx="6">
                  <c:v>1569</c:v>
                </c:pt>
                <c:pt idx="7">
                  <c:v>1554</c:v>
                </c:pt>
                <c:pt idx="8">
                  <c:v>1871</c:v>
                </c:pt>
                <c:pt idx="9">
                  <c:v>2202</c:v>
                </c:pt>
                <c:pt idx="10">
                  <c:v>2323</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48778112"/>
        <c:axId val="948779648"/>
      </c:lineChart>
      <c:catAx>
        <c:axId val="948778112"/>
        <c:scaling>
          <c:orientation val="minMax"/>
        </c:scaling>
        <c:delete val="0"/>
        <c:axPos val="b"/>
        <c:numFmt formatCode="General" sourceLinked="1"/>
        <c:majorTickMark val="out"/>
        <c:minorTickMark val="none"/>
        <c:tickLblPos val="nextTo"/>
        <c:crossAx val="948779648"/>
        <c:crosses val="autoZero"/>
        <c:auto val="1"/>
        <c:lblAlgn val="ctr"/>
        <c:lblOffset val="100"/>
        <c:noMultiLvlLbl val="0"/>
      </c:catAx>
      <c:valAx>
        <c:axId val="948779648"/>
        <c:scaling>
          <c:orientation val="minMax"/>
        </c:scaling>
        <c:delete val="0"/>
        <c:axPos val="l"/>
        <c:majorGridlines>
          <c:spPr>
            <a:ln w="3175">
              <a:prstDash val="sysDot"/>
            </a:ln>
          </c:spPr>
        </c:majorGridlines>
        <c:numFmt formatCode="#,##0" sourceLinked="1"/>
        <c:majorTickMark val="out"/>
        <c:minorTickMark val="none"/>
        <c:tickLblPos val="nextTo"/>
        <c:crossAx val="948778112"/>
        <c:crosses val="autoZero"/>
        <c:crossBetween val="between"/>
      </c:valAx>
    </c:plotArea>
    <c:plotVisOnly val="0"/>
    <c:dispBlanksAs val="gap"/>
    <c:showDLblsOverMax val="0"/>
  </c:chart>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15m'!$K$62</c:f>
          <c:strCache>
            <c:ptCount val="1"/>
            <c:pt idx="0">
              <c:v>Average annual operating profit per vessel (£'000)
UK scallop dredge over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'UK scallop dredge over 15m'!$D$2:$N$2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'UK scallop dredge over 15m'!$D$37:$N$37</c:f>
              <c:numCache>
                <c:formatCode>#,##0.0</c:formatCode>
                <c:ptCount val="11"/>
                <c:pt idx="0">
                  <c:v>115.9</c:v>
                </c:pt>
                <c:pt idx="1">
                  <c:v>115.8</c:v>
                </c:pt>
                <c:pt idx="2">
                  <c:v>167.3</c:v>
                </c:pt>
                <c:pt idx="3">
                  <c:v>153.1</c:v>
                </c:pt>
                <c:pt idx="4">
                  <c:v>132.1</c:v>
                </c:pt>
                <c:pt idx="5">
                  <c:v>89.9</c:v>
                </c:pt>
                <c:pt idx="6">
                  <c:v>69.900000000000006</c:v>
                </c:pt>
                <c:pt idx="7">
                  <c:v>91.5</c:v>
                </c:pt>
                <c:pt idx="8">
                  <c:v>72.099999999999994</c:v>
                </c:pt>
                <c:pt idx="9">
                  <c:v>106.4</c:v>
                </c:pt>
                <c:pt idx="10">
                  <c:v>95.2</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48810112"/>
        <c:axId val="948811648"/>
      </c:lineChart>
      <c:catAx>
        <c:axId val="948810112"/>
        <c:scaling>
          <c:orientation val="minMax"/>
        </c:scaling>
        <c:delete val="0"/>
        <c:axPos val="b"/>
        <c:numFmt formatCode="General" sourceLinked="1"/>
        <c:majorTickMark val="out"/>
        <c:minorTickMark val="none"/>
        <c:tickLblPos val="nextTo"/>
        <c:crossAx val="948811648"/>
        <c:crosses val="autoZero"/>
        <c:auto val="1"/>
        <c:lblAlgn val="ctr"/>
        <c:lblOffset val="100"/>
        <c:noMultiLvlLbl val="0"/>
      </c:catAx>
      <c:valAx>
        <c:axId val="948811648"/>
        <c:scaling>
          <c:orientation val="minMax"/>
        </c:scaling>
        <c:delete val="0"/>
        <c:axPos val="l"/>
        <c:majorGridlines>
          <c:spPr>
            <a:ln w="3175">
              <a:prstDash val="sysDot"/>
            </a:ln>
          </c:spPr>
        </c:majorGridlines>
        <c:numFmt formatCode="#,##0.0" sourceLinked="1"/>
        <c:majorTickMark val="out"/>
        <c:minorTickMark val="none"/>
        <c:tickLblPos val="nextTo"/>
        <c:crossAx val="948810112"/>
        <c:crosses val="autoZero"/>
        <c:crossBetween val="between"/>
      </c:valAx>
    </c:plotArea>
    <c:plotVisOnly val="0"/>
    <c:dispBlanksAs val="gap"/>
    <c:showDLblsOverMax val="0"/>
  </c:chart>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over 15m'!$A$76</c:f>
          <c:strCache>
            <c:ptCount val="1"/>
            <c:pt idx="0">
              <c:v>Top 5 landed species by volume in 2017
UK scallop dredge over 15m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648C2E"/>
              </a:solidFill>
              <a:ln>
                <a:solidFill>
                  <a:srgbClr val="FFFFFF"/>
                </a:solidFill>
              </a:ln>
            </c:spPr>
          </c:dPt>
          <c:dPt>
            <c:idx val="3"/>
            <c:bubble3D val="0"/>
            <c:spPr>
              <a:solidFill>
                <a:srgbClr val="E84A38"/>
              </a:solidFill>
              <a:ln>
                <a:solidFill>
                  <a:srgbClr val="FFFFFF"/>
                </a:solidFill>
              </a:ln>
            </c:spPr>
          </c:dPt>
          <c:dPt>
            <c:idx val="4"/>
            <c:bubble3D val="0"/>
            <c:spPr>
              <a:solidFill>
                <a:srgbClr val="0F9AA9"/>
              </a:solidFill>
              <a:ln>
                <a:solidFill>
                  <a:srgbClr val="FFFFFF"/>
                </a:solidFill>
              </a:ln>
            </c:spPr>
          </c:dPt>
          <c:dPt>
            <c:idx val="5"/>
            <c:bubble3D val="0"/>
            <c:spPr>
              <a:solidFill>
                <a:srgbClr val="55585A"/>
              </a:solidFill>
              <a:ln>
                <a:solidFill>
                  <a:srgbClr val="FFFFFF"/>
                </a:solidFill>
              </a:ln>
            </c:spPr>
          </c:dPt>
          <c:cat>
            <c:strRef>
              <c:f>'UK scallop dredge over 15m'!$B$77:$B$82</c:f>
              <c:strCache>
                <c:ptCount val="6"/>
                <c:pt idx="0">
                  <c:v>Scallops - 76.2%</c:v>
                </c:pt>
                <c:pt idx="1">
                  <c:v>Queen Scallops - 22.7%</c:v>
                </c:pt>
                <c:pt idx="2">
                  <c:v>Nephrops - 0.5%</c:v>
                </c:pt>
                <c:pt idx="3">
                  <c:v>Anglerfish - 0.1%</c:v>
                </c:pt>
                <c:pt idx="4">
                  <c:v>Cod - 0.1%</c:v>
                </c:pt>
                <c:pt idx="5">
                  <c:v>Others - 0.4%</c:v>
                </c:pt>
              </c:strCache>
            </c:strRef>
          </c:cat>
          <c:val>
            <c:numRef>
              <c:f>'UK scallop dredge over 15m'!$C$77:$C$82</c:f>
              <c:numCache>
                <c:formatCode>0.0%</c:formatCode>
                <c:ptCount val="6"/>
                <c:pt idx="0">
                  <c:v>0.76217025599291366</c:v>
                </c:pt>
                <c:pt idx="1">
                  <c:v>0.2269194430142375</c:v>
                </c:pt>
                <c:pt idx="2">
                  <c:v>4.9165637447498873E-3</c:v>
                </c:pt>
                <c:pt idx="3">
                  <c:v>1.328770786168494E-3</c:v>
                </c:pt>
                <c:pt idx="4">
                  <c:v>8.5964770609135396E-4</c:v>
                </c:pt>
                <c:pt idx="5">
                  <c:v>3.8053187558391155E-3</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over 15m'!$F$76</c:f>
          <c:strCache>
            <c:ptCount val="1"/>
            <c:pt idx="0">
              <c:v>Top 5 landed species by value in 2017
UK scallop dredge over 15m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'UK scallop dredge over 15m'!$G$77:$G$82</c:f>
              <c:strCache>
                <c:ptCount val="6"/>
                <c:pt idx="0">
                  <c:v>Scallops - 88.6%</c:v>
                </c:pt>
                <c:pt idx="1">
                  <c:v>Queen Scallops - 9.9%</c:v>
                </c:pt>
                <c:pt idx="2">
                  <c:v>Nephrops - 0.6%</c:v>
                </c:pt>
                <c:pt idx="3">
                  <c:v>Turbot - 0.3%</c:v>
                </c:pt>
                <c:pt idx="4">
                  <c:v>Anglerfish - 0.1%</c:v>
                </c:pt>
                <c:pt idx="5">
                  <c:v>Others - 0.5%</c:v>
                </c:pt>
              </c:strCache>
            </c:strRef>
          </c:cat>
          <c:val>
            <c:numRef>
              <c:f>'UK scallop dredge over 15m'!$H$77:$H$82</c:f>
              <c:numCache>
                <c:formatCode>0.0%</c:formatCode>
                <c:ptCount val="6"/>
                <c:pt idx="0">
                  <c:v>0.88552132813226558</c:v>
                </c:pt>
                <c:pt idx="1">
                  <c:v>9.9403102658906339E-2</c:v>
                </c:pt>
                <c:pt idx="2">
                  <c:v>5.758091892931568E-3</c:v>
                </c:pt>
                <c:pt idx="3">
                  <c:v>2.8595211754852182E-3</c:v>
                </c:pt>
                <c:pt idx="4">
                  <c:v>1.496781862346704E-3</c:v>
                </c:pt>
                <c:pt idx="5">
                  <c:v>4.9611742780645285E-3</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'UK scallop dredge over 15m'!$C$92</c:f>
              <c:strCache>
                <c:ptCount val="1"/>
                <c:pt idx="0">
                  <c:v>Scallops</c:v>
                </c:pt>
              </c:strCache>
            </c:strRef>
          </c:tx>
          <c:spPr>
            <a:solidFill>
              <a:srgbClr val="2273B9"/>
            </a:solidFill>
            <a:ln>
              <a:solidFill>
                <a:srgbClr val="FFFFFF"/>
              </a:solidFill>
            </a:ln>
          </c:spPr>
          <c:invertIfNegative val="0"/>
          <c:cat>
            <c:numRef>
              <c:f>'UK scallop dredge over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over 15m'!$D$92:$M$92</c:f>
              <c:numCache>
                <c:formatCode>0%</c:formatCode>
                <c:ptCount val="10"/>
                <c:pt idx="0">
                  <c:v>0.89319005594604417</c:v>
                </c:pt>
                <c:pt idx="1">
                  <c:v>0.76457974203651125</c:v>
                </c:pt>
                <c:pt idx="2">
                  <c:v>0.78127767980143858</c:v>
                </c:pt>
                <c:pt idx="3">
                  <c:v>0.78506069222102459</c:v>
                </c:pt>
                <c:pt idx="4">
                  <c:v>0.78869985341617532</c:v>
                </c:pt>
                <c:pt idx="5">
                  <c:v>0.83233599956566351</c:v>
                </c:pt>
                <c:pt idx="6">
                  <c:v>0.79412217081230241</c:v>
                </c:pt>
                <c:pt idx="7">
                  <c:v>0.79717947902495134</c:v>
                </c:pt>
                <c:pt idx="8">
                  <c:v>0.88552132813226558</c:v>
                </c:pt>
                <c:pt idx="9">
                  <c:v>0.91825419491726901</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'UK scallop dredge over 15m'!$C$93</c:f>
              <c:strCache>
                <c:ptCount val="1"/>
                <c:pt idx="0">
                  <c:v>Queen Scallops</c:v>
                </c:pt>
              </c:strCache>
            </c:strRef>
          </c:tx>
          <c:spPr>
            <a:solidFill>
              <a:srgbClr val="E87308"/>
            </a:solidFill>
            <a:ln>
              <a:solidFill>
                <a:srgbClr val="FFFFFF"/>
              </a:solidFill>
            </a:ln>
          </c:spPr>
          <c:invertIfNegative val="0"/>
          <c:cat>
            <c:numRef>
              <c:f>'UK scallop dredge over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over 15m'!$D$93:$M$93</c:f>
              <c:numCache>
                <c:formatCode>0%</c:formatCode>
                <c:ptCount val="10"/>
                <c:pt idx="0">
                  <c:v>5.7948029471994587E-2</c:v>
                </c:pt>
                <c:pt idx="1">
                  <c:v>7.0310979569115875E-2</c:v>
                </c:pt>
                <c:pt idx="2">
                  <c:v>0.16755639804807956</c:v>
                </c:pt>
                <c:pt idx="3">
                  <c:v>0.16277166224836606</c:v>
                </c:pt>
                <c:pt idx="4">
                  <c:v>0.15589857401379975</c:v>
                </c:pt>
                <c:pt idx="5">
                  <c:v>9.9047311635007282E-2</c:v>
                </c:pt>
                <c:pt idx="6">
                  <c:v>0.14504758078791069</c:v>
                </c:pt>
                <c:pt idx="7">
                  <c:v>0.14654967878024686</c:v>
                </c:pt>
                <c:pt idx="8">
                  <c:v>9.9403102658906339E-2</c:v>
                </c:pt>
                <c:pt idx="9">
                  <c:v>6.4915918504053982E-2</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'UK scallop dredge over 15m'!$C$94</c:f>
              <c:strCache>
                <c:ptCount val="1"/>
                <c:pt idx="0">
                  <c:v>Nephrops</c:v>
                </c:pt>
              </c:strCache>
            </c:strRef>
          </c:tx>
          <c:spPr>
            <a:solidFill>
              <a:srgbClr val="648C2E"/>
            </a:solidFill>
            <a:ln>
              <a:solidFill>
                <a:srgbClr val="FFFFFF"/>
              </a:solidFill>
            </a:ln>
          </c:spPr>
          <c:invertIfNegative val="0"/>
          <c:cat>
            <c:numRef>
              <c:f>'UK scallop dredge over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over 15m'!$D$94:$M$94</c:f>
              <c:numCache>
                <c:formatCode>0%</c:formatCode>
                <c:ptCount val="10"/>
                <c:pt idx="0">
                  <c:v>7.8404588230186756E-3</c:v>
                </c:pt>
                <c:pt idx="6">
                  <c:v>9.5724442461884753E-3</c:v>
                </c:pt>
                <c:pt idx="7">
                  <c:v>7.0572621641302414E-3</c:v>
                </c:pt>
                <c:pt idx="8">
                  <c:v>5.758091892931568E-3</c:v>
                </c:pt>
                <c:pt idx="9">
                  <c:v>5.6346853735115042E-3</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'UK scallop dredge over 15m'!$C$95</c:f>
              <c:strCache>
                <c:ptCount val="1"/>
                <c:pt idx="0">
                  <c:v>Turbot</c:v>
                </c:pt>
              </c:strCache>
            </c:strRef>
          </c:tx>
          <c:spPr>
            <a:solidFill>
              <a:srgbClr val="C1D119"/>
            </a:solidFill>
            <a:ln>
              <a:solidFill>
                <a:srgbClr val="FFFFFF"/>
              </a:solidFill>
            </a:ln>
          </c:spPr>
          <c:invertIfNegative val="0"/>
          <c:cat>
            <c:numRef>
              <c:f>'UK scallop dredge over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over 15m'!$D$95:$M$95</c:f>
              <c:numCache>
                <c:formatCode>0%</c:formatCode>
                <c:ptCount val="10"/>
                <c:pt idx="4">
                  <c:v>8.6140915077909143E-3</c:v>
                </c:pt>
                <c:pt idx="5">
                  <c:v>1.1086003339410583E-2</c:v>
                </c:pt>
                <c:pt idx="6">
                  <c:v>8.3988152632261254E-3</c:v>
                </c:pt>
                <c:pt idx="7">
                  <c:v>5.8537278133234142E-3</c:v>
                </c:pt>
                <c:pt idx="8">
                  <c:v>2.8595211754852182E-3</c:v>
                </c:pt>
                <c:pt idx="9">
                  <c:v>3.4197334335350571E-3</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'UK scallop dredge over 15m'!$C$96</c:f>
              <c:strCache>
                <c:ptCount val="1"/>
                <c:pt idx="0">
                  <c:v>Anglerfish</c:v>
                </c:pt>
              </c:strCache>
            </c:strRef>
          </c:tx>
          <c:spPr>
            <a:solidFill>
              <a:srgbClr val="E84A38"/>
            </a:solidFill>
            <a:ln>
              <a:solidFill>
                <a:srgbClr val="FFFFFF"/>
              </a:solidFill>
            </a:ln>
          </c:spPr>
          <c:invertIfNegative val="0"/>
          <c:cat>
            <c:numRef>
              <c:f>'UK scallop dredge over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over 15m'!$D$96:$M$96</c:f>
              <c:numCache>
                <c:formatCode>0%</c:formatCode>
                <c:ptCount val="10"/>
                <c:pt idx="1">
                  <c:v>9.3372604920736024E-3</c:v>
                </c:pt>
                <c:pt idx="2">
                  <c:v>1.0238016069382402E-2</c:v>
                </c:pt>
                <c:pt idx="3">
                  <c:v>7.0503740085245108E-3</c:v>
                </c:pt>
                <c:pt idx="4">
                  <c:v>8.5902849949920645E-3</c:v>
                </c:pt>
                <c:pt idx="8">
                  <c:v>1.496781862346704E-3</c:v>
                </c:pt>
                <c:pt idx="9">
                  <c:v>2.01584259056448E-3</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'UK scallop dredge over 15m'!$C$97</c:f>
              <c:strCache>
                <c:ptCount val="1"/>
                <c:pt idx="0">
                  <c:v>Cuttlefish</c:v>
                </c:pt>
              </c:strCache>
            </c:strRef>
          </c:tx>
          <c:spPr>
            <a:solidFill>
              <a:srgbClr val="0F9AA9"/>
            </a:solidFill>
            <a:ln>
              <a:solidFill>
                <a:srgbClr val="FFFFFF"/>
              </a:solidFill>
            </a:ln>
          </c:spPr>
          <c:invertIfNegative val="0"/>
          <c:cat>
            <c:numRef>
              <c:f>'UK scallop dredge over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over 15m'!$D$97:$M$97</c:f>
              <c:numCache>
                <c:formatCode>0%</c:formatCode>
                <c:ptCount val="10"/>
                <c:pt idx="0">
                  <c:v>7.7595987788345267E-3</c:v>
                </c:pt>
                <c:pt idx="2">
                  <c:v>1.0084013921628139E-2</c:v>
                </c:pt>
                <c:pt idx="3">
                  <c:v>1.1622841649619782E-2</c:v>
                </c:pt>
                <c:pt idx="4">
                  <c:v>9.7609819507461799E-3</c:v>
                </c:pt>
                <c:pt idx="5">
                  <c:v>1.1803281933609598E-2</c:v>
                </c:pt>
                <c:pt idx="6">
                  <c:v>1.9170735072322934E-2</c:v>
                </c:pt>
                <c:pt idx="7">
                  <c:v>2.1970218742508221E-2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'UK scallop dredge over 15m'!$C$98</c:f>
              <c:strCache>
                <c:ptCount val="1"/>
                <c:pt idx="0">
                  <c:v>Sole</c:v>
                </c:pt>
              </c:strCache>
            </c:strRef>
          </c:tx>
          <c:spPr>
            <a:solidFill>
              <a:srgbClr val="FED825"/>
            </a:solidFill>
            <a:ln>
              <a:solidFill>
                <a:srgbClr val="FFFFFF"/>
              </a:solidFill>
            </a:ln>
          </c:spPr>
          <c:invertIfNegative val="0"/>
          <c:cat>
            <c:numRef>
              <c:f>'UK scallop dredge over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over 15m'!$D$98:$M$98</c:f>
              <c:numCache>
                <c:formatCode>0%</c:formatCode>
                <c:ptCount val="10"/>
                <c:pt idx="0">
                  <c:v>9.5500740727806933E-3</c:v>
                </c:pt>
                <c:pt idx="1">
                  <c:v>1.5094683361145795E-2</c:v>
                </c:pt>
                <c:pt idx="2">
                  <c:v>9.2908435985647169E-3</c:v>
                </c:pt>
                <c:pt idx="3">
                  <c:v>1.2679003654302181E-2</c:v>
                </c:pt>
                <c:pt idx="5">
                  <c:v>8.992923394706644E-3</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'UK scallop dredge over 15m'!$C$99</c:f>
              <c:strCache>
                <c:ptCount val="1"/>
                <c:pt idx="0">
                  <c:v>Pink Shrimps</c:v>
                </c:pt>
              </c:strCache>
            </c:strRef>
          </c:tx>
          <c:spPr>
            <a:solidFill>
              <a:srgbClr val="707271"/>
            </a:solidFill>
            <a:ln>
              <a:solidFill>
                <a:srgbClr val="FFFFFF"/>
              </a:solidFill>
            </a:ln>
          </c:spPr>
          <c:invertIfNegative val="0"/>
          <c:cat>
            <c:numRef>
              <c:f>'UK scallop dredge over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over 15m'!$D$99:$M$99</c:f>
              <c:numCache>
                <c:formatCode>0%</c:formatCode>
                <c:ptCount val="10"/>
                <c:pt idx="1">
                  <c:v>0.11293140023263792</c:v>
                </c:pt>
              </c:numCache>
            </c:numRef>
          </c:val>
          <c:extLst xmlns:c16r2="http://schemas.microsoft.com/office/drawing/2015/06/chart">
            <c:ext xmlns:c16="http://schemas.microsoft.com/office/drawing/2014/chart" uri="{C3380CC4-5D6E-409C-BE32-E72D297353CC}">
              <c16:uniqueId val="{00000007-282A-42F3-A8CE-7B6B063B5E4F}"/>
            </c:ext>
          </c:extLst>
        </c:ser>
        <c:ser>
          <c:idx val="8"/>
          <c:order val="8"/>
          <c:tx>
            <c:strRef>
              <c:f>'UK scallop dredge over 15m'!$C$100</c:f>
              <c:strCache>
                <c:ptCount val="1"/>
                <c:pt idx="0">
                  <c:v>Others</c:v>
                </c:pt>
              </c:strCache>
            </c:strRef>
          </c:tx>
          <c:spPr>
            <a:solidFill>
              <a:srgbClr val="55585A"/>
            </a:solidFill>
            <a:ln>
              <a:solidFill>
                <a:srgbClr val="FFFFFF"/>
              </a:solidFill>
            </a:ln>
          </c:spPr>
          <c:invertIfNegative val="0"/>
          <c:cat>
            <c:numRef>
              <c:f>'UK scallop dredge over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over 15m'!$D$100:$M$100</c:f>
              <c:numCache>
                <c:formatCode>0%</c:formatCode>
                <c:ptCount val="10"/>
                <c:pt idx="0">
                  <c:v>2.3711782907327329E-2</c:v>
                </c:pt>
                <c:pt idx="1">
                  <c:v>2.7745934308515591E-2</c:v>
                </c:pt>
                <c:pt idx="2">
                  <c:v>2.1553048560906594E-2</c:v>
                </c:pt>
                <c:pt idx="3">
                  <c:v>2.0815426218162812E-2</c:v>
                </c:pt>
                <c:pt idx="4">
                  <c:v>2.8436214116495759E-2</c:v>
                </c:pt>
                <c:pt idx="5">
                  <c:v>3.6734480131602347E-2</c:v>
                </c:pt>
                <c:pt idx="6">
                  <c:v>2.3688253818049357E-2</c:v>
                </c:pt>
                <c:pt idx="7">
                  <c:v>2.1389633474839919E-2</c:v>
                </c:pt>
                <c:pt idx="8">
                  <c:v>4.9611742780645797E-3</c:v>
                </c:pt>
                <c:pt idx="9">
                  <c:v>5.7596251810659244E-3</c:v>
                </c:pt>
              </c:numCache>
            </c:numRef>
          </c:val>
          <c:extLst xmlns:c16r2="http://schemas.microsoft.com/office/drawing/2015/06/chart">
            <c:ext xmlns:c16="http://schemas.microsoft.com/office/drawing/2014/chart" uri="{C3380CC4-5D6E-409C-BE32-E72D297353CC}">
              <c16:uniqueId val="{00000008-282A-42F3-A8CE-7B6B063B5E4F}"/>
            </c:ext>
          </c:extLst>
        </c:ser>
        <c:dLbls>
          <c:showLegendKey val="0"/>
          <c:showVal val="0"/>
          <c:showCatName val="0"/>
          <c:showSerName val="0"/>
          <c:showPercent val="0"/>
          <c:showBubbleSize val="0"/>
        </c:dLbls>
        <c:gapWidth val="150"/>
        <c:overlap val="100"/>
        <c:axId val="949934720"/>
        <c:axId val="949948800"/>
      </c:barChart>
      <c:catAx>
        <c:axId val="949934720"/>
        <c:scaling>
          <c:orientation val="minMax"/>
        </c:scaling>
        <c:delete val="0"/>
        <c:axPos val="b"/>
        <c:numFmt formatCode="General" sourceLinked="1"/>
        <c:majorTickMark val="out"/>
        <c:minorTickMark val="none"/>
        <c:tickLblPos val="nextTo"/>
        <c:crossAx val="949948800"/>
        <c:crosses val="autoZero"/>
        <c:auto val="1"/>
        <c:lblAlgn val="ctr"/>
        <c:lblOffset val="100"/>
        <c:noMultiLvlLbl val="0"/>
      </c:catAx>
      <c:valAx>
        <c:axId val="949948800"/>
        <c:scaling>
          <c:orientation val="minMax"/>
          <c:max val="1"/>
          <c:min val="0"/>
        </c:scaling>
        <c:delete val="0"/>
        <c:axPos val="l"/>
        <c:majorGridlines/>
        <c:numFmt formatCode="0%" sourceLinked="1"/>
        <c:majorTickMark val="out"/>
        <c:minorTickMark val="none"/>
        <c:tickLblPos val="nextTo"/>
        <c:crossAx val="949934720"/>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'UK scallop dredge over 15m'!$B$162</c:f>
              <c:strCache>
                <c:ptCount val="1"/>
                <c:pt idx="0">
                  <c:v>Scallops</c:v>
                </c:pt>
              </c:strCache>
            </c:strRef>
          </c:tx>
          <c:spPr>
            <a:solidFill>
              <a:srgbClr val="2273B9"/>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15m'!$C$162:$E$162</c:f>
              <c:numCache>
                <c:formatCode>0%</c:formatCode>
                <c:ptCount val="3"/>
                <c:pt idx="0">
                  <c:v>0.81164266746472347</c:v>
                </c:pt>
                <c:pt idx="1">
                  <c:v>0.74613480384408215</c:v>
                </c:pt>
                <c:pt idx="2">
                  <c:v>0.86336491689427974</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'UK scallop dredge over 15m'!$B$163</c:f>
              <c:strCache>
                <c:ptCount val="1"/>
                <c:pt idx="0">
                  <c:v>Queen Scallops</c:v>
                </c:pt>
              </c:strCache>
            </c:strRef>
          </c:tx>
          <c:spPr>
            <a:solidFill>
              <a:srgbClr val="E87308"/>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15m'!$C$163:$E$163</c:f>
              <c:numCache>
                <c:formatCode>0%</c:formatCode>
                <c:ptCount val="3"/>
                <c:pt idx="0">
                  <c:v>0.18256730585959433</c:v>
                </c:pt>
                <c:pt idx="1">
                  <c:v>0.20013380751257454</c:v>
                </c:pt>
                <c:pt idx="2">
                  <c:v>0.11698860317929548</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'UK scallop dredge over 15m'!$B$164</c:f>
              <c:strCache>
                <c:ptCount val="1"/>
                <c:pt idx="0">
                  <c:v>Cuttlefish</c:v>
                </c:pt>
              </c:strCache>
            </c:strRef>
          </c:tx>
          <c:spPr>
            <a:solidFill>
              <a:srgbClr val="FED825"/>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15m'!$C$164:$E$164</c:f>
              <c:numCache>
                <c:formatCode>0%</c:formatCode>
                <c:ptCount val="3"/>
                <c:pt idx="0">
                  <c:v>7.5537111438487019E-4</c:v>
                </c:pt>
                <c:pt idx="1">
                  <c:v>3.0262412526051389E-2</c:v>
                </c:pt>
                <c:pt idx="2">
                  <c:v>0</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'UK scallop dredge over 15m'!$B$165</c:f>
              <c:strCache>
                <c:ptCount val="1"/>
                <c:pt idx="0">
                  <c:v>Anglerfish</c:v>
                </c:pt>
              </c:strCache>
            </c:strRef>
          </c:tx>
          <c:spPr>
            <a:solidFill>
              <a:srgbClr val="E84A38"/>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15m'!$C$165:$E$165</c:f>
              <c:numCache>
                <c:formatCode>0%</c:formatCode>
                <c:ptCount val="3"/>
                <c:pt idx="0">
                  <c:v>2.4122089614104949E-3</c:v>
                </c:pt>
                <c:pt idx="1">
                  <c:v>5.1767775001223251E-3</c:v>
                </c:pt>
                <c:pt idx="2">
                  <c:v>0</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'UK scallop dredge over 15m'!$B$166</c:f>
              <c:strCache>
                <c:ptCount val="1"/>
                <c:pt idx="0">
                  <c:v>Plaice</c:v>
                </c:pt>
              </c:strCache>
            </c:strRef>
          </c:tx>
          <c:spPr>
            <a:solidFill>
              <a:srgbClr val="707271"/>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15m'!$C$166:$E$166</c:f>
              <c:numCache>
                <c:formatCode>0%</c:formatCode>
                <c:ptCount val="3"/>
                <c:pt idx="0">
                  <c:v>0</c:v>
                </c:pt>
                <c:pt idx="1">
                  <c:v>4.1018529235137607E-3</c:v>
                </c:pt>
                <c:pt idx="2">
                  <c:v>0</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'UK scallop dredge over 15m'!$B$167</c:f>
              <c:strCache>
                <c:ptCount val="1"/>
                <c:pt idx="0">
                  <c:v>Squid</c:v>
                </c:pt>
              </c:strCache>
            </c:strRef>
          </c:tx>
          <c:spPr>
            <a:solidFill>
              <a:srgbClr val="169FDB"/>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15m'!$C$167:$E$167</c:f>
              <c:numCache>
                <c:formatCode>0%</c:formatCode>
                <c:ptCount val="3"/>
                <c:pt idx="0">
                  <c:v>0</c:v>
                </c:pt>
                <c:pt idx="1">
                  <c:v>0</c:v>
                </c:pt>
                <c:pt idx="2">
                  <c:v>7.4598276215792599E-3</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'UK scallop dredge over 15m'!$B$168</c:f>
              <c:strCache>
                <c:ptCount val="1"/>
                <c:pt idx="0">
                  <c:v>Nephrops</c:v>
                </c:pt>
              </c:strCache>
            </c:strRef>
          </c:tx>
          <c:spPr>
            <a:solidFill>
              <a:srgbClr val="648C2E"/>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15m'!$C$168:$E$168</c:f>
              <c:numCache>
                <c:formatCode>0%</c:formatCode>
                <c:ptCount val="3"/>
                <c:pt idx="0">
                  <c:v>0</c:v>
                </c:pt>
                <c:pt idx="1">
                  <c:v>0</c:v>
                </c:pt>
                <c:pt idx="2">
                  <c:v>7.0580364772422841E-3</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'UK scallop dredge over 15m'!$B$169</c:f>
              <c:strCache>
                <c:ptCount val="1"/>
                <c:pt idx="0">
                  <c:v>Brown Shrimps</c:v>
                </c:pt>
              </c:strCache>
            </c:strRef>
          </c:tx>
          <c:spPr>
            <a:solidFill>
              <a:srgbClr val="E40D2C"/>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15m'!$C$169:$E$169</c:f>
              <c:numCache>
                <c:formatCode>0%</c:formatCode>
                <c:ptCount val="3"/>
                <c:pt idx="0">
                  <c:v>0</c:v>
                </c:pt>
                <c:pt idx="1">
                  <c:v>0</c:v>
                </c:pt>
                <c:pt idx="2">
                  <c:v>3.5345537310155634E-3</c:v>
                </c:pt>
              </c:numCache>
            </c:numRef>
          </c:val>
          <c:extLst xmlns:c16r2="http://schemas.microsoft.com/office/drawing/2015/06/chart">
            <c:ext xmlns:c16="http://schemas.microsoft.com/office/drawing/2014/chart" uri="{C3380CC4-5D6E-409C-BE32-E72D297353CC}">
              <c16:uniqueId val="{00000007-DFDD-4C01-8393-1BE532AE55F9}"/>
            </c:ext>
          </c:extLst>
        </c:ser>
        <c:ser>
          <c:idx val="8"/>
          <c:order val="8"/>
          <c:tx>
            <c:strRef>
              <c:f>'UK scallop dredge over 15m'!$B$170</c:f>
              <c:strCache>
                <c:ptCount val="1"/>
                <c:pt idx="0">
                  <c:v>Turbot</c:v>
                </c:pt>
              </c:strCache>
            </c:strRef>
          </c:tx>
          <c:spPr>
            <a:solidFill>
              <a:srgbClr val="C1D119"/>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15m'!$C$170:$E$170</c:f>
              <c:numCache>
                <c:formatCode>0%</c:formatCode>
                <c:ptCount val="3"/>
                <c:pt idx="0">
                  <c:v>1.3667774767059436E-3</c:v>
                </c:pt>
                <c:pt idx="1">
                  <c:v>0</c:v>
                </c:pt>
                <c:pt idx="2">
                  <c:v>0</c:v>
                </c:pt>
              </c:numCache>
            </c:numRef>
          </c:val>
          <c:extLst xmlns:c16r2="http://schemas.microsoft.com/office/drawing/2015/06/chart">
            <c:ext xmlns:c16="http://schemas.microsoft.com/office/drawing/2014/chart" uri="{C3380CC4-5D6E-409C-BE32-E72D297353CC}">
              <c16:uniqueId val="{00000008-DFDD-4C01-8393-1BE532AE55F9}"/>
            </c:ext>
          </c:extLst>
        </c:ser>
        <c:ser>
          <c:idx val="9"/>
          <c:order val="9"/>
          <c:tx>
            <c:strRef>
              <c:f>'UK scallop dredge over 15m'!$B$171</c:f>
              <c:strCache>
                <c:ptCount val="1"/>
                <c:pt idx="0">
                  <c:v>Others</c:v>
                </c:pt>
              </c:strCache>
            </c:strRef>
          </c:tx>
          <c:spPr>
            <a:solidFill>
              <a:srgbClr val="55585A"/>
            </a:solidFill>
            <a:ln>
              <a:solidFill>
                <a:srgbClr val="FFFFFF"/>
              </a:solidFill>
            </a:ln>
          </c:spPr>
          <c:invertIfNegative val="0"/>
          <c:cat>
            <c:strRef>
              <c:f>'UK scallop dredge over 15m'!$C$161:$E$161</c:f>
              <c:strCache>
                <c:ptCount val="3"/>
                <c:pt idx="0">
                  <c:v>Most
profitable
quartile</c:v>
                </c:pt>
                <c:pt idx="1">
                  <c:v>Middle 
two quartiles</c:v>
                </c:pt>
                <c:pt idx="2">
                  <c:v>Least
profitable
quartile</c:v>
                </c:pt>
              </c:strCache>
            </c:strRef>
          </c:cat>
          <c:val>
            <c:numRef>
              <c:f>'UK scallop dredge over 15m'!$C$171:$E$171</c:f>
              <c:numCache>
                <c:formatCode>0%</c:formatCode>
                <c:ptCount val="3"/>
                <c:pt idx="0">
                  <c:v>1.2556691231808692E-3</c:v>
                </c:pt>
                <c:pt idx="1">
                  <c:v>1.4190345693655737E-2</c:v>
                </c:pt>
                <c:pt idx="2">
                  <c:v>1.594062096587745E-3</c:v>
                </c:pt>
              </c:numCache>
            </c:numRef>
          </c:val>
          <c:extLst xmlns:c16r2="http://schemas.microsoft.com/office/drawing/2015/06/chart">
            <c:ext xmlns:c16="http://schemas.microsoft.com/office/drawing/2014/chart" uri="{C3380CC4-5D6E-409C-BE32-E72D297353CC}">
              <c16:uniqueId val="{00000009-DFDD-4C01-8393-1BE532AE55F9}"/>
            </c:ext>
          </c:extLst>
        </c:ser>
        <c:dLbls>
          <c:showLegendKey val="0"/>
          <c:showVal val="0"/>
          <c:showCatName val="0"/>
          <c:showSerName val="0"/>
          <c:showPercent val="0"/>
          <c:showBubbleSize val="0"/>
        </c:dLbls>
        <c:gapWidth val="150"/>
        <c:overlap val="100"/>
        <c:axId val="950009856"/>
        <c:axId val="950011392"/>
      </c:barChart>
      <c:catAx>
        <c:axId val="950009856"/>
        <c:scaling>
          <c:orientation val="minMax"/>
        </c:scaling>
        <c:delete val="0"/>
        <c:axPos val="b"/>
        <c:numFmt formatCode="General" sourceLinked="0"/>
        <c:majorTickMark val="out"/>
        <c:minorTickMark val="none"/>
        <c:tickLblPos val="nextTo"/>
        <c:crossAx val="950011392"/>
        <c:crosses val="autoZero"/>
        <c:auto val="1"/>
        <c:lblAlgn val="ctr"/>
        <c:lblOffset val="100"/>
        <c:noMultiLvlLbl val="0"/>
      </c:catAx>
      <c:valAx>
        <c:axId val="950011392"/>
        <c:scaling>
          <c:orientation val="minMax"/>
          <c:max val="1"/>
          <c:min val="0"/>
        </c:scaling>
        <c:delete val="0"/>
        <c:axPos val="l"/>
        <c:majorGridlines/>
        <c:minorGridlines/>
        <c:numFmt formatCode="0%" sourceLinked="1"/>
        <c:majorTickMark val="out"/>
        <c:minorTickMark val="none"/>
        <c:tickLblPos val="nextTo"/>
        <c:crossAx val="950009856"/>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u250kW'!$A$50</c:f>
          <c:strCache>
            <c:ptCount val="1"/>
            <c:pt idx="0">
              <c:v>Average price per tonne landed (£)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'Area VIIa nephrops u250kW'!$D$2:$N$2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nephrops u250kW'!$D$20:$N$20</c:f>
              <c:numCache>
                <c:formatCode>#,##0</c:formatCode>
                <c:ptCount val="11"/>
                <c:pt idx="0">
                  <c:v>1986</c:v>
                </c:pt>
                <c:pt idx="1">
                  <c:v>1609</c:v>
                </c:pt>
                <c:pt idx="2">
                  <c:v>1598</c:v>
                </c:pt>
                <c:pt idx="3">
                  <c:v>2175</c:v>
                </c:pt>
                <c:pt idx="4">
                  <c:v>2264</c:v>
                </c:pt>
                <c:pt idx="5">
                  <c:v>1924</c:v>
                </c:pt>
                <c:pt idx="6">
                  <c:v>2158</c:v>
                </c:pt>
                <c:pt idx="7">
                  <c:v>2002</c:v>
                </c:pt>
                <c:pt idx="8">
                  <c:v>2154</c:v>
                </c:pt>
                <c:pt idx="9">
                  <c:v>2092</c:v>
                </c:pt>
                <c:pt idx="10">
                  <c:v>2166</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614038912"/>
        <c:axId val="614069376"/>
      </c:lineChart>
      <c:catAx>
        <c:axId val="614038912"/>
        <c:scaling>
          <c:orientation val="minMax"/>
        </c:scaling>
        <c:delete val="0"/>
        <c:axPos val="b"/>
        <c:numFmt formatCode="General" sourceLinked="1"/>
        <c:majorTickMark val="out"/>
        <c:minorTickMark val="none"/>
        <c:tickLblPos val="nextTo"/>
        <c:crossAx val="614069376"/>
        <c:crosses val="autoZero"/>
        <c:auto val="1"/>
        <c:lblAlgn val="ctr"/>
        <c:lblOffset val="100"/>
        <c:noMultiLvlLbl val="0"/>
      </c:catAx>
      <c:valAx>
        <c:axId val="614069376"/>
        <c:scaling>
          <c:orientation val="minMax"/>
        </c:scaling>
        <c:delete val="0"/>
        <c:axPos val="l"/>
        <c:majorGridlines>
          <c:spPr>
            <a:ln w="3175">
              <a:prstDash val="sysDot"/>
            </a:ln>
          </c:spPr>
        </c:majorGridlines>
        <c:numFmt formatCode="#,##0" sourceLinked="1"/>
        <c:majorTickMark val="out"/>
        <c:minorTickMark val="none"/>
        <c:tickLblPos val="nextTo"/>
        <c:crossAx val="614038912"/>
        <c:crosses val="autoZero"/>
        <c:crossBetween val="between"/>
      </c:valAx>
    </c:plotArea>
    <c:plotVisOnly val="0"/>
    <c:dispBlanksAs val="gap"/>
    <c:showDLblsOverMax val="0"/>
  </c:chart>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'UK scallop dredge over 15m'!$H$162</c:f>
              <c:strCache>
                <c:ptCount val="1"/>
                <c:pt idx="0">
                  <c:v>Scallops</c:v>
                </c:pt>
              </c:strCache>
            </c:strRef>
          </c:tx>
          <c:spPr>
            <a:solidFill>
              <a:srgbClr val="2273B9"/>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15m'!$I$162:$K$162</c:f>
              <c:numCache>
                <c:formatCode>0%</c:formatCode>
                <c:ptCount val="3"/>
                <c:pt idx="0">
                  <c:v>0.90997203674033977</c:v>
                </c:pt>
                <c:pt idx="1">
                  <c:v>0.85333108721436368</c:v>
                </c:pt>
                <c:pt idx="2">
                  <c:v>0.93923741766283619</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'UK scallop dredge over 15m'!$H$163</c:f>
              <c:strCache>
                <c:ptCount val="1"/>
                <c:pt idx="0">
                  <c:v>Queen Scallops</c:v>
                </c:pt>
              </c:strCache>
            </c:strRef>
          </c:tx>
          <c:spPr>
            <a:solidFill>
              <a:srgbClr val="E87308"/>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15m'!$I$163:$K$163</c:f>
              <c:numCache>
                <c:formatCode>0%</c:formatCode>
                <c:ptCount val="3"/>
                <c:pt idx="0">
                  <c:v>7.7455187881260629E-2</c:v>
                </c:pt>
                <c:pt idx="1">
                  <c:v>0.13113267470000686</c:v>
                </c:pt>
                <c:pt idx="2">
                  <c:v>3.5271915697139729E-2</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'UK scallop dredge over 15m'!$H$164</c:f>
              <c:strCache>
                <c:ptCount val="1"/>
                <c:pt idx="0">
                  <c:v>Nephrops</c:v>
                </c:pt>
              </c:strCache>
            </c:strRef>
          </c:tx>
          <c:spPr>
            <a:solidFill>
              <a:srgbClr val="648C2E"/>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15m'!$I$164:$K$164</c:f>
              <c:numCache>
                <c:formatCode>0%</c:formatCode>
                <c:ptCount val="3"/>
                <c:pt idx="0">
                  <c:v>0</c:v>
                </c:pt>
                <c:pt idx="1">
                  <c:v>1.1016980386335086E-2</c:v>
                </c:pt>
                <c:pt idx="2">
                  <c:v>8.0170917279747001E-3</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'UK scallop dredge over 15m'!$H$165</c:f>
              <c:strCache>
                <c:ptCount val="1"/>
                <c:pt idx="0">
                  <c:v>Cod</c:v>
                </c:pt>
              </c:strCache>
            </c:strRef>
          </c:tx>
          <c:spPr>
            <a:solidFill>
              <a:srgbClr val="0F9AA9"/>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15m'!$I$165:$K$165</c:f>
              <c:numCache>
                <c:formatCode>0%</c:formatCode>
                <c:ptCount val="3"/>
                <c:pt idx="0">
                  <c:v>0</c:v>
                </c:pt>
                <c:pt idx="1">
                  <c:v>1.8381495853341588E-3</c:v>
                </c:pt>
                <c:pt idx="2">
                  <c:v>0</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'UK scallop dredge over 15m'!$H$166</c:f>
              <c:strCache>
                <c:ptCount val="1"/>
                <c:pt idx="0">
                  <c:v>Haddock</c:v>
                </c:pt>
              </c:strCache>
            </c:strRef>
          </c:tx>
          <c:spPr>
            <a:solidFill>
              <a:srgbClr val="51AA81"/>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15m'!$I$166:$K$166</c:f>
              <c:numCache>
                <c:formatCode>0%</c:formatCode>
                <c:ptCount val="3"/>
                <c:pt idx="0">
                  <c:v>0</c:v>
                </c:pt>
                <c:pt idx="1">
                  <c:v>7.0169057330801731E-4</c:v>
                </c:pt>
                <c:pt idx="2">
                  <c:v>0</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'UK scallop dredge over 15m'!$H$167</c:f>
              <c:strCache>
                <c:ptCount val="1"/>
                <c:pt idx="0">
                  <c:v>Squid</c:v>
                </c:pt>
              </c:strCache>
            </c:strRef>
          </c:tx>
          <c:spPr>
            <a:solidFill>
              <a:srgbClr val="169FDB"/>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15m'!$I$167:$K$167</c:f>
              <c:numCache>
                <c:formatCode>0%</c:formatCode>
                <c:ptCount val="3"/>
                <c:pt idx="0">
                  <c:v>1.1670023429181304E-3</c:v>
                </c:pt>
                <c:pt idx="1">
                  <c:v>0</c:v>
                </c:pt>
                <c:pt idx="2">
                  <c:v>9.8259860909523881E-3</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'UK scallop dredge over 15m'!$H$168</c:f>
              <c:strCache>
                <c:ptCount val="1"/>
                <c:pt idx="0">
                  <c:v>Brown Shrimps</c:v>
                </c:pt>
              </c:strCache>
            </c:strRef>
          </c:tx>
          <c:spPr>
            <a:solidFill>
              <a:srgbClr val="E40D2C"/>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15m'!$I$168:$K$168</c:f>
              <c:numCache>
                <c:formatCode>0%</c:formatCode>
                <c:ptCount val="3"/>
                <c:pt idx="0">
                  <c:v>0</c:v>
                </c:pt>
                <c:pt idx="1">
                  <c:v>0</c:v>
                </c:pt>
                <c:pt idx="2">
                  <c:v>7.1873989682626014E-3</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'UK scallop dredge over 15m'!$H$169</c:f>
              <c:strCache>
                <c:ptCount val="1"/>
                <c:pt idx="0">
                  <c:v>Turbot</c:v>
                </c:pt>
              </c:strCache>
            </c:strRef>
          </c:tx>
          <c:spPr>
            <a:solidFill>
              <a:srgbClr val="C1D119"/>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15m'!$I$169:$K$169</c:f>
              <c:numCache>
                <c:formatCode>0%</c:formatCode>
                <c:ptCount val="3"/>
                <c:pt idx="0">
                  <c:v>5.6903954506214612E-3</c:v>
                </c:pt>
                <c:pt idx="1">
                  <c:v>0</c:v>
                </c:pt>
                <c:pt idx="2">
                  <c:v>0</c:v>
                </c:pt>
              </c:numCache>
            </c:numRef>
          </c:val>
          <c:extLst xmlns:c16r2="http://schemas.microsoft.com/office/drawing/2015/06/chart">
            <c:ext xmlns:c16="http://schemas.microsoft.com/office/drawing/2014/chart" uri="{C3380CC4-5D6E-409C-BE32-E72D297353CC}">
              <c16:uniqueId val="{00000007-DC58-4725-8A67-0BDC09FD93CD}"/>
            </c:ext>
          </c:extLst>
        </c:ser>
        <c:ser>
          <c:idx val="8"/>
          <c:order val="8"/>
          <c:tx>
            <c:strRef>
              <c:f>'UK scallop dredge over 15m'!$H$170</c:f>
              <c:strCache>
                <c:ptCount val="1"/>
                <c:pt idx="0">
                  <c:v>Anglerfish</c:v>
                </c:pt>
              </c:strCache>
            </c:strRef>
          </c:tx>
          <c:spPr>
            <a:solidFill>
              <a:srgbClr val="E84A38"/>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15m'!$I$170:$K$170</c:f>
              <c:numCache>
                <c:formatCode>0%</c:formatCode>
                <c:ptCount val="3"/>
                <c:pt idx="0">
                  <c:v>2.6490164268601537E-3</c:v>
                </c:pt>
                <c:pt idx="1">
                  <c:v>0</c:v>
                </c:pt>
                <c:pt idx="2">
                  <c:v>0</c:v>
                </c:pt>
              </c:numCache>
            </c:numRef>
          </c:val>
          <c:extLst xmlns:c16r2="http://schemas.microsoft.com/office/drawing/2015/06/chart">
            <c:ext xmlns:c16="http://schemas.microsoft.com/office/drawing/2014/chart" uri="{C3380CC4-5D6E-409C-BE32-E72D297353CC}">
              <c16:uniqueId val="{00000008-DC58-4725-8A67-0BDC09FD93CD}"/>
            </c:ext>
          </c:extLst>
        </c:ser>
        <c:ser>
          <c:idx val="9"/>
          <c:order val="9"/>
          <c:tx>
            <c:strRef>
              <c:f>'UK scallop dredge over 15m'!$H$171</c:f>
              <c:strCache>
                <c:ptCount val="1"/>
                <c:pt idx="0">
                  <c:v>Others</c:v>
                </c:pt>
              </c:strCache>
            </c:strRef>
          </c:tx>
          <c:spPr>
            <a:solidFill>
              <a:srgbClr val="55585A"/>
            </a:solidFill>
            <a:ln>
              <a:solidFill>
                <a:srgbClr val="FFFFFF"/>
              </a:solidFill>
            </a:ln>
          </c:spPr>
          <c:invertIfNegative val="0"/>
          <c:cat>
            <c:strRef>
              <c:f>'UK scallop dredge over 15m'!$I$161:$K$161</c:f>
              <c:strCache>
                <c:ptCount val="3"/>
                <c:pt idx="0">
                  <c:v>Most
profitable
quartile</c:v>
                </c:pt>
                <c:pt idx="1">
                  <c:v>Middle 
two quartiles</c:v>
                </c:pt>
                <c:pt idx="2">
                  <c:v>Least
profitable
quartile</c:v>
                </c:pt>
              </c:strCache>
            </c:strRef>
          </c:cat>
          <c:val>
            <c:numRef>
              <c:f>'UK scallop dredge over 15m'!$I$171:$K$171</c:f>
              <c:numCache>
                <c:formatCode>0%</c:formatCode>
                <c:ptCount val="3"/>
                <c:pt idx="0">
                  <c:v>3.0663611579999639E-3</c:v>
                </c:pt>
                <c:pt idx="1">
                  <c:v>1.9794175406521175E-3</c:v>
                </c:pt>
                <c:pt idx="2">
                  <c:v>4.6018985283435843E-4</c:v>
                </c:pt>
              </c:numCache>
            </c:numRef>
          </c:val>
          <c:extLst xmlns:c16r2="http://schemas.microsoft.com/office/drawing/2015/06/chart">
            <c:ext xmlns:c16="http://schemas.microsoft.com/office/drawing/2014/chart" uri="{C3380CC4-5D6E-409C-BE32-E72D297353CC}">
              <c16:uniqueId val="{00000009-DC58-4725-8A67-0BDC09FD93CD}"/>
            </c:ext>
          </c:extLst>
        </c:ser>
        <c:dLbls>
          <c:showLegendKey val="0"/>
          <c:showVal val="0"/>
          <c:showCatName val="0"/>
          <c:showSerName val="0"/>
          <c:showPercent val="0"/>
          <c:showBubbleSize val="0"/>
        </c:dLbls>
        <c:gapWidth val="150"/>
        <c:overlap val="100"/>
        <c:axId val="950207232"/>
        <c:axId val="950208768"/>
      </c:barChart>
      <c:catAx>
        <c:axId val="950207232"/>
        <c:scaling>
          <c:orientation val="minMax"/>
        </c:scaling>
        <c:delete val="0"/>
        <c:axPos val="b"/>
        <c:numFmt formatCode="General" sourceLinked="0"/>
        <c:majorTickMark val="out"/>
        <c:minorTickMark val="none"/>
        <c:tickLblPos val="nextTo"/>
        <c:crossAx val="950208768"/>
        <c:crosses val="autoZero"/>
        <c:auto val="1"/>
        <c:lblAlgn val="ctr"/>
        <c:lblOffset val="100"/>
        <c:noMultiLvlLbl val="0"/>
      </c:catAx>
      <c:valAx>
        <c:axId val="950208768"/>
        <c:scaling>
          <c:orientation val="minMax"/>
          <c:max val="1"/>
          <c:min val="0"/>
        </c:scaling>
        <c:delete val="0"/>
        <c:axPos val="l"/>
        <c:majorGridlines/>
        <c:minorGridlines/>
        <c:numFmt formatCode="0%" sourceLinked="1"/>
        <c:majorTickMark val="out"/>
        <c:minorTickMark val="none"/>
        <c:tickLblPos val="nextTo"/>
        <c:crossAx val="950207232"/>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over 15m'!$K$143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'UK scallop dredge over 15m'!$K$139</c:f>
              <c:strCache>
                <c:ptCount val="1"/>
                <c:pt idx="0">
                  <c:v>Total income</c:v>
                </c:pt>
              </c:strCache>
            </c:strRef>
          </c:tx>
          <c:spPr>
            <a:solidFill>
              <a:schemeClr val="accent1"/>
            </a:solidFill>
            <a:ln>
              <a:solidFill>
                <a:schemeClr val="accent1"/>
              </a:solidFill>
            </a:ln>
          </c:spPr>
          <c:invertIfNegative val="0"/>
          <c:cat>
            <c:strRef>
              <c:f>'UK scallop dredge over 15m'!$L$138:$N$138</c:f>
              <c:strCache>
                <c:ptCount val="3"/>
                <c:pt idx="0">
                  <c:v>Most
profitable
quartile</c:v>
                </c:pt>
                <c:pt idx="1">
                  <c:v>Middle
two quartiles</c:v>
                </c:pt>
                <c:pt idx="2">
                  <c:v>Least
profitable
quartile</c:v>
                </c:pt>
              </c:strCache>
            </c:strRef>
          </c:cat>
          <c:val>
            <c:numRef>
              <c:f>'UK scallop dredge over 15m'!$L$139:$N$139</c:f>
              <c:numCache>
                <c:formatCode>#,##0</c:formatCode>
                <c:ptCount val="3"/>
                <c:pt idx="0">
                  <c:v>934.93212500000004</c:v>
                </c:pt>
                <c:pt idx="1">
                  <c:v>468.52739374999999</c:v>
                </c:pt>
                <c:pt idx="2">
                  <c:v>153.567125</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'UK scallop dredge over 15m'!$K$140</c:f>
              <c:strCache>
                <c:ptCount val="1"/>
                <c:pt idx="0">
                  <c:v>Operating costs</c:v>
                </c:pt>
              </c:strCache>
            </c:strRef>
          </c:tx>
          <c:spPr>
            <a:solidFill>
              <a:schemeClr val="accent3"/>
            </a:solidFill>
          </c:spPr>
          <c:invertIfNegative val="0"/>
          <c:cat>
            <c:strRef>
              <c:f>'UK scallop dredge over 15m'!$L$138:$N$138</c:f>
              <c:strCache>
                <c:ptCount val="3"/>
                <c:pt idx="0">
                  <c:v>Most
profitable
quartile</c:v>
                </c:pt>
                <c:pt idx="1">
                  <c:v>Middle
two quartiles</c:v>
                </c:pt>
                <c:pt idx="2">
                  <c:v>Least
profitable
quartile</c:v>
                </c:pt>
              </c:strCache>
            </c:strRef>
          </c:cat>
          <c:val>
            <c:numRef>
              <c:f>'UK scallop dredge over 15m'!$L$140:$N$140</c:f>
              <c:numCache>
                <c:formatCode>#,##0</c:formatCode>
                <c:ptCount val="3"/>
                <c:pt idx="0">
                  <c:v>701.81849999999997</c:v>
                </c:pt>
                <c:pt idx="1">
                  <c:v>376.35243750000001</c:v>
                </c:pt>
                <c:pt idx="2">
                  <c:v>144.77395312499999</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'UK scallop dredge over 15m'!$K$141</c:f>
              <c:strCache>
                <c:ptCount val="1"/>
                <c:pt idx="0">
                  <c:v>Operating profit</c:v>
                </c:pt>
              </c:strCache>
            </c:strRef>
          </c:tx>
          <c:spPr>
            <a:solidFill>
              <a:schemeClr val="accent2"/>
            </a:solidFill>
          </c:spPr>
          <c:invertIfNegative val="0"/>
          <c:cat>
            <c:strRef>
              <c:f>'UK scallop dredge over 15m'!$L$138:$N$138</c:f>
              <c:strCache>
                <c:ptCount val="3"/>
                <c:pt idx="0">
                  <c:v>Most
profitable
quartile</c:v>
                </c:pt>
                <c:pt idx="1">
                  <c:v>Middle
two quartiles</c:v>
                </c:pt>
                <c:pt idx="2">
                  <c:v>Least
profitable
quartile</c:v>
                </c:pt>
              </c:strCache>
            </c:strRef>
          </c:cat>
          <c:val>
            <c:numRef>
              <c:f>'UK scallop dredge over 15m'!$L$141:$N$141</c:f>
              <c:numCache>
                <c:formatCode>#,##0</c:formatCode>
                <c:ptCount val="3"/>
                <c:pt idx="0">
                  <c:v>233.11362500000001</c:v>
                </c:pt>
                <c:pt idx="1">
                  <c:v>92.174956249999994</c:v>
                </c:pt>
                <c:pt idx="2">
                  <c:v>8.7931718750000005</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950260864"/>
        <c:axId val="950262400"/>
      </c:barChart>
      <c:catAx>
        <c:axId val="950260864"/>
        <c:scaling>
          <c:orientation val="minMax"/>
        </c:scaling>
        <c:delete val="0"/>
        <c:axPos val="b"/>
        <c:numFmt formatCode="General" sourceLinked="0"/>
        <c:majorTickMark val="out"/>
        <c:minorTickMark val="none"/>
        <c:tickLblPos val="nextTo"/>
        <c:crossAx val="950262400"/>
        <c:crosses val="autoZero"/>
        <c:auto val="1"/>
        <c:lblAlgn val="ctr"/>
        <c:lblOffset val="100"/>
        <c:noMultiLvlLbl val="0"/>
      </c:catAx>
      <c:valAx>
        <c:axId val="950262400"/>
        <c:scaling>
          <c:orientation val="minMax"/>
        </c:scaling>
        <c:delete val="0"/>
        <c:axPos val="l"/>
        <c:majorGridlines/>
        <c:title>
          <c:tx>
            <c:strRef>
              <c:f>'UK scallop dredge over 15m'!$K$142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950260864"/>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15m'!$A$48</c:f>
          <c:strCache>
            <c:ptCount val="1"/>
            <c:pt idx="0">
              <c:v>Landings per kW day at sea (kg)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'UK scallop dredge under 15m'!$D$2:$N$2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'UK scallop dredge under 15m'!$D$21:$N$21</c:f>
              <c:numCache>
                <c:formatCode>#,##0.00</c:formatCode>
                <c:ptCount val="11"/>
                <c:pt idx="0">
                  <c:v>6.6862113630129105</c:v>
                </c:pt>
                <c:pt idx="1">
                  <c:v>5.4131427057287533</c:v>
                </c:pt>
                <c:pt idx="2">
                  <c:v>6.1469397149701805</c:v>
                </c:pt>
                <c:pt idx="3">
                  <c:v>6.768409444612808</c:v>
                </c:pt>
                <c:pt idx="4">
                  <c:v>6.5639086954729926</c:v>
                </c:pt>
                <c:pt idx="5">
                  <c:v>7.845917955717792</c:v>
                </c:pt>
                <c:pt idx="6">
                  <c:v>7.1606303887733658</c:v>
                </c:pt>
                <c:pt idx="7">
                  <c:v>7.0259076684271706</c:v>
                </c:pt>
                <c:pt idx="8">
                  <c:v>5.1429345974489964</c:v>
                </c:pt>
                <c:pt idx="9">
                  <c:v>5.5323475296309592</c:v>
                </c:pt>
                <c:pt idx="10">
                  <c:v>6.1961750334498733</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949524736"/>
        <c:axId val="949526528"/>
      </c:lineChart>
      <c:catAx>
        <c:axId val="949524736"/>
        <c:scaling>
          <c:orientation val="minMax"/>
        </c:scaling>
        <c:delete val="0"/>
        <c:axPos val="b"/>
        <c:numFmt formatCode="General" sourceLinked="1"/>
        <c:majorTickMark val="out"/>
        <c:minorTickMark val="none"/>
        <c:tickLblPos val="nextTo"/>
        <c:crossAx val="949526528"/>
        <c:crosses val="autoZero"/>
        <c:auto val="1"/>
        <c:lblAlgn val="ctr"/>
        <c:lblOffset val="100"/>
        <c:noMultiLvlLbl val="0"/>
      </c:catAx>
      <c:valAx>
        <c:axId val="949526528"/>
        <c:scaling>
          <c:orientation val="minMax"/>
        </c:scaling>
        <c:delete val="0"/>
        <c:axPos val="l"/>
        <c:majorGridlines>
          <c:spPr>
            <a:ln w="3175">
              <a:prstDash val="sysDot"/>
            </a:ln>
          </c:spPr>
        </c:majorGridlines>
        <c:numFmt formatCode="#,##0.00" sourceLinked="1"/>
        <c:majorTickMark val="out"/>
        <c:minorTickMark val="none"/>
        <c:tickLblPos val="nextTo"/>
        <c:crossAx val="949524736"/>
        <c:crosses val="autoZero"/>
        <c:crossBetween val="between"/>
      </c:valAx>
    </c:plotArea>
    <c:plotVisOnly val="0"/>
    <c:dispBlanksAs val="gap"/>
    <c:showDLblsOverMax val="0"/>
  </c:chart>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15m'!$A$49</c:f>
          <c:strCache>
            <c:ptCount val="1"/>
            <c:pt idx="0">
              <c:v>Fishing income per kW day at sea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'UK scallop dredge under 15m'!$D$2:$N$2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'UK scallop dredge under 15m'!$D$22:$N$22</c:f>
              <c:numCache>
                <c:formatCode>#,##0.00</c:formatCode>
                <c:ptCount val="11"/>
                <c:pt idx="0">
                  <c:v>8.4606208111002008</c:v>
                </c:pt>
                <c:pt idx="1">
                  <c:v>11.303528681725499</c:v>
                </c:pt>
                <c:pt idx="2">
                  <c:v>9.0100113605537899</c:v>
                </c:pt>
                <c:pt idx="3">
                  <c:v>9.4063840218314798</c:v>
                </c:pt>
                <c:pt idx="4">
                  <c:v>9.7868040953455395</c:v>
                </c:pt>
                <c:pt idx="5">
                  <c:v>8.7576239967792002</c:v>
                </c:pt>
                <c:pt idx="6">
                  <c:v>9.9153297113028707</c:v>
                </c:pt>
                <c:pt idx="7">
                  <c:v>8.8295599202190704</c:v>
                </c:pt>
                <c:pt idx="8">
                  <c:v>9.2719699193780105</c:v>
                </c:pt>
                <c:pt idx="9">
                  <c:v>9.9862815727488794</c:v>
                </c:pt>
                <c:pt idx="10">
                  <c:v>9.6174809330398237</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950351360"/>
        <c:axId val="950352896"/>
      </c:lineChart>
      <c:catAx>
        <c:axId val="950351360"/>
        <c:scaling>
          <c:orientation val="minMax"/>
        </c:scaling>
        <c:delete val="0"/>
        <c:axPos val="b"/>
        <c:numFmt formatCode="General" sourceLinked="1"/>
        <c:majorTickMark val="out"/>
        <c:minorTickMark val="none"/>
        <c:tickLblPos val="nextTo"/>
        <c:crossAx val="950352896"/>
        <c:crosses val="autoZero"/>
        <c:auto val="1"/>
        <c:lblAlgn val="ctr"/>
        <c:lblOffset val="100"/>
        <c:noMultiLvlLbl val="0"/>
      </c:catAx>
      <c:valAx>
        <c:axId val="950352896"/>
        <c:scaling>
          <c:orientation val="minMax"/>
        </c:scaling>
        <c:delete val="0"/>
        <c:axPos val="l"/>
        <c:majorGridlines>
          <c:spPr>
            <a:ln w="3175">
              <a:prstDash val="sysDot"/>
            </a:ln>
          </c:spPr>
        </c:majorGridlines>
        <c:numFmt formatCode="#,##0.00" sourceLinked="1"/>
        <c:majorTickMark val="out"/>
        <c:minorTickMark val="none"/>
        <c:tickLblPos val="nextTo"/>
        <c:crossAx val="950351360"/>
        <c:crosses val="autoZero"/>
        <c:crossBetween val="between"/>
      </c:valAx>
    </c:plotArea>
    <c:plotVisOnly val="0"/>
    <c:dispBlanksAs val="gap"/>
    <c:showDLblsOverMax val="0"/>
  </c:chart>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15m'!$B$62</c:f>
          <c:strCache>
            <c:ptCount val="1"/>
            <c:pt idx="0">
              <c:v>Total cost per kW day at sea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'UK scallop dredge under 15m'!$D$2:$N$2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'UK scallop dredge under 15m'!$D$23:$N$23</c:f>
              <c:numCache>
                <c:formatCode>#,##0.00</c:formatCode>
                <c:ptCount val="11"/>
                <c:pt idx="0">
                  <c:v>7.1955168794853401</c:v>
                </c:pt>
                <c:pt idx="1">
                  <c:v>7.7971147670819096</c:v>
                </c:pt>
                <c:pt idx="2">
                  <c:v>7.5771952944463798</c:v>
                </c:pt>
                <c:pt idx="3">
                  <c:v>8.2900717737690499</c:v>
                </c:pt>
                <c:pt idx="4">
                  <c:v>7.8563167283780597</c:v>
                </c:pt>
                <c:pt idx="5">
                  <c:v>7.5966825797287401</c:v>
                </c:pt>
                <c:pt idx="6">
                  <c:v>8.1862086831885499</c:v>
                </c:pt>
                <c:pt idx="7">
                  <c:v>7.3474458296431404</c:v>
                </c:pt>
                <c:pt idx="8">
                  <c:v>7.9524755141576904</c:v>
                </c:pt>
                <c:pt idx="9">
                  <c:v>9.1950700660018505</c:v>
                </c:pt>
                <c:pt idx="10">
                  <c:v>9.0487848032420697</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949576448"/>
        <c:axId val="949577984"/>
      </c:lineChart>
      <c:catAx>
        <c:axId val="949576448"/>
        <c:scaling>
          <c:orientation val="minMax"/>
        </c:scaling>
        <c:delete val="0"/>
        <c:axPos val="b"/>
        <c:numFmt formatCode="General" sourceLinked="1"/>
        <c:majorTickMark val="out"/>
        <c:minorTickMark val="none"/>
        <c:tickLblPos val="nextTo"/>
        <c:crossAx val="949577984"/>
        <c:crosses val="autoZero"/>
        <c:auto val="1"/>
        <c:lblAlgn val="ctr"/>
        <c:lblOffset val="100"/>
        <c:noMultiLvlLbl val="0"/>
      </c:catAx>
      <c:valAx>
        <c:axId val="949577984"/>
        <c:scaling>
          <c:orientation val="minMax"/>
        </c:scaling>
        <c:delete val="0"/>
        <c:axPos val="l"/>
        <c:majorGridlines>
          <c:spPr>
            <a:ln w="3175">
              <a:prstDash val="sysDot"/>
            </a:ln>
          </c:spPr>
        </c:majorGridlines>
        <c:numFmt formatCode="#,##0.00" sourceLinked="1"/>
        <c:majorTickMark val="out"/>
        <c:minorTickMark val="none"/>
        <c:tickLblPos val="nextTo"/>
        <c:crossAx val="949576448"/>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15m'!$K$48</c:f>
          <c:strCache>
            <c:ptCount val="1"/>
            <c:pt idx="0">
              <c:v>Operating profit per kW day at sea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'UK scallop dredge under 15m'!$D$2:$N$2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'UK scallop dredge under 15m'!$D$24:$N$24</c:f>
              <c:numCache>
                <c:formatCode>#,##0.00</c:formatCode>
                <c:ptCount val="11"/>
                <c:pt idx="0">
                  <c:v>1.3474407780049</c:v>
                </c:pt>
                <c:pt idx="1">
                  <c:v>3.7795427835317699</c:v>
                </c:pt>
                <c:pt idx="2">
                  <c:v>1.5712348279498201</c:v>
                </c:pt>
                <c:pt idx="3">
                  <c:v>1.18144127429673</c:v>
                </c:pt>
                <c:pt idx="4">
                  <c:v>2.2986409554553799</c:v>
                </c:pt>
                <c:pt idx="5">
                  <c:v>1.44793765942748</c:v>
                </c:pt>
                <c:pt idx="6">
                  <c:v>1.8531753641053701</c:v>
                </c:pt>
                <c:pt idx="7">
                  <c:v>1.96751477006324</c:v>
                </c:pt>
                <c:pt idx="8">
                  <c:v>1.70626534427969</c:v>
                </c:pt>
                <c:pt idx="9">
                  <c:v>1.08846067915753</c:v>
                </c:pt>
                <c:pt idx="10">
                  <c:v>0.85496771215379119</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49608448"/>
        <c:axId val="949609984"/>
      </c:lineChart>
      <c:catAx>
        <c:axId val="949608448"/>
        <c:scaling>
          <c:orientation val="minMax"/>
        </c:scaling>
        <c:delete val="0"/>
        <c:axPos val="b"/>
        <c:numFmt formatCode="General" sourceLinked="1"/>
        <c:majorTickMark val="out"/>
        <c:minorTickMark val="none"/>
        <c:tickLblPos val="nextTo"/>
        <c:crossAx val="949609984"/>
        <c:crosses val="autoZero"/>
        <c:auto val="1"/>
        <c:lblAlgn val="ctr"/>
        <c:lblOffset val="100"/>
        <c:noMultiLvlLbl val="0"/>
      </c:catAx>
      <c:valAx>
        <c:axId val="949609984"/>
        <c:scaling>
          <c:orientation val="minMax"/>
        </c:scaling>
        <c:delete val="0"/>
        <c:axPos val="l"/>
        <c:majorGridlines>
          <c:spPr>
            <a:ln w="3175">
              <a:prstDash val="sysDot"/>
            </a:ln>
          </c:spPr>
        </c:majorGridlines>
        <c:numFmt formatCode="#,##0.00" sourceLinked="1"/>
        <c:majorTickMark val="out"/>
        <c:minorTickMark val="none"/>
        <c:tickLblPos val="nextTo"/>
        <c:crossAx val="949608448"/>
        <c:crosses val="autoZero"/>
        <c:crossBetween val="between"/>
      </c:valAx>
    </c:plotArea>
    <c:plotVisOnly val="0"/>
    <c:dispBlanksAs val="gap"/>
    <c:showDLblsOverMax val="0"/>
  </c:chart>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15m'!$A$50</c:f>
          <c:strCache>
            <c:ptCount val="1"/>
            <c:pt idx="0">
              <c:v>Average price per tonne landed (£)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'UK scallop dredge under 15m'!$D$2:$N$2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'UK scallop dredge under 15m'!$D$20:$N$20</c:f>
              <c:numCache>
                <c:formatCode>#,##0</c:formatCode>
                <c:ptCount val="11"/>
                <c:pt idx="0">
                  <c:v>1265</c:v>
                </c:pt>
                <c:pt idx="1">
                  <c:v>2088</c:v>
                </c:pt>
                <c:pt idx="2">
                  <c:v>1466</c:v>
                </c:pt>
                <c:pt idx="3">
                  <c:v>1390</c:v>
                </c:pt>
                <c:pt idx="4">
                  <c:v>1491</c:v>
                </c:pt>
                <c:pt idx="5">
                  <c:v>1116</c:v>
                </c:pt>
                <c:pt idx="6">
                  <c:v>1385</c:v>
                </c:pt>
                <c:pt idx="7">
                  <c:v>1257</c:v>
                </c:pt>
                <c:pt idx="8">
                  <c:v>1803</c:v>
                </c:pt>
                <c:pt idx="9">
                  <c:v>1805</c:v>
                </c:pt>
                <c:pt idx="10">
                  <c:v>1552</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49636096"/>
        <c:axId val="949646080"/>
      </c:lineChart>
      <c:catAx>
        <c:axId val="949636096"/>
        <c:scaling>
          <c:orientation val="minMax"/>
        </c:scaling>
        <c:delete val="0"/>
        <c:axPos val="b"/>
        <c:numFmt formatCode="General" sourceLinked="1"/>
        <c:majorTickMark val="out"/>
        <c:minorTickMark val="none"/>
        <c:tickLblPos val="nextTo"/>
        <c:crossAx val="949646080"/>
        <c:crosses val="autoZero"/>
        <c:auto val="1"/>
        <c:lblAlgn val="ctr"/>
        <c:lblOffset val="100"/>
        <c:noMultiLvlLbl val="0"/>
      </c:catAx>
      <c:valAx>
        <c:axId val="949646080"/>
        <c:scaling>
          <c:orientation val="minMax"/>
        </c:scaling>
        <c:delete val="0"/>
        <c:axPos val="l"/>
        <c:majorGridlines>
          <c:spPr>
            <a:ln w="3175">
              <a:prstDash val="sysDot"/>
            </a:ln>
          </c:spPr>
        </c:majorGridlines>
        <c:numFmt formatCode="#,##0" sourceLinked="1"/>
        <c:majorTickMark val="out"/>
        <c:minorTickMark val="none"/>
        <c:tickLblPos val="nextTo"/>
        <c:crossAx val="949636096"/>
        <c:crosses val="autoZero"/>
        <c:crossBetween val="between"/>
      </c:valAx>
    </c:plotArea>
    <c:plotVisOnly val="0"/>
    <c:dispBlanksAs val="gap"/>
    <c:showDLblsOverMax val="0"/>
  </c:chart>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15m'!$K$62</c:f>
          <c:strCache>
            <c:ptCount val="1"/>
            <c:pt idx="0">
              <c:v>Average annual operating profit per vessel (£'000)
UK scallop dredge under 15m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'UK scallop dredge under 15m'!$D$2:$N$2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'UK scallop dredge under 15m'!$D$37:$N$37</c:f>
              <c:numCache>
                <c:formatCode>#,##0.0</c:formatCode>
                <c:ptCount val="11"/>
                <c:pt idx="0">
                  <c:v>18.600000000000001</c:v>
                </c:pt>
                <c:pt idx="1">
                  <c:v>51.5</c:v>
                </c:pt>
                <c:pt idx="2">
                  <c:v>24.1</c:v>
                </c:pt>
                <c:pt idx="3">
                  <c:v>16</c:v>
                </c:pt>
                <c:pt idx="4">
                  <c:v>37</c:v>
                </c:pt>
                <c:pt idx="5">
                  <c:v>20.9</c:v>
                </c:pt>
                <c:pt idx="6">
                  <c:v>26.2</c:v>
                </c:pt>
                <c:pt idx="7">
                  <c:v>28.8</c:v>
                </c:pt>
                <c:pt idx="8">
                  <c:v>30</c:v>
                </c:pt>
                <c:pt idx="9">
                  <c:v>15.8</c:v>
                </c:pt>
                <c:pt idx="10">
                  <c:v>12.5</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49668096"/>
        <c:axId val="949669888"/>
      </c:lineChart>
      <c:catAx>
        <c:axId val="949668096"/>
        <c:scaling>
          <c:orientation val="minMax"/>
        </c:scaling>
        <c:delete val="0"/>
        <c:axPos val="b"/>
        <c:numFmt formatCode="General" sourceLinked="1"/>
        <c:majorTickMark val="out"/>
        <c:minorTickMark val="none"/>
        <c:tickLblPos val="nextTo"/>
        <c:crossAx val="949669888"/>
        <c:crosses val="autoZero"/>
        <c:auto val="1"/>
        <c:lblAlgn val="ctr"/>
        <c:lblOffset val="100"/>
        <c:noMultiLvlLbl val="0"/>
      </c:catAx>
      <c:valAx>
        <c:axId val="949669888"/>
        <c:scaling>
          <c:orientation val="minMax"/>
        </c:scaling>
        <c:delete val="0"/>
        <c:axPos val="l"/>
        <c:majorGridlines>
          <c:spPr>
            <a:ln w="3175">
              <a:prstDash val="sysDot"/>
            </a:ln>
          </c:spPr>
        </c:majorGridlines>
        <c:numFmt formatCode="#,##0.0" sourceLinked="1"/>
        <c:majorTickMark val="out"/>
        <c:minorTickMark val="none"/>
        <c:tickLblPos val="nextTo"/>
        <c:crossAx val="949668096"/>
        <c:crosses val="autoZero"/>
        <c:crossBetween val="between"/>
      </c:valAx>
    </c:plotArea>
    <c:plotVisOnly val="0"/>
    <c:dispBlanksAs val="gap"/>
    <c:showDLblsOverMax val="0"/>
  </c:chart>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under 15m'!$A$76</c:f>
          <c:strCache>
            <c:ptCount val="1"/>
            <c:pt idx="0">
              <c:v>Top 5 landed species by volume in 2017
UK scallop dredge under 15m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648C2E"/>
              </a:solidFill>
              <a:ln>
                <a:solidFill>
                  <a:srgbClr val="FFFFFF"/>
                </a:solidFill>
              </a:ln>
            </c:spPr>
          </c:dPt>
          <c:dPt>
            <c:idx val="3"/>
            <c:bubble3D val="0"/>
            <c:spPr>
              <a:solidFill>
                <a:srgbClr val="E84A38"/>
              </a:solidFill>
              <a:ln>
                <a:solidFill>
                  <a:srgbClr val="FFFFFF"/>
                </a:solidFill>
              </a:ln>
            </c:spPr>
          </c:dPt>
          <c:dPt>
            <c:idx val="4"/>
            <c:bubble3D val="0"/>
            <c:spPr>
              <a:solidFill>
                <a:srgbClr val="C1D119"/>
              </a:solidFill>
              <a:ln>
                <a:solidFill>
                  <a:srgbClr val="FFFFFF"/>
                </a:solidFill>
              </a:ln>
            </c:spPr>
          </c:dPt>
          <c:dPt>
            <c:idx val="5"/>
            <c:bubble3D val="0"/>
            <c:spPr>
              <a:solidFill>
                <a:srgbClr val="55585A"/>
              </a:solidFill>
              <a:ln>
                <a:solidFill>
                  <a:srgbClr val="FFFFFF"/>
                </a:solidFill>
              </a:ln>
            </c:spPr>
          </c:dPt>
          <c:cat>
            <c:strRef>
              <c:f>'UK scallop dredge under 15m'!$B$77:$B$82</c:f>
              <c:strCache>
                <c:ptCount val="6"/>
                <c:pt idx="0">
                  <c:v>Scallops - 50.7%</c:v>
                </c:pt>
                <c:pt idx="1">
                  <c:v>Cockles - 34.0%</c:v>
                </c:pt>
                <c:pt idx="2">
                  <c:v>Queen Scallops - 6.5%</c:v>
                </c:pt>
                <c:pt idx="3">
                  <c:v>Mussels - 3.3%</c:v>
                </c:pt>
                <c:pt idx="4">
                  <c:v>Manilla Clam - 0.8%</c:v>
                </c:pt>
                <c:pt idx="5">
                  <c:v>Others - 4.8%</c:v>
                </c:pt>
              </c:strCache>
            </c:strRef>
          </c:cat>
          <c:val>
            <c:numRef>
              <c:f>'UK scallop dredge under 15m'!$C$77:$C$82</c:f>
              <c:numCache>
                <c:formatCode>0.0%</c:formatCode>
                <c:ptCount val="6"/>
                <c:pt idx="0">
                  <c:v>0.50652836363406628</c:v>
                </c:pt>
                <c:pt idx="1">
                  <c:v>0.33965397098832639</c:v>
                </c:pt>
                <c:pt idx="2">
                  <c:v>6.4607459322327782E-2</c:v>
                </c:pt>
                <c:pt idx="3">
                  <c:v>3.339718669645847E-2</c:v>
                </c:pt>
                <c:pt idx="4">
                  <c:v>7.5299835647275552E-3</c:v>
                </c:pt>
                <c:pt idx="5">
                  <c:v>4.8283035794093543E-2</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'UK scallop dredge under 15m'!$F$76</c:f>
          <c:strCache>
            <c:ptCount val="1"/>
            <c:pt idx="0">
              <c:v>Top 5 landed species by value in 2017
UK scallop dredge under 15m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'UK scallop dredge under 15m'!$G$77:$G$82</c:f>
              <c:strCache>
                <c:ptCount val="6"/>
                <c:pt idx="0">
                  <c:v>Scallops - 70.9%</c:v>
                </c:pt>
                <c:pt idx="1">
                  <c:v>Cockles - 14.0%</c:v>
                </c:pt>
                <c:pt idx="2">
                  <c:v>Queen Scallops - 3.4%</c:v>
                </c:pt>
                <c:pt idx="3">
                  <c:v>Manilla Clam - 1.8%</c:v>
                </c:pt>
                <c:pt idx="4">
                  <c:v>Mussels - 1.5%</c:v>
                </c:pt>
                <c:pt idx="5">
                  <c:v>Others - 8.5%</c:v>
                </c:pt>
              </c:strCache>
            </c:strRef>
          </c:cat>
          <c:val>
            <c:numRef>
              <c:f>'UK scallop dredge under 15m'!$H$77:$H$82</c:f>
              <c:numCache>
                <c:formatCode>0.0%</c:formatCode>
                <c:ptCount val="6"/>
                <c:pt idx="0">
                  <c:v>0.70865321539608861</c:v>
                </c:pt>
                <c:pt idx="1">
                  <c:v>0.13992871402543589</c:v>
                </c:pt>
                <c:pt idx="2">
                  <c:v>3.3870838457395115E-2</c:v>
                </c:pt>
                <c:pt idx="3">
                  <c:v>1.7663762276792352E-2</c:v>
                </c:pt>
                <c:pt idx="4">
                  <c:v>1.5367783970704428E-2</c:v>
                </c:pt>
                <c:pt idx="5">
                  <c:v>8.4515685873583712E-2</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u250kW'!$K$62</c:f>
          <c:strCache>
            <c:ptCount val="1"/>
            <c:pt idx="0">
              <c:v>Average annual operating profit per vessel (£'000)
Area VIIA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'Area VIIa nephrops u250kW'!$D$2:$N$2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nephrops u250kW'!$D$37:$N$37</c:f>
              <c:numCache>
                <c:formatCode>#,##0.0</c:formatCode>
                <c:ptCount val="11"/>
                <c:pt idx="0">
                  <c:v>31.7</c:v>
                </c:pt>
                <c:pt idx="1">
                  <c:v>28.1</c:v>
                </c:pt>
                <c:pt idx="2">
                  <c:v>22.7</c:v>
                </c:pt>
                <c:pt idx="3">
                  <c:v>40.5</c:v>
                </c:pt>
                <c:pt idx="4">
                  <c:v>39.700000000000003</c:v>
                </c:pt>
                <c:pt idx="5">
                  <c:v>28</c:v>
                </c:pt>
                <c:pt idx="6">
                  <c:v>21.9</c:v>
                </c:pt>
                <c:pt idx="7">
                  <c:v>30.9</c:v>
                </c:pt>
                <c:pt idx="8">
                  <c:v>36.4</c:v>
                </c:pt>
                <c:pt idx="9">
                  <c:v>44</c:v>
                </c:pt>
                <c:pt idx="10">
                  <c:v>43.1</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616670720"/>
        <c:axId val="616672256"/>
      </c:lineChart>
      <c:catAx>
        <c:axId val="616670720"/>
        <c:scaling>
          <c:orientation val="minMax"/>
        </c:scaling>
        <c:delete val="0"/>
        <c:axPos val="b"/>
        <c:numFmt formatCode="General" sourceLinked="1"/>
        <c:majorTickMark val="out"/>
        <c:minorTickMark val="none"/>
        <c:tickLblPos val="nextTo"/>
        <c:crossAx val="616672256"/>
        <c:crosses val="autoZero"/>
        <c:auto val="1"/>
        <c:lblAlgn val="ctr"/>
        <c:lblOffset val="100"/>
        <c:noMultiLvlLbl val="0"/>
      </c:catAx>
      <c:valAx>
        <c:axId val="616672256"/>
        <c:scaling>
          <c:orientation val="minMax"/>
        </c:scaling>
        <c:delete val="0"/>
        <c:axPos val="l"/>
        <c:majorGridlines>
          <c:spPr>
            <a:ln w="3175">
              <a:prstDash val="sysDot"/>
            </a:ln>
          </c:spPr>
        </c:majorGridlines>
        <c:numFmt formatCode="#,##0.0" sourceLinked="1"/>
        <c:majorTickMark val="out"/>
        <c:minorTickMark val="none"/>
        <c:tickLblPos val="nextTo"/>
        <c:crossAx val="616670720"/>
        <c:crosses val="autoZero"/>
        <c:crossBetween val="between"/>
      </c:valAx>
    </c:plotArea>
    <c:plotVisOnly val="0"/>
    <c:dispBlanksAs val="gap"/>
    <c:showDLblsOverMax val="0"/>
  </c:chart>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'UK scallop dredge under 15m'!$C$92</c:f>
              <c:strCache>
                <c:ptCount val="1"/>
                <c:pt idx="0">
                  <c:v>Scallops</c:v>
                </c:pt>
              </c:strCache>
            </c:strRef>
          </c:tx>
          <c:spPr>
            <a:solidFill>
              <a:srgbClr val="2273B9"/>
            </a:solidFill>
            <a:ln>
              <a:solidFill>
                <a:srgbClr val="FFFFFF"/>
              </a:solidFill>
            </a:ln>
          </c:spPr>
          <c:invertIfNegative val="0"/>
          <c:cat>
            <c:numRef>
              <c:f>'UK scallop dredge under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under 15m'!$D$92:$M$92</c:f>
              <c:numCache>
                <c:formatCode>0%</c:formatCode>
                <c:ptCount val="10"/>
                <c:pt idx="0">
                  <c:v>0.45632704169892579</c:v>
                </c:pt>
                <c:pt idx="1">
                  <c:v>0.68919412151896231</c:v>
                </c:pt>
                <c:pt idx="2">
                  <c:v>0.67251749633241087</c:v>
                </c:pt>
                <c:pt idx="3">
                  <c:v>0.77621829831757705</c:v>
                </c:pt>
                <c:pt idx="4">
                  <c:v>0.62367885739055517</c:v>
                </c:pt>
                <c:pt idx="5">
                  <c:v>0.58298891131245045</c:v>
                </c:pt>
                <c:pt idx="6">
                  <c:v>0.63753154445188576</c:v>
                </c:pt>
                <c:pt idx="7">
                  <c:v>0.74209190276450099</c:v>
                </c:pt>
                <c:pt idx="8">
                  <c:v>0.70865321539608861</c:v>
                </c:pt>
                <c:pt idx="9">
                  <c:v>0.67243864015870758</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'UK scallop dredge under 15m'!$C$93</c:f>
              <c:strCache>
                <c:ptCount val="1"/>
                <c:pt idx="0">
                  <c:v>Cockles</c:v>
                </c:pt>
              </c:strCache>
            </c:strRef>
          </c:tx>
          <c:spPr>
            <a:solidFill>
              <a:srgbClr val="E87308"/>
            </a:solidFill>
            <a:ln>
              <a:solidFill>
                <a:srgbClr val="FFFFFF"/>
              </a:solidFill>
            </a:ln>
          </c:spPr>
          <c:invertIfNegative val="0"/>
          <c:cat>
            <c:numRef>
              <c:f>'UK scallop dredge under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under 15m'!$D$93:$M$93</c:f>
              <c:numCache>
                <c:formatCode>0%</c:formatCode>
                <c:ptCount val="10"/>
                <c:pt idx="0">
                  <c:v>0.35149756025504214</c:v>
                </c:pt>
                <c:pt idx="1">
                  <c:v>9.1626966009927799E-2</c:v>
                </c:pt>
                <c:pt idx="2">
                  <c:v>0.11835473855651384</c:v>
                </c:pt>
                <c:pt idx="3">
                  <c:v>4.8287125894904671E-2</c:v>
                </c:pt>
                <c:pt idx="4">
                  <c:v>0.21083922231783722</c:v>
                </c:pt>
                <c:pt idx="5">
                  <c:v>0.30363688341779882</c:v>
                </c:pt>
                <c:pt idx="6">
                  <c:v>0.19905377790469339</c:v>
                </c:pt>
                <c:pt idx="7">
                  <c:v>0.1237205248390751</c:v>
                </c:pt>
                <c:pt idx="8">
                  <c:v>0.13992871402543589</c:v>
                </c:pt>
                <c:pt idx="9">
                  <c:v>0.21401538098359707</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'UK scallop dredge under 15m'!$C$94</c:f>
              <c:strCache>
                <c:ptCount val="1"/>
                <c:pt idx="0">
                  <c:v>Queen Scallops</c:v>
                </c:pt>
              </c:strCache>
            </c:strRef>
          </c:tx>
          <c:spPr>
            <a:solidFill>
              <a:srgbClr val="648C2E"/>
            </a:solidFill>
            <a:ln>
              <a:solidFill>
                <a:srgbClr val="FFFFFF"/>
              </a:solidFill>
            </a:ln>
          </c:spPr>
          <c:invertIfNegative val="0"/>
          <c:cat>
            <c:numRef>
              <c:f>'UK scallop dredge under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under 15m'!$D$94:$M$94</c:f>
              <c:numCache>
                <c:formatCode>0%</c:formatCode>
                <c:ptCount val="10"/>
                <c:pt idx="1">
                  <c:v>4.2370471774333236E-2</c:v>
                </c:pt>
                <c:pt idx="2">
                  <c:v>5.6842211665110956E-2</c:v>
                </c:pt>
                <c:pt idx="3">
                  <c:v>5.3221833182758749E-2</c:v>
                </c:pt>
                <c:pt idx="4">
                  <c:v>6.7588271563918764E-2</c:v>
                </c:pt>
                <c:pt idx="5">
                  <c:v>3.5708438095391655E-2</c:v>
                </c:pt>
                <c:pt idx="6">
                  <c:v>4.1710089356852414E-2</c:v>
                </c:pt>
                <c:pt idx="7">
                  <c:v>4.241452351486949E-2</c:v>
                </c:pt>
                <c:pt idx="8">
                  <c:v>3.3870838457395115E-2</c:v>
                </c:pt>
                <c:pt idx="9">
                  <c:v>2.5104691412581731E-2</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'UK scallop dredge under 15m'!$C$95</c:f>
              <c:strCache>
                <c:ptCount val="1"/>
                <c:pt idx="0">
                  <c:v>Manilla Clam</c:v>
                </c:pt>
              </c:strCache>
            </c:strRef>
          </c:tx>
          <c:spPr>
            <a:solidFill>
              <a:srgbClr val="C1D119"/>
            </a:solidFill>
            <a:ln>
              <a:solidFill>
                <a:srgbClr val="FFFFFF"/>
              </a:solidFill>
            </a:ln>
          </c:spPr>
          <c:invertIfNegative val="0"/>
          <c:cat>
            <c:numRef>
              <c:f>'UK scallop dredge under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under 15m'!$D$95:$M$95</c:f>
              <c:numCache>
                <c:formatCode>0%</c:formatCode>
                <c:ptCount val="10"/>
                <c:pt idx="0">
                  <c:v>2.6648051567454027E-2</c:v>
                </c:pt>
                <c:pt idx="1">
                  <c:v>3.6362375902582907E-2</c:v>
                </c:pt>
                <c:pt idx="2">
                  <c:v>2.783643974893641E-2</c:v>
                </c:pt>
                <c:pt idx="3">
                  <c:v>2.1178759260998447E-2</c:v>
                </c:pt>
                <c:pt idx="4">
                  <c:v>1.2247720093288571E-2</c:v>
                </c:pt>
                <c:pt idx="5">
                  <c:v>1.0451859936783171E-2</c:v>
                </c:pt>
                <c:pt idx="6">
                  <c:v>2.6072521413901872E-2</c:v>
                </c:pt>
                <c:pt idx="7">
                  <c:v>1.7989654129178675E-2</c:v>
                </c:pt>
                <c:pt idx="8">
                  <c:v>1.7663762276792352E-2</c:v>
                </c:pt>
                <c:pt idx="9">
                  <c:v>2.2673278696770129E-2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'UK scallop dredge under 15m'!$C$96</c:f>
              <c:strCache>
                <c:ptCount val="1"/>
                <c:pt idx="0">
                  <c:v>Mussels</c:v>
                </c:pt>
              </c:strCache>
            </c:strRef>
          </c:tx>
          <c:spPr>
            <a:solidFill>
              <a:srgbClr val="E84A38"/>
            </a:solidFill>
            <a:ln>
              <a:solidFill>
                <a:srgbClr val="FFFFFF"/>
              </a:solidFill>
            </a:ln>
          </c:spPr>
          <c:invertIfNegative val="0"/>
          <c:cat>
            <c:numRef>
              <c:f>'UK scallop dredge under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under 15m'!$D$96:$M$96</c:f>
              <c:numCache>
                <c:formatCode>0%</c:formatCode>
                <c:ptCount val="10"/>
                <c:pt idx="6">
                  <c:v>2.8069836494728103E-2</c:v>
                </c:pt>
                <c:pt idx="8">
                  <c:v>1.5367783970704428E-2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'UK scallop dredge under 15m'!$C$97</c:f>
              <c:strCache>
                <c:ptCount val="1"/>
                <c:pt idx="0">
                  <c:v>Sole</c:v>
                </c:pt>
              </c:strCache>
            </c:strRef>
          </c:tx>
          <c:spPr>
            <a:solidFill>
              <a:srgbClr val="0F9AA9"/>
            </a:solidFill>
            <a:ln>
              <a:solidFill>
                <a:srgbClr val="FFFFFF"/>
              </a:solidFill>
            </a:ln>
          </c:spPr>
          <c:invertIfNegative val="0"/>
          <c:cat>
            <c:numRef>
              <c:f>'UK scallop dredge under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under 15m'!$D$97:$M$97</c:f>
              <c:numCache>
                <c:formatCode>0%</c:formatCode>
                <c:ptCount val="10"/>
                <c:pt idx="1">
                  <c:v>1.9509874359098085E-2</c:v>
                </c:pt>
                <c:pt idx="2">
                  <c:v>1.9354577455774114E-2</c:v>
                </c:pt>
                <c:pt idx="4">
                  <c:v>1.1043376657965339E-2</c:v>
                </c:pt>
                <c:pt idx="9">
                  <c:v>8.8915259749575322E-3</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'UK scallop dredge under 15m'!$C$98</c:f>
              <c:strCache>
                <c:ptCount val="1"/>
                <c:pt idx="0">
                  <c:v>Nephrops</c:v>
                </c:pt>
              </c:strCache>
            </c:strRef>
          </c:tx>
          <c:spPr>
            <a:solidFill>
              <a:srgbClr val="FED825"/>
            </a:solidFill>
            <a:ln>
              <a:solidFill>
                <a:srgbClr val="FFFFFF"/>
              </a:solidFill>
            </a:ln>
          </c:spPr>
          <c:invertIfNegative val="0"/>
          <c:cat>
            <c:numRef>
              <c:f>'UK scallop dredge under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under 15m'!$D$98:$M$98</c:f>
              <c:numCache>
                <c:formatCode>0%</c:formatCode>
                <c:ptCount val="10"/>
                <c:pt idx="3">
                  <c:v>2.2517072192908313E-2</c:v>
                </c:pt>
                <c:pt idx="5">
                  <c:v>7.6967579473823143E-3</c:v>
                </c:pt>
                <c:pt idx="7">
                  <c:v>1.3566371689423892E-2</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'UK scallop dredge under 15m'!$C$99</c:f>
              <c:strCache>
                <c:ptCount val="1"/>
                <c:pt idx="0">
                  <c:v>Razor Clam</c:v>
                </c:pt>
              </c:strCache>
            </c:strRef>
          </c:tx>
          <c:spPr>
            <a:solidFill>
              <a:srgbClr val="707271"/>
            </a:solidFill>
            <a:ln>
              <a:solidFill>
                <a:srgbClr val="FFFFFF"/>
              </a:solidFill>
            </a:ln>
          </c:spPr>
          <c:invertIfNegative val="0"/>
          <c:cat>
            <c:numRef>
              <c:f>'UK scallop dredge under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under 15m'!$D$99:$M$99</c:f>
              <c:numCache>
                <c:formatCode>0%</c:formatCode>
                <c:ptCount val="10"/>
                <c:pt idx="0">
                  <c:v>2.3269301801918163E-2</c:v>
                </c:pt>
              </c:numCache>
            </c:numRef>
          </c:val>
          <c:extLst xmlns:c16r2="http://schemas.microsoft.com/office/drawing/2015/06/chart">
            <c:ext xmlns:c16="http://schemas.microsoft.com/office/drawing/2014/chart" uri="{C3380CC4-5D6E-409C-BE32-E72D297353CC}">
              <c16:uniqueId val="{00000007-282A-42F3-A8CE-7B6B063B5E4F}"/>
            </c:ext>
          </c:extLst>
        </c:ser>
        <c:ser>
          <c:idx val="8"/>
          <c:order val="8"/>
          <c:tx>
            <c:strRef>
              <c:f>'UK scallop dredge under 15m'!$C$100</c:f>
              <c:strCache>
                <c:ptCount val="1"/>
                <c:pt idx="0">
                  <c:v>Mixed Clams</c:v>
                </c:pt>
              </c:strCache>
            </c:strRef>
          </c:tx>
          <c:spPr>
            <a:solidFill>
              <a:srgbClr val="51AA81"/>
            </a:solidFill>
            <a:ln>
              <a:solidFill>
                <a:srgbClr val="FFFFFF"/>
              </a:solidFill>
            </a:ln>
          </c:spPr>
          <c:invertIfNegative val="0"/>
          <c:cat>
            <c:numRef>
              <c:f>'UK scallop dredge under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under 15m'!$D$100:$M$100</c:f>
              <c:numCache>
                <c:formatCode>0%</c:formatCode>
                <c:ptCount val="10"/>
                <c:pt idx="0">
                  <c:v>1.7868539399411222E-2</c:v>
                </c:pt>
              </c:numCache>
            </c:numRef>
          </c:val>
          <c:extLst xmlns:c16r2="http://schemas.microsoft.com/office/drawing/2015/06/chart">
            <c:ext xmlns:c16="http://schemas.microsoft.com/office/drawing/2014/chart" uri="{C3380CC4-5D6E-409C-BE32-E72D297353CC}">
              <c16:uniqueId val="{00000008-282A-42F3-A8CE-7B6B063B5E4F}"/>
            </c:ext>
          </c:extLst>
        </c:ser>
        <c:ser>
          <c:idx val="9"/>
          <c:order val="9"/>
          <c:tx>
            <c:strRef>
              <c:f>'UK scallop dredge under 15m'!$C$101</c:f>
              <c:strCache>
                <c:ptCount val="1"/>
                <c:pt idx="0">
                  <c:v>Others</c:v>
                </c:pt>
              </c:strCache>
            </c:strRef>
          </c:tx>
          <c:spPr>
            <a:solidFill>
              <a:srgbClr val="55585A"/>
            </a:solidFill>
            <a:ln>
              <a:solidFill>
                <a:srgbClr val="FFFFFF"/>
              </a:solidFill>
            </a:ln>
          </c:spPr>
          <c:invertIfNegative val="0"/>
          <c:cat>
            <c:numRef>
              <c:f>'UK scallop dredge under 15m'!$D$91:$M$91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'UK scallop dredge under 15m'!$D$101:$M$101</c:f>
              <c:numCache>
                <c:formatCode>0%</c:formatCode>
                <c:ptCount val="10"/>
                <c:pt idx="0">
                  <c:v>0.12438950527724864</c:v>
                </c:pt>
                <c:pt idx="1">
                  <c:v>0.12093619043509569</c:v>
                </c:pt>
                <c:pt idx="2">
                  <c:v>0.1050945362412538</c:v>
                </c:pt>
                <c:pt idx="3">
                  <c:v>7.8576911150852802E-2</c:v>
                </c:pt>
                <c:pt idx="4">
                  <c:v>7.460255197643488E-2</c:v>
                </c:pt>
                <c:pt idx="5">
                  <c:v>5.9517149290193569E-2</c:v>
                </c:pt>
                <c:pt idx="6">
                  <c:v>6.7562230377938473E-2</c:v>
                </c:pt>
                <c:pt idx="7">
                  <c:v>6.021702306295186E-2</c:v>
                </c:pt>
                <c:pt idx="8">
                  <c:v>8.4515685873583588E-2</c:v>
                </c:pt>
                <c:pt idx="9">
                  <c:v>5.6876482773385903E-2</c:v>
                </c:pt>
              </c:numCache>
            </c:numRef>
          </c:val>
          <c:extLst xmlns:c16r2="http://schemas.microsoft.com/office/drawing/2015/06/chart">
            <c:ext xmlns:c16="http://schemas.microsoft.com/office/drawing/2014/chart" uri="{C3380CC4-5D6E-409C-BE32-E72D297353CC}">
              <c16:uniqueId val="{00000009-282A-42F3-A8CE-7B6B063B5E4F}"/>
            </c:ext>
          </c:extLst>
        </c:ser>
        <c:dLbls>
          <c:showLegendKey val="0"/>
          <c:showVal val="0"/>
          <c:showCatName val="0"/>
          <c:showSerName val="0"/>
          <c:showPercent val="0"/>
          <c:showBubbleSize val="0"/>
        </c:dLbls>
        <c:gapWidth val="150"/>
        <c:overlap val="100"/>
        <c:axId val="950765440"/>
        <c:axId val="950766976"/>
      </c:barChart>
      <c:catAx>
        <c:axId val="950765440"/>
        <c:scaling>
          <c:orientation val="minMax"/>
        </c:scaling>
        <c:delete val="0"/>
        <c:axPos val="b"/>
        <c:numFmt formatCode="General" sourceLinked="1"/>
        <c:majorTickMark val="out"/>
        <c:minorTickMark val="none"/>
        <c:tickLblPos val="nextTo"/>
        <c:crossAx val="950766976"/>
        <c:crosses val="autoZero"/>
        <c:auto val="1"/>
        <c:lblAlgn val="ctr"/>
        <c:lblOffset val="100"/>
        <c:noMultiLvlLbl val="0"/>
      </c:catAx>
      <c:valAx>
        <c:axId val="950766976"/>
        <c:scaling>
          <c:orientation val="minMax"/>
          <c:max val="1"/>
          <c:min val="0"/>
        </c:scaling>
        <c:delete val="0"/>
        <c:axPos val="l"/>
        <c:majorGridlines/>
        <c:numFmt formatCode="0%" sourceLinked="1"/>
        <c:majorTickMark val="out"/>
        <c:minorTickMark val="none"/>
        <c:tickLblPos val="nextTo"/>
        <c:crossAx val="950765440"/>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'UK scallop dredge under 15m'!$B$162</c:f>
              <c:strCache>
                <c:ptCount val="1"/>
                <c:pt idx="0">
                  <c:v>Scallops</c:v>
                </c:pt>
              </c:strCache>
            </c:strRef>
          </c:tx>
          <c:spPr>
            <a:solidFill>
              <a:srgbClr val="2273B9"/>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15m'!$C$162:$E$162</c:f>
              <c:numCache>
                <c:formatCode>0%</c:formatCode>
                <c:ptCount val="3"/>
                <c:pt idx="0">
                  <c:v>0.24405084341830602</c:v>
                </c:pt>
                <c:pt idx="1">
                  <c:v>0.82103625220872678</c:v>
                </c:pt>
                <c:pt idx="2">
                  <c:v>0.59293006527501335</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'UK scallop dredge under 15m'!$B$163</c:f>
              <c:strCache>
                <c:ptCount val="1"/>
                <c:pt idx="0">
                  <c:v>Queen Scallops</c:v>
                </c:pt>
              </c:strCache>
            </c:strRef>
          </c:tx>
          <c:spPr>
            <a:solidFill>
              <a:srgbClr val="648C2E"/>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15m'!$C$163:$E$163</c:f>
              <c:numCache>
                <c:formatCode>0%</c:formatCode>
                <c:ptCount val="3"/>
                <c:pt idx="0">
                  <c:v>2.7279368192950671E-2</c:v>
                </c:pt>
                <c:pt idx="1">
                  <c:v>0.1179833608176792</c:v>
                </c:pt>
                <c:pt idx="2">
                  <c:v>2.3320707558541754E-2</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'UK scallop dredge under 15m'!$B$164</c:f>
              <c:strCache>
                <c:ptCount val="1"/>
                <c:pt idx="0">
                  <c:v>Nephrops</c:v>
                </c:pt>
              </c:strCache>
            </c:strRef>
          </c:tx>
          <c:spPr>
            <a:solidFill>
              <a:srgbClr val="0F9AA9"/>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15m'!$C$164:$E$164</c:f>
              <c:numCache>
                <c:formatCode>0%</c:formatCode>
                <c:ptCount val="3"/>
                <c:pt idx="0">
                  <c:v>0</c:v>
                </c:pt>
                <c:pt idx="1">
                  <c:v>1.6531988459303981E-2</c:v>
                </c:pt>
                <c:pt idx="2">
                  <c:v>0</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'UK scallop dredge under 15m'!$B$165</c:f>
              <c:strCache>
                <c:ptCount val="1"/>
                <c:pt idx="0">
                  <c:v>Cockles</c:v>
                </c:pt>
              </c:strCache>
            </c:strRef>
          </c:tx>
          <c:spPr>
            <a:solidFill>
              <a:srgbClr val="E87308"/>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15m'!$C$165:$E$165</c:f>
              <c:numCache>
                <c:formatCode>0%</c:formatCode>
                <c:ptCount val="3"/>
                <c:pt idx="0">
                  <c:v>0.63257748733913322</c:v>
                </c:pt>
                <c:pt idx="1">
                  <c:v>1.0889521247327583E-2</c:v>
                </c:pt>
                <c:pt idx="2">
                  <c:v>0.27401608453502246</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'UK scallop dredge under 15m'!$B$166</c:f>
              <c:strCache>
                <c:ptCount val="1"/>
                <c:pt idx="0">
                  <c:v>Manilla Clam</c:v>
                </c:pt>
              </c:strCache>
            </c:strRef>
          </c:tx>
          <c:spPr>
            <a:solidFill>
              <a:srgbClr val="C1D119"/>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15m'!$C$166:$E$166</c:f>
              <c:numCache>
                <c:formatCode>0%</c:formatCode>
                <c:ptCount val="3"/>
                <c:pt idx="0">
                  <c:v>0</c:v>
                </c:pt>
                <c:pt idx="1">
                  <c:v>1.0281688868540575E-2</c:v>
                </c:pt>
                <c:pt idx="2">
                  <c:v>2.7236149370721337E-2</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'UK scallop dredge under 15m'!$B$167</c:f>
              <c:strCache>
                <c:ptCount val="1"/>
                <c:pt idx="0">
                  <c:v>Blonde Ray</c:v>
                </c:pt>
              </c:strCache>
            </c:strRef>
          </c:tx>
          <c:spPr>
            <a:solidFill>
              <a:srgbClr val="707271"/>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15m'!$C$167:$E$167</c:f>
              <c:numCache>
                <c:formatCode>0%</c:formatCode>
                <c:ptCount val="3"/>
                <c:pt idx="0">
                  <c:v>0</c:v>
                </c:pt>
                <c:pt idx="1">
                  <c:v>0</c:v>
                </c:pt>
                <c:pt idx="2">
                  <c:v>1.5586809477923994E-2</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'UK scallop dredge under 15m'!$B$168</c:f>
              <c:strCache>
                <c:ptCount val="1"/>
                <c:pt idx="0">
                  <c:v>Mussels</c:v>
                </c:pt>
              </c:strCache>
            </c:strRef>
          </c:tx>
          <c:spPr>
            <a:solidFill>
              <a:srgbClr val="E84A38"/>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15m'!$C$168:$E$168</c:f>
              <c:numCache>
                <c:formatCode>0%</c:formatCode>
                <c:ptCount val="3"/>
                <c:pt idx="0">
                  <c:v>6.1598531507358646E-2</c:v>
                </c:pt>
                <c:pt idx="1">
                  <c:v>0</c:v>
                </c:pt>
                <c:pt idx="2">
                  <c:v>0</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'UK scallop dredge under 15m'!$B$169</c:f>
              <c:strCache>
                <c:ptCount val="1"/>
                <c:pt idx="0">
                  <c:v>Mixed Clams</c:v>
                </c:pt>
              </c:strCache>
            </c:strRef>
          </c:tx>
          <c:spPr>
            <a:solidFill>
              <a:srgbClr val="51AA81"/>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15m'!$C$169:$E$169</c:f>
              <c:numCache>
                <c:formatCode>0%</c:formatCode>
                <c:ptCount val="3"/>
                <c:pt idx="0">
                  <c:v>5.2982810439818088E-3</c:v>
                </c:pt>
                <c:pt idx="1">
                  <c:v>0</c:v>
                </c:pt>
                <c:pt idx="2">
                  <c:v>0</c:v>
                </c:pt>
              </c:numCache>
            </c:numRef>
          </c:val>
          <c:extLst xmlns:c16r2="http://schemas.microsoft.com/office/drawing/2015/06/chart">
            <c:ext xmlns:c16="http://schemas.microsoft.com/office/drawing/2014/chart" uri="{C3380CC4-5D6E-409C-BE32-E72D297353CC}">
              <c16:uniqueId val="{00000007-DFDD-4C01-8393-1BE532AE55F9}"/>
            </c:ext>
          </c:extLst>
        </c:ser>
        <c:ser>
          <c:idx val="8"/>
          <c:order val="8"/>
          <c:tx>
            <c:strRef>
              <c:f>'UK scallop dredge under 15m'!$B$170</c:f>
              <c:strCache>
                <c:ptCount val="1"/>
                <c:pt idx="0">
                  <c:v>Others</c:v>
                </c:pt>
              </c:strCache>
            </c:strRef>
          </c:tx>
          <c:spPr>
            <a:solidFill>
              <a:srgbClr val="55585A"/>
            </a:solidFill>
            <a:ln>
              <a:solidFill>
                <a:srgbClr val="FFFFFF"/>
              </a:solidFill>
            </a:ln>
          </c:spPr>
          <c:invertIfNegative val="0"/>
          <c:cat>
            <c:strRef>
              <c:f>'UK scallop dredge under 15m'!$C$161:$E$161</c:f>
              <c:strCache>
                <c:ptCount val="3"/>
                <c:pt idx="0">
                  <c:v>Most
profitable
quartile</c:v>
                </c:pt>
                <c:pt idx="1">
                  <c:v>Middle 
two quartiles</c:v>
                </c:pt>
                <c:pt idx="2">
                  <c:v>Least
profitable
quartile</c:v>
                </c:pt>
              </c:strCache>
            </c:strRef>
          </c:cat>
          <c:val>
            <c:numRef>
              <c:f>'UK scallop dredge under 15m'!$C$170:$E$170</c:f>
              <c:numCache>
                <c:formatCode>0%</c:formatCode>
                <c:ptCount val="3"/>
                <c:pt idx="0">
                  <c:v>2.9195488498269806E-2</c:v>
                </c:pt>
                <c:pt idx="1">
                  <c:v>2.3277188398421966E-2</c:v>
                </c:pt>
                <c:pt idx="2">
                  <c:v>6.6910183782777022E-2</c:v>
                </c:pt>
              </c:numCache>
            </c:numRef>
          </c:val>
          <c:extLst xmlns:c16r2="http://schemas.microsoft.com/office/drawing/2015/06/chart">
            <c:ext xmlns:c16="http://schemas.microsoft.com/office/drawing/2014/chart" uri="{C3380CC4-5D6E-409C-BE32-E72D297353CC}">
              <c16:uniqueId val="{00000008-DFDD-4C01-8393-1BE532AE55F9}"/>
            </c:ext>
          </c:extLst>
        </c:ser>
        <c:dLbls>
          <c:showLegendKey val="0"/>
          <c:showVal val="0"/>
          <c:showCatName val="0"/>
          <c:showSerName val="0"/>
          <c:showPercent val="0"/>
          <c:showBubbleSize val="0"/>
        </c:dLbls>
        <c:gapWidth val="150"/>
        <c:overlap val="100"/>
        <c:axId val="950908800"/>
        <c:axId val="950910336"/>
      </c:barChart>
      <c:catAx>
        <c:axId val="950908800"/>
        <c:scaling>
          <c:orientation val="minMax"/>
        </c:scaling>
        <c:delete val="0"/>
        <c:axPos val="b"/>
        <c:numFmt formatCode="General" sourceLinked="0"/>
        <c:majorTickMark val="out"/>
        <c:minorTickMark val="none"/>
        <c:tickLblPos val="nextTo"/>
        <c:crossAx val="950910336"/>
        <c:crosses val="autoZero"/>
        <c:auto val="1"/>
        <c:lblAlgn val="ctr"/>
        <c:lblOffset val="100"/>
        <c:noMultiLvlLbl val="0"/>
      </c:catAx>
      <c:valAx>
        <c:axId val="950910336"/>
        <c:scaling>
          <c:orientation val="minMax"/>
          <c:max val="1"/>
          <c:min val="0"/>
        </c:scaling>
        <c:delete val="0"/>
        <c:axPos val="l"/>
        <c:majorGridlines/>
        <c:minorGridlines/>
        <c:numFmt formatCode="0%" sourceLinked="1"/>
        <c:majorTickMark val="out"/>
        <c:minorTickMark val="none"/>
        <c:tickLblPos val="nextTo"/>
        <c:crossAx val="950908800"/>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'UK scallop dredge under 15m'!$H$162</c:f>
              <c:strCache>
                <c:ptCount val="1"/>
                <c:pt idx="0">
                  <c:v>Scallops</c:v>
                </c:pt>
              </c:strCache>
            </c:strRef>
          </c:tx>
          <c:spPr>
            <a:solidFill>
              <a:srgbClr val="2273B9"/>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15m'!$I$162:$K$162</c:f>
              <c:numCache>
                <c:formatCode>0%</c:formatCode>
                <c:ptCount val="3"/>
                <c:pt idx="0">
                  <c:v>0.47009091321751084</c:v>
                </c:pt>
                <c:pt idx="1">
                  <c:v>0.86754346095970014</c:v>
                </c:pt>
                <c:pt idx="2">
                  <c:v>0.74566891770969845</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'UK scallop dredge under 15m'!$H$163</c:f>
              <c:strCache>
                <c:ptCount val="1"/>
                <c:pt idx="0">
                  <c:v>Queen Scallops</c:v>
                </c:pt>
              </c:strCache>
            </c:strRef>
          </c:tx>
          <c:spPr>
            <a:solidFill>
              <a:srgbClr val="648C2E"/>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15m'!$I$163:$K$163</c:f>
              <c:numCache>
                <c:formatCode>0%</c:formatCode>
                <c:ptCount val="3"/>
                <c:pt idx="0">
                  <c:v>2.2178434411564679E-2</c:v>
                </c:pt>
                <c:pt idx="1">
                  <c:v>4.4934922359134086E-2</c:v>
                </c:pt>
                <c:pt idx="2">
                  <c:v>0</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'UK scallop dredge under 15m'!$H$164</c:f>
              <c:strCache>
                <c:ptCount val="1"/>
                <c:pt idx="0">
                  <c:v>Manilla Clam</c:v>
                </c:pt>
              </c:strCache>
            </c:strRef>
          </c:tx>
          <c:spPr>
            <a:solidFill>
              <a:srgbClr val="C1D119"/>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15m'!$I$164:$K$164</c:f>
              <c:numCache>
                <c:formatCode>0%</c:formatCode>
                <c:ptCount val="3"/>
                <c:pt idx="0">
                  <c:v>0</c:v>
                </c:pt>
                <c:pt idx="1">
                  <c:v>1.4432318683940517E-2</c:v>
                </c:pt>
                <c:pt idx="2">
                  <c:v>6.6272663099501763E-2</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'UK scallop dredge under 15m'!$H$165</c:f>
              <c:strCache>
                <c:ptCount val="1"/>
                <c:pt idx="0">
                  <c:v>Cockles</c:v>
                </c:pt>
              </c:strCache>
            </c:strRef>
          </c:tx>
          <c:spPr>
            <a:solidFill>
              <a:srgbClr val="E87308"/>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15m'!$I$165:$K$165</c:f>
              <c:numCache>
                <c:formatCode>0%</c:formatCode>
                <c:ptCount val="3"/>
                <c:pt idx="0">
                  <c:v>0.37652362725820782</c:v>
                </c:pt>
                <c:pt idx="1">
                  <c:v>1.3362425706792136E-2</c:v>
                </c:pt>
                <c:pt idx="2">
                  <c:v>5.8556581160176591E-2</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'UK scallop dredge under 15m'!$H$166</c:f>
              <c:strCache>
                <c:ptCount val="1"/>
                <c:pt idx="0">
                  <c:v>Brown Shrimps</c:v>
                </c:pt>
              </c:strCache>
            </c:strRef>
          </c:tx>
          <c:spPr>
            <a:solidFill>
              <a:srgbClr val="FED825"/>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15m'!$I$166:$K$166</c:f>
              <c:numCache>
                <c:formatCode>0%</c:formatCode>
                <c:ptCount val="3"/>
                <c:pt idx="0">
                  <c:v>0</c:v>
                </c:pt>
                <c:pt idx="1">
                  <c:v>1.1314997785724189E-2</c:v>
                </c:pt>
                <c:pt idx="2">
                  <c:v>2.0386081973137019E-2</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'UK scallop dredge under 15m'!$H$167</c:f>
              <c:strCache>
                <c:ptCount val="1"/>
                <c:pt idx="0">
                  <c:v>Nephrops</c:v>
                </c:pt>
              </c:strCache>
            </c:strRef>
          </c:tx>
          <c:spPr>
            <a:solidFill>
              <a:srgbClr val="0F9AA9"/>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15m'!$I$167:$K$167</c:f>
              <c:numCache>
                <c:formatCode>0%</c:formatCode>
                <c:ptCount val="3"/>
                <c:pt idx="0">
                  <c:v>0</c:v>
                </c:pt>
                <c:pt idx="1">
                  <c:v>0</c:v>
                </c:pt>
                <c:pt idx="2">
                  <c:v>1.5735111706696867E-2</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'UK scallop dredge under 15m'!$H$168</c:f>
              <c:strCache>
                <c:ptCount val="1"/>
                <c:pt idx="0">
                  <c:v>Mussels</c:v>
                </c:pt>
              </c:strCache>
            </c:strRef>
          </c:tx>
          <c:spPr>
            <a:solidFill>
              <a:srgbClr val="E84A38"/>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15m'!$I$168:$K$168</c:f>
              <c:numCache>
                <c:formatCode>0%</c:formatCode>
                <c:ptCount val="3"/>
                <c:pt idx="0">
                  <c:v>3.9904233446641575E-2</c:v>
                </c:pt>
                <c:pt idx="1">
                  <c:v>0</c:v>
                </c:pt>
                <c:pt idx="2">
                  <c:v>0</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'UK scallop dredge under 15m'!$H$169</c:f>
              <c:strCache>
                <c:ptCount val="1"/>
                <c:pt idx="0">
                  <c:v>Razor Clam</c:v>
                </c:pt>
              </c:strCache>
            </c:strRef>
          </c:tx>
          <c:spPr>
            <a:solidFill>
              <a:srgbClr val="169FDB"/>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15m'!$I$169:$K$169</c:f>
              <c:numCache>
                <c:formatCode>0%</c:formatCode>
                <c:ptCount val="3"/>
                <c:pt idx="0">
                  <c:v>2.1820481677179291E-2</c:v>
                </c:pt>
                <c:pt idx="1">
                  <c:v>0</c:v>
                </c:pt>
                <c:pt idx="2">
                  <c:v>0</c:v>
                </c:pt>
              </c:numCache>
            </c:numRef>
          </c:val>
          <c:extLst xmlns:c16r2="http://schemas.microsoft.com/office/drawing/2015/06/chart">
            <c:ext xmlns:c16="http://schemas.microsoft.com/office/drawing/2014/chart" uri="{C3380CC4-5D6E-409C-BE32-E72D297353CC}">
              <c16:uniqueId val="{00000007-DC58-4725-8A67-0BDC09FD93CD}"/>
            </c:ext>
          </c:extLst>
        </c:ser>
        <c:ser>
          <c:idx val="8"/>
          <c:order val="8"/>
          <c:tx>
            <c:strRef>
              <c:f>'UK scallop dredge under 15m'!$H$170</c:f>
              <c:strCache>
                <c:ptCount val="1"/>
                <c:pt idx="0">
                  <c:v>Others</c:v>
                </c:pt>
              </c:strCache>
            </c:strRef>
          </c:tx>
          <c:spPr>
            <a:solidFill>
              <a:srgbClr val="55585A"/>
            </a:solidFill>
            <a:ln>
              <a:solidFill>
                <a:srgbClr val="FFFFFF"/>
              </a:solidFill>
            </a:ln>
          </c:spPr>
          <c:invertIfNegative val="0"/>
          <c:cat>
            <c:strRef>
              <c:f>'UK scallop dredge under 15m'!$I$161:$K$161</c:f>
              <c:strCache>
                <c:ptCount val="3"/>
                <c:pt idx="0">
                  <c:v>Most
profitable
quartile</c:v>
                </c:pt>
                <c:pt idx="1">
                  <c:v>Middle 
two quartiles</c:v>
                </c:pt>
                <c:pt idx="2">
                  <c:v>Least
profitable
quartile</c:v>
                </c:pt>
              </c:strCache>
            </c:strRef>
          </c:cat>
          <c:val>
            <c:numRef>
              <c:f>'UK scallop dredge under 15m'!$I$170:$K$170</c:f>
              <c:numCache>
                <c:formatCode>0%</c:formatCode>
                <c:ptCount val="3"/>
                <c:pt idx="0">
                  <c:v>6.9482309988895818E-2</c:v>
                </c:pt>
                <c:pt idx="1">
                  <c:v>4.8411874504708852E-2</c:v>
                </c:pt>
                <c:pt idx="2">
                  <c:v>9.3380644350789299E-2</c:v>
                </c:pt>
              </c:numCache>
            </c:numRef>
          </c:val>
          <c:extLst xmlns:c16r2="http://schemas.microsoft.com/office/drawing/2015/06/chart">
            <c:ext xmlns:c16="http://schemas.microsoft.com/office/drawing/2014/chart" uri="{C3380CC4-5D6E-409C-BE32-E72D297353CC}">
              <c16:uniqueId val="{00000008-DC58-4725-8A67-0BDC09FD93CD}"/>
            </c:ext>
          </c:extLst>
        </c:ser>
        <c:dLbls>
          <c:showLegendKey val="0"/>
          <c:showVal val="0"/>
          <c:showCatName val="0"/>
          <c:showSerName val="0"/>
          <c:showPercent val="0"/>
          <c:showBubbleSize val="0"/>
        </c:dLbls>
        <c:gapWidth val="150"/>
        <c:overlap val="100"/>
        <c:axId val="951031296"/>
        <c:axId val="951032832"/>
      </c:barChart>
      <c:catAx>
        <c:axId val="951031296"/>
        <c:scaling>
          <c:orientation val="minMax"/>
        </c:scaling>
        <c:delete val="0"/>
        <c:axPos val="b"/>
        <c:numFmt formatCode="General" sourceLinked="0"/>
        <c:majorTickMark val="out"/>
        <c:minorTickMark val="none"/>
        <c:tickLblPos val="nextTo"/>
        <c:crossAx val="951032832"/>
        <c:crosses val="autoZero"/>
        <c:auto val="1"/>
        <c:lblAlgn val="ctr"/>
        <c:lblOffset val="100"/>
        <c:noMultiLvlLbl val="0"/>
      </c:catAx>
      <c:valAx>
        <c:axId val="951032832"/>
        <c:scaling>
          <c:orientation val="minMax"/>
          <c:max val="1"/>
          <c:min val="0"/>
        </c:scaling>
        <c:delete val="0"/>
        <c:axPos val="l"/>
        <c:majorGridlines/>
        <c:minorGridlines/>
        <c:numFmt formatCode="0%" sourceLinked="1"/>
        <c:majorTickMark val="out"/>
        <c:minorTickMark val="none"/>
        <c:tickLblPos val="nextTo"/>
        <c:crossAx val="951031296"/>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'UK scallop dredge under 15m'!$K$143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'UK scallop dredge under 15m'!$K$139</c:f>
              <c:strCache>
                <c:ptCount val="1"/>
                <c:pt idx="0">
                  <c:v>Total income</c:v>
                </c:pt>
              </c:strCache>
            </c:strRef>
          </c:tx>
          <c:spPr>
            <a:solidFill>
              <a:schemeClr val="accent1"/>
            </a:solidFill>
            <a:ln>
              <a:solidFill>
                <a:schemeClr val="accent1"/>
              </a:solidFill>
            </a:ln>
          </c:spPr>
          <c:invertIfNegative val="0"/>
          <c:cat>
            <c:strRef>
              <c:f>'UK scallop dredge under 15m'!$L$138:$N$138</c:f>
              <c:strCache>
                <c:ptCount val="3"/>
                <c:pt idx="0">
                  <c:v>Most
profitable
quartile</c:v>
                </c:pt>
                <c:pt idx="1">
                  <c:v>Middle
two quartiles</c:v>
                </c:pt>
                <c:pt idx="2">
                  <c:v>Least
profitable
quartile</c:v>
                </c:pt>
              </c:strCache>
            </c:strRef>
          </c:cat>
          <c:val>
            <c:numRef>
              <c:f>'UK scallop dredge under 15m'!$L$139:$N$139</c:f>
              <c:numCache>
                <c:formatCode>#,##0</c:formatCode>
                <c:ptCount val="3"/>
                <c:pt idx="0">
                  <c:v>201.73217187500001</c:v>
                </c:pt>
                <c:pt idx="1">
                  <c:v>171.03558203124999</c:v>
                </c:pt>
                <c:pt idx="2">
                  <c:v>52.942457031250001</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'UK scallop dredge under 15m'!$K$140</c:f>
              <c:strCache>
                <c:ptCount val="1"/>
                <c:pt idx="0">
                  <c:v>Operating costs</c:v>
                </c:pt>
              </c:strCache>
            </c:strRef>
          </c:tx>
          <c:spPr>
            <a:solidFill>
              <a:schemeClr val="accent3"/>
            </a:solidFill>
          </c:spPr>
          <c:invertIfNegative val="0"/>
          <c:cat>
            <c:strRef>
              <c:f>'UK scallop dredge under 15m'!$L$138:$N$138</c:f>
              <c:strCache>
                <c:ptCount val="3"/>
                <c:pt idx="0">
                  <c:v>Most
profitable
quartile</c:v>
                </c:pt>
                <c:pt idx="1">
                  <c:v>Middle
two quartiles</c:v>
                </c:pt>
                <c:pt idx="2">
                  <c:v>Least
profitable
quartile</c:v>
                </c:pt>
              </c:strCache>
            </c:strRef>
          </c:cat>
          <c:val>
            <c:numRef>
              <c:f>'UK scallop dredge under 15m'!$L$140:$N$140</c:f>
              <c:numCache>
                <c:formatCode>#,##0</c:formatCode>
                <c:ptCount val="3"/>
                <c:pt idx="0">
                  <c:v>164.80659374999999</c:v>
                </c:pt>
                <c:pt idx="1">
                  <c:v>155.8895234375</c:v>
                </c:pt>
                <c:pt idx="2">
                  <c:v>56.997566406250002</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'UK scallop dredge under 15m'!$K$141</c:f>
              <c:strCache>
                <c:ptCount val="1"/>
                <c:pt idx="0">
                  <c:v>Operating profit</c:v>
                </c:pt>
              </c:strCache>
            </c:strRef>
          </c:tx>
          <c:spPr>
            <a:solidFill>
              <a:schemeClr val="accent2"/>
            </a:solidFill>
          </c:spPr>
          <c:invertIfNegative val="0"/>
          <c:cat>
            <c:strRef>
              <c:f>'UK scallop dredge under 15m'!$L$138:$N$138</c:f>
              <c:strCache>
                <c:ptCount val="3"/>
                <c:pt idx="0">
                  <c:v>Most
profitable
quartile</c:v>
                </c:pt>
                <c:pt idx="1">
                  <c:v>Middle
two quartiles</c:v>
                </c:pt>
                <c:pt idx="2">
                  <c:v>Least
profitable
quartile</c:v>
                </c:pt>
              </c:strCache>
            </c:strRef>
          </c:cat>
          <c:val>
            <c:numRef>
              <c:f>'UK scallop dredge under 15m'!$L$141:$N$141</c:f>
              <c:numCache>
                <c:formatCode>#,##0</c:formatCode>
                <c:ptCount val="3"/>
                <c:pt idx="0">
                  <c:v>36.925578125000001</c:v>
                </c:pt>
                <c:pt idx="1">
                  <c:v>15.14605859375</c:v>
                </c:pt>
                <c:pt idx="2">
                  <c:v>-4.0551093749999998</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951080832"/>
        <c:axId val="951082368"/>
      </c:barChart>
      <c:catAx>
        <c:axId val="951080832"/>
        <c:scaling>
          <c:orientation val="minMax"/>
        </c:scaling>
        <c:delete val="0"/>
        <c:axPos val="b"/>
        <c:numFmt formatCode="General" sourceLinked="0"/>
        <c:majorTickMark val="out"/>
        <c:minorTickMark val="none"/>
        <c:tickLblPos val="nextTo"/>
        <c:crossAx val="951082368"/>
        <c:crosses val="autoZero"/>
        <c:auto val="1"/>
        <c:lblAlgn val="ctr"/>
        <c:lblOffset val="100"/>
        <c:noMultiLvlLbl val="0"/>
      </c:catAx>
      <c:valAx>
        <c:axId val="951082368"/>
        <c:scaling>
          <c:orientation val="minMax"/>
        </c:scaling>
        <c:delete val="0"/>
        <c:axPos val="l"/>
        <c:majorGridlines/>
        <c:title>
          <c:tx>
            <c:strRef>
              <c:f>'UK scallop dredge under 15m'!$K$142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951080832"/>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trawl-seine'!$A$48</c:f>
          <c:strCache>
            <c:ptCount val="1"/>
            <c:pt idx="0">
              <c:v>Landings per kW day at sea (kg)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'U10m demersal trawl-seine'!$D$2:$N$2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demersal trawl-seine'!$D$21:$N$21</c:f>
              <c:numCache>
                <c:formatCode>#,##0.00</c:formatCode>
                <c:ptCount val="11"/>
                <c:pt idx="0">
                  <c:v>2.1872746861194043</c:v>
                </c:pt>
                <c:pt idx="1">
                  <c:v>2.4396126353469705</c:v>
                </c:pt>
                <c:pt idx="2">
                  <c:v>2.2521540299285032</c:v>
                </c:pt>
                <c:pt idx="3">
                  <c:v>2.2699444002216964</c:v>
                </c:pt>
                <c:pt idx="4">
                  <c:v>2.559687069413537</c:v>
                </c:pt>
                <c:pt idx="5">
                  <c:v>2.6370264050695074</c:v>
                </c:pt>
                <c:pt idx="6">
                  <c:v>2.3145780182182474</c:v>
                </c:pt>
                <c:pt idx="7">
                  <c:v>2.1875096854720315</c:v>
                </c:pt>
                <c:pt idx="8">
                  <c:v>2.3679788980005902</c:v>
                </c:pt>
                <c:pt idx="9">
                  <c:v>2.8714224372030848</c:v>
                </c:pt>
                <c:pt idx="10">
                  <c:v>2.6015500292740672</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950520832"/>
        <c:axId val="950530816"/>
      </c:lineChart>
      <c:catAx>
        <c:axId val="950520832"/>
        <c:scaling>
          <c:orientation val="minMax"/>
        </c:scaling>
        <c:delete val="0"/>
        <c:axPos val="b"/>
        <c:numFmt formatCode="General" sourceLinked="1"/>
        <c:majorTickMark val="out"/>
        <c:minorTickMark val="none"/>
        <c:tickLblPos val="nextTo"/>
        <c:crossAx val="950530816"/>
        <c:crosses val="autoZero"/>
        <c:auto val="1"/>
        <c:lblAlgn val="ctr"/>
        <c:lblOffset val="100"/>
        <c:noMultiLvlLbl val="0"/>
      </c:catAx>
      <c:valAx>
        <c:axId val="950530816"/>
        <c:scaling>
          <c:orientation val="minMax"/>
        </c:scaling>
        <c:delete val="0"/>
        <c:axPos val="l"/>
        <c:majorGridlines>
          <c:spPr>
            <a:ln w="3175">
              <a:prstDash val="sysDot"/>
            </a:ln>
          </c:spPr>
        </c:majorGridlines>
        <c:numFmt formatCode="#,##0.00" sourceLinked="1"/>
        <c:majorTickMark val="out"/>
        <c:minorTickMark val="none"/>
        <c:tickLblPos val="nextTo"/>
        <c:crossAx val="950520832"/>
        <c:crosses val="autoZero"/>
        <c:crossBetween val="between"/>
      </c:valAx>
    </c:plotArea>
    <c:plotVisOnly val="0"/>
    <c:dispBlanksAs val="gap"/>
    <c:showDLblsOverMax val="0"/>
  </c:chart>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trawl-seine'!$A$49</c:f>
          <c:strCache>
            <c:ptCount val="1"/>
            <c:pt idx="0">
              <c:v>Fishing income per kW day at sea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'U10m demersal trawl-seine'!$D$2:$N$2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demersal trawl-seine'!$D$22:$N$22</c:f>
              <c:numCache>
                <c:formatCode>#,##0.00</c:formatCode>
                <c:ptCount val="11"/>
                <c:pt idx="0">
                  <c:v>5.7411046598567799</c:v>
                </c:pt>
                <c:pt idx="1">
                  <c:v>5.7194052108009599</c:v>
                </c:pt>
                <c:pt idx="2">
                  <c:v>5.7481784358799501</c:v>
                </c:pt>
                <c:pt idx="3">
                  <c:v>6.22290508105156</c:v>
                </c:pt>
                <c:pt idx="4">
                  <c:v>6.5404104324459098</c:v>
                </c:pt>
                <c:pt idx="5">
                  <c:v>6.0364142475614901</c:v>
                </c:pt>
                <c:pt idx="6">
                  <c:v>5.8277126561974297</c:v>
                </c:pt>
                <c:pt idx="7">
                  <c:v>5.2413668928568899</c:v>
                </c:pt>
                <c:pt idx="8">
                  <c:v>6.1117070906016302</c:v>
                </c:pt>
                <c:pt idx="9">
                  <c:v>7.7007756461943702</c:v>
                </c:pt>
                <c:pt idx="10">
                  <c:v>7.1083653429550653</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950561024"/>
        <c:axId val="950571008"/>
      </c:lineChart>
      <c:catAx>
        <c:axId val="950561024"/>
        <c:scaling>
          <c:orientation val="minMax"/>
        </c:scaling>
        <c:delete val="0"/>
        <c:axPos val="b"/>
        <c:numFmt formatCode="General" sourceLinked="1"/>
        <c:majorTickMark val="out"/>
        <c:minorTickMark val="none"/>
        <c:tickLblPos val="nextTo"/>
        <c:crossAx val="950571008"/>
        <c:crosses val="autoZero"/>
        <c:auto val="1"/>
        <c:lblAlgn val="ctr"/>
        <c:lblOffset val="100"/>
        <c:noMultiLvlLbl val="0"/>
      </c:catAx>
      <c:valAx>
        <c:axId val="950571008"/>
        <c:scaling>
          <c:orientation val="minMax"/>
        </c:scaling>
        <c:delete val="0"/>
        <c:axPos val="l"/>
        <c:majorGridlines>
          <c:spPr>
            <a:ln w="3175">
              <a:prstDash val="sysDot"/>
            </a:ln>
          </c:spPr>
        </c:majorGridlines>
        <c:numFmt formatCode="#,##0.00" sourceLinked="1"/>
        <c:majorTickMark val="out"/>
        <c:minorTickMark val="none"/>
        <c:tickLblPos val="nextTo"/>
        <c:crossAx val="950561024"/>
        <c:crosses val="autoZero"/>
        <c:crossBetween val="between"/>
      </c:valAx>
    </c:plotArea>
    <c:plotVisOnly val="0"/>
    <c:dispBlanksAs val="gap"/>
    <c:showDLblsOverMax val="0"/>
  </c:chart>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trawl-seine'!$B$62</c:f>
          <c:strCache>
            <c:ptCount val="1"/>
            <c:pt idx="0">
              <c:v>Total cost per kW day at sea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'U10m demersal trawl-seine'!$D$2:$N$2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demersal trawl-seine'!$D$23:$N$23</c:f>
              <c:numCache>
                <c:formatCode>#,##0.00</c:formatCode>
                <c:ptCount val="11"/>
                <c:pt idx="0">
                  <c:v>5.1905123093355101</c:v>
                </c:pt>
                <c:pt idx="1">
                  <c:v>4.3056851241432001</c:v>
                </c:pt>
                <c:pt idx="2">
                  <c:v>4.6796653520603702</c:v>
                </c:pt>
                <c:pt idx="3">
                  <c:v>5.0863301220710397</c:v>
                </c:pt>
                <c:pt idx="4">
                  <c:v>5.5102554770169698</c:v>
                </c:pt>
                <c:pt idx="5">
                  <c:v>5.0135087215587504</c:v>
                </c:pt>
                <c:pt idx="6">
                  <c:v>4.9755281528072999</c:v>
                </c:pt>
                <c:pt idx="7">
                  <c:v>4.2788716926908199</c:v>
                </c:pt>
                <c:pt idx="8">
                  <c:v>4.4365937336710299</c:v>
                </c:pt>
                <c:pt idx="9">
                  <c:v>5.4498418674366498</c:v>
                </c:pt>
                <c:pt idx="10">
                  <c:v>5.1426415908062371</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950584832"/>
        <c:axId val="950586368"/>
      </c:lineChart>
      <c:catAx>
        <c:axId val="950584832"/>
        <c:scaling>
          <c:orientation val="minMax"/>
        </c:scaling>
        <c:delete val="0"/>
        <c:axPos val="b"/>
        <c:numFmt formatCode="General" sourceLinked="1"/>
        <c:majorTickMark val="out"/>
        <c:minorTickMark val="none"/>
        <c:tickLblPos val="nextTo"/>
        <c:crossAx val="950586368"/>
        <c:crosses val="autoZero"/>
        <c:auto val="1"/>
        <c:lblAlgn val="ctr"/>
        <c:lblOffset val="100"/>
        <c:noMultiLvlLbl val="0"/>
      </c:catAx>
      <c:valAx>
        <c:axId val="950586368"/>
        <c:scaling>
          <c:orientation val="minMax"/>
        </c:scaling>
        <c:delete val="0"/>
        <c:axPos val="l"/>
        <c:majorGridlines>
          <c:spPr>
            <a:ln w="3175">
              <a:prstDash val="sysDot"/>
            </a:ln>
          </c:spPr>
        </c:majorGridlines>
        <c:numFmt formatCode="#,##0.00" sourceLinked="1"/>
        <c:majorTickMark val="out"/>
        <c:minorTickMark val="none"/>
        <c:tickLblPos val="nextTo"/>
        <c:crossAx val="950584832"/>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trawl-seine'!$K$48</c:f>
          <c:strCache>
            <c:ptCount val="1"/>
            <c:pt idx="0">
              <c:v>Operating profit per kW day at sea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'U10m demersal trawl-seine'!$D$2:$N$2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demersal trawl-seine'!$D$24:$N$24</c:f>
              <c:numCache>
                <c:formatCode>#,##0.00</c:formatCode>
                <c:ptCount val="11"/>
                <c:pt idx="0">
                  <c:v>0.70061709843521502</c:v>
                </c:pt>
                <c:pt idx="1">
                  <c:v>1.49216476813038</c:v>
                </c:pt>
                <c:pt idx="2">
                  <c:v>1.1669210752231201</c:v>
                </c:pt>
                <c:pt idx="3">
                  <c:v>1.30684503129995</c:v>
                </c:pt>
                <c:pt idx="4">
                  <c:v>1.35006722290154</c:v>
                </c:pt>
                <c:pt idx="5">
                  <c:v>1.47793266625759</c:v>
                </c:pt>
                <c:pt idx="6">
                  <c:v>1.32856754156507</c:v>
                </c:pt>
                <c:pt idx="7">
                  <c:v>1.03517875767193</c:v>
                </c:pt>
                <c:pt idx="8">
                  <c:v>1.84078361202622</c:v>
                </c:pt>
                <c:pt idx="9">
                  <c:v>2.44671722534641</c:v>
                </c:pt>
                <c:pt idx="10">
                  <c:v>2.146445839775684</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50629120"/>
        <c:axId val="950630656"/>
      </c:lineChart>
      <c:catAx>
        <c:axId val="950629120"/>
        <c:scaling>
          <c:orientation val="minMax"/>
        </c:scaling>
        <c:delete val="0"/>
        <c:axPos val="b"/>
        <c:numFmt formatCode="General" sourceLinked="1"/>
        <c:majorTickMark val="out"/>
        <c:minorTickMark val="none"/>
        <c:tickLblPos val="nextTo"/>
        <c:crossAx val="950630656"/>
        <c:crosses val="autoZero"/>
        <c:auto val="1"/>
        <c:lblAlgn val="ctr"/>
        <c:lblOffset val="100"/>
        <c:noMultiLvlLbl val="0"/>
      </c:catAx>
      <c:valAx>
        <c:axId val="950630656"/>
        <c:scaling>
          <c:orientation val="minMax"/>
        </c:scaling>
        <c:delete val="0"/>
        <c:axPos val="l"/>
        <c:majorGridlines>
          <c:spPr>
            <a:ln w="3175">
              <a:prstDash val="sysDot"/>
            </a:ln>
          </c:spPr>
        </c:majorGridlines>
        <c:numFmt formatCode="#,##0.00" sourceLinked="1"/>
        <c:majorTickMark val="out"/>
        <c:minorTickMark val="none"/>
        <c:tickLblPos val="nextTo"/>
        <c:crossAx val="950629120"/>
        <c:crosses val="autoZero"/>
        <c:crossBetween val="between"/>
      </c:valAx>
    </c:plotArea>
    <c:plotVisOnly val="0"/>
    <c:dispBlanksAs val="gap"/>
    <c:showDLblsOverMax val="0"/>
  </c:chart>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trawl-seine'!$A$50</c:f>
          <c:strCache>
            <c:ptCount val="1"/>
            <c:pt idx="0">
              <c:v>Average price per tonne landed (£)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'U10m demersal trawl-seine'!$D$2:$N$2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demersal trawl-seine'!$D$20:$N$20</c:f>
              <c:numCache>
                <c:formatCode>#,##0</c:formatCode>
                <c:ptCount val="11"/>
                <c:pt idx="0">
                  <c:v>2625</c:v>
                </c:pt>
                <c:pt idx="1">
                  <c:v>2344</c:v>
                </c:pt>
                <c:pt idx="2">
                  <c:v>2552</c:v>
                </c:pt>
                <c:pt idx="3">
                  <c:v>2741</c:v>
                </c:pt>
                <c:pt idx="4">
                  <c:v>2555</c:v>
                </c:pt>
                <c:pt idx="5">
                  <c:v>2289</c:v>
                </c:pt>
                <c:pt idx="6">
                  <c:v>2518</c:v>
                </c:pt>
                <c:pt idx="7">
                  <c:v>2396</c:v>
                </c:pt>
                <c:pt idx="8">
                  <c:v>2581</c:v>
                </c:pt>
                <c:pt idx="9">
                  <c:v>2682</c:v>
                </c:pt>
                <c:pt idx="10">
                  <c:v>2732</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51451648"/>
        <c:axId val="951453184"/>
      </c:lineChart>
      <c:catAx>
        <c:axId val="951451648"/>
        <c:scaling>
          <c:orientation val="minMax"/>
        </c:scaling>
        <c:delete val="0"/>
        <c:axPos val="b"/>
        <c:numFmt formatCode="General" sourceLinked="1"/>
        <c:majorTickMark val="out"/>
        <c:minorTickMark val="none"/>
        <c:tickLblPos val="nextTo"/>
        <c:crossAx val="951453184"/>
        <c:crosses val="autoZero"/>
        <c:auto val="1"/>
        <c:lblAlgn val="ctr"/>
        <c:lblOffset val="100"/>
        <c:noMultiLvlLbl val="0"/>
      </c:catAx>
      <c:valAx>
        <c:axId val="951453184"/>
        <c:scaling>
          <c:orientation val="minMax"/>
        </c:scaling>
        <c:delete val="0"/>
        <c:axPos val="l"/>
        <c:majorGridlines>
          <c:spPr>
            <a:ln w="3175">
              <a:prstDash val="sysDot"/>
            </a:ln>
          </c:spPr>
        </c:majorGridlines>
        <c:numFmt formatCode="#,##0" sourceLinked="1"/>
        <c:majorTickMark val="out"/>
        <c:minorTickMark val="none"/>
        <c:tickLblPos val="nextTo"/>
        <c:crossAx val="951451648"/>
        <c:crosses val="autoZero"/>
        <c:crossBetween val="between"/>
      </c:valAx>
    </c:plotArea>
    <c:plotVisOnly val="0"/>
    <c:dispBlanksAs val="gap"/>
    <c:showDLblsOverMax val="0"/>
  </c:chart>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trawl-seine'!$K$62</c:f>
          <c:strCache>
            <c:ptCount val="1"/>
            <c:pt idx="0">
              <c:v>Average annual operating profit per vessel (£'000)
Under 10m demersal trawl/seine</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'U10m demersal trawl-seine'!$D$2:$N$2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demersal trawl-seine'!$D$37:$N$37</c:f>
              <c:numCache>
                <c:formatCode>#,##0.0</c:formatCode>
                <c:ptCount val="11"/>
                <c:pt idx="0">
                  <c:v>8</c:v>
                </c:pt>
                <c:pt idx="1">
                  <c:v>16.8</c:v>
                </c:pt>
                <c:pt idx="2">
                  <c:v>13.3</c:v>
                </c:pt>
                <c:pt idx="3">
                  <c:v>15.7</c:v>
                </c:pt>
                <c:pt idx="4">
                  <c:v>15.4</c:v>
                </c:pt>
                <c:pt idx="5">
                  <c:v>16.5</c:v>
                </c:pt>
                <c:pt idx="6">
                  <c:v>15.9</c:v>
                </c:pt>
                <c:pt idx="7">
                  <c:v>12.1</c:v>
                </c:pt>
                <c:pt idx="8">
                  <c:v>22.8</c:v>
                </c:pt>
                <c:pt idx="9">
                  <c:v>24.9</c:v>
                </c:pt>
                <c:pt idx="10">
                  <c:v>22.6</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51479296"/>
        <c:axId val="951481088"/>
      </c:lineChart>
      <c:catAx>
        <c:axId val="951479296"/>
        <c:scaling>
          <c:orientation val="minMax"/>
        </c:scaling>
        <c:delete val="0"/>
        <c:axPos val="b"/>
        <c:numFmt formatCode="General" sourceLinked="1"/>
        <c:majorTickMark val="out"/>
        <c:minorTickMark val="none"/>
        <c:tickLblPos val="nextTo"/>
        <c:crossAx val="951481088"/>
        <c:crosses val="autoZero"/>
        <c:auto val="1"/>
        <c:lblAlgn val="ctr"/>
        <c:lblOffset val="100"/>
        <c:noMultiLvlLbl val="0"/>
      </c:catAx>
      <c:valAx>
        <c:axId val="951481088"/>
        <c:scaling>
          <c:orientation val="minMax"/>
        </c:scaling>
        <c:delete val="0"/>
        <c:axPos val="l"/>
        <c:majorGridlines>
          <c:spPr>
            <a:ln w="3175">
              <a:prstDash val="sysDot"/>
            </a:ln>
          </c:spPr>
        </c:majorGridlines>
        <c:numFmt formatCode="#,##0.0" sourceLinked="1"/>
        <c:majorTickMark val="out"/>
        <c:minorTickMark val="none"/>
        <c:tickLblPos val="nextTo"/>
        <c:crossAx val="951479296"/>
        <c:crosses val="autoZero"/>
        <c:crossBetween val="between"/>
      </c:valAx>
    </c:plotArea>
    <c:plotVisOnly val="0"/>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u250kW'!$A$76</c:f>
          <c:strCache>
            <c:ptCount val="1"/>
            <c:pt idx="0">
              <c:v>Top 5 landed species by volume in 2017
Area VIIA nephrops under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0F9AA9"/>
              </a:solidFill>
              <a:ln>
                <a:solidFill>
                  <a:srgbClr val="FFFFFF"/>
                </a:solidFill>
              </a:ln>
            </c:spPr>
          </c:dPt>
          <c:dPt>
            <c:idx val="3"/>
            <c:bubble3D val="0"/>
            <c:spPr>
              <a:solidFill>
                <a:srgbClr val="648C2E"/>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'Area VIIa nephrops u250kW'!$B$77:$B$82</c:f>
              <c:strCache>
                <c:ptCount val="6"/>
                <c:pt idx="0">
                  <c:v>Nephrops - 75.9%</c:v>
                </c:pt>
                <c:pt idx="1">
                  <c:v>Scallops - 5.7%</c:v>
                </c:pt>
                <c:pt idx="2">
                  <c:v>Les. Spot. Dog - 4.1%</c:v>
                </c:pt>
                <c:pt idx="3">
                  <c:v>Haddock - 4.0%</c:v>
                </c:pt>
                <c:pt idx="4">
                  <c:v>Mussels - 3.5%</c:v>
                </c:pt>
                <c:pt idx="5">
                  <c:v>Others - 6.9%</c:v>
                </c:pt>
              </c:strCache>
            </c:strRef>
          </c:cat>
          <c:val>
            <c:numRef>
              <c:f>'Area VIIa nephrops u250kW'!$C$77:$C$82</c:f>
              <c:numCache>
                <c:formatCode>0.0%</c:formatCode>
                <c:ptCount val="6"/>
                <c:pt idx="0">
                  <c:v>0.75906879874272881</c:v>
                </c:pt>
                <c:pt idx="1">
                  <c:v>5.6894738306091298E-2</c:v>
                </c:pt>
                <c:pt idx="2">
                  <c:v>4.0752889902714466E-2</c:v>
                </c:pt>
                <c:pt idx="3">
                  <c:v>3.9910926085769821E-2</c:v>
                </c:pt>
                <c:pt idx="4">
                  <c:v>3.4614698833825328E-2</c:v>
                </c:pt>
                <c:pt idx="5">
                  <c:v>6.8757948128870372E-2</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demersal trawl-seine'!$A$76</c:f>
          <c:strCache>
            <c:ptCount val="1"/>
            <c:pt idx="0">
              <c:v>Top 5 landed species by volume in 2017
Under 10m demersal trawl/seine</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0F9AA9"/>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E87308"/>
              </a:solidFill>
              <a:ln>
                <a:solidFill>
                  <a:srgbClr val="FFFFFF"/>
                </a:solidFill>
              </a:ln>
            </c:spPr>
          </c:dPt>
          <c:dPt>
            <c:idx val="3"/>
            <c:bubble3D val="0"/>
            <c:spPr>
              <a:solidFill>
                <a:srgbClr val="FED825"/>
              </a:solidFill>
              <a:ln>
                <a:solidFill>
                  <a:srgbClr val="FFFFFF"/>
                </a:solidFill>
              </a:ln>
            </c:spPr>
          </c:dPt>
          <c:dPt>
            <c:idx val="4"/>
            <c:bubble3D val="0"/>
            <c:spPr>
              <a:solidFill>
                <a:srgbClr val="648C2E"/>
              </a:solidFill>
              <a:ln>
                <a:solidFill>
                  <a:srgbClr val="FFFFFF"/>
                </a:solidFill>
              </a:ln>
            </c:spPr>
          </c:dPt>
          <c:dPt>
            <c:idx val="5"/>
            <c:bubble3D val="0"/>
            <c:spPr>
              <a:solidFill>
                <a:srgbClr val="55585A"/>
              </a:solidFill>
              <a:ln>
                <a:solidFill>
                  <a:srgbClr val="FFFFFF"/>
                </a:solidFill>
              </a:ln>
            </c:spPr>
          </c:dPt>
          <c:cat>
            <c:strRef>
              <c:f>'U10m demersal trawl-seine'!$B$77:$B$82</c:f>
              <c:strCache>
                <c:ptCount val="6"/>
                <c:pt idx="0">
                  <c:v>Nephrops - 37.0%</c:v>
                </c:pt>
                <c:pt idx="1">
                  <c:v>Plaice - 9.7%</c:v>
                </c:pt>
                <c:pt idx="2">
                  <c:v>Cuttlefish - 7.0%</c:v>
                </c:pt>
                <c:pt idx="3">
                  <c:v>Whiting - 5.8%</c:v>
                </c:pt>
                <c:pt idx="4">
                  <c:v>Squid - 5.2%</c:v>
                </c:pt>
                <c:pt idx="5">
                  <c:v>Others - 35.3%</c:v>
                </c:pt>
              </c:strCache>
            </c:strRef>
          </c:cat>
          <c:val>
            <c:numRef>
              <c:f>'U10m demersal trawl-seine'!$C$77:$C$82</c:f>
              <c:numCache>
                <c:formatCode>0.0%</c:formatCode>
                <c:ptCount val="6"/>
                <c:pt idx="0">
                  <c:v>0.36972797683249137</c:v>
                </c:pt>
                <c:pt idx="1">
                  <c:v>9.7462653162781923E-2</c:v>
                </c:pt>
                <c:pt idx="2">
                  <c:v>7.0151179551647888E-2</c:v>
                </c:pt>
                <c:pt idx="3">
                  <c:v>5.8254245706296844E-2</c:v>
                </c:pt>
                <c:pt idx="4">
                  <c:v>5.1616291881580609E-2</c:v>
                </c:pt>
                <c:pt idx="5">
                  <c:v>0.35278765286520142</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demersal trawl-seine'!$F$76</c:f>
          <c:strCache>
            <c:ptCount val="1"/>
            <c:pt idx="0">
              <c:v>Top 5 landed species by value in 2017
Under 10m demersal trawl/seine</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'U10m demersal trawl-seine'!$G$77:$G$82</c:f>
              <c:strCache>
                <c:ptCount val="6"/>
                <c:pt idx="0">
                  <c:v>Nephrops - 47.3%</c:v>
                </c:pt>
                <c:pt idx="1">
                  <c:v>Cuttlefish - 10.3%</c:v>
                </c:pt>
                <c:pt idx="2">
                  <c:v>Squid - 7.1%</c:v>
                </c:pt>
                <c:pt idx="3">
                  <c:v>Sole - 6.9%</c:v>
                </c:pt>
                <c:pt idx="4">
                  <c:v>Scallops - 5.0%</c:v>
                </c:pt>
                <c:pt idx="5">
                  <c:v>Others - 23.3%</c:v>
                </c:pt>
              </c:strCache>
            </c:strRef>
          </c:cat>
          <c:val>
            <c:numRef>
              <c:f>'U10m demersal trawl-seine'!$H$77:$H$82</c:f>
              <c:numCache>
                <c:formatCode>0.0%</c:formatCode>
                <c:ptCount val="6"/>
                <c:pt idx="0">
                  <c:v>0.47289303725910109</c:v>
                </c:pt>
                <c:pt idx="1">
                  <c:v>0.10323793020109033</c:v>
                </c:pt>
                <c:pt idx="2">
                  <c:v>7.1343890368583102E-2</c:v>
                </c:pt>
                <c:pt idx="3">
                  <c:v>6.9224551318908908E-2</c:v>
                </c:pt>
                <c:pt idx="4">
                  <c:v>5.0359014682683056E-2</c:v>
                </c:pt>
                <c:pt idx="5">
                  <c:v>0.2329415761696334</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demersal trawl-seine'!$C$92</c:f>
              <c:strCache>
                <c:ptCount val="1"/>
                <c:pt idx="0">
                  <c:v>Nephrops</c:v>
                </c:pt>
              </c:strCache>
            </c:strRef>
          </c:tx>
          <c:spPr>
            <a:solidFill>
              <a:srgbClr val="2273B9"/>
            </a:solidFill>
            <a:ln>
              <a:solidFill>
                <a:srgbClr val="FFFFFF"/>
              </a:solidFill>
            </a:ln>
          </c:spPr>
          <c:invertIfNegative val="0"/>
          <c:cat>
            <c:numRef>
              <c:f>'U10m demersal trawl-seine'!$D$91:$M$91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demersal trawl-seine'!$D$92:$M$92</c:f>
              <c:numCache>
                <c:formatCode>0%</c:formatCode>
                <c:ptCount val="10"/>
                <c:pt idx="0">
                  <c:v>0.45507191228555394</c:v>
                </c:pt>
                <c:pt idx="1">
                  <c:v>0.42603653332387353</c:v>
                </c:pt>
                <c:pt idx="2">
                  <c:v>0.45154880198097119</c:v>
                </c:pt>
                <c:pt idx="3">
                  <c:v>0.47266494733238418</c:v>
                </c:pt>
                <c:pt idx="4">
                  <c:v>0.4729586262230942</c:v>
                </c:pt>
                <c:pt idx="5">
                  <c:v>0.54199893691757006</c:v>
                </c:pt>
                <c:pt idx="6">
                  <c:v>0.47282162157861191</c:v>
                </c:pt>
                <c:pt idx="7">
                  <c:v>0.50635452670951897</c:v>
                </c:pt>
                <c:pt idx="8">
                  <c:v>0.47289303725910109</c:v>
                </c:pt>
                <c:pt idx="9">
                  <c:v>0.49581790973214135</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'U10m demersal trawl-seine'!$C$93</c:f>
              <c:strCache>
                <c:ptCount val="1"/>
                <c:pt idx="0">
                  <c:v>Cuttlefish</c:v>
                </c:pt>
              </c:strCache>
            </c:strRef>
          </c:tx>
          <c:spPr>
            <a:solidFill>
              <a:srgbClr val="E87308"/>
            </a:solidFill>
            <a:ln>
              <a:solidFill>
                <a:srgbClr val="FFFFFF"/>
              </a:solidFill>
            </a:ln>
          </c:spPr>
          <c:invertIfNegative val="0"/>
          <c:cat>
            <c:numRef>
              <c:f>'U10m demersal trawl-seine'!$D$91:$M$91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demersal trawl-seine'!$D$93:$M$93</c:f>
              <c:numCache>
                <c:formatCode>0%</c:formatCode>
                <c:ptCount val="10"/>
                <c:pt idx="6">
                  <c:v>4.2682609469906541E-2</c:v>
                </c:pt>
                <c:pt idx="7">
                  <c:v>4.5461973322779195E-2</c:v>
                </c:pt>
                <c:pt idx="8">
                  <c:v>0.10323793020109033</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'U10m demersal trawl-seine'!$C$94</c:f>
              <c:strCache>
                <c:ptCount val="1"/>
                <c:pt idx="0">
                  <c:v>Squid</c:v>
                </c:pt>
              </c:strCache>
            </c:strRef>
          </c:tx>
          <c:spPr>
            <a:solidFill>
              <a:srgbClr val="648C2E"/>
            </a:solidFill>
            <a:ln>
              <a:solidFill>
                <a:srgbClr val="FFFFFF"/>
              </a:solidFill>
            </a:ln>
          </c:spPr>
          <c:invertIfNegative val="0"/>
          <c:cat>
            <c:numRef>
              <c:f>'U10m demersal trawl-seine'!$D$91:$M$91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demersal trawl-seine'!$D$94:$M$94</c:f>
              <c:numCache>
                <c:formatCode>0%</c:formatCode>
                <c:ptCount val="10"/>
                <c:pt idx="0">
                  <c:v>6.5487858383023997E-2</c:v>
                </c:pt>
                <c:pt idx="1">
                  <c:v>6.3604228048103117E-2</c:v>
                </c:pt>
                <c:pt idx="2">
                  <c:v>4.5693763886693356E-2</c:v>
                </c:pt>
                <c:pt idx="4">
                  <c:v>4.3219906063078933E-2</c:v>
                </c:pt>
                <c:pt idx="5">
                  <c:v>5.2244080382405717E-2</c:v>
                </c:pt>
                <c:pt idx="7">
                  <c:v>5.1584361880720193E-2</c:v>
                </c:pt>
                <c:pt idx="8">
                  <c:v>7.1343890368583102E-2</c:v>
                </c:pt>
                <c:pt idx="9">
                  <c:v>8.1183950706774657E-2</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'U10m demersal trawl-seine'!$C$95</c:f>
              <c:strCache>
                <c:ptCount val="1"/>
                <c:pt idx="0">
                  <c:v>Sole</c:v>
                </c:pt>
              </c:strCache>
            </c:strRef>
          </c:tx>
          <c:spPr>
            <a:solidFill>
              <a:srgbClr val="C1D119"/>
            </a:solidFill>
            <a:ln>
              <a:solidFill>
                <a:srgbClr val="FFFFFF"/>
              </a:solidFill>
            </a:ln>
          </c:spPr>
          <c:invertIfNegative val="0"/>
          <c:cat>
            <c:numRef>
              <c:f>'U10m demersal trawl-seine'!$D$91:$M$91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demersal trawl-seine'!$D$95:$M$95</c:f>
              <c:numCache>
                <c:formatCode>0%</c:formatCode>
                <c:ptCount val="10"/>
                <c:pt idx="0">
                  <c:v>0.15955782232230764</c:v>
                </c:pt>
                <c:pt idx="1">
                  <c:v>0.14703242268105529</c:v>
                </c:pt>
                <c:pt idx="2">
                  <c:v>0.17397090862502274</c:v>
                </c:pt>
                <c:pt idx="3">
                  <c:v>0.11904800974875558</c:v>
                </c:pt>
                <c:pt idx="4">
                  <c:v>0.12633288629477776</c:v>
                </c:pt>
                <c:pt idx="5">
                  <c:v>7.9781097345751409E-2</c:v>
                </c:pt>
                <c:pt idx="6">
                  <c:v>8.6836254080005032E-2</c:v>
                </c:pt>
                <c:pt idx="7">
                  <c:v>7.468869026074762E-2</c:v>
                </c:pt>
                <c:pt idx="8">
                  <c:v>6.9224551318908908E-2</c:v>
                </c:pt>
                <c:pt idx="9">
                  <c:v>9.8013766942308275E-2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'U10m demersal trawl-seine'!$C$96</c:f>
              <c:strCache>
                <c:ptCount val="1"/>
                <c:pt idx="0">
                  <c:v>Scallops</c:v>
                </c:pt>
              </c:strCache>
            </c:strRef>
          </c:tx>
          <c:spPr>
            <a:solidFill>
              <a:srgbClr val="E84A38"/>
            </a:solidFill>
            <a:ln>
              <a:solidFill>
                <a:srgbClr val="FFFFFF"/>
              </a:solidFill>
            </a:ln>
          </c:spPr>
          <c:invertIfNegative val="0"/>
          <c:cat>
            <c:numRef>
              <c:f>'U10m demersal trawl-seine'!$D$91:$M$91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demersal trawl-seine'!$D$96:$M$96</c:f>
              <c:numCache>
                <c:formatCode>0%</c:formatCode>
                <c:ptCount val="10"/>
                <c:pt idx="0">
                  <c:v>5.758738780971729E-2</c:v>
                </c:pt>
                <c:pt idx="1">
                  <c:v>3.8828104258581901E-2</c:v>
                </c:pt>
                <c:pt idx="2">
                  <c:v>5.6654174387294552E-2</c:v>
                </c:pt>
                <c:pt idx="3">
                  <c:v>6.7410325891632011E-2</c:v>
                </c:pt>
                <c:pt idx="4">
                  <c:v>4.8731903137653035E-2</c:v>
                </c:pt>
                <c:pt idx="5">
                  <c:v>4.5829567141558281E-2</c:v>
                </c:pt>
                <c:pt idx="6">
                  <c:v>5.7430368547005083E-2</c:v>
                </c:pt>
                <c:pt idx="8">
                  <c:v>5.0359014682683056E-2</c:v>
                </c:pt>
                <c:pt idx="9">
                  <c:v>4.3611002003885506E-2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'U10m demersal trawl-seine'!$C$97</c:f>
              <c:strCache>
                <c:ptCount val="1"/>
                <c:pt idx="0">
                  <c:v>Plaice</c:v>
                </c:pt>
              </c:strCache>
            </c:strRef>
          </c:tx>
          <c:spPr>
            <a:solidFill>
              <a:srgbClr val="0F9AA9"/>
            </a:solidFill>
            <a:ln>
              <a:solidFill>
                <a:srgbClr val="FFFFFF"/>
              </a:solidFill>
            </a:ln>
          </c:spPr>
          <c:invertIfNegative val="0"/>
          <c:cat>
            <c:numRef>
              <c:f>'U10m demersal trawl-seine'!$D$91:$M$91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demersal trawl-seine'!$D$97:$M$97</c:f>
              <c:numCache>
                <c:formatCode>0%</c:formatCode>
                <c:ptCount val="10"/>
                <c:pt idx="9">
                  <c:v>7.2718446008407669E-2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'U10m demersal trawl-seine'!$C$98</c:f>
              <c:strCache>
                <c:ptCount val="1"/>
                <c:pt idx="0">
                  <c:v>Lemon Sole</c:v>
                </c:pt>
              </c:strCache>
            </c:strRef>
          </c:tx>
          <c:spPr>
            <a:solidFill>
              <a:srgbClr val="FED825"/>
            </a:solidFill>
            <a:ln>
              <a:solidFill>
                <a:srgbClr val="FFFFFF"/>
              </a:solidFill>
            </a:ln>
          </c:spPr>
          <c:invertIfNegative val="0"/>
          <c:cat>
            <c:numRef>
              <c:f>'U10m demersal trawl-seine'!$D$91:$M$91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demersal trawl-seine'!$D$98:$M$98</c:f>
              <c:numCache>
                <c:formatCode>0%</c:formatCode>
                <c:ptCount val="10"/>
                <c:pt idx="0">
                  <c:v>4.6996552154434261E-2</c:v>
                </c:pt>
                <c:pt idx="1">
                  <c:v>6.1244186227329869E-2</c:v>
                </c:pt>
                <c:pt idx="2">
                  <c:v>2.9637598656170473E-2</c:v>
                </c:pt>
                <c:pt idx="3">
                  <c:v>5.2830955238583638E-2</c:v>
                </c:pt>
                <c:pt idx="4">
                  <c:v>5.397496997739773E-2</c:v>
                </c:pt>
                <c:pt idx="5">
                  <c:v>4.9813547386006449E-2</c:v>
                </c:pt>
                <c:pt idx="6">
                  <c:v>5.3938154813739106E-2</c:v>
                </c:pt>
                <c:pt idx="7">
                  <c:v>4.9460939087212684E-2</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'U10m demersal trawl-seine'!$C$99</c:f>
              <c:strCache>
                <c:ptCount val="1"/>
                <c:pt idx="0">
                  <c:v>Bass</c:v>
                </c:pt>
              </c:strCache>
            </c:strRef>
          </c:tx>
          <c:spPr>
            <a:solidFill>
              <a:srgbClr val="707271"/>
            </a:solidFill>
            <a:ln>
              <a:solidFill>
                <a:srgbClr val="FFFFFF"/>
              </a:solidFill>
            </a:ln>
          </c:spPr>
          <c:invertIfNegative val="0"/>
          <c:cat>
            <c:numRef>
              <c:f>'U10m demersal trawl-seine'!$D$91:$M$91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demersal trawl-seine'!$D$99:$M$99</c:f>
              <c:numCache>
                <c:formatCode>0%</c:formatCode>
                <c:ptCount val="10"/>
                <c:pt idx="3">
                  <c:v>2.8578804493544375E-2</c:v>
                </c:pt>
              </c:numCache>
            </c:numRef>
          </c:val>
          <c:extLst xmlns:c16r2="http://schemas.microsoft.com/office/drawing/2015/06/chart">
            <c:ext xmlns:c16="http://schemas.microsoft.com/office/drawing/2014/chart" uri="{C3380CC4-5D6E-409C-BE32-E72D297353CC}">
              <c16:uniqueId val="{00000007-282A-42F3-A8CE-7B6B063B5E4F}"/>
            </c:ext>
          </c:extLst>
        </c:ser>
        <c:ser>
          <c:idx val="8"/>
          <c:order val="8"/>
          <c:tx>
            <c:strRef>
              <c:f>'U10m demersal trawl-seine'!$C$100</c:f>
              <c:strCache>
                <c:ptCount val="1"/>
                <c:pt idx="0">
                  <c:v>Others</c:v>
                </c:pt>
              </c:strCache>
            </c:strRef>
          </c:tx>
          <c:spPr>
            <a:solidFill>
              <a:srgbClr val="55585A"/>
            </a:solidFill>
            <a:ln>
              <a:solidFill>
                <a:srgbClr val="FFFFFF"/>
              </a:solidFill>
            </a:ln>
          </c:spPr>
          <c:invertIfNegative val="0"/>
          <c:cat>
            <c:numRef>
              <c:f>'U10m demersal trawl-seine'!$D$91:$M$91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demersal trawl-seine'!$D$100:$M$100</c:f>
              <c:numCache>
                <c:formatCode>0%</c:formatCode>
                <c:ptCount val="10"/>
                <c:pt idx="0">
                  <c:v>0.21529846704496289</c:v>
                </c:pt>
                <c:pt idx="1">
                  <c:v>0.26325452546105627</c:v>
                </c:pt>
                <c:pt idx="2">
                  <c:v>0.24249475246384766</c:v>
                </c:pt>
                <c:pt idx="3">
                  <c:v>0.25946695729510022</c:v>
                </c:pt>
                <c:pt idx="4">
                  <c:v>0.25478170830399838</c:v>
                </c:pt>
                <c:pt idx="5">
                  <c:v>0.23033277082670806</c:v>
                </c:pt>
                <c:pt idx="6">
                  <c:v>0.28629099151073234</c:v>
                </c:pt>
                <c:pt idx="7">
                  <c:v>0.27244950873902141</c:v>
                </c:pt>
                <c:pt idx="8">
                  <c:v>0.23294157616963351</c:v>
                </c:pt>
                <c:pt idx="9">
                  <c:v>0.20865492460648255</c:v>
                </c:pt>
              </c:numCache>
            </c:numRef>
          </c:val>
          <c:extLst xmlns:c16r2="http://schemas.microsoft.com/office/drawing/2015/06/chart">
            <c:ext xmlns:c16="http://schemas.microsoft.com/office/drawing/2014/chart" uri="{C3380CC4-5D6E-409C-BE32-E72D297353CC}">
              <c16:uniqueId val="{00000008-282A-42F3-A8CE-7B6B063B5E4F}"/>
            </c:ext>
          </c:extLst>
        </c:ser>
        <c:dLbls>
          <c:showLegendKey val="0"/>
          <c:showVal val="0"/>
          <c:showCatName val="0"/>
          <c:showSerName val="0"/>
          <c:showPercent val="0"/>
          <c:showBubbleSize val="0"/>
        </c:dLbls>
        <c:gapWidth val="150"/>
        <c:overlap val="100"/>
        <c:axId val="951948800"/>
        <c:axId val="951950336"/>
      </c:barChart>
      <c:catAx>
        <c:axId val="951948800"/>
        <c:scaling>
          <c:orientation val="minMax"/>
        </c:scaling>
        <c:delete val="0"/>
        <c:axPos val="b"/>
        <c:numFmt formatCode="General" sourceLinked="1"/>
        <c:majorTickMark val="out"/>
        <c:minorTickMark val="none"/>
        <c:tickLblPos val="nextTo"/>
        <c:crossAx val="951950336"/>
        <c:crosses val="autoZero"/>
        <c:auto val="1"/>
        <c:lblAlgn val="ctr"/>
        <c:lblOffset val="100"/>
        <c:noMultiLvlLbl val="0"/>
      </c:catAx>
      <c:valAx>
        <c:axId val="951950336"/>
        <c:scaling>
          <c:orientation val="minMax"/>
          <c:max val="1"/>
          <c:min val="0"/>
        </c:scaling>
        <c:delete val="0"/>
        <c:axPos val="l"/>
        <c:majorGridlines/>
        <c:numFmt formatCode="0%" sourceLinked="1"/>
        <c:majorTickMark val="out"/>
        <c:minorTickMark val="none"/>
        <c:tickLblPos val="nextTo"/>
        <c:crossAx val="951948800"/>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'U10m demersal trawl-seine'!$B$162</c:f>
              <c:strCache>
                <c:ptCount val="1"/>
                <c:pt idx="0">
                  <c:v>Nephrops</c:v>
                </c:pt>
              </c:strCache>
            </c:strRef>
          </c:tx>
          <c:spPr>
            <a:solidFill>
              <a:srgbClr val="2273B9"/>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trawl-seine'!$C$162:$E$162</c:f>
              <c:numCache>
                <c:formatCode>0%</c:formatCode>
                <c:ptCount val="3"/>
                <c:pt idx="0">
                  <c:v>0.361848654507961</c:v>
                </c:pt>
                <c:pt idx="1">
                  <c:v>0.48968970076995982</c:v>
                </c:pt>
                <c:pt idx="2">
                  <c:v>0.22226505090971185</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'U10m demersal trawl-seine'!$B$163</c:f>
              <c:strCache>
                <c:ptCount val="1"/>
                <c:pt idx="0">
                  <c:v>Whiting</c:v>
                </c:pt>
              </c:strCache>
            </c:strRef>
          </c:tx>
          <c:spPr>
            <a:solidFill>
              <a:srgbClr val="FED825"/>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trawl-seine'!$C$163:$E$163</c:f>
              <c:numCache>
                <c:formatCode>0%</c:formatCode>
                <c:ptCount val="3"/>
                <c:pt idx="0">
                  <c:v>0</c:v>
                </c:pt>
                <c:pt idx="1">
                  <c:v>0.12639096522739493</c:v>
                </c:pt>
                <c:pt idx="2">
                  <c:v>0.14708260942671483</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'U10m demersal trawl-seine'!$B$164</c:f>
              <c:strCache>
                <c:ptCount val="1"/>
                <c:pt idx="0">
                  <c:v>Plaice</c:v>
                </c:pt>
              </c:strCache>
            </c:strRef>
          </c:tx>
          <c:spPr>
            <a:solidFill>
              <a:srgbClr val="0F9AA9"/>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trawl-seine'!$C$164:$E$164</c:f>
              <c:numCache>
                <c:formatCode>0%</c:formatCode>
                <c:ptCount val="3"/>
                <c:pt idx="0">
                  <c:v>0</c:v>
                </c:pt>
                <c:pt idx="1">
                  <c:v>8.7769903728262127E-2</c:v>
                </c:pt>
                <c:pt idx="2">
                  <c:v>0.16896423305774927</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'U10m demersal trawl-seine'!$B$165</c:f>
              <c:strCache>
                <c:ptCount val="1"/>
                <c:pt idx="0">
                  <c:v>Scallops</c:v>
                </c:pt>
              </c:strCache>
            </c:strRef>
          </c:tx>
          <c:spPr>
            <a:solidFill>
              <a:srgbClr val="E84A38"/>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trawl-seine'!$C$165:$E$165</c:f>
              <c:numCache>
                <c:formatCode>0%</c:formatCode>
                <c:ptCount val="3"/>
                <c:pt idx="0">
                  <c:v>6.0794352412825312E-2</c:v>
                </c:pt>
                <c:pt idx="1">
                  <c:v>5.1595330867646713E-2</c:v>
                </c:pt>
                <c:pt idx="2">
                  <c:v>0</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'U10m demersal trawl-seine'!$B$166</c:f>
              <c:strCache>
                <c:ptCount val="1"/>
                <c:pt idx="0">
                  <c:v>Les. Spot. Dog</c:v>
                </c:pt>
              </c:strCache>
            </c:strRef>
          </c:tx>
          <c:spPr>
            <a:solidFill>
              <a:srgbClr val="707271"/>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trawl-seine'!$C$166:$E$166</c:f>
              <c:numCache>
                <c:formatCode>0%</c:formatCode>
                <c:ptCount val="3"/>
                <c:pt idx="0">
                  <c:v>0</c:v>
                </c:pt>
                <c:pt idx="1">
                  <c:v>4.9345690341300992E-2</c:v>
                </c:pt>
                <c:pt idx="2">
                  <c:v>0</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'U10m demersal trawl-seine'!$B$167</c:f>
              <c:strCache>
                <c:ptCount val="1"/>
                <c:pt idx="0">
                  <c:v>Thornback Ray</c:v>
                </c:pt>
              </c:strCache>
            </c:strRef>
          </c:tx>
          <c:spPr>
            <a:solidFill>
              <a:srgbClr val="51AA81"/>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trawl-seine'!$C$167:$E$167</c:f>
              <c:numCache>
                <c:formatCode>0%</c:formatCode>
                <c:ptCount val="3"/>
                <c:pt idx="0">
                  <c:v>0</c:v>
                </c:pt>
                <c:pt idx="1">
                  <c:v>0</c:v>
                </c:pt>
                <c:pt idx="2">
                  <c:v>7.7923159357533037E-2</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'U10m demersal trawl-seine'!$B$168</c:f>
              <c:strCache>
                <c:ptCount val="1"/>
                <c:pt idx="0">
                  <c:v>Sole</c:v>
                </c:pt>
              </c:strCache>
            </c:strRef>
          </c:tx>
          <c:spPr>
            <a:solidFill>
              <a:srgbClr val="C1D119"/>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trawl-seine'!$C$168:$E$168</c:f>
              <c:numCache>
                <c:formatCode>0%</c:formatCode>
                <c:ptCount val="3"/>
                <c:pt idx="0">
                  <c:v>0</c:v>
                </c:pt>
                <c:pt idx="1">
                  <c:v>0</c:v>
                </c:pt>
                <c:pt idx="2">
                  <c:v>6.0789166631109406E-2</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'U10m demersal trawl-seine'!$B$169</c:f>
              <c:strCache>
                <c:ptCount val="1"/>
                <c:pt idx="0">
                  <c:v>Cuttlefish</c:v>
                </c:pt>
              </c:strCache>
            </c:strRef>
          </c:tx>
          <c:spPr>
            <a:solidFill>
              <a:srgbClr val="E87308"/>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trawl-seine'!$C$169:$E$169</c:f>
              <c:numCache>
                <c:formatCode>0%</c:formatCode>
                <c:ptCount val="3"/>
                <c:pt idx="0">
                  <c:v>0.10518220986174778</c:v>
                </c:pt>
                <c:pt idx="1">
                  <c:v>0</c:v>
                </c:pt>
                <c:pt idx="2">
                  <c:v>0</c:v>
                </c:pt>
              </c:numCache>
            </c:numRef>
          </c:val>
          <c:extLst xmlns:c16r2="http://schemas.microsoft.com/office/drawing/2015/06/chart">
            <c:ext xmlns:c16="http://schemas.microsoft.com/office/drawing/2014/chart" uri="{C3380CC4-5D6E-409C-BE32-E72D297353CC}">
              <c16:uniqueId val="{00000007-DFDD-4C01-8393-1BE532AE55F9}"/>
            </c:ext>
          </c:extLst>
        </c:ser>
        <c:ser>
          <c:idx val="8"/>
          <c:order val="8"/>
          <c:tx>
            <c:strRef>
              <c:f>'U10m demersal trawl-seine'!$B$170</c:f>
              <c:strCache>
                <c:ptCount val="1"/>
                <c:pt idx="0">
                  <c:v>Cockles</c:v>
                </c:pt>
              </c:strCache>
            </c:strRef>
          </c:tx>
          <c:spPr>
            <a:solidFill>
              <a:srgbClr val="169FDB"/>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trawl-seine'!$C$170:$E$170</c:f>
              <c:numCache>
                <c:formatCode>0%</c:formatCode>
                <c:ptCount val="3"/>
                <c:pt idx="0">
                  <c:v>9.0053817818031068E-2</c:v>
                </c:pt>
                <c:pt idx="1">
                  <c:v>0</c:v>
                </c:pt>
                <c:pt idx="2">
                  <c:v>0</c:v>
                </c:pt>
              </c:numCache>
            </c:numRef>
          </c:val>
          <c:extLst xmlns:c16r2="http://schemas.microsoft.com/office/drawing/2015/06/chart">
            <c:ext xmlns:c16="http://schemas.microsoft.com/office/drawing/2014/chart" uri="{C3380CC4-5D6E-409C-BE32-E72D297353CC}">
              <c16:uniqueId val="{00000008-DFDD-4C01-8393-1BE532AE55F9}"/>
            </c:ext>
          </c:extLst>
        </c:ser>
        <c:ser>
          <c:idx val="9"/>
          <c:order val="9"/>
          <c:tx>
            <c:strRef>
              <c:f>'U10m demersal trawl-seine'!$B$171</c:f>
              <c:strCache>
                <c:ptCount val="1"/>
                <c:pt idx="0">
                  <c:v>Squid</c:v>
                </c:pt>
              </c:strCache>
            </c:strRef>
          </c:tx>
          <c:spPr>
            <a:solidFill>
              <a:srgbClr val="648C2E"/>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trawl-seine'!$C$171:$E$171</c:f>
              <c:numCache>
                <c:formatCode>0%</c:formatCode>
                <c:ptCount val="3"/>
                <c:pt idx="0">
                  <c:v>8.4238547591887619E-2</c:v>
                </c:pt>
                <c:pt idx="1">
                  <c:v>0</c:v>
                </c:pt>
                <c:pt idx="2">
                  <c:v>0</c:v>
                </c:pt>
              </c:numCache>
            </c:numRef>
          </c:val>
          <c:extLst xmlns:c16r2="http://schemas.microsoft.com/office/drawing/2015/06/chart">
            <c:ext xmlns:c16="http://schemas.microsoft.com/office/drawing/2014/chart" uri="{C3380CC4-5D6E-409C-BE32-E72D297353CC}">
              <c16:uniqueId val="{00000009-DFDD-4C01-8393-1BE532AE55F9}"/>
            </c:ext>
          </c:extLst>
        </c:ser>
        <c:ser>
          <c:idx val="10"/>
          <c:order val="10"/>
          <c:tx>
            <c:strRef>
              <c:f>'U10m demersal trawl-seine'!$B$172</c:f>
              <c:strCache>
                <c:ptCount val="1"/>
                <c:pt idx="0">
                  <c:v>Others</c:v>
                </c:pt>
              </c:strCache>
            </c:strRef>
          </c:tx>
          <c:spPr>
            <a:solidFill>
              <a:srgbClr val="55585A"/>
            </a:solidFill>
            <a:ln>
              <a:solidFill>
                <a:srgbClr val="FFFFFF"/>
              </a:solidFill>
            </a:ln>
          </c:spPr>
          <c:invertIfNegative val="0"/>
          <c:cat>
            <c:strRef>
              <c:f>'U10m demersal trawl-seine'!$C$161:$E$161</c:f>
              <c:strCache>
                <c:ptCount val="3"/>
                <c:pt idx="0">
                  <c:v>Most
profitable
quartile</c:v>
                </c:pt>
                <c:pt idx="1">
                  <c:v>Middle 
two quartiles</c:v>
                </c:pt>
                <c:pt idx="2">
                  <c:v>Least
profitable
quartile</c:v>
                </c:pt>
              </c:strCache>
            </c:strRef>
          </c:cat>
          <c:val>
            <c:numRef>
              <c:f>'U10m demersal trawl-seine'!$C$172:$E$172</c:f>
              <c:numCache>
                <c:formatCode>0%</c:formatCode>
                <c:ptCount val="3"/>
                <c:pt idx="0">
                  <c:v>0.29788241780754732</c:v>
                </c:pt>
                <c:pt idx="1">
                  <c:v>0.19520840906543546</c:v>
                </c:pt>
                <c:pt idx="2">
                  <c:v>0.32297578061718157</c:v>
                </c:pt>
              </c:numCache>
            </c:numRef>
          </c:val>
          <c:extLst xmlns:c16r2="http://schemas.microsoft.com/office/drawing/2015/06/chart">
            <c:ext xmlns:c16="http://schemas.microsoft.com/office/drawing/2014/chart" uri="{C3380CC4-5D6E-409C-BE32-E72D297353CC}">
              <c16:uniqueId val="{0000000A-DFDD-4C01-8393-1BE532AE55F9}"/>
            </c:ext>
          </c:extLst>
        </c:ser>
        <c:dLbls>
          <c:showLegendKey val="0"/>
          <c:showVal val="0"/>
          <c:showCatName val="0"/>
          <c:showSerName val="0"/>
          <c:showPercent val="0"/>
          <c:showBubbleSize val="0"/>
        </c:dLbls>
        <c:gapWidth val="150"/>
        <c:overlap val="100"/>
        <c:axId val="951574528"/>
        <c:axId val="951576064"/>
      </c:barChart>
      <c:catAx>
        <c:axId val="951574528"/>
        <c:scaling>
          <c:orientation val="minMax"/>
        </c:scaling>
        <c:delete val="0"/>
        <c:axPos val="b"/>
        <c:numFmt formatCode="General" sourceLinked="0"/>
        <c:majorTickMark val="out"/>
        <c:minorTickMark val="none"/>
        <c:tickLblPos val="nextTo"/>
        <c:crossAx val="951576064"/>
        <c:crosses val="autoZero"/>
        <c:auto val="1"/>
        <c:lblAlgn val="ctr"/>
        <c:lblOffset val="100"/>
        <c:noMultiLvlLbl val="0"/>
      </c:catAx>
      <c:valAx>
        <c:axId val="951576064"/>
        <c:scaling>
          <c:orientation val="minMax"/>
          <c:max val="1"/>
          <c:min val="0"/>
        </c:scaling>
        <c:delete val="0"/>
        <c:axPos val="l"/>
        <c:majorGridlines/>
        <c:minorGridlines/>
        <c:numFmt formatCode="0%" sourceLinked="1"/>
        <c:majorTickMark val="out"/>
        <c:minorTickMark val="none"/>
        <c:tickLblPos val="nextTo"/>
        <c:crossAx val="95157452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'U10m demersal trawl-seine'!$H$162</c:f>
              <c:strCache>
                <c:ptCount val="1"/>
                <c:pt idx="0">
                  <c:v>Nephrops</c:v>
                </c:pt>
              </c:strCache>
            </c:strRef>
          </c:tx>
          <c:spPr>
            <a:solidFill>
              <a:srgbClr val="2273B9"/>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trawl-seine'!$I$162:$K$162</c:f>
              <c:numCache>
                <c:formatCode>0%</c:formatCode>
                <c:ptCount val="3"/>
                <c:pt idx="0">
                  <c:v>0.46335840645353815</c:v>
                </c:pt>
                <c:pt idx="1">
                  <c:v>0.57754127049802439</c:v>
                </c:pt>
                <c:pt idx="2">
                  <c:v>0.32159988321528932</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'U10m demersal trawl-seine'!$H$163</c:f>
              <c:strCache>
                <c:ptCount val="1"/>
                <c:pt idx="0">
                  <c:v>Cuttlefish</c:v>
                </c:pt>
              </c:strCache>
            </c:strRef>
          </c:tx>
          <c:spPr>
            <a:solidFill>
              <a:srgbClr val="E87308"/>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trawl-seine'!$I$163:$K$163</c:f>
              <c:numCache>
                <c:formatCode>0%</c:formatCode>
                <c:ptCount val="3"/>
                <c:pt idx="0">
                  <c:v>0.13831444821073716</c:v>
                </c:pt>
                <c:pt idx="1">
                  <c:v>8.2038941700314033E-2</c:v>
                </c:pt>
                <c:pt idx="2">
                  <c:v>7.6289131714002534E-2</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'U10m demersal trawl-seine'!$H$164</c:f>
              <c:strCache>
                <c:ptCount val="1"/>
                <c:pt idx="0">
                  <c:v>Sole</c:v>
                </c:pt>
              </c:strCache>
            </c:strRef>
          </c:tx>
          <c:spPr>
            <a:solidFill>
              <a:srgbClr val="C1D119"/>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trawl-seine'!$I$164:$K$164</c:f>
              <c:numCache>
                <c:formatCode>0%</c:formatCode>
                <c:ptCount val="3"/>
                <c:pt idx="0">
                  <c:v>5.175428434225357E-2</c:v>
                </c:pt>
                <c:pt idx="1">
                  <c:v>7.8602610963307104E-2</c:v>
                </c:pt>
                <c:pt idx="2">
                  <c:v>0.13855770926577371</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'U10m demersal trawl-seine'!$H$165</c:f>
              <c:strCache>
                <c:ptCount val="1"/>
                <c:pt idx="0">
                  <c:v>Scallops</c:v>
                </c:pt>
              </c:strCache>
            </c:strRef>
          </c:tx>
          <c:spPr>
            <a:solidFill>
              <a:srgbClr val="E84A38"/>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trawl-seine'!$I$165:$K$165</c:f>
              <c:numCache>
                <c:formatCode>0%</c:formatCode>
                <c:ptCount val="3"/>
                <c:pt idx="0">
                  <c:v>5.5732014967888807E-2</c:v>
                </c:pt>
                <c:pt idx="1">
                  <c:v>5.7877753079981165E-2</c:v>
                </c:pt>
                <c:pt idx="2">
                  <c:v>0</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'U10m demersal trawl-seine'!$H$166</c:f>
              <c:strCache>
                <c:ptCount val="1"/>
                <c:pt idx="0">
                  <c:v>Plaice</c:v>
                </c:pt>
              </c:strCache>
            </c:strRef>
          </c:tx>
          <c:spPr>
            <a:solidFill>
              <a:srgbClr val="0F9AA9"/>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trawl-seine'!$I$166:$K$166</c:f>
              <c:numCache>
                <c:formatCode>0%</c:formatCode>
                <c:ptCount val="3"/>
                <c:pt idx="0">
                  <c:v>0</c:v>
                </c:pt>
                <c:pt idx="1">
                  <c:v>5.7595574176386014E-2</c:v>
                </c:pt>
                <c:pt idx="2">
                  <c:v>8.2985152379510624E-2</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'U10m demersal trawl-seine'!$H$167</c:f>
              <c:strCache>
                <c:ptCount val="1"/>
                <c:pt idx="0">
                  <c:v>Thornback Ray</c:v>
                </c:pt>
              </c:strCache>
            </c:strRef>
          </c:tx>
          <c:spPr>
            <a:solidFill>
              <a:srgbClr val="51AA81"/>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trawl-seine'!$I$167:$K$167</c:f>
              <c:numCache>
                <c:formatCode>0%</c:formatCode>
                <c:ptCount val="3"/>
                <c:pt idx="0">
                  <c:v>0</c:v>
                </c:pt>
                <c:pt idx="1">
                  <c:v>0</c:v>
                </c:pt>
                <c:pt idx="2">
                  <c:v>5.0553074239696898E-2</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'U10m demersal trawl-seine'!$H$168</c:f>
              <c:strCache>
                <c:ptCount val="1"/>
                <c:pt idx="0">
                  <c:v>Squid</c:v>
                </c:pt>
              </c:strCache>
            </c:strRef>
          </c:tx>
          <c:spPr>
            <a:solidFill>
              <a:srgbClr val="648C2E"/>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trawl-seine'!$I$168:$K$168</c:f>
              <c:numCache>
                <c:formatCode>0%</c:formatCode>
                <c:ptCount val="3"/>
                <c:pt idx="0">
                  <c:v>0.10323501433093107</c:v>
                </c:pt>
                <c:pt idx="1">
                  <c:v>0</c:v>
                </c:pt>
                <c:pt idx="2">
                  <c:v>0</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'U10m demersal trawl-seine'!$H$169</c:f>
              <c:strCache>
                <c:ptCount val="1"/>
                <c:pt idx="0">
                  <c:v>Others</c:v>
                </c:pt>
              </c:strCache>
            </c:strRef>
          </c:tx>
          <c:spPr>
            <a:solidFill>
              <a:srgbClr val="55585A"/>
            </a:solidFill>
            <a:ln>
              <a:solidFill>
                <a:srgbClr val="FFFFFF"/>
              </a:solidFill>
            </a:ln>
          </c:spPr>
          <c:invertIfNegative val="0"/>
          <c:cat>
            <c:strRef>
              <c:f>'U10m demersal trawl-seine'!$I$161:$K$161</c:f>
              <c:strCache>
                <c:ptCount val="3"/>
                <c:pt idx="0">
                  <c:v>Most
profitable
quartile</c:v>
                </c:pt>
                <c:pt idx="1">
                  <c:v>Middle 
two quartiles</c:v>
                </c:pt>
                <c:pt idx="2">
                  <c:v>Least
profitable
quartile</c:v>
                </c:pt>
              </c:strCache>
            </c:strRef>
          </c:cat>
          <c:val>
            <c:numRef>
              <c:f>'U10m demersal trawl-seine'!$I$169:$K$169</c:f>
              <c:numCache>
                <c:formatCode>0%</c:formatCode>
                <c:ptCount val="3"/>
                <c:pt idx="0">
                  <c:v>0.18760583169465117</c:v>
                </c:pt>
                <c:pt idx="1">
                  <c:v>0.14634384958198732</c:v>
                </c:pt>
                <c:pt idx="2">
                  <c:v>0.33001504918572688</c:v>
                </c:pt>
              </c:numCache>
            </c:numRef>
          </c:val>
          <c:extLst xmlns:c16r2="http://schemas.microsoft.com/office/drawing/2015/06/chart">
            <c:ext xmlns:c16="http://schemas.microsoft.com/office/drawing/2014/chart" uri="{C3380CC4-5D6E-409C-BE32-E72D297353CC}">
              <c16:uniqueId val="{00000007-DC58-4725-8A67-0BDC09FD93CD}"/>
            </c:ext>
          </c:extLst>
        </c:ser>
        <c:dLbls>
          <c:showLegendKey val="0"/>
          <c:showVal val="0"/>
          <c:showCatName val="0"/>
          <c:showSerName val="0"/>
          <c:showPercent val="0"/>
          <c:showBubbleSize val="0"/>
        </c:dLbls>
        <c:gapWidth val="150"/>
        <c:overlap val="100"/>
        <c:axId val="951691520"/>
        <c:axId val="951709696"/>
      </c:barChart>
      <c:catAx>
        <c:axId val="951691520"/>
        <c:scaling>
          <c:orientation val="minMax"/>
        </c:scaling>
        <c:delete val="0"/>
        <c:axPos val="b"/>
        <c:numFmt formatCode="General" sourceLinked="0"/>
        <c:majorTickMark val="out"/>
        <c:minorTickMark val="none"/>
        <c:tickLblPos val="nextTo"/>
        <c:crossAx val="951709696"/>
        <c:crosses val="autoZero"/>
        <c:auto val="1"/>
        <c:lblAlgn val="ctr"/>
        <c:lblOffset val="100"/>
        <c:noMultiLvlLbl val="0"/>
      </c:catAx>
      <c:valAx>
        <c:axId val="951709696"/>
        <c:scaling>
          <c:orientation val="minMax"/>
          <c:max val="1"/>
          <c:min val="0"/>
        </c:scaling>
        <c:delete val="0"/>
        <c:axPos val="l"/>
        <c:majorGridlines/>
        <c:minorGridlines/>
        <c:numFmt formatCode="0%" sourceLinked="1"/>
        <c:majorTickMark val="out"/>
        <c:minorTickMark val="none"/>
        <c:tickLblPos val="nextTo"/>
        <c:crossAx val="951691520"/>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demersal trawl-seine'!$K$143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'U10m demersal trawl-seine'!$K$139</c:f>
              <c:strCache>
                <c:ptCount val="1"/>
                <c:pt idx="0">
                  <c:v>Total income</c:v>
                </c:pt>
              </c:strCache>
            </c:strRef>
          </c:tx>
          <c:spPr>
            <a:solidFill>
              <a:schemeClr val="accent1"/>
            </a:solidFill>
            <a:ln>
              <a:solidFill>
                <a:schemeClr val="accent1"/>
              </a:solidFill>
            </a:ln>
          </c:spPr>
          <c:invertIfNegative val="0"/>
          <c:cat>
            <c:strRef>
              <c:f>'U10m demersal trawl-seine'!$L$138:$N$138</c:f>
              <c:strCache>
                <c:ptCount val="3"/>
                <c:pt idx="0">
                  <c:v>Most
profitable
quartile</c:v>
                </c:pt>
                <c:pt idx="1">
                  <c:v>Middle
two quartiles</c:v>
                </c:pt>
                <c:pt idx="2">
                  <c:v>Least
profitable
quartile</c:v>
                </c:pt>
              </c:strCache>
            </c:strRef>
          </c:cat>
          <c:val>
            <c:numRef>
              <c:f>'U10m demersal trawl-seine'!$L$139:$N$139</c:f>
              <c:numCache>
                <c:formatCode>#,##0</c:formatCode>
                <c:ptCount val="3"/>
                <c:pt idx="0">
                  <c:v>144.013390625</c:v>
                </c:pt>
                <c:pt idx="1">
                  <c:v>71.837103515625003</c:v>
                </c:pt>
                <c:pt idx="2">
                  <c:v>33.495878906249999</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'U10m demersal trawl-seine'!$K$140</c:f>
              <c:strCache>
                <c:ptCount val="1"/>
                <c:pt idx="0">
                  <c:v>Operating costs</c:v>
                </c:pt>
              </c:strCache>
            </c:strRef>
          </c:tx>
          <c:spPr>
            <a:solidFill>
              <a:schemeClr val="accent3"/>
            </a:solidFill>
          </c:spPr>
          <c:invertIfNegative val="0"/>
          <c:cat>
            <c:strRef>
              <c:f>'U10m demersal trawl-seine'!$L$138:$N$138</c:f>
              <c:strCache>
                <c:ptCount val="3"/>
                <c:pt idx="0">
                  <c:v>Most
profitable
quartile</c:v>
                </c:pt>
                <c:pt idx="1">
                  <c:v>Middle
two quartiles</c:v>
                </c:pt>
                <c:pt idx="2">
                  <c:v>Least
profitable
quartile</c:v>
                </c:pt>
              </c:strCache>
            </c:strRef>
          </c:cat>
          <c:val>
            <c:numRef>
              <c:f>'U10m demersal trawl-seine'!$L$140:$N$140</c:f>
              <c:numCache>
                <c:formatCode>#,##0</c:formatCode>
                <c:ptCount val="3"/>
                <c:pt idx="0">
                  <c:v>94.340156250000007</c:v>
                </c:pt>
                <c:pt idx="1">
                  <c:v>50.416968750000002</c:v>
                </c:pt>
                <c:pt idx="2">
                  <c:v>26.530072265625002</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'U10m demersal trawl-seine'!$K$141</c:f>
              <c:strCache>
                <c:ptCount val="1"/>
                <c:pt idx="0">
                  <c:v>Operating profit</c:v>
                </c:pt>
              </c:strCache>
            </c:strRef>
          </c:tx>
          <c:spPr>
            <a:solidFill>
              <a:schemeClr val="accent2"/>
            </a:solidFill>
          </c:spPr>
          <c:invertIfNegative val="0"/>
          <c:cat>
            <c:strRef>
              <c:f>'U10m demersal trawl-seine'!$L$138:$N$138</c:f>
              <c:strCache>
                <c:ptCount val="3"/>
                <c:pt idx="0">
                  <c:v>Most
profitable
quartile</c:v>
                </c:pt>
                <c:pt idx="1">
                  <c:v>Middle
two quartiles</c:v>
                </c:pt>
                <c:pt idx="2">
                  <c:v>Least
profitable
quartile</c:v>
                </c:pt>
              </c:strCache>
            </c:strRef>
          </c:cat>
          <c:val>
            <c:numRef>
              <c:f>'U10m demersal trawl-seine'!$L$141:$N$141</c:f>
              <c:numCache>
                <c:formatCode>#,##0</c:formatCode>
                <c:ptCount val="3"/>
                <c:pt idx="0">
                  <c:v>49.673234375</c:v>
                </c:pt>
                <c:pt idx="1">
                  <c:v>21.420134765625001</c:v>
                </c:pt>
                <c:pt idx="2">
                  <c:v>6.9658066406249999</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951986816"/>
        <c:axId val="951992704"/>
      </c:barChart>
      <c:catAx>
        <c:axId val="951986816"/>
        <c:scaling>
          <c:orientation val="minMax"/>
        </c:scaling>
        <c:delete val="0"/>
        <c:axPos val="b"/>
        <c:numFmt formatCode="General" sourceLinked="0"/>
        <c:majorTickMark val="out"/>
        <c:minorTickMark val="none"/>
        <c:tickLblPos val="nextTo"/>
        <c:crossAx val="951992704"/>
        <c:crosses val="autoZero"/>
        <c:auto val="1"/>
        <c:lblAlgn val="ctr"/>
        <c:lblOffset val="100"/>
        <c:noMultiLvlLbl val="0"/>
      </c:catAx>
      <c:valAx>
        <c:axId val="951992704"/>
        <c:scaling>
          <c:orientation val="minMax"/>
        </c:scaling>
        <c:delete val="0"/>
        <c:axPos val="l"/>
        <c:majorGridlines/>
        <c:title>
          <c:tx>
            <c:strRef>
              <c:f>'U10m demersal trawl-seine'!$K$142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951986816"/>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nets'!$A$48</c:f>
          <c:strCache>
            <c:ptCount val="1"/>
            <c:pt idx="0">
              <c:v>Landings per kW day at sea (kg)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'U10m drift-fixed nets'!$D$2:$N$2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drift-fixed nets'!$D$21:$N$21</c:f>
              <c:numCache>
                <c:formatCode>#,##0.00</c:formatCode>
                <c:ptCount val="11"/>
                <c:pt idx="0">
                  <c:v>2.7523177504924821</c:v>
                </c:pt>
                <c:pt idx="1">
                  <c:v>2.5618316491963773</c:v>
                </c:pt>
                <c:pt idx="2">
                  <c:v>2.7470232045128369</c:v>
                </c:pt>
                <c:pt idx="3">
                  <c:v>2.5763073204193496</c:v>
                </c:pt>
                <c:pt idx="4">
                  <c:v>2.4838671665951497</c:v>
                </c:pt>
                <c:pt idx="5">
                  <c:v>2.676260929361415</c:v>
                </c:pt>
                <c:pt idx="6">
                  <c:v>2.5586458683301396</c:v>
                </c:pt>
                <c:pt idx="7">
                  <c:v>2.3114411178984469</c:v>
                </c:pt>
                <c:pt idx="8">
                  <c:v>2.5816099162299437</c:v>
                </c:pt>
                <c:pt idx="9">
                  <c:v>2.3333151833124255</c:v>
                </c:pt>
                <c:pt idx="10">
                  <c:v>2.3138958378564611</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616919040"/>
        <c:axId val="616920576"/>
      </c:lineChart>
      <c:catAx>
        <c:axId val="616919040"/>
        <c:scaling>
          <c:orientation val="minMax"/>
        </c:scaling>
        <c:delete val="0"/>
        <c:axPos val="b"/>
        <c:numFmt formatCode="General" sourceLinked="1"/>
        <c:majorTickMark val="out"/>
        <c:minorTickMark val="none"/>
        <c:tickLblPos val="nextTo"/>
        <c:crossAx val="616920576"/>
        <c:crosses val="autoZero"/>
        <c:auto val="1"/>
        <c:lblAlgn val="ctr"/>
        <c:lblOffset val="100"/>
        <c:noMultiLvlLbl val="0"/>
      </c:catAx>
      <c:valAx>
        <c:axId val="616920576"/>
        <c:scaling>
          <c:orientation val="minMax"/>
        </c:scaling>
        <c:delete val="0"/>
        <c:axPos val="l"/>
        <c:majorGridlines>
          <c:spPr>
            <a:ln w="3175">
              <a:prstDash val="sysDot"/>
            </a:ln>
          </c:spPr>
        </c:majorGridlines>
        <c:numFmt formatCode="#,##0.00" sourceLinked="1"/>
        <c:majorTickMark val="out"/>
        <c:minorTickMark val="none"/>
        <c:tickLblPos val="nextTo"/>
        <c:crossAx val="616919040"/>
        <c:crosses val="autoZero"/>
        <c:crossBetween val="between"/>
      </c:valAx>
    </c:plotArea>
    <c:plotVisOnly val="0"/>
    <c:dispBlanksAs val="gap"/>
    <c:showDLblsOverMax val="0"/>
  </c:chart>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nets'!$A$49</c:f>
          <c:strCache>
            <c:ptCount val="1"/>
            <c:pt idx="0">
              <c:v>Fishing income per kW day at sea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'U10m drift-fixed nets'!$D$2:$N$2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drift-fixed nets'!$D$22:$N$22</c:f>
              <c:numCache>
                <c:formatCode>#,##0.00</c:formatCode>
                <c:ptCount val="11"/>
                <c:pt idx="0">
                  <c:v>5.7781826566504604</c:v>
                </c:pt>
                <c:pt idx="1">
                  <c:v>5.9656391289854902</c:v>
                </c:pt>
                <c:pt idx="2">
                  <c:v>5.9947307161650798</c:v>
                </c:pt>
                <c:pt idx="3">
                  <c:v>6.3493484369334601</c:v>
                </c:pt>
                <c:pt idx="4">
                  <c:v>6.09817394915469</c:v>
                </c:pt>
                <c:pt idx="5">
                  <c:v>6.45662382235182</c:v>
                </c:pt>
                <c:pt idx="6">
                  <c:v>6.6669183018978702</c:v>
                </c:pt>
                <c:pt idx="7">
                  <c:v>5.8717257819665303</c:v>
                </c:pt>
                <c:pt idx="8">
                  <c:v>6.1384861569737001</c:v>
                </c:pt>
                <c:pt idx="9">
                  <c:v>6.5327140689006198</c:v>
                </c:pt>
                <c:pt idx="10">
                  <c:v>7.049534014451865</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616938496"/>
        <c:axId val="616952576"/>
      </c:lineChart>
      <c:catAx>
        <c:axId val="616938496"/>
        <c:scaling>
          <c:orientation val="minMax"/>
        </c:scaling>
        <c:delete val="0"/>
        <c:axPos val="b"/>
        <c:numFmt formatCode="General" sourceLinked="1"/>
        <c:majorTickMark val="out"/>
        <c:minorTickMark val="none"/>
        <c:tickLblPos val="nextTo"/>
        <c:crossAx val="616952576"/>
        <c:crosses val="autoZero"/>
        <c:auto val="1"/>
        <c:lblAlgn val="ctr"/>
        <c:lblOffset val="100"/>
        <c:noMultiLvlLbl val="0"/>
      </c:catAx>
      <c:valAx>
        <c:axId val="616952576"/>
        <c:scaling>
          <c:orientation val="minMax"/>
        </c:scaling>
        <c:delete val="0"/>
        <c:axPos val="l"/>
        <c:majorGridlines>
          <c:spPr>
            <a:ln w="3175">
              <a:prstDash val="sysDot"/>
            </a:ln>
          </c:spPr>
        </c:majorGridlines>
        <c:numFmt formatCode="#,##0.00" sourceLinked="1"/>
        <c:majorTickMark val="out"/>
        <c:minorTickMark val="none"/>
        <c:tickLblPos val="nextTo"/>
        <c:crossAx val="616938496"/>
        <c:crosses val="autoZero"/>
        <c:crossBetween val="between"/>
      </c:valAx>
    </c:plotArea>
    <c:plotVisOnly val="0"/>
    <c:dispBlanksAs val="gap"/>
    <c:showDLblsOverMax val="0"/>
  </c:chart>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nets'!$B$62</c:f>
          <c:strCache>
            <c:ptCount val="1"/>
            <c:pt idx="0">
              <c:v>Total cost per kW day at sea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'U10m drift-fixed nets'!$D$2:$N$2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drift-fixed nets'!$D$23:$N$23</c:f>
              <c:numCache>
                <c:formatCode>#,##0.00</c:formatCode>
                <c:ptCount val="11"/>
                <c:pt idx="0">
                  <c:v>4.1135706910998797</c:v>
                </c:pt>
                <c:pt idx="1">
                  <c:v>4.2827067425676502</c:v>
                </c:pt>
                <c:pt idx="2">
                  <c:v>4.5497588787274097</c:v>
                </c:pt>
                <c:pt idx="3">
                  <c:v>4.7653364307817396</c:v>
                </c:pt>
                <c:pt idx="4">
                  <c:v>4.2854032229070702</c:v>
                </c:pt>
                <c:pt idx="5">
                  <c:v>4.5342176415957098</c:v>
                </c:pt>
                <c:pt idx="6">
                  <c:v>4.6802561569558403</c:v>
                </c:pt>
                <c:pt idx="7">
                  <c:v>4.4208166349243303</c:v>
                </c:pt>
                <c:pt idx="8">
                  <c:v>4.3353579388105601</c:v>
                </c:pt>
                <c:pt idx="9">
                  <c:v>4.4369032398362798</c:v>
                </c:pt>
                <c:pt idx="10">
                  <c:v>4.8206913615761131</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952035584"/>
        <c:axId val="952037376"/>
      </c:lineChart>
      <c:catAx>
        <c:axId val="952035584"/>
        <c:scaling>
          <c:orientation val="minMax"/>
        </c:scaling>
        <c:delete val="0"/>
        <c:axPos val="b"/>
        <c:numFmt formatCode="General" sourceLinked="1"/>
        <c:majorTickMark val="out"/>
        <c:minorTickMark val="none"/>
        <c:tickLblPos val="nextTo"/>
        <c:crossAx val="952037376"/>
        <c:crosses val="autoZero"/>
        <c:auto val="1"/>
        <c:lblAlgn val="ctr"/>
        <c:lblOffset val="100"/>
        <c:noMultiLvlLbl val="0"/>
      </c:catAx>
      <c:valAx>
        <c:axId val="952037376"/>
        <c:scaling>
          <c:orientation val="minMax"/>
        </c:scaling>
        <c:delete val="0"/>
        <c:axPos val="l"/>
        <c:majorGridlines>
          <c:spPr>
            <a:ln w="3175">
              <a:prstDash val="sysDot"/>
            </a:ln>
          </c:spPr>
        </c:majorGridlines>
        <c:numFmt formatCode="#,##0.00" sourceLinked="1"/>
        <c:majorTickMark val="out"/>
        <c:minorTickMark val="none"/>
        <c:tickLblPos val="nextTo"/>
        <c:crossAx val="952035584"/>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nets'!$K$48</c:f>
          <c:strCache>
            <c:ptCount val="1"/>
            <c:pt idx="0">
              <c:v>Operating profit per kW day at sea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'U10m drift-fixed nets'!$D$2:$N$2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drift-fixed nets'!$D$24:$N$24</c:f>
              <c:numCache>
                <c:formatCode>#,##0.00</c:formatCode>
                <c:ptCount val="11"/>
                <c:pt idx="0">
                  <c:v>1.66913492890523</c:v>
                </c:pt>
                <c:pt idx="1">
                  <c:v>1.68293238641784</c:v>
                </c:pt>
                <c:pt idx="2">
                  <c:v>1.80579233550403</c:v>
                </c:pt>
                <c:pt idx="3">
                  <c:v>2.2093031218861201</c:v>
                </c:pt>
                <c:pt idx="4">
                  <c:v>2.2052891870189799</c:v>
                </c:pt>
                <c:pt idx="5">
                  <c:v>1.9827517795841401</c:v>
                </c:pt>
                <c:pt idx="6">
                  <c:v>2.4656010627307898</c:v>
                </c:pt>
                <c:pt idx="7">
                  <c:v>1.52714838784261</c:v>
                </c:pt>
                <c:pt idx="8">
                  <c:v>1.88901217370535</c:v>
                </c:pt>
                <c:pt idx="9">
                  <c:v>2.34896044765103</c:v>
                </c:pt>
                <c:pt idx="10">
                  <c:v>2.5020196064993638</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44854528"/>
        <c:axId val="944856064"/>
      </c:lineChart>
      <c:catAx>
        <c:axId val="944854528"/>
        <c:scaling>
          <c:orientation val="minMax"/>
        </c:scaling>
        <c:delete val="0"/>
        <c:axPos val="b"/>
        <c:numFmt formatCode="General" sourceLinked="1"/>
        <c:majorTickMark val="out"/>
        <c:minorTickMark val="none"/>
        <c:tickLblPos val="nextTo"/>
        <c:crossAx val="944856064"/>
        <c:crosses val="autoZero"/>
        <c:auto val="1"/>
        <c:lblAlgn val="ctr"/>
        <c:lblOffset val="100"/>
        <c:noMultiLvlLbl val="0"/>
      </c:catAx>
      <c:valAx>
        <c:axId val="944856064"/>
        <c:scaling>
          <c:orientation val="minMax"/>
        </c:scaling>
        <c:delete val="0"/>
        <c:axPos val="l"/>
        <c:majorGridlines>
          <c:spPr>
            <a:ln w="3175">
              <a:prstDash val="sysDot"/>
            </a:ln>
          </c:spPr>
        </c:majorGridlines>
        <c:numFmt formatCode="#,##0.00" sourceLinked="1"/>
        <c:majorTickMark val="out"/>
        <c:minorTickMark val="none"/>
        <c:tickLblPos val="nextTo"/>
        <c:crossAx val="944854528"/>
        <c:crosses val="autoZero"/>
        <c:crossBetween val="between"/>
      </c:valAx>
    </c:plotArea>
    <c:plotVisOnly val="0"/>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nephrops u250kW'!$F$76</c:f>
          <c:strCache>
            <c:ptCount val="1"/>
            <c:pt idx="0">
              <c:v>Top 5 landed species by value in 2017
Area VIIA nephrops under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'Area VIIa nephrops u250kW'!$G$77:$G$82</c:f>
              <c:strCache>
                <c:ptCount val="6"/>
                <c:pt idx="0">
                  <c:v>Nephrops - 83.2%</c:v>
                </c:pt>
                <c:pt idx="1">
                  <c:v>Scallops - 8.3%</c:v>
                </c:pt>
                <c:pt idx="2">
                  <c:v>Haddock - 2.0%</c:v>
                </c:pt>
                <c:pt idx="3">
                  <c:v>Anglerfish - 1.7%</c:v>
                </c:pt>
                <c:pt idx="4">
                  <c:v>Mussels - 1.2%</c:v>
                </c:pt>
                <c:pt idx="5">
                  <c:v>Others - 3.6%</c:v>
                </c:pt>
              </c:strCache>
            </c:strRef>
          </c:cat>
          <c:val>
            <c:numRef>
              <c:f>'Area VIIa nephrops u250kW'!$H$77:$H$82</c:f>
              <c:numCache>
                <c:formatCode>0.0%</c:formatCode>
                <c:ptCount val="6"/>
                <c:pt idx="0">
                  <c:v>0.83215471535758223</c:v>
                </c:pt>
                <c:pt idx="1">
                  <c:v>8.3007253842800291E-2</c:v>
                </c:pt>
                <c:pt idx="2">
                  <c:v>1.9531534789031645E-2</c:v>
                </c:pt>
                <c:pt idx="3">
                  <c:v>1.678296913423831E-2</c:v>
                </c:pt>
                <c:pt idx="4">
                  <c:v>1.2469320805263587E-2</c:v>
                </c:pt>
                <c:pt idx="5">
                  <c:v>3.6054206071083894E-2</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nets'!$A$50</c:f>
          <c:strCache>
            <c:ptCount val="1"/>
            <c:pt idx="0">
              <c:v>Average price per tonne landed (£)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'U10m drift-fixed nets'!$D$2:$N$2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drift-fixed nets'!$D$20:$N$20</c:f>
              <c:numCache>
                <c:formatCode>#,##0</c:formatCode>
                <c:ptCount val="11"/>
                <c:pt idx="0">
                  <c:v>2099</c:v>
                </c:pt>
                <c:pt idx="1">
                  <c:v>2329</c:v>
                </c:pt>
                <c:pt idx="2">
                  <c:v>2182</c:v>
                </c:pt>
                <c:pt idx="3">
                  <c:v>2465</c:v>
                </c:pt>
                <c:pt idx="4">
                  <c:v>2455</c:v>
                </c:pt>
                <c:pt idx="5">
                  <c:v>2413</c:v>
                </c:pt>
                <c:pt idx="6">
                  <c:v>2606</c:v>
                </c:pt>
                <c:pt idx="7">
                  <c:v>2540</c:v>
                </c:pt>
                <c:pt idx="8">
                  <c:v>2378</c:v>
                </c:pt>
                <c:pt idx="9">
                  <c:v>2800</c:v>
                </c:pt>
                <c:pt idx="10">
                  <c:v>3047</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52312576"/>
        <c:axId val="952314112"/>
      </c:lineChart>
      <c:catAx>
        <c:axId val="952312576"/>
        <c:scaling>
          <c:orientation val="minMax"/>
        </c:scaling>
        <c:delete val="0"/>
        <c:axPos val="b"/>
        <c:numFmt formatCode="General" sourceLinked="1"/>
        <c:majorTickMark val="out"/>
        <c:minorTickMark val="none"/>
        <c:tickLblPos val="nextTo"/>
        <c:crossAx val="952314112"/>
        <c:crosses val="autoZero"/>
        <c:auto val="1"/>
        <c:lblAlgn val="ctr"/>
        <c:lblOffset val="100"/>
        <c:noMultiLvlLbl val="0"/>
      </c:catAx>
      <c:valAx>
        <c:axId val="952314112"/>
        <c:scaling>
          <c:orientation val="minMax"/>
        </c:scaling>
        <c:delete val="0"/>
        <c:axPos val="l"/>
        <c:majorGridlines>
          <c:spPr>
            <a:ln w="3175">
              <a:prstDash val="sysDot"/>
            </a:ln>
          </c:spPr>
        </c:majorGridlines>
        <c:numFmt formatCode="#,##0" sourceLinked="1"/>
        <c:majorTickMark val="out"/>
        <c:minorTickMark val="none"/>
        <c:tickLblPos val="nextTo"/>
        <c:crossAx val="952312576"/>
        <c:crosses val="autoZero"/>
        <c:crossBetween val="between"/>
      </c:valAx>
    </c:plotArea>
    <c:plotVisOnly val="0"/>
    <c:dispBlanksAs val="gap"/>
    <c:showDLblsOverMax val="0"/>
  </c:chart>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nets'!$K$62</c:f>
          <c:strCache>
            <c:ptCount val="1"/>
            <c:pt idx="0">
              <c:v>Average annual operating profit per vessel (£'000)
Under 10m drift and/or fixed nets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'U10m drift-fixed nets'!$D$2:$N$2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drift-fixed nets'!$D$37:$N$37</c:f>
              <c:numCache>
                <c:formatCode>#,##0.0</c:formatCode>
                <c:ptCount val="11"/>
                <c:pt idx="0">
                  <c:v>14.1</c:v>
                </c:pt>
                <c:pt idx="1">
                  <c:v>13.6</c:v>
                </c:pt>
                <c:pt idx="2">
                  <c:v>14.5</c:v>
                </c:pt>
                <c:pt idx="3">
                  <c:v>16.3</c:v>
                </c:pt>
                <c:pt idx="4">
                  <c:v>16.2</c:v>
                </c:pt>
                <c:pt idx="5">
                  <c:v>13.8</c:v>
                </c:pt>
                <c:pt idx="6">
                  <c:v>17.899999999999999</c:v>
                </c:pt>
                <c:pt idx="7">
                  <c:v>10.7</c:v>
                </c:pt>
                <c:pt idx="8">
                  <c:v>13.5</c:v>
                </c:pt>
                <c:pt idx="9">
                  <c:v>15.9</c:v>
                </c:pt>
                <c:pt idx="10">
                  <c:v>15.700000000000001</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52336384"/>
        <c:axId val="952337920"/>
      </c:lineChart>
      <c:catAx>
        <c:axId val="952336384"/>
        <c:scaling>
          <c:orientation val="minMax"/>
        </c:scaling>
        <c:delete val="0"/>
        <c:axPos val="b"/>
        <c:numFmt formatCode="General" sourceLinked="1"/>
        <c:majorTickMark val="out"/>
        <c:minorTickMark val="none"/>
        <c:tickLblPos val="nextTo"/>
        <c:crossAx val="952337920"/>
        <c:crosses val="autoZero"/>
        <c:auto val="1"/>
        <c:lblAlgn val="ctr"/>
        <c:lblOffset val="100"/>
        <c:noMultiLvlLbl val="0"/>
      </c:catAx>
      <c:valAx>
        <c:axId val="952337920"/>
        <c:scaling>
          <c:orientation val="minMax"/>
        </c:scaling>
        <c:delete val="0"/>
        <c:axPos val="l"/>
        <c:majorGridlines>
          <c:spPr>
            <a:ln w="3175">
              <a:prstDash val="sysDot"/>
            </a:ln>
          </c:spPr>
        </c:majorGridlines>
        <c:numFmt formatCode="#,##0.0" sourceLinked="1"/>
        <c:majorTickMark val="out"/>
        <c:minorTickMark val="none"/>
        <c:tickLblPos val="nextTo"/>
        <c:crossAx val="952336384"/>
        <c:crosses val="autoZero"/>
        <c:crossBetween val="between"/>
      </c:valAx>
    </c:plotArea>
    <c:plotVisOnly val="0"/>
    <c:dispBlanksAs val="gap"/>
    <c:showDLblsOverMax val="0"/>
  </c:chart>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drift-fixed nets'!$A$76</c:f>
          <c:strCache>
            <c:ptCount val="1"/>
            <c:pt idx="0">
              <c:v>Top 5 landed species by volume in 2017
Under 10m drift and/or fixed nets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0F9AA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FED825"/>
              </a:solidFill>
              <a:ln>
                <a:solidFill>
                  <a:srgbClr val="FFFFFF"/>
                </a:solidFill>
              </a:ln>
            </c:spPr>
          </c:dPt>
          <c:dPt>
            <c:idx val="3"/>
            <c:bubble3D val="0"/>
            <c:spPr>
              <a:solidFill>
                <a:srgbClr val="2273B9"/>
              </a:solidFill>
              <a:ln>
                <a:solidFill>
                  <a:srgbClr val="FFFFFF"/>
                </a:solidFill>
              </a:ln>
            </c:spPr>
          </c:dPt>
          <c:dPt>
            <c:idx val="4"/>
            <c:bubble3D val="0"/>
            <c:spPr>
              <a:solidFill>
                <a:srgbClr val="707271"/>
              </a:solidFill>
              <a:ln>
                <a:solidFill>
                  <a:srgbClr val="FFFFFF"/>
                </a:solidFill>
              </a:ln>
            </c:spPr>
          </c:dPt>
          <c:dPt>
            <c:idx val="5"/>
            <c:bubble3D val="0"/>
            <c:spPr>
              <a:solidFill>
                <a:srgbClr val="55585A"/>
              </a:solidFill>
              <a:ln>
                <a:solidFill>
                  <a:srgbClr val="FFFFFF"/>
                </a:solidFill>
              </a:ln>
            </c:spPr>
          </c:dPt>
          <c:cat>
            <c:strRef>
              <c:f>'U10m drift-fixed nets'!$B$77:$B$82</c:f>
              <c:strCache>
                <c:ptCount val="6"/>
                <c:pt idx="0">
                  <c:v>Pilchards - 13.2%</c:v>
                </c:pt>
                <c:pt idx="1">
                  <c:v>Pollack - 13.1%</c:v>
                </c:pt>
                <c:pt idx="2">
                  <c:v>Whelks - 10.0%</c:v>
                </c:pt>
                <c:pt idx="3">
                  <c:v>Sole - 9.4%</c:v>
                </c:pt>
                <c:pt idx="4">
                  <c:v>Plaice - 5.6%</c:v>
                </c:pt>
                <c:pt idx="5">
                  <c:v>Others - 48.6%</c:v>
                </c:pt>
              </c:strCache>
            </c:strRef>
          </c:cat>
          <c:val>
            <c:numRef>
              <c:f>'U10m drift-fixed nets'!$C$77:$C$82</c:f>
              <c:numCache>
                <c:formatCode>0.0%</c:formatCode>
                <c:ptCount val="6"/>
                <c:pt idx="0">
                  <c:v>0.131987318639845</c:v>
                </c:pt>
                <c:pt idx="1">
                  <c:v>0.13124627500260225</c:v>
                </c:pt>
                <c:pt idx="2">
                  <c:v>0.1001684223471303</c:v>
                </c:pt>
                <c:pt idx="3">
                  <c:v>9.4357436899593375E-2</c:v>
                </c:pt>
                <c:pt idx="4">
                  <c:v>5.6189497647900231E-2</c:v>
                </c:pt>
                <c:pt idx="5">
                  <c:v>0.48605104946292887</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drift-fixed nets'!$F$76</c:f>
          <c:strCache>
            <c:ptCount val="1"/>
            <c:pt idx="0">
              <c:v>Top 5 landed species by value in 2017
Under 10m drift and/or fixed nets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'U10m drift-fixed nets'!$G$77:$G$82</c:f>
              <c:strCache>
                <c:ptCount val="6"/>
                <c:pt idx="0">
                  <c:v>Sole - 28.1%</c:v>
                </c:pt>
                <c:pt idx="1">
                  <c:v>Pollack - 12.0%</c:v>
                </c:pt>
                <c:pt idx="2">
                  <c:v>Bass - 7.6%</c:v>
                </c:pt>
                <c:pt idx="3">
                  <c:v>Turbot - 7.4%</c:v>
                </c:pt>
                <c:pt idx="4">
                  <c:v>Anglerfish - 6.9%</c:v>
                </c:pt>
                <c:pt idx="5">
                  <c:v>Others - 38.0%</c:v>
                </c:pt>
              </c:strCache>
            </c:strRef>
          </c:cat>
          <c:val>
            <c:numRef>
              <c:f>'U10m drift-fixed nets'!$H$77:$H$82</c:f>
              <c:numCache>
                <c:formatCode>0.0%</c:formatCode>
                <c:ptCount val="6"/>
                <c:pt idx="0">
                  <c:v>0.28130525521844418</c:v>
                </c:pt>
                <c:pt idx="1">
                  <c:v>0.1196976488857646</c:v>
                </c:pt>
                <c:pt idx="2">
                  <c:v>7.5988754140232553E-2</c:v>
                </c:pt>
                <c:pt idx="3">
                  <c:v>7.3973236398523032E-2</c:v>
                </c:pt>
                <c:pt idx="4">
                  <c:v>6.8995677772329733E-2</c:v>
                </c:pt>
                <c:pt idx="5">
                  <c:v>0.38003942758470588</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drift-fixed nets'!$C$92</c:f>
              <c:strCache>
                <c:ptCount val="1"/>
                <c:pt idx="0">
                  <c:v>Sole</c:v>
                </c:pt>
              </c:strCache>
            </c:strRef>
          </c:tx>
          <c:spPr>
            <a:solidFill>
              <a:srgbClr val="2273B9"/>
            </a:solidFill>
            <a:ln>
              <a:solidFill>
                <a:srgbClr val="FFFFFF"/>
              </a:solidFill>
            </a:ln>
          </c:spPr>
          <c:invertIfNegative val="0"/>
          <c:cat>
            <c:numRef>
              <c:f>'U10m drift-fixed nets'!$D$91:$M$91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drift-fixed nets'!$D$92:$M$92</c:f>
              <c:numCache>
                <c:formatCode>0%</c:formatCode>
                <c:ptCount val="10"/>
                <c:pt idx="0">
                  <c:v>0.32617426288632678</c:v>
                </c:pt>
                <c:pt idx="1">
                  <c:v>0.30545222248080056</c:v>
                </c:pt>
                <c:pt idx="2">
                  <c:v>0.33017552845678855</c:v>
                </c:pt>
                <c:pt idx="3">
                  <c:v>0.28603418253481533</c:v>
                </c:pt>
                <c:pt idx="4">
                  <c:v>0.26725252537690658</c:v>
                </c:pt>
                <c:pt idx="5">
                  <c:v>0.24134412512114328</c:v>
                </c:pt>
                <c:pt idx="6">
                  <c:v>0.29624209935649259</c:v>
                </c:pt>
                <c:pt idx="7">
                  <c:v>0.22869990368048759</c:v>
                </c:pt>
                <c:pt idx="8">
                  <c:v>0.28130525521844418</c:v>
                </c:pt>
                <c:pt idx="9">
                  <c:v>0.32723553324246868</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'U10m drift-fixed nets'!$C$93</c:f>
              <c:strCache>
                <c:ptCount val="1"/>
                <c:pt idx="0">
                  <c:v>Pollack</c:v>
                </c:pt>
              </c:strCache>
            </c:strRef>
          </c:tx>
          <c:spPr>
            <a:solidFill>
              <a:srgbClr val="E87308"/>
            </a:solidFill>
            <a:ln>
              <a:solidFill>
                <a:srgbClr val="FFFFFF"/>
              </a:solidFill>
            </a:ln>
          </c:spPr>
          <c:invertIfNegative val="0"/>
          <c:cat>
            <c:numRef>
              <c:f>'U10m drift-fixed nets'!$D$91:$M$91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drift-fixed nets'!$D$93:$M$93</c:f>
              <c:numCache>
                <c:formatCode>0%</c:formatCode>
                <c:ptCount val="10"/>
                <c:pt idx="0">
                  <c:v>6.1563289186079465E-2</c:v>
                </c:pt>
                <c:pt idx="2">
                  <c:v>5.0579335454934662E-2</c:v>
                </c:pt>
                <c:pt idx="3">
                  <c:v>7.7005536910007527E-2</c:v>
                </c:pt>
                <c:pt idx="4">
                  <c:v>6.2454532922156705E-2</c:v>
                </c:pt>
                <c:pt idx="5">
                  <c:v>5.4047954552092971E-2</c:v>
                </c:pt>
                <c:pt idx="6">
                  <c:v>5.0494417076834365E-2</c:v>
                </c:pt>
                <c:pt idx="7">
                  <c:v>8.4716108082951505E-2</c:v>
                </c:pt>
                <c:pt idx="8">
                  <c:v>0.1196976488857646</c:v>
                </c:pt>
                <c:pt idx="9">
                  <c:v>9.7859978741774739E-2</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'U10m drift-fixed nets'!$C$94</c:f>
              <c:strCache>
                <c:ptCount val="1"/>
                <c:pt idx="0">
                  <c:v>Bass</c:v>
                </c:pt>
              </c:strCache>
            </c:strRef>
          </c:tx>
          <c:spPr>
            <a:solidFill>
              <a:srgbClr val="648C2E"/>
            </a:solidFill>
            <a:ln>
              <a:solidFill>
                <a:srgbClr val="FFFFFF"/>
              </a:solidFill>
            </a:ln>
          </c:spPr>
          <c:invertIfNegative val="0"/>
          <c:cat>
            <c:numRef>
              <c:f>'U10m drift-fixed nets'!$D$91:$M$91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drift-fixed nets'!$D$94:$M$94</c:f>
              <c:numCache>
                <c:formatCode>0%</c:formatCode>
                <c:ptCount val="10"/>
                <c:pt idx="0">
                  <c:v>0.1239800518359067</c:v>
                </c:pt>
                <c:pt idx="1">
                  <c:v>0.13839620665580638</c:v>
                </c:pt>
                <c:pt idx="2">
                  <c:v>0.14163898079888582</c:v>
                </c:pt>
                <c:pt idx="3">
                  <c:v>0.16894710789383102</c:v>
                </c:pt>
                <c:pt idx="4">
                  <c:v>0.18215810537183483</c:v>
                </c:pt>
                <c:pt idx="5">
                  <c:v>0.28009913329530906</c:v>
                </c:pt>
                <c:pt idx="6">
                  <c:v>0.20195406641419714</c:v>
                </c:pt>
                <c:pt idx="7">
                  <c:v>0.14850336834647795</c:v>
                </c:pt>
                <c:pt idx="8">
                  <c:v>7.5988754140232553E-2</c:v>
                </c:pt>
                <c:pt idx="9">
                  <c:v>0.10397219157056223</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'U10m drift-fixed nets'!$C$95</c:f>
              <c:strCache>
                <c:ptCount val="1"/>
                <c:pt idx="0">
                  <c:v>Turbot</c:v>
                </c:pt>
              </c:strCache>
            </c:strRef>
          </c:tx>
          <c:spPr>
            <a:solidFill>
              <a:srgbClr val="C1D119"/>
            </a:solidFill>
            <a:ln>
              <a:solidFill>
                <a:srgbClr val="FFFFFF"/>
              </a:solidFill>
            </a:ln>
          </c:spPr>
          <c:invertIfNegative val="0"/>
          <c:cat>
            <c:numRef>
              <c:f>'U10m drift-fixed nets'!$D$91:$M$91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drift-fixed nets'!$D$95:$M$95</c:f>
              <c:numCache>
                <c:formatCode>0%</c:formatCode>
                <c:ptCount val="10"/>
                <c:pt idx="8">
                  <c:v>7.3973236398523032E-2</c:v>
                </c:pt>
                <c:pt idx="9">
                  <c:v>5.1088088500608496E-2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'U10m drift-fixed nets'!$C$96</c:f>
              <c:strCache>
                <c:ptCount val="1"/>
                <c:pt idx="0">
                  <c:v>Anglerfish</c:v>
                </c:pt>
              </c:strCache>
            </c:strRef>
          </c:tx>
          <c:spPr>
            <a:solidFill>
              <a:srgbClr val="E84A38"/>
            </a:solidFill>
            <a:ln>
              <a:solidFill>
                <a:srgbClr val="FFFFFF"/>
              </a:solidFill>
            </a:ln>
          </c:spPr>
          <c:invertIfNegative val="0"/>
          <c:cat>
            <c:numRef>
              <c:f>'U10m drift-fixed nets'!$D$91:$M$91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drift-fixed nets'!$D$96:$M$96</c:f>
              <c:numCache>
                <c:formatCode>0%</c:formatCode>
                <c:ptCount val="10"/>
                <c:pt idx="0">
                  <c:v>4.7145540138027749E-2</c:v>
                </c:pt>
                <c:pt idx="3">
                  <c:v>5.2684382232463432E-2</c:v>
                </c:pt>
                <c:pt idx="4">
                  <c:v>5.467434148375297E-2</c:v>
                </c:pt>
                <c:pt idx="7">
                  <c:v>6.0500625547722453E-2</c:v>
                </c:pt>
                <c:pt idx="8">
                  <c:v>6.8995677772329733E-2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'U10m drift-fixed nets'!$C$97</c:f>
              <c:strCache>
                <c:ptCount val="1"/>
                <c:pt idx="0">
                  <c:v>Plaice</c:v>
                </c:pt>
              </c:strCache>
            </c:strRef>
          </c:tx>
          <c:spPr>
            <a:solidFill>
              <a:srgbClr val="0F9AA9"/>
            </a:solidFill>
            <a:ln>
              <a:solidFill>
                <a:srgbClr val="FFFFFF"/>
              </a:solidFill>
            </a:ln>
          </c:spPr>
          <c:invertIfNegative val="0"/>
          <c:cat>
            <c:numRef>
              <c:f>'U10m drift-fixed nets'!$D$91:$M$91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drift-fixed nets'!$D$97:$M$97</c:f>
              <c:numCache>
                <c:formatCode>0%</c:formatCode>
                <c:ptCount val="10"/>
                <c:pt idx="9">
                  <c:v>4.3583338920015119E-2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'U10m drift-fixed nets'!$C$98</c:f>
              <c:strCache>
                <c:ptCount val="1"/>
                <c:pt idx="0">
                  <c:v>Whelks</c:v>
                </c:pt>
              </c:strCache>
            </c:strRef>
          </c:tx>
          <c:spPr>
            <a:solidFill>
              <a:srgbClr val="FED825"/>
            </a:solidFill>
            <a:ln>
              <a:solidFill>
                <a:srgbClr val="FFFFFF"/>
              </a:solidFill>
            </a:ln>
          </c:spPr>
          <c:invertIfNegative val="0"/>
          <c:cat>
            <c:numRef>
              <c:f>'U10m drift-fixed nets'!$D$91:$M$91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drift-fixed nets'!$D$98:$M$98</c:f>
              <c:numCache>
                <c:formatCode>0%</c:formatCode>
                <c:ptCount val="10"/>
                <c:pt idx="0">
                  <c:v>4.498265965621262E-2</c:v>
                </c:pt>
                <c:pt idx="1">
                  <c:v>4.8465406097277168E-2</c:v>
                </c:pt>
                <c:pt idx="5">
                  <c:v>4.2213317283214077E-2</c:v>
                </c:pt>
                <c:pt idx="6">
                  <c:v>5.4279128604824686E-2</c:v>
                </c:pt>
                <c:pt idx="7">
                  <c:v>5.5060288607253018E-2</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'U10m drift-fixed nets'!$C$99</c:f>
              <c:strCache>
                <c:ptCount val="1"/>
                <c:pt idx="0">
                  <c:v>Cod</c:v>
                </c:pt>
              </c:strCache>
            </c:strRef>
          </c:tx>
          <c:spPr>
            <a:solidFill>
              <a:srgbClr val="707271"/>
            </a:solidFill>
            <a:ln>
              <a:solidFill>
                <a:srgbClr val="FFFFFF"/>
              </a:solidFill>
            </a:ln>
          </c:spPr>
          <c:invertIfNegative val="0"/>
          <c:cat>
            <c:numRef>
              <c:f>'U10m drift-fixed nets'!$D$91:$M$91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drift-fixed nets'!$D$99:$M$99</c:f>
              <c:numCache>
                <c:formatCode>0%</c:formatCode>
                <c:ptCount val="10"/>
                <c:pt idx="1">
                  <c:v>4.2985361880381663E-2</c:v>
                </c:pt>
                <c:pt idx="2">
                  <c:v>3.8322470133288579E-2</c:v>
                </c:pt>
                <c:pt idx="3">
                  <c:v>4.0896911495564126E-2</c:v>
                </c:pt>
                <c:pt idx="6">
                  <c:v>4.8004724102963497E-2</c:v>
                </c:pt>
              </c:numCache>
            </c:numRef>
          </c:val>
          <c:extLst xmlns:c16r2="http://schemas.microsoft.com/office/drawing/2015/06/chart">
            <c:ext xmlns:c16="http://schemas.microsoft.com/office/drawing/2014/chart" uri="{C3380CC4-5D6E-409C-BE32-E72D297353CC}">
              <c16:uniqueId val="{00000007-282A-42F3-A8CE-7B6B063B5E4F}"/>
            </c:ext>
          </c:extLst>
        </c:ser>
        <c:ser>
          <c:idx val="8"/>
          <c:order val="8"/>
          <c:tx>
            <c:strRef>
              <c:f>'U10m drift-fixed nets'!$C$100</c:f>
              <c:strCache>
                <c:ptCount val="1"/>
                <c:pt idx="0">
                  <c:v>Lobsters</c:v>
                </c:pt>
              </c:strCache>
            </c:strRef>
          </c:tx>
          <c:spPr>
            <a:solidFill>
              <a:srgbClr val="51AA81"/>
            </a:solidFill>
            <a:ln>
              <a:solidFill>
                <a:srgbClr val="FFFFFF"/>
              </a:solidFill>
            </a:ln>
          </c:spPr>
          <c:invertIfNegative val="0"/>
          <c:cat>
            <c:numRef>
              <c:f>'U10m drift-fixed nets'!$D$91:$M$91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drift-fixed nets'!$D$100:$M$100</c:f>
              <c:numCache>
                <c:formatCode>0%</c:formatCode>
                <c:ptCount val="10"/>
                <c:pt idx="5">
                  <c:v>3.7629699401983734E-2</c:v>
                </c:pt>
              </c:numCache>
            </c:numRef>
          </c:val>
          <c:extLst xmlns:c16r2="http://schemas.microsoft.com/office/drawing/2015/06/chart">
            <c:ext xmlns:c16="http://schemas.microsoft.com/office/drawing/2014/chart" uri="{C3380CC4-5D6E-409C-BE32-E72D297353CC}">
              <c16:uniqueId val="{00000008-282A-42F3-A8CE-7B6B063B5E4F}"/>
            </c:ext>
          </c:extLst>
        </c:ser>
        <c:ser>
          <c:idx val="9"/>
          <c:order val="9"/>
          <c:tx>
            <c:strRef>
              <c:f>'U10m drift-fixed nets'!$C$101</c:f>
              <c:strCache>
                <c:ptCount val="1"/>
                <c:pt idx="0">
                  <c:v>Brown Crab</c:v>
                </c:pt>
              </c:strCache>
            </c:strRef>
          </c:tx>
          <c:spPr>
            <a:solidFill>
              <a:srgbClr val="169FDB"/>
            </a:solidFill>
            <a:ln>
              <a:solidFill>
                <a:srgbClr val="FFFFFF"/>
              </a:solidFill>
            </a:ln>
          </c:spPr>
          <c:invertIfNegative val="0"/>
          <c:cat>
            <c:numRef>
              <c:f>'U10m drift-fixed nets'!$D$91:$M$91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drift-fixed nets'!$D$101:$M$101</c:f>
              <c:numCache>
                <c:formatCode>0%</c:formatCode>
                <c:ptCount val="10"/>
                <c:pt idx="4">
                  <c:v>4.4598309129760372E-2</c:v>
                </c:pt>
              </c:numCache>
            </c:numRef>
          </c:val>
          <c:extLst xmlns:c16r2="http://schemas.microsoft.com/office/drawing/2015/06/chart">
            <c:ext xmlns:c16="http://schemas.microsoft.com/office/drawing/2014/chart" uri="{C3380CC4-5D6E-409C-BE32-E72D297353CC}">
              <c16:uniqueId val="{00000009-282A-42F3-A8CE-7B6B063B5E4F}"/>
            </c:ext>
          </c:extLst>
        </c:ser>
        <c:ser>
          <c:idx val="10"/>
          <c:order val="10"/>
          <c:tx>
            <c:strRef>
              <c:f>'U10m drift-fixed nets'!$C$102</c:f>
              <c:strCache>
                <c:ptCount val="1"/>
                <c:pt idx="0">
                  <c:v>Cuttlefish</c:v>
                </c:pt>
              </c:strCache>
            </c:strRef>
          </c:tx>
          <c:spPr>
            <a:solidFill>
              <a:srgbClr val="E40D2C"/>
            </a:solidFill>
            <a:ln>
              <a:solidFill>
                <a:srgbClr val="FFFFFF"/>
              </a:solidFill>
            </a:ln>
          </c:spPr>
          <c:invertIfNegative val="0"/>
          <c:cat>
            <c:numRef>
              <c:f>'U10m drift-fixed nets'!$D$91:$M$91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drift-fixed nets'!$D$102:$M$102</c:f>
              <c:numCache>
                <c:formatCode>0%</c:formatCode>
                <c:ptCount val="10"/>
                <c:pt idx="1">
                  <c:v>5.1238567605306026E-2</c:v>
                </c:pt>
                <c:pt idx="2">
                  <c:v>4.118137424366955E-2</c:v>
                </c:pt>
              </c:numCache>
            </c:numRef>
          </c:val>
          <c:extLst xmlns:c16r2="http://schemas.microsoft.com/office/drawing/2015/06/chart">
            <c:ext xmlns:c16="http://schemas.microsoft.com/office/drawing/2014/chart" uri="{C3380CC4-5D6E-409C-BE32-E72D297353CC}">
              <c16:uniqueId val="{0000000A-282A-42F3-A8CE-7B6B063B5E4F}"/>
            </c:ext>
          </c:extLst>
        </c:ser>
        <c:ser>
          <c:idx val="11"/>
          <c:order val="11"/>
          <c:tx>
            <c:strRef>
              <c:f>'U10m drift-fixed nets'!$C$103</c:f>
              <c:strCache>
                <c:ptCount val="1"/>
                <c:pt idx="0">
                  <c:v>Others</c:v>
                </c:pt>
              </c:strCache>
            </c:strRef>
          </c:tx>
          <c:spPr>
            <a:solidFill>
              <a:srgbClr val="55585A"/>
            </a:solidFill>
            <a:ln>
              <a:solidFill>
                <a:srgbClr val="FFFFFF"/>
              </a:solidFill>
            </a:ln>
          </c:spPr>
          <c:invertIfNegative val="0"/>
          <c:cat>
            <c:numRef>
              <c:f>'U10m drift-fixed nets'!$D$91:$M$91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drift-fixed nets'!$D$103:$M$103</c:f>
              <c:numCache>
                <c:formatCode>0%</c:formatCode>
                <c:ptCount val="10"/>
                <c:pt idx="0">
                  <c:v>0.39615419629744664</c:v>
                </c:pt>
                <c:pt idx="1">
                  <c:v>0.41346223528042819</c:v>
                </c:pt>
                <c:pt idx="2">
                  <c:v>0.39810231091243281</c:v>
                </c:pt>
                <c:pt idx="3">
                  <c:v>0.37443187893331858</c:v>
                </c:pt>
                <c:pt idx="4">
                  <c:v>0.38886218571558856</c:v>
                </c:pt>
                <c:pt idx="5">
                  <c:v>0.34466577034625684</c:v>
                </c:pt>
                <c:pt idx="6">
                  <c:v>0.34902556444468774</c:v>
                </c:pt>
                <c:pt idx="7">
                  <c:v>0.4225197057351075</c:v>
                </c:pt>
                <c:pt idx="8">
                  <c:v>0.38003942758470588</c:v>
                </c:pt>
                <c:pt idx="9">
                  <c:v>0.37626086902457079</c:v>
                </c:pt>
              </c:numCache>
            </c:numRef>
          </c:val>
          <c:extLst xmlns:c16r2="http://schemas.microsoft.com/office/drawing/2015/06/chart">
            <c:ext xmlns:c16="http://schemas.microsoft.com/office/drawing/2014/chart" uri="{C3380CC4-5D6E-409C-BE32-E72D297353CC}">
              <c16:uniqueId val="{0000000B-282A-42F3-A8CE-7B6B063B5E4F}"/>
            </c:ext>
          </c:extLst>
        </c:ser>
        <c:dLbls>
          <c:showLegendKey val="0"/>
          <c:showVal val="0"/>
          <c:showCatName val="0"/>
          <c:showSerName val="0"/>
          <c:showPercent val="0"/>
          <c:showBubbleSize val="0"/>
        </c:dLbls>
        <c:gapWidth val="150"/>
        <c:overlap val="100"/>
        <c:axId val="952592256"/>
        <c:axId val="952593792"/>
      </c:barChart>
      <c:catAx>
        <c:axId val="952592256"/>
        <c:scaling>
          <c:orientation val="minMax"/>
        </c:scaling>
        <c:delete val="0"/>
        <c:axPos val="b"/>
        <c:numFmt formatCode="General" sourceLinked="1"/>
        <c:majorTickMark val="out"/>
        <c:minorTickMark val="none"/>
        <c:tickLblPos val="nextTo"/>
        <c:crossAx val="952593792"/>
        <c:crosses val="autoZero"/>
        <c:auto val="1"/>
        <c:lblAlgn val="ctr"/>
        <c:lblOffset val="100"/>
        <c:noMultiLvlLbl val="0"/>
      </c:catAx>
      <c:valAx>
        <c:axId val="952593792"/>
        <c:scaling>
          <c:orientation val="minMax"/>
          <c:max val="1"/>
          <c:min val="0"/>
        </c:scaling>
        <c:delete val="0"/>
        <c:axPos val="l"/>
        <c:majorGridlines/>
        <c:numFmt formatCode="0%" sourceLinked="1"/>
        <c:majorTickMark val="out"/>
        <c:minorTickMark val="none"/>
        <c:tickLblPos val="nextTo"/>
        <c:crossAx val="952592256"/>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'U10m drift-fixed nets'!$B$162</c:f>
              <c:strCache>
                <c:ptCount val="1"/>
                <c:pt idx="0">
                  <c:v>Whelks</c:v>
                </c:pt>
              </c:strCache>
            </c:strRef>
          </c:tx>
          <c:spPr>
            <a:solidFill>
              <a:srgbClr val="FED825"/>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nets'!$C$162:$E$162</c:f>
              <c:numCache>
                <c:formatCode>0%</c:formatCode>
                <c:ptCount val="3"/>
                <c:pt idx="0">
                  <c:v>0</c:v>
                </c:pt>
                <c:pt idx="1">
                  <c:v>0.25482799163780195</c:v>
                </c:pt>
                <c:pt idx="2">
                  <c:v>0.2037936293192236</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'U10m drift-fixed nets'!$B$163</c:f>
              <c:strCache>
                <c:ptCount val="1"/>
                <c:pt idx="0">
                  <c:v>Brown Crab</c:v>
                </c:pt>
              </c:strCache>
            </c:strRef>
          </c:tx>
          <c:spPr>
            <a:solidFill>
              <a:srgbClr val="51AA81"/>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nets'!$C$163:$E$163</c:f>
              <c:numCache>
                <c:formatCode>0%</c:formatCode>
                <c:ptCount val="3"/>
                <c:pt idx="0">
                  <c:v>3.8762332390895438E-2</c:v>
                </c:pt>
                <c:pt idx="1">
                  <c:v>0.1306429306467066</c:v>
                </c:pt>
                <c:pt idx="2">
                  <c:v>0</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'U10m drift-fixed nets'!$B$164</c:f>
              <c:strCache>
                <c:ptCount val="1"/>
                <c:pt idx="0">
                  <c:v>Pollack</c:v>
                </c:pt>
              </c:strCache>
            </c:strRef>
          </c:tx>
          <c:spPr>
            <a:solidFill>
              <a:srgbClr val="E87308"/>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nets'!$C$164:$E$164</c:f>
              <c:numCache>
                <c:formatCode>0%</c:formatCode>
                <c:ptCount val="3"/>
                <c:pt idx="0">
                  <c:v>0.2407150569559604</c:v>
                </c:pt>
                <c:pt idx="1">
                  <c:v>9.7889482631461161E-2</c:v>
                </c:pt>
                <c:pt idx="2">
                  <c:v>0</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'U10m drift-fixed nets'!$B$165</c:f>
              <c:strCache>
                <c:ptCount val="1"/>
                <c:pt idx="0">
                  <c:v>Sole</c:v>
                </c:pt>
              </c:strCache>
            </c:strRef>
          </c:tx>
          <c:spPr>
            <a:solidFill>
              <a:srgbClr val="2273B9"/>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nets'!$C$165:$E$165</c:f>
              <c:numCache>
                <c:formatCode>0%</c:formatCode>
                <c:ptCount val="3"/>
                <c:pt idx="0">
                  <c:v>4.7115659707052296E-2</c:v>
                </c:pt>
                <c:pt idx="1">
                  <c:v>9.1350447629978765E-2</c:v>
                </c:pt>
                <c:pt idx="2">
                  <c:v>0.14139937275720441</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'U10m drift-fixed nets'!$B$166</c:f>
              <c:strCache>
                <c:ptCount val="1"/>
                <c:pt idx="0">
                  <c:v>Mackerel</c:v>
                </c:pt>
              </c:strCache>
            </c:strRef>
          </c:tx>
          <c:spPr>
            <a:solidFill>
              <a:srgbClr val="169FDB"/>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nets'!$C$166:$E$166</c:f>
              <c:numCache>
                <c:formatCode>0%</c:formatCode>
                <c:ptCount val="3"/>
                <c:pt idx="0">
                  <c:v>0</c:v>
                </c:pt>
                <c:pt idx="1">
                  <c:v>8.1410244045627425E-2</c:v>
                </c:pt>
                <c:pt idx="2">
                  <c:v>0</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'U10m drift-fixed nets'!$B$167</c:f>
              <c:strCache>
                <c:ptCount val="1"/>
                <c:pt idx="0">
                  <c:v>Plaice</c:v>
                </c:pt>
              </c:strCache>
            </c:strRef>
          </c:tx>
          <c:spPr>
            <a:solidFill>
              <a:srgbClr val="707271"/>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nets'!$C$167:$E$167</c:f>
              <c:numCache>
                <c:formatCode>0%</c:formatCode>
                <c:ptCount val="3"/>
                <c:pt idx="0">
                  <c:v>0</c:v>
                </c:pt>
                <c:pt idx="1">
                  <c:v>0</c:v>
                </c:pt>
                <c:pt idx="2">
                  <c:v>9.904426588061066E-2</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'U10m drift-fixed nets'!$B$168</c:f>
              <c:strCache>
                <c:ptCount val="1"/>
                <c:pt idx="0">
                  <c:v>Thornback Ray</c:v>
                </c:pt>
              </c:strCache>
            </c:strRef>
          </c:tx>
          <c:spPr>
            <a:solidFill>
              <a:srgbClr val="E40D2C"/>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nets'!$C$168:$E$168</c:f>
              <c:numCache>
                <c:formatCode>0%</c:formatCode>
                <c:ptCount val="3"/>
                <c:pt idx="0">
                  <c:v>0</c:v>
                </c:pt>
                <c:pt idx="1">
                  <c:v>0</c:v>
                </c:pt>
                <c:pt idx="2">
                  <c:v>8.2061289680519053E-2</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'U10m drift-fixed nets'!$B$169</c:f>
              <c:strCache>
                <c:ptCount val="1"/>
                <c:pt idx="0">
                  <c:v>Cuttlefish</c:v>
                </c:pt>
              </c:strCache>
            </c:strRef>
          </c:tx>
          <c:spPr>
            <a:solidFill>
              <a:srgbClr val="B4C3E5"/>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nets'!$C$169:$E$169</c:f>
              <c:numCache>
                <c:formatCode>0%</c:formatCode>
                <c:ptCount val="3"/>
                <c:pt idx="0">
                  <c:v>0</c:v>
                </c:pt>
                <c:pt idx="1">
                  <c:v>0</c:v>
                </c:pt>
                <c:pt idx="2">
                  <c:v>7.7239161587637148E-2</c:v>
                </c:pt>
              </c:numCache>
            </c:numRef>
          </c:val>
          <c:extLst xmlns:c16r2="http://schemas.microsoft.com/office/drawing/2015/06/chart">
            <c:ext xmlns:c16="http://schemas.microsoft.com/office/drawing/2014/chart" uri="{C3380CC4-5D6E-409C-BE32-E72D297353CC}">
              <c16:uniqueId val="{00000007-DFDD-4C01-8393-1BE532AE55F9}"/>
            </c:ext>
          </c:extLst>
        </c:ser>
        <c:ser>
          <c:idx val="8"/>
          <c:order val="8"/>
          <c:tx>
            <c:strRef>
              <c:f>'U10m drift-fixed nets'!$B$170</c:f>
              <c:strCache>
                <c:ptCount val="1"/>
                <c:pt idx="0">
                  <c:v>Pilchards</c:v>
                </c:pt>
              </c:strCache>
            </c:strRef>
          </c:tx>
          <c:spPr>
            <a:solidFill>
              <a:srgbClr val="0F9AA9"/>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nets'!$C$170:$E$170</c:f>
              <c:numCache>
                <c:formatCode>0%</c:formatCode>
                <c:ptCount val="3"/>
                <c:pt idx="0">
                  <c:v>0.32970734124002554</c:v>
                </c:pt>
                <c:pt idx="1">
                  <c:v>0</c:v>
                </c:pt>
                <c:pt idx="2">
                  <c:v>0</c:v>
                </c:pt>
              </c:numCache>
            </c:numRef>
          </c:val>
          <c:extLst xmlns:c16r2="http://schemas.microsoft.com/office/drawing/2015/06/chart">
            <c:ext xmlns:c16="http://schemas.microsoft.com/office/drawing/2014/chart" uri="{C3380CC4-5D6E-409C-BE32-E72D297353CC}">
              <c16:uniqueId val="{00000008-DFDD-4C01-8393-1BE532AE55F9}"/>
            </c:ext>
          </c:extLst>
        </c:ser>
        <c:ser>
          <c:idx val="9"/>
          <c:order val="9"/>
          <c:tx>
            <c:strRef>
              <c:f>'U10m drift-fixed nets'!$B$171</c:f>
              <c:strCache>
                <c:ptCount val="1"/>
                <c:pt idx="0">
                  <c:v>Anglerfish</c:v>
                </c:pt>
              </c:strCache>
            </c:strRef>
          </c:tx>
          <c:spPr>
            <a:solidFill>
              <a:srgbClr val="E84A38"/>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nets'!$C$171:$E$171</c:f>
              <c:numCache>
                <c:formatCode>0%</c:formatCode>
                <c:ptCount val="3"/>
                <c:pt idx="0">
                  <c:v>4.4913467761231771E-2</c:v>
                </c:pt>
                <c:pt idx="1">
                  <c:v>0</c:v>
                </c:pt>
                <c:pt idx="2">
                  <c:v>0</c:v>
                </c:pt>
              </c:numCache>
            </c:numRef>
          </c:val>
          <c:extLst xmlns:c16r2="http://schemas.microsoft.com/office/drawing/2015/06/chart">
            <c:ext xmlns:c16="http://schemas.microsoft.com/office/drawing/2014/chart" uri="{C3380CC4-5D6E-409C-BE32-E72D297353CC}">
              <c16:uniqueId val="{00000009-DFDD-4C01-8393-1BE532AE55F9}"/>
            </c:ext>
          </c:extLst>
        </c:ser>
        <c:ser>
          <c:idx val="10"/>
          <c:order val="10"/>
          <c:tx>
            <c:strRef>
              <c:f>'U10m drift-fixed nets'!$B$172</c:f>
              <c:strCache>
                <c:ptCount val="1"/>
                <c:pt idx="0">
                  <c:v>Others</c:v>
                </c:pt>
              </c:strCache>
            </c:strRef>
          </c:tx>
          <c:spPr>
            <a:solidFill>
              <a:srgbClr val="55585A"/>
            </a:solidFill>
            <a:ln>
              <a:solidFill>
                <a:srgbClr val="FFFFFF"/>
              </a:solidFill>
            </a:ln>
          </c:spPr>
          <c:invertIfNegative val="0"/>
          <c:cat>
            <c:strRef>
              <c:f>'U10m drift-fixed nets'!$C$161:$E$161</c:f>
              <c:strCache>
                <c:ptCount val="3"/>
                <c:pt idx="0">
                  <c:v>Most
profitable
quartile</c:v>
                </c:pt>
                <c:pt idx="1">
                  <c:v>Middle 
two quartiles</c:v>
                </c:pt>
                <c:pt idx="2">
                  <c:v>Least
profitable
quartile</c:v>
                </c:pt>
              </c:strCache>
            </c:strRef>
          </c:cat>
          <c:val>
            <c:numRef>
              <c:f>'U10m drift-fixed nets'!$C$172:$E$172</c:f>
              <c:numCache>
                <c:formatCode>0%</c:formatCode>
                <c:ptCount val="3"/>
                <c:pt idx="0">
                  <c:v>0.29878614194483455</c:v>
                </c:pt>
                <c:pt idx="1">
                  <c:v>0.34387890340842409</c:v>
                </c:pt>
                <c:pt idx="2">
                  <c:v>0.39646228077480516</c:v>
                </c:pt>
              </c:numCache>
            </c:numRef>
          </c:val>
          <c:extLst xmlns:c16r2="http://schemas.microsoft.com/office/drawing/2015/06/chart">
            <c:ext xmlns:c16="http://schemas.microsoft.com/office/drawing/2014/chart" uri="{C3380CC4-5D6E-409C-BE32-E72D297353CC}">
              <c16:uniqueId val="{0000000A-DFDD-4C01-8393-1BE532AE55F9}"/>
            </c:ext>
          </c:extLst>
        </c:ser>
        <c:dLbls>
          <c:showLegendKey val="0"/>
          <c:showVal val="0"/>
          <c:showCatName val="0"/>
          <c:showSerName val="0"/>
          <c:showPercent val="0"/>
          <c:showBubbleSize val="0"/>
        </c:dLbls>
        <c:gapWidth val="150"/>
        <c:overlap val="100"/>
        <c:axId val="952676736"/>
        <c:axId val="952678272"/>
      </c:barChart>
      <c:catAx>
        <c:axId val="952676736"/>
        <c:scaling>
          <c:orientation val="minMax"/>
        </c:scaling>
        <c:delete val="0"/>
        <c:axPos val="b"/>
        <c:numFmt formatCode="General" sourceLinked="0"/>
        <c:majorTickMark val="out"/>
        <c:minorTickMark val="none"/>
        <c:tickLblPos val="nextTo"/>
        <c:crossAx val="952678272"/>
        <c:crosses val="autoZero"/>
        <c:auto val="1"/>
        <c:lblAlgn val="ctr"/>
        <c:lblOffset val="100"/>
        <c:noMultiLvlLbl val="0"/>
      </c:catAx>
      <c:valAx>
        <c:axId val="952678272"/>
        <c:scaling>
          <c:orientation val="minMax"/>
          <c:max val="1"/>
          <c:min val="0"/>
        </c:scaling>
        <c:delete val="0"/>
        <c:axPos val="l"/>
        <c:majorGridlines/>
        <c:minorGridlines/>
        <c:numFmt formatCode="0%" sourceLinked="1"/>
        <c:majorTickMark val="out"/>
        <c:minorTickMark val="none"/>
        <c:tickLblPos val="nextTo"/>
        <c:crossAx val="952676736"/>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'U10m drift-fixed nets'!$H$162</c:f>
              <c:strCache>
                <c:ptCount val="1"/>
                <c:pt idx="0">
                  <c:v>Sole</c:v>
                </c:pt>
              </c:strCache>
            </c:strRef>
          </c:tx>
          <c:spPr>
            <a:solidFill>
              <a:srgbClr val="2273B9"/>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nets'!$I$162:$K$162</c:f>
              <c:numCache>
                <c:formatCode>0%</c:formatCode>
                <c:ptCount val="3"/>
                <c:pt idx="0">
                  <c:v>0.2046672026492603</c:v>
                </c:pt>
                <c:pt idx="1">
                  <c:v>0.38938513852421269</c:v>
                </c:pt>
                <c:pt idx="2">
                  <c:v>0.35382673971752698</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'U10m drift-fixed nets'!$H$163</c:f>
              <c:strCache>
                <c:ptCount val="1"/>
                <c:pt idx="0">
                  <c:v>Anglerfish</c:v>
                </c:pt>
              </c:strCache>
            </c:strRef>
          </c:tx>
          <c:spPr>
            <a:solidFill>
              <a:srgbClr val="E84A38"/>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nets'!$I$163:$K$163</c:f>
              <c:numCache>
                <c:formatCode>0%</c:formatCode>
                <c:ptCount val="3"/>
                <c:pt idx="0">
                  <c:v>7.0182236483435995E-2</c:v>
                </c:pt>
                <c:pt idx="1">
                  <c:v>0.10119607656109135</c:v>
                </c:pt>
                <c:pt idx="2">
                  <c:v>0</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'U10m drift-fixed nets'!$H$164</c:f>
              <c:strCache>
                <c:ptCount val="1"/>
                <c:pt idx="0">
                  <c:v>Bass</c:v>
                </c:pt>
              </c:strCache>
            </c:strRef>
          </c:tx>
          <c:spPr>
            <a:solidFill>
              <a:srgbClr val="648C2E"/>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nets'!$I$164:$K$164</c:f>
              <c:numCache>
                <c:formatCode>0%</c:formatCode>
                <c:ptCount val="3"/>
                <c:pt idx="0">
                  <c:v>8.7518885852258019E-2</c:v>
                </c:pt>
                <c:pt idx="1">
                  <c:v>7.9443501160060312E-2</c:v>
                </c:pt>
                <c:pt idx="2">
                  <c:v>8.0195288598082698E-2</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'U10m drift-fixed nets'!$H$165</c:f>
              <c:strCache>
                <c:ptCount val="1"/>
                <c:pt idx="0">
                  <c:v>Pollack</c:v>
                </c:pt>
              </c:strCache>
            </c:strRef>
          </c:tx>
          <c:spPr>
            <a:solidFill>
              <a:srgbClr val="E87308"/>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nets'!$I$165:$K$165</c:f>
              <c:numCache>
                <c:formatCode>0%</c:formatCode>
                <c:ptCount val="3"/>
                <c:pt idx="0">
                  <c:v>0.22842743481030736</c:v>
                </c:pt>
                <c:pt idx="1">
                  <c:v>7.7732871017759789E-2</c:v>
                </c:pt>
                <c:pt idx="2">
                  <c:v>0</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'U10m drift-fixed nets'!$H$166</c:f>
              <c:strCache>
                <c:ptCount val="1"/>
                <c:pt idx="0">
                  <c:v>Turbot</c:v>
                </c:pt>
              </c:strCache>
            </c:strRef>
          </c:tx>
          <c:spPr>
            <a:solidFill>
              <a:srgbClr val="C1D119"/>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nets'!$I$166:$K$166</c:f>
              <c:numCache>
                <c:formatCode>0%</c:formatCode>
                <c:ptCount val="3"/>
                <c:pt idx="0">
                  <c:v>9.7572151592718884E-2</c:v>
                </c:pt>
                <c:pt idx="1">
                  <c:v>7.1881257644706723E-2</c:v>
                </c:pt>
                <c:pt idx="2">
                  <c:v>6.0955637167056417E-2</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'U10m drift-fixed nets'!$H$167</c:f>
              <c:strCache>
                <c:ptCount val="1"/>
                <c:pt idx="0">
                  <c:v>Whelks</c:v>
                </c:pt>
              </c:strCache>
            </c:strRef>
          </c:tx>
          <c:spPr>
            <a:solidFill>
              <a:srgbClr val="FED825"/>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nets'!$I$167:$K$167</c:f>
              <c:numCache>
                <c:formatCode>0%</c:formatCode>
                <c:ptCount val="3"/>
                <c:pt idx="0">
                  <c:v>0</c:v>
                </c:pt>
                <c:pt idx="1">
                  <c:v>0</c:v>
                </c:pt>
                <c:pt idx="2">
                  <c:v>9.2226996190404087E-2</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'U10m drift-fixed nets'!$H$168</c:f>
              <c:strCache>
                <c:ptCount val="1"/>
                <c:pt idx="0">
                  <c:v>Cuttlefish</c:v>
                </c:pt>
              </c:strCache>
            </c:strRef>
          </c:tx>
          <c:spPr>
            <a:solidFill>
              <a:srgbClr val="B4C3E5"/>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nets'!$I$168:$K$168</c:f>
              <c:numCache>
                <c:formatCode>0%</c:formatCode>
                <c:ptCount val="3"/>
                <c:pt idx="0">
                  <c:v>0</c:v>
                </c:pt>
                <c:pt idx="1">
                  <c:v>0</c:v>
                </c:pt>
                <c:pt idx="2">
                  <c:v>8.1065755598661665E-2</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'U10m drift-fixed nets'!$H$169</c:f>
              <c:strCache>
                <c:ptCount val="1"/>
                <c:pt idx="0">
                  <c:v>Others</c:v>
                </c:pt>
              </c:strCache>
            </c:strRef>
          </c:tx>
          <c:spPr>
            <a:solidFill>
              <a:srgbClr val="55585A"/>
            </a:solidFill>
            <a:ln>
              <a:solidFill>
                <a:srgbClr val="FFFFFF"/>
              </a:solidFill>
            </a:ln>
          </c:spPr>
          <c:invertIfNegative val="0"/>
          <c:cat>
            <c:strRef>
              <c:f>'U10m drift-fixed nets'!$I$161:$K$161</c:f>
              <c:strCache>
                <c:ptCount val="3"/>
                <c:pt idx="0">
                  <c:v>Most
profitable
quartile</c:v>
                </c:pt>
                <c:pt idx="1">
                  <c:v>Middle 
two quartiles</c:v>
                </c:pt>
                <c:pt idx="2">
                  <c:v>Least
profitable
quartile</c:v>
                </c:pt>
              </c:strCache>
            </c:strRef>
          </c:cat>
          <c:val>
            <c:numRef>
              <c:f>'U10m drift-fixed nets'!$I$169:$K$169</c:f>
              <c:numCache>
                <c:formatCode>0%</c:formatCode>
                <c:ptCount val="3"/>
                <c:pt idx="0">
                  <c:v>0.31163208861201941</c:v>
                </c:pt>
                <c:pt idx="1">
                  <c:v>0.28036115509216908</c:v>
                </c:pt>
                <c:pt idx="2">
                  <c:v>0.33172958272826814</c:v>
                </c:pt>
              </c:numCache>
            </c:numRef>
          </c:val>
          <c:extLst xmlns:c16r2="http://schemas.microsoft.com/office/drawing/2015/06/chart">
            <c:ext xmlns:c16="http://schemas.microsoft.com/office/drawing/2014/chart" uri="{C3380CC4-5D6E-409C-BE32-E72D297353CC}">
              <c16:uniqueId val="{00000007-DC58-4725-8A67-0BDC09FD93CD}"/>
            </c:ext>
          </c:extLst>
        </c:ser>
        <c:dLbls>
          <c:showLegendKey val="0"/>
          <c:showVal val="0"/>
          <c:showCatName val="0"/>
          <c:showSerName val="0"/>
          <c:showPercent val="0"/>
          <c:showBubbleSize val="0"/>
        </c:dLbls>
        <c:gapWidth val="150"/>
        <c:overlap val="100"/>
        <c:axId val="953121408"/>
        <c:axId val="953131392"/>
      </c:barChart>
      <c:catAx>
        <c:axId val="953121408"/>
        <c:scaling>
          <c:orientation val="minMax"/>
        </c:scaling>
        <c:delete val="0"/>
        <c:axPos val="b"/>
        <c:numFmt formatCode="General" sourceLinked="0"/>
        <c:majorTickMark val="out"/>
        <c:minorTickMark val="none"/>
        <c:tickLblPos val="nextTo"/>
        <c:crossAx val="953131392"/>
        <c:crosses val="autoZero"/>
        <c:auto val="1"/>
        <c:lblAlgn val="ctr"/>
        <c:lblOffset val="100"/>
        <c:noMultiLvlLbl val="0"/>
      </c:catAx>
      <c:valAx>
        <c:axId val="953131392"/>
        <c:scaling>
          <c:orientation val="minMax"/>
          <c:max val="1"/>
          <c:min val="0"/>
        </c:scaling>
        <c:delete val="0"/>
        <c:axPos val="l"/>
        <c:majorGridlines/>
        <c:minorGridlines/>
        <c:numFmt formatCode="0%" sourceLinked="1"/>
        <c:majorTickMark val="out"/>
        <c:minorTickMark val="none"/>
        <c:tickLblPos val="nextTo"/>
        <c:crossAx val="95312140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drift-fixed nets'!$K$143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'U10m drift-fixed nets'!$K$139</c:f>
              <c:strCache>
                <c:ptCount val="1"/>
                <c:pt idx="0">
                  <c:v>Total income</c:v>
                </c:pt>
              </c:strCache>
            </c:strRef>
          </c:tx>
          <c:spPr>
            <a:solidFill>
              <a:schemeClr val="accent1"/>
            </a:solidFill>
            <a:ln>
              <a:solidFill>
                <a:schemeClr val="accent1"/>
              </a:solidFill>
            </a:ln>
          </c:spPr>
          <c:invertIfNegative val="0"/>
          <c:cat>
            <c:strRef>
              <c:f>'U10m drift-fixed nets'!$L$138:$N$138</c:f>
              <c:strCache>
                <c:ptCount val="3"/>
                <c:pt idx="0">
                  <c:v>Most
profitable
quartile</c:v>
                </c:pt>
                <c:pt idx="1">
                  <c:v>Middle
two quartiles</c:v>
                </c:pt>
                <c:pt idx="2">
                  <c:v>Least
profitable
quartile</c:v>
                </c:pt>
              </c:strCache>
            </c:strRef>
          </c:cat>
          <c:val>
            <c:numRef>
              <c:f>'U10m drift-fixed nets'!$L$139:$N$139</c:f>
              <c:numCache>
                <c:formatCode>#,##0</c:formatCode>
                <c:ptCount val="3"/>
                <c:pt idx="0">
                  <c:v>69.831109374999997</c:v>
                </c:pt>
                <c:pt idx="1">
                  <c:v>43.049341796874998</c:v>
                </c:pt>
                <c:pt idx="2">
                  <c:v>27.946753906249999</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'U10m drift-fixed nets'!$K$140</c:f>
              <c:strCache>
                <c:ptCount val="1"/>
                <c:pt idx="0">
                  <c:v>Operating costs</c:v>
                </c:pt>
              </c:strCache>
            </c:strRef>
          </c:tx>
          <c:spPr>
            <a:solidFill>
              <a:schemeClr val="accent3"/>
            </a:solidFill>
          </c:spPr>
          <c:invertIfNegative val="0"/>
          <c:cat>
            <c:strRef>
              <c:f>'U10m drift-fixed nets'!$L$138:$N$138</c:f>
              <c:strCache>
                <c:ptCount val="3"/>
                <c:pt idx="0">
                  <c:v>Most
profitable
quartile</c:v>
                </c:pt>
                <c:pt idx="1">
                  <c:v>Middle
two quartiles</c:v>
                </c:pt>
                <c:pt idx="2">
                  <c:v>Least
profitable
quartile</c:v>
                </c:pt>
              </c:strCache>
            </c:strRef>
          </c:cat>
          <c:val>
            <c:numRef>
              <c:f>'U10m drift-fixed nets'!$L$140:$N$140</c:f>
              <c:numCache>
                <c:formatCode>#,##0</c:formatCode>
                <c:ptCount val="3"/>
                <c:pt idx="0">
                  <c:v>42.303871093749997</c:v>
                </c:pt>
                <c:pt idx="1">
                  <c:v>28.484175781249998</c:v>
                </c:pt>
                <c:pt idx="2">
                  <c:v>20.954537109375</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'U10m drift-fixed nets'!$K$141</c:f>
              <c:strCache>
                <c:ptCount val="1"/>
                <c:pt idx="0">
                  <c:v>Operating profit</c:v>
                </c:pt>
              </c:strCache>
            </c:strRef>
          </c:tx>
          <c:spPr>
            <a:solidFill>
              <a:schemeClr val="accent2"/>
            </a:solidFill>
          </c:spPr>
          <c:invertIfNegative val="0"/>
          <c:cat>
            <c:strRef>
              <c:f>'U10m drift-fixed nets'!$L$138:$N$138</c:f>
              <c:strCache>
                <c:ptCount val="3"/>
                <c:pt idx="0">
                  <c:v>Most
profitable
quartile</c:v>
                </c:pt>
                <c:pt idx="1">
                  <c:v>Middle
two quartiles</c:v>
                </c:pt>
                <c:pt idx="2">
                  <c:v>Least
profitable
quartile</c:v>
                </c:pt>
              </c:strCache>
            </c:strRef>
          </c:cat>
          <c:val>
            <c:numRef>
              <c:f>'U10m drift-fixed nets'!$L$141:$N$141</c:f>
              <c:numCache>
                <c:formatCode>#,##0</c:formatCode>
                <c:ptCount val="3"/>
                <c:pt idx="0">
                  <c:v>27.52723828125</c:v>
                </c:pt>
                <c:pt idx="1">
                  <c:v>14.565166015625</c:v>
                </c:pt>
                <c:pt idx="2">
                  <c:v>6.9922167968749998</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953179136"/>
        <c:axId val="953185024"/>
      </c:barChart>
      <c:catAx>
        <c:axId val="953179136"/>
        <c:scaling>
          <c:orientation val="minMax"/>
        </c:scaling>
        <c:delete val="0"/>
        <c:axPos val="b"/>
        <c:numFmt formatCode="General" sourceLinked="0"/>
        <c:majorTickMark val="out"/>
        <c:minorTickMark val="none"/>
        <c:tickLblPos val="nextTo"/>
        <c:crossAx val="953185024"/>
        <c:crosses val="autoZero"/>
        <c:auto val="1"/>
        <c:lblAlgn val="ctr"/>
        <c:lblOffset val="100"/>
        <c:noMultiLvlLbl val="0"/>
      </c:catAx>
      <c:valAx>
        <c:axId val="953185024"/>
        <c:scaling>
          <c:orientation val="minMax"/>
        </c:scaling>
        <c:delete val="0"/>
        <c:axPos val="l"/>
        <c:majorGridlines/>
        <c:title>
          <c:tx>
            <c:strRef>
              <c:f>'U10m drift-fixed nets'!$K$142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953179136"/>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traps'!$A$48</c:f>
          <c:strCache>
            <c:ptCount val="1"/>
            <c:pt idx="0">
              <c:v>Landings per kW day at sea (kg)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'U10m pots and traps'!$D$2:$N$2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pots and traps'!$D$21:$N$21</c:f>
              <c:numCache>
                <c:formatCode>#,##0.00</c:formatCode>
                <c:ptCount val="11"/>
                <c:pt idx="0">
                  <c:v>2.0020918174567064</c:v>
                </c:pt>
                <c:pt idx="1">
                  <c:v>2.0834306570834862</c:v>
                </c:pt>
                <c:pt idx="2">
                  <c:v>2.2675808120357122</c:v>
                </c:pt>
                <c:pt idx="3">
                  <c:v>2.2942428918666216</c:v>
                </c:pt>
                <c:pt idx="4">
                  <c:v>2.6303945565984321</c:v>
                </c:pt>
                <c:pt idx="5">
                  <c:v>2.7922730920133425</c:v>
                </c:pt>
                <c:pt idx="6">
                  <c:v>2.4392784975241466</c:v>
                </c:pt>
                <c:pt idx="7">
                  <c:v>2.1555531093991194</c:v>
                </c:pt>
                <c:pt idx="8">
                  <c:v>2.4282446163340947</c:v>
                </c:pt>
                <c:pt idx="9">
                  <c:v>3.1525570976421284</c:v>
                </c:pt>
                <c:pt idx="10">
                  <c:v>2.5965583195397066</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952082816"/>
        <c:axId val="952084352"/>
      </c:lineChart>
      <c:catAx>
        <c:axId val="952082816"/>
        <c:scaling>
          <c:orientation val="minMax"/>
        </c:scaling>
        <c:delete val="0"/>
        <c:axPos val="b"/>
        <c:numFmt formatCode="General" sourceLinked="1"/>
        <c:majorTickMark val="out"/>
        <c:minorTickMark val="none"/>
        <c:tickLblPos val="nextTo"/>
        <c:crossAx val="952084352"/>
        <c:crosses val="autoZero"/>
        <c:auto val="1"/>
        <c:lblAlgn val="ctr"/>
        <c:lblOffset val="100"/>
        <c:noMultiLvlLbl val="0"/>
      </c:catAx>
      <c:valAx>
        <c:axId val="952084352"/>
        <c:scaling>
          <c:orientation val="minMax"/>
        </c:scaling>
        <c:delete val="0"/>
        <c:axPos val="l"/>
        <c:majorGridlines>
          <c:spPr>
            <a:ln w="3175">
              <a:prstDash val="sysDot"/>
            </a:ln>
          </c:spPr>
        </c:majorGridlines>
        <c:numFmt formatCode="#,##0.00" sourceLinked="1"/>
        <c:majorTickMark val="out"/>
        <c:minorTickMark val="none"/>
        <c:tickLblPos val="nextTo"/>
        <c:crossAx val="952082816"/>
        <c:crosses val="autoZero"/>
        <c:crossBetween val="between"/>
      </c:valAx>
    </c:plotArea>
    <c:plotVisOnly val="0"/>
    <c:dispBlanksAs val="gap"/>
    <c:showDLblsOverMax val="0"/>
  </c:chart>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traps'!$A$49</c:f>
          <c:strCache>
            <c:ptCount val="1"/>
            <c:pt idx="0">
              <c:v>Fishing income per kW day at sea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'U10m pots and traps'!$D$2:$N$2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pots and traps'!$D$22:$N$22</c:f>
              <c:numCache>
                <c:formatCode>#,##0.00</c:formatCode>
                <c:ptCount val="11"/>
                <c:pt idx="0">
                  <c:v>5.8213605563285604</c:v>
                </c:pt>
                <c:pt idx="1">
                  <c:v>5.6021521546044699</c:v>
                </c:pt>
                <c:pt idx="2">
                  <c:v>5.8008557152664402</c:v>
                </c:pt>
                <c:pt idx="3">
                  <c:v>6.2049451416412698</c:v>
                </c:pt>
                <c:pt idx="4">
                  <c:v>6.1514375465199898</c:v>
                </c:pt>
                <c:pt idx="5">
                  <c:v>5.98667581225323</c:v>
                </c:pt>
                <c:pt idx="6">
                  <c:v>5.5671700398186204</c:v>
                </c:pt>
                <c:pt idx="7">
                  <c:v>4.9303546458389498</c:v>
                </c:pt>
                <c:pt idx="8">
                  <c:v>6.1748450609180701</c:v>
                </c:pt>
                <c:pt idx="9">
                  <c:v>8.3132476834274591</c:v>
                </c:pt>
                <c:pt idx="10">
                  <c:v>8.9342034490762625</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952126848"/>
        <c:axId val="952132736"/>
      </c:lineChart>
      <c:catAx>
        <c:axId val="952126848"/>
        <c:scaling>
          <c:orientation val="minMax"/>
        </c:scaling>
        <c:delete val="0"/>
        <c:axPos val="b"/>
        <c:numFmt formatCode="General" sourceLinked="1"/>
        <c:majorTickMark val="out"/>
        <c:minorTickMark val="none"/>
        <c:tickLblPos val="nextTo"/>
        <c:crossAx val="952132736"/>
        <c:crosses val="autoZero"/>
        <c:auto val="1"/>
        <c:lblAlgn val="ctr"/>
        <c:lblOffset val="100"/>
        <c:noMultiLvlLbl val="0"/>
      </c:catAx>
      <c:valAx>
        <c:axId val="952132736"/>
        <c:scaling>
          <c:orientation val="minMax"/>
        </c:scaling>
        <c:delete val="0"/>
        <c:axPos val="l"/>
        <c:majorGridlines>
          <c:spPr>
            <a:ln w="3175">
              <a:prstDash val="sysDot"/>
            </a:ln>
          </c:spPr>
        </c:majorGridlines>
        <c:numFmt formatCode="#,##0.00" sourceLinked="1"/>
        <c:majorTickMark val="out"/>
        <c:minorTickMark val="none"/>
        <c:tickLblPos val="nextTo"/>
        <c:crossAx val="952126848"/>
        <c:crosses val="autoZero"/>
        <c:crossBetween val="between"/>
      </c:valAx>
    </c:plotArea>
    <c:plotVisOnly val="0"/>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trawl'!$B$62</c:f>
          <c:strCache>
            <c:ptCount val="1"/>
            <c:pt idx="0">
              <c:v>Total cost per kW day at sea (£)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'Area VIIa demersal trawl'!$D$2:$N$2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demersal trawl'!$D$23:$N$23</c:f>
              <c:numCache>
                <c:formatCode>#,##0.00</c:formatCode>
                <c:ptCount val="11"/>
                <c:pt idx="0">
                  <c:v>4.1640606359839998</c:v>
                </c:pt>
                <c:pt idx="1">
                  <c:v>3.8113049938235499</c:v>
                </c:pt>
                <c:pt idx="2">
                  <c:v>4.4097536533301103</c:v>
                </c:pt>
                <c:pt idx="3">
                  <c:v>4.9556901938420204</c:v>
                </c:pt>
                <c:pt idx="4">
                  <c:v>7.0466790874841303</c:v>
                </c:pt>
                <c:pt idx="5">
                  <c:v>5.6176005569388998</c:v>
                </c:pt>
                <c:pt idx="6">
                  <c:v>6.4692247842024502</c:v>
                </c:pt>
                <c:pt idx="7">
                  <c:v>5.5146363421784903</c:v>
                </c:pt>
                <c:pt idx="8">
                  <c:v>5.7654193134299199</c:v>
                </c:pt>
                <c:pt idx="9">
                  <c:v>6.3861230797169304</c:v>
                </c:pt>
                <c:pt idx="10">
                  <c:v>6.2615408620271058</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615448576"/>
        <c:axId val="615450112"/>
      </c:lineChart>
      <c:catAx>
        <c:axId val="615448576"/>
        <c:scaling>
          <c:orientation val="minMax"/>
        </c:scaling>
        <c:delete val="0"/>
        <c:axPos val="b"/>
        <c:numFmt formatCode="General" sourceLinked="1"/>
        <c:majorTickMark val="out"/>
        <c:minorTickMark val="none"/>
        <c:tickLblPos val="nextTo"/>
        <c:crossAx val="615450112"/>
        <c:crosses val="autoZero"/>
        <c:auto val="1"/>
        <c:lblAlgn val="ctr"/>
        <c:lblOffset val="100"/>
        <c:noMultiLvlLbl val="0"/>
      </c:catAx>
      <c:valAx>
        <c:axId val="615450112"/>
        <c:scaling>
          <c:orientation val="minMax"/>
        </c:scaling>
        <c:delete val="0"/>
        <c:axPos val="l"/>
        <c:majorGridlines>
          <c:spPr>
            <a:ln w="3175">
              <a:prstDash val="sysDot"/>
            </a:ln>
          </c:spPr>
        </c:majorGridlines>
        <c:numFmt formatCode="#,##0.00" sourceLinked="1"/>
        <c:majorTickMark val="out"/>
        <c:minorTickMark val="none"/>
        <c:tickLblPos val="nextTo"/>
        <c:crossAx val="61544857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VIIa nephrops u250kW'!$C$92</c:f>
              <c:strCache>
                <c:ptCount val="1"/>
                <c:pt idx="0">
                  <c:v>Nephrops</c:v>
                </c:pt>
              </c:strCache>
            </c:strRef>
          </c:tx>
          <c:spPr>
            <a:solidFill>
              <a:srgbClr val="2273B9"/>
            </a:solidFill>
            <a:ln>
              <a:solidFill>
                <a:srgbClr val="FFFFFF"/>
              </a:solidFill>
            </a:ln>
          </c:spPr>
          <c:invertIfNegative val="0"/>
          <c:cat>
            <c:numRef>
              <c:f>'Area VIIa nephrops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u250kW'!$D$92:$M$92</c:f>
              <c:numCache>
                <c:formatCode>0%</c:formatCode>
                <c:ptCount val="10"/>
                <c:pt idx="0">
                  <c:v>0.89993303188775664</c:v>
                </c:pt>
                <c:pt idx="1">
                  <c:v>0.8883298392840927</c:v>
                </c:pt>
                <c:pt idx="2">
                  <c:v>0.91124434330867032</c:v>
                </c:pt>
                <c:pt idx="3">
                  <c:v>0.90326771059471778</c:v>
                </c:pt>
                <c:pt idx="4">
                  <c:v>0.8720489428299607</c:v>
                </c:pt>
                <c:pt idx="5">
                  <c:v>0.90305949853469503</c:v>
                </c:pt>
                <c:pt idx="6">
                  <c:v>0.90278331713224658</c:v>
                </c:pt>
                <c:pt idx="7">
                  <c:v>0.84235050500163366</c:v>
                </c:pt>
                <c:pt idx="8">
                  <c:v>0.83215471535758223</c:v>
                </c:pt>
                <c:pt idx="9">
                  <c:v>0.83285125129828297</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'Area VIIa nephrops u250kW'!$C$93</c:f>
              <c:strCache>
                <c:ptCount val="1"/>
                <c:pt idx="0">
                  <c:v>Scallops</c:v>
                </c:pt>
              </c:strCache>
            </c:strRef>
          </c:tx>
          <c:spPr>
            <a:solidFill>
              <a:srgbClr val="E87308"/>
            </a:solidFill>
            <a:ln>
              <a:solidFill>
                <a:srgbClr val="FFFFFF"/>
              </a:solidFill>
            </a:ln>
          </c:spPr>
          <c:invertIfNegative val="0"/>
          <c:cat>
            <c:numRef>
              <c:f>'Area VIIa nephrops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u250kW'!$D$93:$M$93</c:f>
              <c:numCache>
                <c:formatCode>0%</c:formatCode>
                <c:ptCount val="10"/>
                <c:pt idx="0">
                  <c:v>2.0198054389289049E-2</c:v>
                </c:pt>
                <c:pt idx="1">
                  <c:v>2.7201383568146855E-2</c:v>
                </c:pt>
                <c:pt idx="2">
                  <c:v>3.8384524686747246E-2</c:v>
                </c:pt>
                <c:pt idx="3">
                  <c:v>4.694483482057385E-2</c:v>
                </c:pt>
                <c:pt idx="4">
                  <c:v>6.2199502603826166E-2</c:v>
                </c:pt>
                <c:pt idx="5">
                  <c:v>6.8313504717746706E-2</c:v>
                </c:pt>
                <c:pt idx="6">
                  <c:v>6.9062931124094756E-2</c:v>
                </c:pt>
                <c:pt idx="7">
                  <c:v>0.11641502449298242</c:v>
                </c:pt>
                <c:pt idx="8">
                  <c:v>8.3007253842800291E-2</c:v>
                </c:pt>
                <c:pt idx="9">
                  <c:v>0.10036580246732313</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'Area VIIa nephrops u250kW'!$C$94</c:f>
              <c:strCache>
                <c:ptCount val="1"/>
                <c:pt idx="0">
                  <c:v>Haddock</c:v>
                </c:pt>
              </c:strCache>
            </c:strRef>
          </c:tx>
          <c:spPr>
            <a:solidFill>
              <a:srgbClr val="648C2E"/>
            </a:solidFill>
            <a:ln>
              <a:solidFill>
                <a:srgbClr val="FFFFFF"/>
              </a:solidFill>
            </a:ln>
          </c:spPr>
          <c:invertIfNegative val="0"/>
          <c:cat>
            <c:numRef>
              <c:f>'Area VIIa nephrops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u250kW'!$D$94:$M$94</c:f>
              <c:numCache>
                <c:formatCode>0%</c:formatCode>
                <c:ptCount val="10"/>
                <c:pt idx="7">
                  <c:v>3.6080946254053543E-3</c:v>
                </c:pt>
                <c:pt idx="8">
                  <c:v>1.9531534789031645E-2</c:v>
                </c:pt>
                <c:pt idx="9">
                  <c:v>1.1173738687109531E-2</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'Area VIIa nephrops u250kW'!$C$95</c:f>
              <c:strCache>
                <c:ptCount val="1"/>
                <c:pt idx="0">
                  <c:v>Anglerfish</c:v>
                </c:pt>
              </c:strCache>
            </c:strRef>
          </c:tx>
          <c:spPr>
            <a:solidFill>
              <a:srgbClr val="C1D119"/>
            </a:solidFill>
            <a:ln>
              <a:solidFill>
                <a:srgbClr val="FFFFFF"/>
              </a:solidFill>
            </a:ln>
          </c:spPr>
          <c:invertIfNegative val="0"/>
          <c:cat>
            <c:numRef>
              <c:f>'Area VIIa nephrops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u250kW'!$D$95:$M$95</c:f>
              <c:numCache>
                <c:formatCode>0%</c:formatCode>
                <c:ptCount val="10"/>
                <c:pt idx="0">
                  <c:v>1.5140612994609252E-2</c:v>
                </c:pt>
                <c:pt idx="1">
                  <c:v>9.8664994858554504E-3</c:v>
                </c:pt>
                <c:pt idx="2">
                  <c:v>8.9317052859617749E-3</c:v>
                </c:pt>
                <c:pt idx="3">
                  <c:v>9.1476730341876703E-3</c:v>
                </c:pt>
                <c:pt idx="4">
                  <c:v>1.0048506149999747E-2</c:v>
                </c:pt>
                <c:pt idx="5">
                  <c:v>7.1671041442173938E-3</c:v>
                </c:pt>
                <c:pt idx="6">
                  <c:v>4.9242666298980799E-3</c:v>
                </c:pt>
                <c:pt idx="7">
                  <c:v>9.0009472793854562E-3</c:v>
                </c:pt>
                <c:pt idx="8">
                  <c:v>1.678296913423831E-2</c:v>
                </c:pt>
                <c:pt idx="9">
                  <c:v>1.7529553416017918E-2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'Area VIIa nephrops u250kW'!$C$96</c:f>
              <c:strCache>
                <c:ptCount val="1"/>
                <c:pt idx="0">
                  <c:v>Mussels</c:v>
                </c:pt>
              </c:strCache>
            </c:strRef>
          </c:tx>
          <c:spPr>
            <a:solidFill>
              <a:srgbClr val="E84A38"/>
            </a:solidFill>
            <a:ln>
              <a:solidFill>
                <a:srgbClr val="FFFFFF"/>
              </a:solidFill>
            </a:ln>
          </c:spPr>
          <c:invertIfNegative val="0"/>
          <c:cat>
            <c:numRef>
              <c:f>'Area VIIa nephrops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u250kW'!$D$96:$M$96</c:f>
              <c:numCache>
                <c:formatCode>0%</c:formatCode>
                <c:ptCount val="10"/>
                <c:pt idx="2">
                  <c:v>7.9086172084361275E-3</c:v>
                </c:pt>
                <c:pt idx="8">
                  <c:v>1.2469320805263587E-2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'Area VIIa nephrops u250kW'!$C$97</c:f>
              <c:strCache>
                <c:ptCount val="1"/>
                <c:pt idx="0">
                  <c:v>Queen Scallops</c:v>
                </c:pt>
              </c:strCache>
            </c:strRef>
          </c:tx>
          <c:spPr>
            <a:solidFill>
              <a:srgbClr val="0F9AA9"/>
            </a:solidFill>
            <a:ln>
              <a:solidFill>
                <a:srgbClr val="FFFFFF"/>
              </a:solidFill>
            </a:ln>
          </c:spPr>
          <c:invertIfNegative val="0"/>
          <c:cat>
            <c:numRef>
              <c:f>'Area VIIa nephrops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u250kW'!$D$97:$M$97</c:f>
              <c:numCache>
                <c:formatCode>0%</c:formatCode>
                <c:ptCount val="10"/>
                <c:pt idx="1">
                  <c:v>1.5241020502548039E-2</c:v>
                </c:pt>
                <c:pt idx="3">
                  <c:v>1.0124990543762554E-2</c:v>
                </c:pt>
                <c:pt idx="4">
                  <c:v>1.5306405804267689E-2</c:v>
                </c:pt>
                <c:pt idx="9">
                  <c:v>9.2148249992396458E-3</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'Area VIIa nephrops u250kW'!$C$98</c:f>
              <c:strCache>
                <c:ptCount val="1"/>
                <c:pt idx="0">
                  <c:v>Razor Clam</c:v>
                </c:pt>
              </c:strCache>
            </c:strRef>
          </c:tx>
          <c:spPr>
            <a:solidFill>
              <a:srgbClr val="FED825"/>
            </a:solidFill>
            <a:ln>
              <a:solidFill>
                <a:srgbClr val="FFFFFF"/>
              </a:solidFill>
            </a:ln>
          </c:spPr>
          <c:invertIfNegative val="0"/>
          <c:cat>
            <c:numRef>
              <c:f>'Area VIIa nephrops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u250kW'!$D$98:$M$98</c:f>
              <c:numCache>
                <c:formatCode>0%</c:formatCode>
                <c:ptCount val="10"/>
                <c:pt idx="7">
                  <c:v>6.6140044958555161E-3</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'Area VIIa nephrops u250kW'!$C$99</c:f>
              <c:strCache>
                <c:ptCount val="1"/>
                <c:pt idx="0">
                  <c:v>Les. Spot. Dog</c:v>
                </c:pt>
              </c:strCache>
            </c:strRef>
          </c:tx>
          <c:spPr>
            <a:solidFill>
              <a:srgbClr val="707271"/>
            </a:solidFill>
            <a:ln>
              <a:solidFill>
                <a:srgbClr val="FFFFFF"/>
              </a:solidFill>
            </a:ln>
          </c:spPr>
          <c:invertIfNegative val="0"/>
          <c:cat>
            <c:numRef>
              <c:f>'Area VIIa nephrops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u250kW'!$D$99:$M$99</c:f>
              <c:numCache>
                <c:formatCode>0%</c:formatCode>
                <c:ptCount val="10"/>
                <c:pt idx="5">
                  <c:v>2.9582267272523508E-3</c:v>
                </c:pt>
                <c:pt idx="6">
                  <c:v>5.3321319175030383E-3</c:v>
                </c:pt>
              </c:numCache>
            </c:numRef>
          </c:val>
          <c:extLst xmlns:c16r2="http://schemas.microsoft.com/office/drawing/2015/06/chart">
            <c:ext xmlns:c16="http://schemas.microsoft.com/office/drawing/2014/chart" uri="{C3380CC4-5D6E-409C-BE32-E72D297353CC}">
              <c16:uniqueId val="{00000007-282A-42F3-A8CE-7B6B063B5E4F}"/>
            </c:ext>
          </c:extLst>
        </c:ser>
        <c:ser>
          <c:idx val="8"/>
          <c:order val="8"/>
          <c:tx>
            <c:strRef>
              <c:f>'Area VIIa nephrops u250kW'!$C$100</c:f>
              <c:strCache>
                <c:ptCount val="1"/>
                <c:pt idx="0">
                  <c:v>Thornback Ray</c:v>
                </c:pt>
              </c:strCache>
            </c:strRef>
          </c:tx>
          <c:spPr>
            <a:solidFill>
              <a:srgbClr val="51AA81"/>
            </a:solidFill>
            <a:ln>
              <a:solidFill>
                <a:srgbClr val="FFFFFF"/>
              </a:solidFill>
            </a:ln>
          </c:spPr>
          <c:invertIfNegative val="0"/>
          <c:cat>
            <c:numRef>
              <c:f>'Area VIIa nephrops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u250kW'!$D$100:$M$100</c:f>
              <c:numCache>
                <c:formatCode>0%</c:formatCode>
                <c:ptCount val="10"/>
                <c:pt idx="0">
                  <c:v>5.6799507739154062E-3</c:v>
                </c:pt>
                <c:pt idx="1">
                  <c:v>1.0124897832366272E-2</c:v>
                </c:pt>
                <c:pt idx="3">
                  <c:v>5.3475173282382217E-3</c:v>
                </c:pt>
                <c:pt idx="4">
                  <c:v>6.2092395917385497E-3</c:v>
                </c:pt>
                <c:pt idx="6">
                  <c:v>3.8797037336966785E-3</c:v>
                </c:pt>
              </c:numCache>
            </c:numRef>
          </c:val>
          <c:extLst xmlns:c16r2="http://schemas.microsoft.com/office/drawing/2015/06/chart">
            <c:ext xmlns:c16="http://schemas.microsoft.com/office/drawing/2014/chart" uri="{C3380CC4-5D6E-409C-BE32-E72D297353CC}">
              <c16:uniqueId val="{00000008-282A-42F3-A8CE-7B6B063B5E4F}"/>
            </c:ext>
          </c:extLst>
        </c:ser>
        <c:ser>
          <c:idx val="9"/>
          <c:order val="9"/>
          <c:tx>
            <c:strRef>
              <c:f>'Area VIIa nephrops u250kW'!$C$101</c:f>
              <c:strCache>
                <c:ptCount val="1"/>
                <c:pt idx="0">
                  <c:v>Cod</c:v>
                </c:pt>
              </c:strCache>
            </c:strRef>
          </c:tx>
          <c:spPr>
            <a:solidFill>
              <a:srgbClr val="169FDB"/>
            </a:solidFill>
            <a:ln>
              <a:solidFill>
                <a:srgbClr val="FFFFFF"/>
              </a:solidFill>
            </a:ln>
          </c:spPr>
          <c:invertIfNegative val="0"/>
          <c:cat>
            <c:numRef>
              <c:f>'Area VIIa nephrops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u250kW'!$D$101:$M$101</c:f>
              <c:numCache>
                <c:formatCode>0%</c:formatCode>
                <c:ptCount val="10"/>
                <c:pt idx="0">
                  <c:v>1.1809776748293218E-2</c:v>
                </c:pt>
                <c:pt idx="5">
                  <c:v>3.8377268953566661E-3</c:v>
                </c:pt>
              </c:numCache>
            </c:numRef>
          </c:val>
          <c:extLst xmlns:c16r2="http://schemas.microsoft.com/office/drawing/2015/06/chart">
            <c:ext xmlns:c16="http://schemas.microsoft.com/office/drawing/2014/chart" uri="{C3380CC4-5D6E-409C-BE32-E72D297353CC}">
              <c16:uniqueId val="{00000009-282A-42F3-A8CE-7B6B063B5E4F}"/>
            </c:ext>
          </c:extLst>
        </c:ser>
        <c:ser>
          <c:idx val="10"/>
          <c:order val="10"/>
          <c:tx>
            <c:strRef>
              <c:f>'Area VIIa nephrops u250kW'!$C$102</c:f>
              <c:strCache>
                <c:ptCount val="1"/>
                <c:pt idx="0">
                  <c:v>Squid</c:v>
                </c:pt>
              </c:strCache>
            </c:strRef>
          </c:tx>
          <c:spPr>
            <a:solidFill>
              <a:srgbClr val="E40D2C"/>
            </a:solidFill>
            <a:ln>
              <a:solidFill>
                <a:srgbClr val="FFFFFF"/>
              </a:solidFill>
            </a:ln>
          </c:spPr>
          <c:invertIfNegative val="0"/>
          <c:cat>
            <c:numRef>
              <c:f>'Area VIIa nephrops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u250kW'!$D$102:$M$102</c:f>
              <c:numCache>
                <c:formatCode>0%</c:formatCode>
                <c:ptCount val="10"/>
                <c:pt idx="2">
                  <c:v>4.6467616037062873E-3</c:v>
                </c:pt>
              </c:numCache>
            </c:numRef>
          </c:val>
          <c:extLst xmlns:c16r2="http://schemas.microsoft.com/office/drawing/2015/06/chart">
            <c:ext xmlns:c16="http://schemas.microsoft.com/office/drawing/2014/chart" uri="{C3380CC4-5D6E-409C-BE32-E72D297353CC}">
              <c16:uniqueId val="{0000000A-282A-42F3-A8CE-7B6B063B5E4F}"/>
            </c:ext>
          </c:extLst>
        </c:ser>
        <c:ser>
          <c:idx val="11"/>
          <c:order val="11"/>
          <c:tx>
            <c:strRef>
              <c:f>'Area VIIa nephrops u250kW'!$C$103</c:f>
              <c:strCache>
                <c:ptCount val="1"/>
                <c:pt idx="0">
                  <c:v>Others</c:v>
                </c:pt>
              </c:strCache>
            </c:strRef>
          </c:tx>
          <c:spPr>
            <a:solidFill>
              <a:srgbClr val="55585A"/>
            </a:solidFill>
            <a:ln>
              <a:solidFill>
                <a:srgbClr val="FFFFFF"/>
              </a:solidFill>
            </a:ln>
          </c:spPr>
          <c:invertIfNegative val="0"/>
          <c:cat>
            <c:numRef>
              <c:f>'Area VIIa nephrops u250kW'!$D$91:$M$91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nephrops u250kW'!$D$103:$M$103</c:f>
              <c:numCache>
                <c:formatCode>0%</c:formatCode>
                <c:ptCount val="10"/>
                <c:pt idx="0">
                  <c:v>4.7238573206136399E-2</c:v>
                </c:pt>
                <c:pt idx="1">
                  <c:v>4.9236359326990727E-2</c:v>
                </c:pt>
                <c:pt idx="2">
                  <c:v>2.8884047906478277E-2</c:v>
                </c:pt>
                <c:pt idx="3">
                  <c:v>2.5167273678519973E-2</c:v>
                </c:pt>
                <c:pt idx="4">
                  <c:v>3.4187403020207195E-2</c:v>
                </c:pt>
                <c:pt idx="5">
                  <c:v>1.4663938980731834E-2</c:v>
                </c:pt>
                <c:pt idx="6">
                  <c:v>1.4017649462560849E-2</c:v>
                </c:pt>
                <c:pt idx="7">
                  <c:v>2.2011424104737588E-2</c:v>
                </c:pt>
                <c:pt idx="8">
                  <c:v>3.605420607108395E-2</c:v>
                </c:pt>
                <c:pt idx="9">
                  <c:v>2.8864829132026853E-2</c:v>
                </c:pt>
              </c:numCache>
            </c:numRef>
          </c:val>
          <c:extLst xmlns:c16r2="http://schemas.microsoft.com/office/drawing/2015/06/chart">
            <c:ext xmlns:c16="http://schemas.microsoft.com/office/drawing/2014/chart" uri="{C3380CC4-5D6E-409C-BE32-E72D297353CC}">
              <c16:uniqueId val="{0000000B-282A-42F3-A8CE-7B6B063B5E4F}"/>
            </c:ext>
          </c:extLst>
        </c:ser>
        <c:dLbls>
          <c:showLegendKey val="0"/>
          <c:showVal val="0"/>
          <c:showCatName val="0"/>
          <c:showSerName val="0"/>
          <c:showPercent val="0"/>
          <c:showBubbleSize val="0"/>
        </c:dLbls>
        <c:gapWidth val="150"/>
        <c:overlap val="100"/>
        <c:axId val="704621952"/>
        <c:axId val="704627840"/>
      </c:barChart>
      <c:catAx>
        <c:axId val="704621952"/>
        <c:scaling>
          <c:orientation val="minMax"/>
        </c:scaling>
        <c:delete val="0"/>
        <c:axPos val="b"/>
        <c:numFmt formatCode="General" sourceLinked="1"/>
        <c:majorTickMark val="out"/>
        <c:minorTickMark val="none"/>
        <c:tickLblPos val="nextTo"/>
        <c:crossAx val="704627840"/>
        <c:crosses val="autoZero"/>
        <c:auto val="1"/>
        <c:lblAlgn val="ctr"/>
        <c:lblOffset val="100"/>
        <c:noMultiLvlLbl val="0"/>
      </c:catAx>
      <c:valAx>
        <c:axId val="704627840"/>
        <c:scaling>
          <c:orientation val="minMax"/>
          <c:max val="1"/>
          <c:min val="0"/>
        </c:scaling>
        <c:delete val="0"/>
        <c:axPos val="l"/>
        <c:majorGridlines/>
        <c:numFmt formatCode="0%" sourceLinked="1"/>
        <c:majorTickMark val="out"/>
        <c:minorTickMark val="none"/>
        <c:tickLblPos val="nextTo"/>
        <c:crossAx val="704621952"/>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traps'!$B$62</c:f>
          <c:strCache>
            <c:ptCount val="1"/>
            <c:pt idx="0">
              <c:v>Total cost per kW day at sea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'U10m pots and traps'!$D$2:$N$2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pots and traps'!$D$23:$N$23</c:f>
              <c:numCache>
                <c:formatCode>#,##0.00</c:formatCode>
                <c:ptCount val="11"/>
                <c:pt idx="0">
                  <c:v>4.4759159109867701</c:v>
                </c:pt>
                <c:pt idx="1">
                  <c:v>4.0295768075519698</c:v>
                </c:pt>
                <c:pt idx="2">
                  <c:v>4.46997586605303</c:v>
                </c:pt>
                <c:pt idx="3">
                  <c:v>4.8871345426327597</c:v>
                </c:pt>
                <c:pt idx="4">
                  <c:v>5.2319314294812402</c:v>
                </c:pt>
                <c:pt idx="5">
                  <c:v>4.9087498894427197</c:v>
                </c:pt>
                <c:pt idx="6">
                  <c:v>4.6506345518049397</c:v>
                </c:pt>
                <c:pt idx="7">
                  <c:v>4.0531712523310901</c:v>
                </c:pt>
                <c:pt idx="8">
                  <c:v>4.4781326114801701</c:v>
                </c:pt>
                <c:pt idx="9">
                  <c:v>6.2599929312495304</c:v>
                </c:pt>
                <c:pt idx="10">
                  <c:v>6.7791860445257512</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952154752"/>
        <c:axId val="952160640"/>
      </c:lineChart>
      <c:catAx>
        <c:axId val="952154752"/>
        <c:scaling>
          <c:orientation val="minMax"/>
        </c:scaling>
        <c:delete val="0"/>
        <c:axPos val="b"/>
        <c:numFmt formatCode="General" sourceLinked="1"/>
        <c:majorTickMark val="out"/>
        <c:minorTickMark val="none"/>
        <c:tickLblPos val="nextTo"/>
        <c:crossAx val="952160640"/>
        <c:crosses val="autoZero"/>
        <c:auto val="1"/>
        <c:lblAlgn val="ctr"/>
        <c:lblOffset val="100"/>
        <c:noMultiLvlLbl val="0"/>
      </c:catAx>
      <c:valAx>
        <c:axId val="952160640"/>
        <c:scaling>
          <c:orientation val="minMax"/>
        </c:scaling>
        <c:delete val="0"/>
        <c:axPos val="l"/>
        <c:majorGridlines>
          <c:spPr>
            <a:ln w="3175">
              <a:prstDash val="sysDot"/>
            </a:ln>
          </c:spPr>
        </c:majorGridlines>
        <c:numFmt formatCode="#,##0.00" sourceLinked="1"/>
        <c:majorTickMark val="out"/>
        <c:minorTickMark val="none"/>
        <c:tickLblPos val="nextTo"/>
        <c:crossAx val="952154752"/>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traps'!$K$48</c:f>
          <c:strCache>
            <c:ptCount val="1"/>
            <c:pt idx="0">
              <c:v>Operating profit per kW day at sea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'U10m pots and traps'!$D$2:$N$2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pots and traps'!$D$24:$N$24</c:f>
              <c:numCache>
                <c:formatCode>#,##0.00</c:formatCode>
                <c:ptCount val="11"/>
                <c:pt idx="0">
                  <c:v>1.53811076136225</c:v>
                </c:pt>
                <c:pt idx="1">
                  <c:v>1.80083659390908</c:v>
                </c:pt>
                <c:pt idx="2">
                  <c:v>1.5484502442501</c:v>
                </c:pt>
                <c:pt idx="3">
                  <c:v>1.6004245745271799</c:v>
                </c:pt>
                <c:pt idx="4">
                  <c:v>1.2116822106690499</c:v>
                </c:pt>
                <c:pt idx="5">
                  <c:v>1.38400732554062</c:v>
                </c:pt>
                <c:pt idx="6">
                  <c:v>1.1462906402775901</c:v>
                </c:pt>
                <c:pt idx="7">
                  <c:v>0.99762862505661998</c:v>
                </c:pt>
                <c:pt idx="8">
                  <c:v>2.0204923691530299</c:v>
                </c:pt>
                <c:pt idx="9">
                  <c:v>2.1983756182049801</c:v>
                </c:pt>
                <c:pt idx="10">
                  <c:v>2.3109780352726417</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52260480"/>
        <c:axId val="952262016"/>
      </c:lineChart>
      <c:catAx>
        <c:axId val="952260480"/>
        <c:scaling>
          <c:orientation val="minMax"/>
        </c:scaling>
        <c:delete val="0"/>
        <c:axPos val="b"/>
        <c:numFmt formatCode="General" sourceLinked="1"/>
        <c:majorTickMark val="out"/>
        <c:minorTickMark val="none"/>
        <c:tickLblPos val="nextTo"/>
        <c:crossAx val="952262016"/>
        <c:crosses val="autoZero"/>
        <c:auto val="1"/>
        <c:lblAlgn val="ctr"/>
        <c:lblOffset val="100"/>
        <c:noMultiLvlLbl val="0"/>
      </c:catAx>
      <c:valAx>
        <c:axId val="952262016"/>
        <c:scaling>
          <c:orientation val="minMax"/>
        </c:scaling>
        <c:delete val="0"/>
        <c:axPos val="l"/>
        <c:majorGridlines>
          <c:spPr>
            <a:ln w="3175">
              <a:prstDash val="sysDot"/>
            </a:ln>
          </c:spPr>
        </c:majorGridlines>
        <c:numFmt formatCode="#,##0.00" sourceLinked="1"/>
        <c:majorTickMark val="out"/>
        <c:minorTickMark val="none"/>
        <c:tickLblPos val="nextTo"/>
        <c:crossAx val="952260480"/>
        <c:crosses val="autoZero"/>
        <c:crossBetween val="between"/>
      </c:valAx>
    </c:plotArea>
    <c:plotVisOnly val="0"/>
    <c:dispBlanksAs val="gap"/>
    <c:showDLblsOverMax val="0"/>
  </c:chart>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traps'!$A$50</c:f>
          <c:strCache>
            <c:ptCount val="1"/>
            <c:pt idx="0">
              <c:v>Average price per tonne landed (£)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'U10m pots and traps'!$D$2:$N$2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pots and traps'!$D$20:$N$20</c:f>
              <c:numCache>
                <c:formatCode>#,##0</c:formatCode>
                <c:ptCount val="11"/>
                <c:pt idx="0">
                  <c:v>2908</c:v>
                </c:pt>
                <c:pt idx="1">
                  <c:v>2689</c:v>
                </c:pt>
                <c:pt idx="2">
                  <c:v>2558</c:v>
                </c:pt>
                <c:pt idx="3">
                  <c:v>2705</c:v>
                </c:pt>
                <c:pt idx="4">
                  <c:v>2339</c:v>
                </c:pt>
                <c:pt idx="5">
                  <c:v>2144</c:v>
                </c:pt>
                <c:pt idx="6">
                  <c:v>2282</c:v>
                </c:pt>
                <c:pt idx="7">
                  <c:v>2287</c:v>
                </c:pt>
                <c:pt idx="8">
                  <c:v>2543</c:v>
                </c:pt>
                <c:pt idx="9">
                  <c:v>2637</c:v>
                </c:pt>
                <c:pt idx="10">
                  <c:v>3441</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52280192"/>
        <c:axId val="952281728"/>
      </c:lineChart>
      <c:catAx>
        <c:axId val="952280192"/>
        <c:scaling>
          <c:orientation val="minMax"/>
        </c:scaling>
        <c:delete val="0"/>
        <c:axPos val="b"/>
        <c:numFmt formatCode="General" sourceLinked="1"/>
        <c:majorTickMark val="out"/>
        <c:minorTickMark val="none"/>
        <c:tickLblPos val="nextTo"/>
        <c:crossAx val="952281728"/>
        <c:crosses val="autoZero"/>
        <c:auto val="1"/>
        <c:lblAlgn val="ctr"/>
        <c:lblOffset val="100"/>
        <c:noMultiLvlLbl val="0"/>
      </c:catAx>
      <c:valAx>
        <c:axId val="952281728"/>
        <c:scaling>
          <c:orientation val="minMax"/>
        </c:scaling>
        <c:delete val="0"/>
        <c:axPos val="l"/>
        <c:majorGridlines>
          <c:spPr>
            <a:ln w="3175">
              <a:prstDash val="sysDot"/>
            </a:ln>
          </c:spPr>
        </c:majorGridlines>
        <c:numFmt formatCode="#,##0" sourceLinked="1"/>
        <c:majorTickMark val="out"/>
        <c:minorTickMark val="none"/>
        <c:tickLblPos val="nextTo"/>
        <c:crossAx val="952280192"/>
        <c:crosses val="autoZero"/>
        <c:crossBetween val="between"/>
      </c:valAx>
    </c:plotArea>
    <c:plotVisOnly val="0"/>
    <c:dispBlanksAs val="gap"/>
    <c:showDLblsOverMax val="0"/>
  </c:chart>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traps'!$K$62</c:f>
          <c:strCache>
            <c:ptCount val="1"/>
            <c:pt idx="0">
              <c:v>Average annual operating profit per vessel (£'000)
Under 10m pots and traps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'U10m pots and traps'!$D$2:$N$2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pots and traps'!$D$37:$N$37</c:f>
              <c:numCache>
                <c:formatCode>#,##0.0</c:formatCode>
                <c:ptCount val="11"/>
                <c:pt idx="0">
                  <c:v>14.5</c:v>
                </c:pt>
                <c:pt idx="1">
                  <c:v>16.600000000000001</c:v>
                </c:pt>
                <c:pt idx="2">
                  <c:v>14.3</c:v>
                </c:pt>
                <c:pt idx="3">
                  <c:v>14</c:v>
                </c:pt>
                <c:pt idx="4">
                  <c:v>10.9</c:v>
                </c:pt>
                <c:pt idx="5">
                  <c:v>13.1</c:v>
                </c:pt>
                <c:pt idx="6">
                  <c:v>11.9</c:v>
                </c:pt>
                <c:pt idx="7">
                  <c:v>11.3</c:v>
                </c:pt>
                <c:pt idx="8">
                  <c:v>21.1</c:v>
                </c:pt>
                <c:pt idx="9">
                  <c:v>16</c:v>
                </c:pt>
                <c:pt idx="10">
                  <c:v>16.3</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53504128"/>
        <c:axId val="953505664"/>
      </c:lineChart>
      <c:catAx>
        <c:axId val="953504128"/>
        <c:scaling>
          <c:orientation val="minMax"/>
        </c:scaling>
        <c:delete val="0"/>
        <c:axPos val="b"/>
        <c:numFmt formatCode="General" sourceLinked="1"/>
        <c:majorTickMark val="out"/>
        <c:minorTickMark val="none"/>
        <c:tickLblPos val="nextTo"/>
        <c:crossAx val="953505664"/>
        <c:crosses val="autoZero"/>
        <c:auto val="1"/>
        <c:lblAlgn val="ctr"/>
        <c:lblOffset val="100"/>
        <c:noMultiLvlLbl val="0"/>
      </c:catAx>
      <c:valAx>
        <c:axId val="953505664"/>
        <c:scaling>
          <c:orientation val="minMax"/>
        </c:scaling>
        <c:delete val="0"/>
        <c:axPos val="l"/>
        <c:majorGridlines>
          <c:spPr>
            <a:ln w="3175">
              <a:prstDash val="sysDot"/>
            </a:ln>
          </c:spPr>
        </c:majorGridlines>
        <c:numFmt formatCode="#,##0.0" sourceLinked="1"/>
        <c:majorTickMark val="out"/>
        <c:minorTickMark val="none"/>
        <c:tickLblPos val="nextTo"/>
        <c:crossAx val="953504128"/>
        <c:crosses val="autoZero"/>
        <c:crossBetween val="between"/>
      </c:valAx>
    </c:plotArea>
    <c:plotVisOnly val="0"/>
    <c:dispBlanksAs val="gap"/>
    <c:showDLblsOverMax val="0"/>
  </c:chart>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pots and traps'!$A$76</c:f>
          <c:strCache>
            <c:ptCount val="1"/>
            <c:pt idx="0">
              <c:v>Top 5 landed species by volume in 2017
Under 10m pots and traps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648C2E"/>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2273B9"/>
              </a:solidFill>
              <a:ln>
                <a:solidFill>
                  <a:srgbClr val="FFFFFF"/>
                </a:solidFill>
              </a:ln>
            </c:spPr>
          </c:dPt>
          <c:dPt>
            <c:idx val="3"/>
            <c:bubble3D val="0"/>
            <c:spPr>
              <a:solidFill>
                <a:srgbClr val="E84A38"/>
              </a:solidFill>
              <a:ln>
                <a:solidFill>
                  <a:srgbClr val="FFFFFF"/>
                </a:solidFill>
              </a:ln>
            </c:spPr>
          </c:dPt>
          <c:dPt>
            <c:idx val="4"/>
            <c:bubble3D val="0"/>
            <c:spPr>
              <a:solidFill>
                <a:srgbClr val="C1D119"/>
              </a:solidFill>
              <a:ln>
                <a:solidFill>
                  <a:srgbClr val="FFFFFF"/>
                </a:solidFill>
              </a:ln>
            </c:spPr>
          </c:dPt>
          <c:dPt>
            <c:idx val="5"/>
            <c:bubble3D val="0"/>
            <c:spPr>
              <a:solidFill>
                <a:srgbClr val="55585A"/>
              </a:solidFill>
              <a:ln>
                <a:solidFill>
                  <a:srgbClr val="FFFFFF"/>
                </a:solidFill>
              </a:ln>
            </c:spPr>
          </c:dPt>
          <c:cat>
            <c:strRef>
              <c:f>'U10m pots and traps'!$B$77:$B$82</c:f>
              <c:strCache>
                <c:ptCount val="6"/>
                <c:pt idx="0">
                  <c:v>Brown Crab - 38.9%</c:v>
                </c:pt>
                <c:pt idx="1">
                  <c:v>Whelks - 35.3%</c:v>
                </c:pt>
                <c:pt idx="2">
                  <c:v>Lobsters - 7.9%</c:v>
                </c:pt>
                <c:pt idx="3">
                  <c:v>Velvet Crab - 5.6%</c:v>
                </c:pt>
                <c:pt idx="4">
                  <c:v>Nephrops - 3.6%</c:v>
                </c:pt>
                <c:pt idx="5">
                  <c:v>Others - 8.8%</c:v>
                </c:pt>
              </c:strCache>
            </c:strRef>
          </c:cat>
          <c:val>
            <c:numRef>
              <c:f>'U10m pots and traps'!$C$77:$C$82</c:f>
              <c:numCache>
                <c:formatCode>0.0%</c:formatCode>
                <c:ptCount val="6"/>
                <c:pt idx="0">
                  <c:v>0.38938951223083079</c:v>
                </c:pt>
                <c:pt idx="1">
                  <c:v>0.35289094913797381</c:v>
                </c:pt>
                <c:pt idx="2">
                  <c:v>7.8601844409640145E-2</c:v>
                </c:pt>
                <c:pt idx="3">
                  <c:v>5.5543181819523516E-2</c:v>
                </c:pt>
                <c:pt idx="4">
                  <c:v>3.5869494211194654E-2</c:v>
                </c:pt>
                <c:pt idx="5">
                  <c:v>8.7705018190837092E-2</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pots and traps'!$F$76</c:f>
          <c:strCache>
            <c:ptCount val="1"/>
            <c:pt idx="0">
              <c:v>Top 5 landed species by value in 2017
Under 10m pots and traps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'U10m pots and traps'!$G$77:$G$82</c:f>
              <c:strCache>
                <c:ptCount val="6"/>
                <c:pt idx="0">
                  <c:v>Lobsters - 39.7%</c:v>
                </c:pt>
                <c:pt idx="1">
                  <c:v>Brown Crab - 23.2%</c:v>
                </c:pt>
                <c:pt idx="2">
                  <c:v>Whelks - 14.7%</c:v>
                </c:pt>
                <c:pt idx="3">
                  <c:v>Nephrops - 8.4%</c:v>
                </c:pt>
                <c:pt idx="4">
                  <c:v>Velvet Crab - 6.2%</c:v>
                </c:pt>
                <c:pt idx="5">
                  <c:v>Others - 7.7%</c:v>
                </c:pt>
              </c:strCache>
            </c:strRef>
          </c:cat>
          <c:val>
            <c:numRef>
              <c:f>'U10m pots and traps'!$H$77:$H$82</c:f>
              <c:numCache>
                <c:formatCode>0.0%</c:formatCode>
                <c:ptCount val="6"/>
                <c:pt idx="0">
                  <c:v>0.39739312222576478</c:v>
                </c:pt>
                <c:pt idx="1">
                  <c:v>0.23171865027390218</c:v>
                </c:pt>
                <c:pt idx="2">
                  <c:v>0.14742105355939755</c:v>
                </c:pt>
                <c:pt idx="3">
                  <c:v>8.399410249007401E-2</c:v>
                </c:pt>
                <c:pt idx="4">
                  <c:v>6.2373900389801167E-2</c:v>
                </c:pt>
                <c:pt idx="5">
                  <c:v>7.7099171061060345E-2</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pots and traps'!$C$92</c:f>
              <c:strCache>
                <c:ptCount val="1"/>
                <c:pt idx="0">
                  <c:v>Lobsters</c:v>
                </c:pt>
              </c:strCache>
            </c:strRef>
          </c:tx>
          <c:spPr>
            <a:solidFill>
              <a:srgbClr val="2273B9"/>
            </a:solidFill>
            <a:ln>
              <a:solidFill>
                <a:srgbClr val="FFFFFF"/>
              </a:solidFill>
            </a:ln>
          </c:spPr>
          <c:invertIfNegative val="0"/>
          <c:cat>
            <c:numRef>
              <c:f>'U10m pots and traps'!$D$91:$M$91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pots and traps'!$D$92:$M$92</c:f>
              <c:numCache>
                <c:formatCode>0%</c:formatCode>
                <c:ptCount val="10"/>
                <c:pt idx="0">
                  <c:v>0.37088990642118141</c:v>
                </c:pt>
                <c:pt idx="1">
                  <c:v>0.33558376738518797</c:v>
                </c:pt>
                <c:pt idx="2">
                  <c:v>0.39535075093529581</c:v>
                </c:pt>
                <c:pt idx="3">
                  <c:v>0.36479328864707516</c:v>
                </c:pt>
                <c:pt idx="4">
                  <c:v>0.34050693521107239</c:v>
                </c:pt>
                <c:pt idx="5">
                  <c:v>0.36537004139524254</c:v>
                </c:pt>
                <c:pt idx="6">
                  <c:v>0.35424251675261947</c:v>
                </c:pt>
                <c:pt idx="7">
                  <c:v>0.35568786343177183</c:v>
                </c:pt>
                <c:pt idx="8">
                  <c:v>0.39739312222576478</c:v>
                </c:pt>
                <c:pt idx="9">
                  <c:v>0.37385809179514473</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'U10m pots and traps'!$C$93</c:f>
              <c:strCache>
                <c:ptCount val="1"/>
                <c:pt idx="0">
                  <c:v>Brown Crab</c:v>
                </c:pt>
              </c:strCache>
            </c:strRef>
          </c:tx>
          <c:spPr>
            <a:solidFill>
              <a:srgbClr val="E87308"/>
            </a:solidFill>
            <a:ln>
              <a:solidFill>
                <a:srgbClr val="FFFFFF"/>
              </a:solidFill>
            </a:ln>
          </c:spPr>
          <c:invertIfNegative val="0"/>
          <c:cat>
            <c:numRef>
              <c:f>'U10m pots and traps'!$D$91:$M$91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pots and traps'!$D$93:$M$93</c:f>
              <c:numCache>
                <c:formatCode>0%</c:formatCode>
                <c:ptCount val="10"/>
                <c:pt idx="0">
                  <c:v>0.16740738637816405</c:v>
                </c:pt>
                <c:pt idx="1">
                  <c:v>0.18137921143080052</c:v>
                </c:pt>
                <c:pt idx="2">
                  <c:v>0.18165666286218529</c:v>
                </c:pt>
                <c:pt idx="3">
                  <c:v>0.19805901408621049</c:v>
                </c:pt>
                <c:pt idx="4">
                  <c:v>0.21911912447815921</c:v>
                </c:pt>
                <c:pt idx="5">
                  <c:v>0.21981190916465101</c:v>
                </c:pt>
                <c:pt idx="6">
                  <c:v>0.19460936656175865</c:v>
                </c:pt>
                <c:pt idx="7">
                  <c:v>0.1872557286249158</c:v>
                </c:pt>
                <c:pt idx="8">
                  <c:v>0.23171865027390218</c:v>
                </c:pt>
                <c:pt idx="9">
                  <c:v>0.28925403799111193</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'U10m pots and traps'!$C$94</c:f>
              <c:strCache>
                <c:ptCount val="1"/>
                <c:pt idx="0">
                  <c:v>Whelks</c:v>
                </c:pt>
              </c:strCache>
            </c:strRef>
          </c:tx>
          <c:spPr>
            <a:solidFill>
              <a:srgbClr val="648C2E"/>
            </a:solidFill>
            <a:ln>
              <a:solidFill>
                <a:srgbClr val="FFFFFF"/>
              </a:solidFill>
            </a:ln>
          </c:spPr>
          <c:invertIfNegative val="0"/>
          <c:cat>
            <c:numRef>
              <c:f>'U10m pots and traps'!$D$91:$M$91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pots and traps'!$D$94:$M$94</c:f>
              <c:numCache>
                <c:formatCode>0%</c:formatCode>
                <c:ptCount val="10"/>
                <c:pt idx="0">
                  <c:v>6.8130488916865864E-2</c:v>
                </c:pt>
                <c:pt idx="1">
                  <c:v>8.9155447914327945E-2</c:v>
                </c:pt>
                <c:pt idx="2">
                  <c:v>8.0103283915618662E-2</c:v>
                </c:pt>
                <c:pt idx="3">
                  <c:v>0.11315118478042546</c:v>
                </c:pt>
                <c:pt idx="4">
                  <c:v>0.15003350534307289</c:v>
                </c:pt>
                <c:pt idx="5">
                  <c:v>0.14725376993397576</c:v>
                </c:pt>
                <c:pt idx="6">
                  <c:v>0.16950995285903536</c:v>
                </c:pt>
                <c:pt idx="7">
                  <c:v>0.15680615623371028</c:v>
                </c:pt>
                <c:pt idx="8">
                  <c:v>0.14742105355939755</c:v>
                </c:pt>
                <c:pt idx="9">
                  <c:v>0.11597727895177196</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'U10m pots and traps'!$C$95</c:f>
              <c:strCache>
                <c:ptCount val="1"/>
                <c:pt idx="0">
                  <c:v>Nephrops</c:v>
                </c:pt>
              </c:strCache>
            </c:strRef>
          </c:tx>
          <c:spPr>
            <a:solidFill>
              <a:srgbClr val="C1D119"/>
            </a:solidFill>
            <a:ln>
              <a:solidFill>
                <a:srgbClr val="FFFFFF"/>
              </a:solidFill>
            </a:ln>
          </c:spPr>
          <c:invertIfNegative val="0"/>
          <c:cat>
            <c:numRef>
              <c:f>'U10m pots and traps'!$D$91:$M$91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pots and traps'!$D$95:$M$95</c:f>
              <c:numCache>
                <c:formatCode>0%</c:formatCode>
                <c:ptCount val="10"/>
                <c:pt idx="0">
                  <c:v>0.2209893196415974</c:v>
                </c:pt>
                <c:pt idx="1">
                  <c:v>0.21719180299837298</c:v>
                </c:pt>
                <c:pt idx="2">
                  <c:v>0.17863590869913648</c:v>
                </c:pt>
                <c:pt idx="3">
                  <c:v>0.16125178384300684</c:v>
                </c:pt>
                <c:pt idx="4">
                  <c:v>0.1599264725522917</c:v>
                </c:pt>
                <c:pt idx="5">
                  <c:v>0.13786297201776634</c:v>
                </c:pt>
                <c:pt idx="6">
                  <c:v>0.13822630618354706</c:v>
                </c:pt>
                <c:pt idx="7">
                  <c:v>0.13268411992088106</c:v>
                </c:pt>
                <c:pt idx="8">
                  <c:v>8.399410249007401E-2</c:v>
                </c:pt>
                <c:pt idx="9">
                  <c:v>8.0010616758597303E-2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'U10m pots and traps'!$C$96</c:f>
              <c:strCache>
                <c:ptCount val="1"/>
                <c:pt idx="0">
                  <c:v>Velvet Crab</c:v>
                </c:pt>
              </c:strCache>
            </c:strRef>
          </c:tx>
          <c:spPr>
            <a:solidFill>
              <a:srgbClr val="E84A38"/>
            </a:solidFill>
            <a:ln>
              <a:solidFill>
                <a:srgbClr val="FFFFFF"/>
              </a:solidFill>
            </a:ln>
          </c:spPr>
          <c:invertIfNegative val="0"/>
          <c:cat>
            <c:numRef>
              <c:f>'U10m pots and traps'!$D$91:$M$91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pots and traps'!$D$96:$M$96</c:f>
              <c:numCache>
                <c:formatCode>0%</c:formatCode>
                <c:ptCount val="10"/>
                <c:pt idx="0">
                  <c:v>0.10530644849716382</c:v>
                </c:pt>
                <c:pt idx="1">
                  <c:v>0.10643800015193686</c:v>
                </c:pt>
                <c:pt idx="2">
                  <c:v>8.9975762965251407E-2</c:v>
                </c:pt>
                <c:pt idx="3">
                  <c:v>7.7834450761852053E-2</c:v>
                </c:pt>
                <c:pt idx="4">
                  <c:v>6.0095575226506881E-2</c:v>
                </c:pt>
                <c:pt idx="5">
                  <c:v>5.7526246071468168E-2</c:v>
                </c:pt>
                <c:pt idx="6">
                  <c:v>5.6144668545029038E-2</c:v>
                </c:pt>
                <c:pt idx="7">
                  <c:v>5.5185351691274302E-2</c:v>
                </c:pt>
                <c:pt idx="8">
                  <c:v>6.2373900389801167E-2</c:v>
                </c:pt>
                <c:pt idx="9">
                  <c:v>5.2596143669499926E-2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'U10m pots and traps'!$C$97</c:f>
              <c:strCache>
                <c:ptCount val="1"/>
                <c:pt idx="0">
                  <c:v>Others</c:v>
                </c:pt>
              </c:strCache>
            </c:strRef>
          </c:tx>
          <c:spPr>
            <a:solidFill>
              <a:srgbClr val="55585A"/>
            </a:solidFill>
            <a:ln>
              <a:solidFill>
                <a:srgbClr val="FFFFFF"/>
              </a:solidFill>
            </a:ln>
          </c:spPr>
          <c:invertIfNegative val="0"/>
          <c:cat>
            <c:numRef>
              <c:f>'U10m pots and traps'!$D$91:$M$91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pots and traps'!$D$97:$M$97</c:f>
              <c:numCache>
                <c:formatCode>0%</c:formatCode>
                <c:ptCount val="10"/>
                <c:pt idx="0">
                  <c:v>6.7276450145027464E-2</c:v>
                </c:pt>
                <c:pt idx="1">
                  <c:v>7.0251770119373752E-2</c:v>
                </c:pt>
                <c:pt idx="2">
                  <c:v>7.4277630622512386E-2</c:v>
                </c:pt>
                <c:pt idx="3">
                  <c:v>8.4910277881430019E-2</c:v>
                </c:pt>
                <c:pt idx="4">
                  <c:v>7.031838718889695E-2</c:v>
                </c:pt>
                <c:pt idx="5">
                  <c:v>7.2175061416896141E-2</c:v>
                </c:pt>
                <c:pt idx="6">
                  <c:v>8.7267189098010414E-2</c:v>
                </c:pt>
                <c:pt idx="7">
                  <c:v>0.11238078009744673</c:v>
                </c:pt>
                <c:pt idx="8">
                  <c:v>7.709917106106029E-2</c:v>
                </c:pt>
                <c:pt idx="9">
                  <c:v>8.8303830833874108E-2</c:v>
                </c:pt>
              </c:numCache>
            </c:numRef>
          </c:val>
          <c:extLst xmlns:c16r2="http://schemas.microsoft.com/office/drawing/2015/06/chart">
            <c:ext xmlns:c16="http://schemas.microsoft.com/office/drawing/2014/chart" uri="{C3380CC4-5D6E-409C-BE32-E72D297353CC}">
              <c16:uniqueId val="{00000005-282A-42F3-A8CE-7B6B063B5E4F}"/>
            </c:ext>
          </c:extLst>
        </c:ser>
        <c:dLbls>
          <c:showLegendKey val="0"/>
          <c:showVal val="0"/>
          <c:showCatName val="0"/>
          <c:showSerName val="0"/>
          <c:showPercent val="0"/>
          <c:showBubbleSize val="0"/>
        </c:dLbls>
        <c:gapWidth val="150"/>
        <c:overlap val="100"/>
        <c:axId val="953351168"/>
        <c:axId val="953352960"/>
      </c:barChart>
      <c:catAx>
        <c:axId val="953351168"/>
        <c:scaling>
          <c:orientation val="minMax"/>
        </c:scaling>
        <c:delete val="0"/>
        <c:axPos val="b"/>
        <c:numFmt formatCode="General" sourceLinked="1"/>
        <c:majorTickMark val="out"/>
        <c:minorTickMark val="none"/>
        <c:tickLblPos val="nextTo"/>
        <c:crossAx val="953352960"/>
        <c:crosses val="autoZero"/>
        <c:auto val="1"/>
        <c:lblAlgn val="ctr"/>
        <c:lblOffset val="100"/>
        <c:noMultiLvlLbl val="0"/>
      </c:catAx>
      <c:valAx>
        <c:axId val="953352960"/>
        <c:scaling>
          <c:orientation val="minMax"/>
          <c:max val="1"/>
          <c:min val="0"/>
        </c:scaling>
        <c:delete val="0"/>
        <c:axPos val="l"/>
        <c:majorGridlines/>
        <c:numFmt formatCode="0%" sourceLinked="1"/>
        <c:majorTickMark val="out"/>
        <c:minorTickMark val="none"/>
        <c:tickLblPos val="nextTo"/>
        <c:crossAx val="953351168"/>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'U10m pots and traps'!$B$162</c:f>
              <c:strCache>
                <c:ptCount val="1"/>
                <c:pt idx="0">
                  <c:v>Brown Crab</c:v>
                </c:pt>
              </c:strCache>
            </c:strRef>
          </c:tx>
          <c:spPr>
            <a:solidFill>
              <a:srgbClr val="E87308"/>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traps'!$C$162:$E$162</c:f>
              <c:numCache>
                <c:formatCode>0%</c:formatCode>
                <c:ptCount val="3"/>
                <c:pt idx="0">
                  <c:v>0.38611064923932448</c:v>
                </c:pt>
                <c:pt idx="1">
                  <c:v>0.42449622653581781</c:v>
                </c:pt>
                <c:pt idx="2">
                  <c:v>0.38930437320770361</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'U10m pots and traps'!$B$163</c:f>
              <c:strCache>
                <c:ptCount val="1"/>
                <c:pt idx="0">
                  <c:v>Whelks</c:v>
                </c:pt>
              </c:strCache>
            </c:strRef>
          </c:tx>
          <c:spPr>
            <a:solidFill>
              <a:srgbClr val="648C2E"/>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traps'!$C$163:$E$163</c:f>
              <c:numCache>
                <c:formatCode>0%</c:formatCode>
                <c:ptCount val="3"/>
                <c:pt idx="0">
                  <c:v>0.42314332696132184</c:v>
                </c:pt>
                <c:pt idx="1">
                  <c:v>0.28721080115192904</c:v>
                </c:pt>
                <c:pt idx="2">
                  <c:v>0.21248489662022688</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'U10m pots and traps'!$B$164</c:f>
              <c:strCache>
                <c:ptCount val="1"/>
                <c:pt idx="0">
                  <c:v>Lobsters</c:v>
                </c:pt>
              </c:strCache>
            </c:strRef>
          </c:tx>
          <c:spPr>
            <a:solidFill>
              <a:srgbClr val="2273B9"/>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traps'!$C$164:$E$164</c:f>
              <c:numCache>
                <c:formatCode>0%</c:formatCode>
                <c:ptCount val="3"/>
                <c:pt idx="0">
                  <c:v>7.6605045137708938E-2</c:v>
                </c:pt>
                <c:pt idx="1">
                  <c:v>8.7339599831392473E-2</c:v>
                </c:pt>
                <c:pt idx="2">
                  <c:v>8.2785307073855771E-2</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'U10m pots and traps'!$B$165</c:f>
              <c:strCache>
                <c:ptCount val="1"/>
                <c:pt idx="0">
                  <c:v>Velvet Crab</c:v>
                </c:pt>
              </c:strCache>
            </c:strRef>
          </c:tx>
          <c:spPr>
            <a:solidFill>
              <a:srgbClr val="E84A38"/>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traps'!$C$165:$E$165</c:f>
              <c:numCache>
                <c:formatCode>0%</c:formatCode>
                <c:ptCount val="3"/>
                <c:pt idx="0">
                  <c:v>4.2804966171277339E-2</c:v>
                </c:pt>
                <c:pt idx="1">
                  <c:v>5.8718623080364782E-2</c:v>
                </c:pt>
                <c:pt idx="2">
                  <c:v>0.10843263064728874</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'U10m pots and traps'!$B$166</c:f>
              <c:strCache>
                <c:ptCount val="1"/>
                <c:pt idx="0">
                  <c:v>Nephrops</c:v>
                </c:pt>
              </c:strCache>
            </c:strRef>
          </c:tx>
          <c:spPr>
            <a:solidFill>
              <a:srgbClr val="C1D119"/>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traps'!$C$166:$E$166</c:f>
              <c:numCache>
                <c:formatCode>0%</c:formatCode>
                <c:ptCount val="3"/>
                <c:pt idx="0">
                  <c:v>1.4093395224102212E-2</c:v>
                </c:pt>
                <c:pt idx="1">
                  <c:v>5.2966707769342036E-2</c:v>
                </c:pt>
                <c:pt idx="2">
                  <c:v>0.1190896405608242</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'U10m pots and traps'!$B$167</c:f>
              <c:strCache>
                <c:ptCount val="1"/>
                <c:pt idx="0">
                  <c:v>Others</c:v>
                </c:pt>
              </c:strCache>
            </c:strRef>
          </c:tx>
          <c:spPr>
            <a:solidFill>
              <a:srgbClr val="55585A"/>
            </a:solidFill>
            <a:ln>
              <a:solidFill>
                <a:srgbClr val="FFFFFF"/>
              </a:solidFill>
            </a:ln>
          </c:spPr>
          <c:invertIfNegative val="0"/>
          <c:cat>
            <c:strRef>
              <c:f>'U10m pots and traps'!$C$161:$E$161</c:f>
              <c:strCache>
                <c:ptCount val="3"/>
                <c:pt idx="0">
                  <c:v>Most
profitable
quartile</c:v>
                </c:pt>
                <c:pt idx="1">
                  <c:v>Middle 
two quartiles</c:v>
                </c:pt>
                <c:pt idx="2">
                  <c:v>Least
profitable
quartile</c:v>
                </c:pt>
              </c:strCache>
            </c:strRef>
          </c:cat>
          <c:val>
            <c:numRef>
              <c:f>'U10m pots and traps'!$C$167:$E$167</c:f>
              <c:numCache>
                <c:formatCode>0%</c:formatCode>
                <c:ptCount val="3"/>
                <c:pt idx="0">
                  <c:v>5.7242617266265117E-2</c:v>
                </c:pt>
                <c:pt idx="1">
                  <c:v>8.9268041631153761E-2</c:v>
                </c:pt>
                <c:pt idx="2">
                  <c:v>8.7903151890100895E-2</c:v>
                </c:pt>
              </c:numCache>
            </c:numRef>
          </c:val>
          <c:extLst xmlns:c16r2="http://schemas.microsoft.com/office/drawing/2015/06/chart">
            <c:ext xmlns:c16="http://schemas.microsoft.com/office/drawing/2014/chart" uri="{C3380CC4-5D6E-409C-BE32-E72D297353CC}">
              <c16:uniqueId val="{00000005-DFDD-4C01-8393-1BE532AE55F9}"/>
            </c:ext>
          </c:extLst>
        </c:ser>
        <c:dLbls>
          <c:showLegendKey val="0"/>
          <c:showVal val="0"/>
          <c:showCatName val="0"/>
          <c:showSerName val="0"/>
          <c:showPercent val="0"/>
          <c:showBubbleSize val="0"/>
        </c:dLbls>
        <c:gapWidth val="150"/>
        <c:overlap val="100"/>
        <c:axId val="953428992"/>
        <c:axId val="953434880"/>
      </c:barChart>
      <c:catAx>
        <c:axId val="953428992"/>
        <c:scaling>
          <c:orientation val="minMax"/>
        </c:scaling>
        <c:delete val="0"/>
        <c:axPos val="b"/>
        <c:numFmt formatCode="General" sourceLinked="0"/>
        <c:majorTickMark val="out"/>
        <c:minorTickMark val="none"/>
        <c:tickLblPos val="nextTo"/>
        <c:crossAx val="953434880"/>
        <c:crosses val="autoZero"/>
        <c:auto val="1"/>
        <c:lblAlgn val="ctr"/>
        <c:lblOffset val="100"/>
        <c:noMultiLvlLbl val="0"/>
      </c:catAx>
      <c:valAx>
        <c:axId val="953434880"/>
        <c:scaling>
          <c:orientation val="minMax"/>
          <c:max val="1"/>
          <c:min val="0"/>
        </c:scaling>
        <c:delete val="0"/>
        <c:axPos val="l"/>
        <c:majorGridlines/>
        <c:minorGridlines/>
        <c:numFmt formatCode="0%" sourceLinked="1"/>
        <c:majorTickMark val="out"/>
        <c:minorTickMark val="none"/>
        <c:tickLblPos val="nextTo"/>
        <c:crossAx val="953428992"/>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'U10m pots and traps'!$H$162</c:f>
              <c:strCache>
                <c:ptCount val="1"/>
                <c:pt idx="0">
                  <c:v>Lobsters</c:v>
                </c:pt>
              </c:strCache>
            </c:strRef>
          </c:tx>
          <c:spPr>
            <a:solidFill>
              <a:srgbClr val="2273B9"/>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traps'!$I$162:$K$162</c:f>
              <c:numCache>
                <c:formatCode>0%</c:formatCode>
                <c:ptCount val="3"/>
                <c:pt idx="0">
                  <c:v>0.40155957045482116</c:v>
                </c:pt>
                <c:pt idx="1">
                  <c:v>0.41734557627652741</c:v>
                </c:pt>
                <c:pt idx="2">
                  <c:v>0.35645744151448755</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'U10m pots and traps'!$H$163</c:f>
              <c:strCache>
                <c:ptCount val="1"/>
                <c:pt idx="0">
                  <c:v>Brown Crab</c:v>
                </c:pt>
              </c:strCache>
            </c:strRef>
          </c:tx>
          <c:spPr>
            <a:solidFill>
              <a:srgbClr val="E87308"/>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traps'!$I$163:$K$163</c:f>
              <c:numCache>
                <c:formatCode>0%</c:formatCode>
                <c:ptCount val="3"/>
                <c:pt idx="0">
                  <c:v>0.23929022359130742</c:v>
                </c:pt>
                <c:pt idx="1">
                  <c:v>0.24586816247825702</c:v>
                </c:pt>
                <c:pt idx="2">
                  <c:v>0.18057007672263017</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'U10m pots and traps'!$H$164</c:f>
              <c:strCache>
                <c:ptCount val="1"/>
                <c:pt idx="0">
                  <c:v>Whelks</c:v>
                </c:pt>
              </c:strCache>
            </c:strRef>
          </c:tx>
          <c:spPr>
            <a:solidFill>
              <a:srgbClr val="648C2E"/>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traps'!$I$164:$K$164</c:f>
              <c:numCache>
                <c:formatCode>0%</c:formatCode>
                <c:ptCount val="3"/>
                <c:pt idx="0">
                  <c:v>0.18728541814998853</c:v>
                </c:pt>
                <c:pt idx="1">
                  <c:v>0.13734985084706525</c:v>
                </c:pt>
                <c:pt idx="2">
                  <c:v>7.5156042321204777E-2</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'U10m pots and traps'!$H$165</c:f>
              <c:strCache>
                <c:ptCount val="1"/>
                <c:pt idx="0">
                  <c:v>Nephrops</c:v>
                </c:pt>
              </c:strCache>
            </c:strRef>
          </c:tx>
          <c:spPr>
            <a:solidFill>
              <a:srgbClr val="C1D119"/>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traps'!$I$165:$K$165</c:f>
              <c:numCache>
                <c:formatCode>0%</c:formatCode>
                <c:ptCount val="3"/>
                <c:pt idx="0">
                  <c:v>3.3885333345453232E-2</c:v>
                </c:pt>
                <c:pt idx="1">
                  <c:v>9.1470905538996755E-2</c:v>
                </c:pt>
                <c:pt idx="2">
                  <c:v>0.23199608427864116</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'U10m pots and traps'!$H$166</c:f>
              <c:strCache>
                <c:ptCount val="1"/>
                <c:pt idx="0">
                  <c:v>Velvet Crab</c:v>
                </c:pt>
              </c:strCache>
            </c:strRef>
          </c:tx>
          <c:spPr>
            <a:solidFill>
              <a:srgbClr val="E84A38"/>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traps'!$I$166:$K$166</c:f>
              <c:numCache>
                <c:formatCode>0%</c:formatCode>
                <c:ptCount val="3"/>
                <c:pt idx="0">
                  <c:v>5.2595143021783336E-2</c:v>
                </c:pt>
                <c:pt idx="1">
                  <c:v>6.4962392619812931E-2</c:v>
                </c:pt>
                <c:pt idx="2">
                  <c:v>9.2886185708243585E-2</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'U10m pots and traps'!$H$167</c:f>
              <c:strCache>
                <c:ptCount val="1"/>
                <c:pt idx="0">
                  <c:v>Others</c:v>
                </c:pt>
              </c:strCache>
            </c:strRef>
          </c:tx>
          <c:spPr>
            <a:solidFill>
              <a:srgbClr val="55585A"/>
            </a:solidFill>
            <a:ln>
              <a:solidFill>
                <a:srgbClr val="FFFFFF"/>
              </a:solidFill>
            </a:ln>
          </c:spPr>
          <c:invertIfNegative val="0"/>
          <c:cat>
            <c:strRef>
              <c:f>'U10m pots and traps'!$I$161:$K$161</c:f>
              <c:strCache>
                <c:ptCount val="3"/>
                <c:pt idx="0">
                  <c:v>Most
profitable
quartile</c:v>
                </c:pt>
                <c:pt idx="1">
                  <c:v>Middle 
two quartiles</c:v>
                </c:pt>
                <c:pt idx="2">
                  <c:v>Least
profitable
quartile</c:v>
                </c:pt>
              </c:strCache>
            </c:strRef>
          </c:cat>
          <c:val>
            <c:numRef>
              <c:f>'U10m pots and traps'!$I$167:$K$167</c:f>
              <c:numCache>
                <c:formatCode>0%</c:formatCode>
                <c:ptCount val="3"/>
                <c:pt idx="0">
                  <c:v>8.5384311436646265E-2</c:v>
                </c:pt>
                <c:pt idx="1">
                  <c:v>4.3003112239340613E-2</c:v>
                </c:pt>
                <c:pt idx="2">
                  <c:v>6.2934169454792799E-2</c:v>
                </c:pt>
              </c:numCache>
            </c:numRef>
          </c:val>
          <c:extLst xmlns:c16r2="http://schemas.microsoft.com/office/drawing/2015/06/chart">
            <c:ext xmlns:c16="http://schemas.microsoft.com/office/drawing/2014/chart" uri="{C3380CC4-5D6E-409C-BE32-E72D297353CC}">
              <c16:uniqueId val="{00000005-DC58-4725-8A67-0BDC09FD93CD}"/>
            </c:ext>
          </c:extLst>
        </c:ser>
        <c:dLbls>
          <c:showLegendKey val="0"/>
          <c:showVal val="0"/>
          <c:showCatName val="0"/>
          <c:showSerName val="0"/>
          <c:showPercent val="0"/>
          <c:showBubbleSize val="0"/>
        </c:dLbls>
        <c:gapWidth val="150"/>
        <c:overlap val="100"/>
        <c:axId val="953474432"/>
        <c:axId val="953476224"/>
      </c:barChart>
      <c:catAx>
        <c:axId val="953474432"/>
        <c:scaling>
          <c:orientation val="minMax"/>
        </c:scaling>
        <c:delete val="0"/>
        <c:axPos val="b"/>
        <c:numFmt formatCode="General" sourceLinked="0"/>
        <c:majorTickMark val="out"/>
        <c:minorTickMark val="none"/>
        <c:tickLblPos val="nextTo"/>
        <c:crossAx val="953476224"/>
        <c:crosses val="autoZero"/>
        <c:auto val="1"/>
        <c:lblAlgn val="ctr"/>
        <c:lblOffset val="100"/>
        <c:noMultiLvlLbl val="0"/>
      </c:catAx>
      <c:valAx>
        <c:axId val="953476224"/>
        <c:scaling>
          <c:orientation val="minMax"/>
          <c:max val="1"/>
          <c:min val="0"/>
        </c:scaling>
        <c:delete val="0"/>
        <c:axPos val="l"/>
        <c:majorGridlines/>
        <c:minorGridlines/>
        <c:numFmt formatCode="0%" sourceLinked="1"/>
        <c:majorTickMark val="out"/>
        <c:minorTickMark val="none"/>
        <c:tickLblPos val="nextTo"/>
        <c:crossAx val="953474432"/>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pots and traps'!$K$143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'U10m pots and traps'!$K$139</c:f>
              <c:strCache>
                <c:ptCount val="1"/>
                <c:pt idx="0">
                  <c:v>Total income</c:v>
                </c:pt>
              </c:strCache>
            </c:strRef>
          </c:tx>
          <c:spPr>
            <a:solidFill>
              <a:schemeClr val="accent1"/>
            </a:solidFill>
            <a:ln>
              <a:solidFill>
                <a:schemeClr val="accent1"/>
              </a:solidFill>
            </a:ln>
          </c:spPr>
          <c:invertIfNegative val="0"/>
          <c:cat>
            <c:strRef>
              <c:f>'U10m pots and traps'!$L$138:$N$138</c:f>
              <c:strCache>
                <c:ptCount val="3"/>
                <c:pt idx="0">
                  <c:v>Most
profitable
quartile</c:v>
                </c:pt>
                <c:pt idx="1">
                  <c:v>Middle
two quartiles</c:v>
                </c:pt>
                <c:pt idx="2">
                  <c:v>Least
profitable
quartile</c:v>
                </c:pt>
              </c:strCache>
            </c:strRef>
          </c:cat>
          <c:val>
            <c:numRef>
              <c:f>'U10m pots and traps'!$L$139:$N$139</c:f>
              <c:numCache>
                <c:formatCode>#,##0</c:formatCode>
                <c:ptCount val="3"/>
                <c:pt idx="0">
                  <c:v>96.253593749999993</c:v>
                </c:pt>
                <c:pt idx="1">
                  <c:v>60.385936098624299</c:v>
                </c:pt>
                <c:pt idx="2">
                  <c:v>28.901902343749999</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'U10m pots and traps'!$K$140</c:f>
              <c:strCache>
                <c:ptCount val="1"/>
                <c:pt idx="0">
                  <c:v>Operating costs</c:v>
                </c:pt>
              </c:strCache>
            </c:strRef>
          </c:tx>
          <c:spPr>
            <a:solidFill>
              <a:schemeClr val="accent3"/>
            </a:solidFill>
          </c:spPr>
          <c:invertIfNegative val="0"/>
          <c:cat>
            <c:strRef>
              <c:f>'U10m pots and traps'!$L$138:$N$138</c:f>
              <c:strCache>
                <c:ptCount val="3"/>
                <c:pt idx="0">
                  <c:v>Most
profitable
quartile</c:v>
                </c:pt>
                <c:pt idx="1">
                  <c:v>Middle
two quartiles</c:v>
                </c:pt>
                <c:pt idx="2">
                  <c:v>Least
profitable
quartile</c:v>
                </c:pt>
              </c:strCache>
            </c:strRef>
          </c:cat>
          <c:val>
            <c:numRef>
              <c:f>'U10m pots and traps'!$L$140:$N$140</c:f>
              <c:numCache>
                <c:formatCode>#,##0</c:formatCode>
                <c:ptCount val="3"/>
                <c:pt idx="0">
                  <c:v>66.848070312499999</c:v>
                </c:pt>
                <c:pt idx="1">
                  <c:v>45.041571476928098</c:v>
                </c:pt>
                <c:pt idx="2">
                  <c:v>25.07951953125</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'U10m pots and traps'!$K$141</c:f>
              <c:strCache>
                <c:ptCount val="1"/>
                <c:pt idx="0">
                  <c:v>Operating profit</c:v>
                </c:pt>
              </c:strCache>
            </c:strRef>
          </c:tx>
          <c:spPr>
            <a:solidFill>
              <a:schemeClr val="accent2"/>
            </a:solidFill>
          </c:spPr>
          <c:invertIfNegative val="0"/>
          <c:cat>
            <c:strRef>
              <c:f>'U10m pots and traps'!$L$138:$N$138</c:f>
              <c:strCache>
                <c:ptCount val="3"/>
                <c:pt idx="0">
                  <c:v>Most
profitable
quartile</c:v>
                </c:pt>
                <c:pt idx="1">
                  <c:v>Middle
two quartiles</c:v>
                </c:pt>
                <c:pt idx="2">
                  <c:v>Least
profitable
quartile</c:v>
                </c:pt>
              </c:strCache>
            </c:strRef>
          </c:cat>
          <c:val>
            <c:numRef>
              <c:f>'U10m pots and traps'!$L$141:$N$141</c:f>
              <c:numCache>
                <c:formatCode>#,##0</c:formatCode>
                <c:ptCount val="3"/>
                <c:pt idx="0">
                  <c:v>29.405523437500001</c:v>
                </c:pt>
                <c:pt idx="1">
                  <c:v>15.3443646216963</c:v>
                </c:pt>
                <c:pt idx="2">
                  <c:v>3.8223828124999999</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953651200"/>
        <c:axId val="953652736"/>
      </c:barChart>
      <c:catAx>
        <c:axId val="953651200"/>
        <c:scaling>
          <c:orientation val="minMax"/>
        </c:scaling>
        <c:delete val="0"/>
        <c:axPos val="b"/>
        <c:numFmt formatCode="General" sourceLinked="0"/>
        <c:majorTickMark val="out"/>
        <c:minorTickMark val="none"/>
        <c:tickLblPos val="nextTo"/>
        <c:crossAx val="953652736"/>
        <c:crosses val="autoZero"/>
        <c:auto val="1"/>
        <c:lblAlgn val="ctr"/>
        <c:lblOffset val="100"/>
        <c:noMultiLvlLbl val="0"/>
      </c:catAx>
      <c:valAx>
        <c:axId val="953652736"/>
        <c:scaling>
          <c:orientation val="minMax"/>
        </c:scaling>
        <c:delete val="0"/>
        <c:axPos val="l"/>
        <c:majorGridlines/>
        <c:title>
          <c:tx>
            <c:strRef>
              <c:f>'U10m pots and traps'!$K$142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95365120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VIIa nephrops u250kW'!$B$162</c:f>
              <c:strCache>
                <c:ptCount val="1"/>
                <c:pt idx="0">
                  <c:v>Nephrops</c:v>
                </c:pt>
              </c:strCache>
            </c:strRef>
          </c:tx>
          <c:spPr>
            <a:solidFill>
              <a:srgbClr val="2273B9"/>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u250kW'!$C$162:$E$162</c:f>
              <c:numCache>
                <c:formatCode>0%</c:formatCode>
                <c:ptCount val="3"/>
                <c:pt idx="0">
                  <c:v>0.74879811071438618</c:v>
                </c:pt>
                <c:pt idx="1">
                  <c:v>0.85012154896993197</c:v>
                </c:pt>
                <c:pt idx="2">
                  <c:v>0.81648592417735399</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'Area VIIa nephrops u250kW'!$B$163</c:f>
              <c:strCache>
                <c:ptCount val="1"/>
                <c:pt idx="0">
                  <c:v>Scallops</c:v>
                </c:pt>
              </c:strCache>
            </c:strRef>
          </c:tx>
          <c:spPr>
            <a:solidFill>
              <a:srgbClr val="E87308"/>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u250kW'!$C$163:$E$163</c:f>
              <c:numCache>
                <c:formatCode>0%</c:formatCode>
                <c:ptCount val="3"/>
                <c:pt idx="0">
                  <c:v>7.328228802335468E-2</c:v>
                </c:pt>
                <c:pt idx="1">
                  <c:v>4.747352597002432E-2</c:v>
                </c:pt>
                <c:pt idx="2">
                  <c:v>0</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'Area VIIa nephrops u250kW'!$B$164</c:f>
              <c:strCache>
                <c:ptCount val="1"/>
                <c:pt idx="0">
                  <c:v>Les. Spot. Dog</c:v>
                </c:pt>
              </c:strCache>
            </c:strRef>
          </c:tx>
          <c:spPr>
            <a:solidFill>
              <a:srgbClr val="0F9AA9"/>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u250kW'!$C$164:$E$164</c:f>
              <c:numCache>
                <c:formatCode>0%</c:formatCode>
                <c:ptCount val="3"/>
                <c:pt idx="0">
                  <c:v>2.8849323421141576E-2</c:v>
                </c:pt>
                <c:pt idx="1">
                  <c:v>2.6085217311418971E-2</c:v>
                </c:pt>
                <c:pt idx="2">
                  <c:v>5.6469820073465606E-2</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'Area VIIa nephrops u250kW'!$B$165</c:f>
              <c:strCache>
                <c:ptCount val="1"/>
                <c:pt idx="0">
                  <c:v>Haddock</c:v>
                </c:pt>
              </c:strCache>
            </c:strRef>
          </c:tx>
          <c:spPr>
            <a:solidFill>
              <a:srgbClr val="648C2E"/>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u250kW'!$C$165:$E$165</c:f>
              <c:numCache>
                <c:formatCode>0%</c:formatCode>
                <c:ptCount val="3"/>
                <c:pt idx="0">
                  <c:v>4.616862971047795E-2</c:v>
                </c:pt>
                <c:pt idx="1">
                  <c:v>1.3115136473552979E-2</c:v>
                </c:pt>
                <c:pt idx="2">
                  <c:v>2.6306916386773647E-2</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'Area VIIa nephrops u250kW'!$B$166</c:f>
              <c:strCache>
                <c:ptCount val="1"/>
                <c:pt idx="0">
                  <c:v>Anglerfish</c:v>
                </c:pt>
              </c:strCache>
            </c:strRef>
          </c:tx>
          <c:spPr>
            <a:solidFill>
              <a:srgbClr val="C1D119"/>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u250kW'!$C$166:$E$166</c:f>
              <c:numCache>
                <c:formatCode>0%</c:formatCode>
                <c:ptCount val="3"/>
                <c:pt idx="0">
                  <c:v>0</c:v>
                </c:pt>
                <c:pt idx="1">
                  <c:v>1.3096893419976123E-2</c:v>
                </c:pt>
                <c:pt idx="2">
                  <c:v>1.557299788181305E-2</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'Area VIIa nephrops u250kW'!$B$167</c:f>
              <c:strCache>
                <c:ptCount val="1"/>
                <c:pt idx="0">
                  <c:v>Queen Scallops</c:v>
                </c:pt>
              </c:strCache>
            </c:strRef>
          </c:tx>
          <c:spPr>
            <a:solidFill>
              <a:srgbClr val="FED825"/>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u250kW'!$C$167:$E$167</c:f>
              <c:numCache>
                <c:formatCode>0%</c:formatCode>
                <c:ptCount val="3"/>
                <c:pt idx="0">
                  <c:v>0</c:v>
                </c:pt>
                <c:pt idx="1">
                  <c:v>0</c:v>
                </c:pt>
                <c:pt idx="2">
                  <c:v>5.7375383485274919E-2</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'Area VIIa nephrops u250kW'!$B$168</c:f>
              <c:strCache>
                <c:ptCount val="1"/>
                <c:pt idx="0">
                  <c:v>Mussels</c:v>
                </c:pt>
              </c:strCache>
            </c:strRef>
          </c:tx>
          <c:spPr>
            <a:solidFill>
              <a:srgbClr val="E84A38"/>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u250kW'!$C$168:$E$168</c:f>
              <c:numCache>
                <c:formatCode>0%</c:formatCode>
                <c:ptCount val="3"/>
                <c:pt idx="0">
                  <c:v>5.8798263202027717E-2</c:v>
                </c:pt>
                <c:pt idx="1">
                  <c:v>0</c:v>
                </c:pt>
                <c:pt idx="2">
                  <c:v>0</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'Area VIIa nephrops u250kW'!$B$169</c:f>
              <c:strCache>
                <c:ptCount val="1"/>
                <c:pt idx="0">
                  <c:v>Others</c:v>
                </c:pt>
              </c:strCache>
            </c:strRef>
          </c:tx>
          <c:spPr>
            <a:solidFill>
              <a:srgbClr val="55585A"/>
            </a:solidFill>
            <a:ln>
              <a:solidFill>
                <a:srgbClr val="FFFFFF"/>
              </a:solidFill>
            </a:ln>
          </c:spPr>
          <c:invertIfNegative val="0"/>
          <c:cat>
            <c:strRef>
              <c:f>'Area VIIa nephrops u250kW'!$C$161:$E$161</c:f>
              <c:strCache>
                <c:ptCount val="3"/>
                <c:pt idx="0">
                  <c:v>Most
profitable
quartile</c:v>
                </c:pt>
                <c:pt idx="1">
                  <c:v>Middle 
two quartiles</c:v>
                </c:pt>
                <c:pt idx="2">
                  <c:v>Least
profitable
quartile</c:v>
                </c:pt>
              </c:strCache>
            </c:strRef>
          </c:cat>
          <c:val>
            <c:numRef>
              <c:f>'Area VIIa nephrops u250kW'!$C$169:$E$169</c:f>
              <c:numCache>
                <c:formatCode>0%</c:formatCode>
                <c:ptCount val="3"/>
                <c:pt idx="0">
                  <c:v>4.4103384928611877E-2</c:v>
                </c:pt>
                <c:pt idx="1">
                  <c:v>5.0107677855095623E-2</c:v>
                </c:pt>
                <c:pt idx="2">
                  <c:v>2.7788957995318775E-2</c:v>
                </c:pt>
              </c:numCache>
            </c:numRef>
          </c:val>
          <c:extLst xmlns:c16r2="http://schemas.microsoft.com/office/drawing/2015/06/chart">
            <c:ext xmlns:c16="http://schemas.microsoft.com/office/drawing/2014/chart" uri="{C3380CC4-5D6E-409C-BE32-E72D297353CC}">
              <c16:uniqueId val="{00000007-DFDD-4C01-8393-1BE532AE55F9}"/>
            </c:ext>
          </c:extLst>
        </c:ser>
        <c:dLbls>
          <c:showLegendKey val="0"/>
          <c:showVal val="0"/>
          <c:showCatName val="0"/>
          <c:showSerName val="0"/>
          <c:showPercent val="0"/>
          <c:showBubbleSize val="0"/>
        </c:dLbls>
        <c:gapWidth val="150"/>
        <c:overlap val="100"/>
        <c:axId val="704764160"/>
        <c:axId val="704778240"/>
      </c:barChart>
      <c:catAx>
        <c:axId val="704764160"/>
        <c:scaling>
          <c:orientation val="minMax"/>
        </c:scaling>
        <c:delete val="0"/>
        <c:axPos val="b"/>
        <c:numFmt formatCode="General" sourceLinked="0"/>
        <c:majorTickMark val="out"/>
        <c:minorTickMark val="none"/>
        <c:tickLblPos val="nextTo"/>
        <c:crossAx val="704778240"/>
        <c:crosses val="autoZero"/>
        <c:auto val="1"/>
        <c:lblAlgn val="ctr"/>
        <c:lblOffset val="100"/>
        <c:noMultiLvlLbl val="0"/>
      </c:catAx>
      <c:valAx>
        <c:axId val="704778240"/>
        <c:scaling>
          <c:orientation val="minMax"/>
          <c:max val="1"/>
          <c:min val="0"/>
        </c:scaling>
        <c:delete val="0"/>
        <c:axPos val="l"/>
        <c:majorGridlines/>
        <c:minorGridlines/>
        <c:numFmt formatCode="0%" sourceLinked="1"/>
        <c:majorTickMark val="out"/>
        <c:minorTickMark val="none"/>
        <c:tickLblPos val="nextTo"/>
        <c:crossAx val="704764160"/>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hooks'!$A$48</c:f>
          <c:strCache>
            <c:ptCount val="1"/>
            <c:pt idx="0">
              <c:v>Landings per kW day at sea (kg)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'U10m using hooks'!$D$2:$N$2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using hooks'!$D$21:$N$21</c:f>
              <c:numCache>
                <c:formatCode>#,##0.00</c:formatCode>
                <c:ptCount val="11"/>
                <c:pt idx="0">
                  <c:v>2.2230035316250309</c:v>
                </c:pt>
                <c:pt idx="1">
                  <c:v>2.4389918290344914</c:v>
                </c:pt>
                <c:pt idx="2">
                  <c:v>2.4978594503623119</c:v>
                </c:pt>
                <c:pt idx="3">
                  <c:v>2.3692265317206744</c:v>
                </c:pt>
                <c:pt idx="4">
                  <c:v>2.7082167767700356</c:v>
                </c:pt>
                <c:pt idx="5">
                  <c:v>2.5972569315193668</c:v>
                </c:pt>
                <c:pt idx="6">
                  <c:v>2.0713362400375117</c:v>
                </c:pt>
                <c:pt idx="7">
                  <c:v>2.0125722146483462</c:v>
                </c:pt>
                <c:pt idx="8">
                  <c:v>2.5944812783880207</c:v>
                </c:pt>
                <c:pt idx="9">
                  <c:v>3.2054003491969634</c:v>
                </c:pt>
                <c:pt idx="10">
                  <c:v>2.7498369485588015</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952992896"/>
        <c:axId val="952994432"/>
      </c:lineChart>
      <c:catAx>
        <c:axId val="952992896"/>
        <c:scaling>
          <c:orientation val="minMax"/>
        </c:scaling>
        <c:delete val="0"/>
        <c:axPos val="b"/>
        <c:numFmt formatCode="General" sourceLinked="1"/>
        <c:majorTickMark val="out"/>
        <c:minorTickMark val="none"/>
        <c:tickLblPos val="nextTo"/>
        <c:crossAx val="952994432"/>
        <c:crosses val="autoZero"/>
        <c:auto val="1"/>
        <c:lblAlgn val="ctr"/>
        <c:lblOffset val="100"/>
        <c:noMultiLvlLbl val="0"/>
      </c:catAx>
      <c:valAx>
        <c:axId val="952994432"/>
        <c:scaling>
          <c:orientation val="minMax"/>
        </c:scaling>
        <c:delete val="0"/>
        <c:axPos val="l"/>
        <c:majorGridlines>
          <c:spPr>
            <a:ln w="3175">
              <a:prstDash val="sysDot"/>
            </a:ln>
          </c:spPr>
        </c:majorGridlines>
        <c:numFmt formatCode="#,##0.00" sourceLinked="1"/>
        <c:majorTickMark val="out"/>
        <c:minorTickMark val="none"/>
        <c:tickLblPos val="nextTo"/>
        <c:crossAx val="952992896"/>
        <c:crosses val="autoZero"/>
        <c:crossBetween val="between"/>
      </c:valAx>
    </c:plotArea>
    <c:plotVisOnly val="0"/>
    <c:dispBlanksAs val="gap"/>
    <c:showDLblsOverMax val="0"/>
  </c:chart>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hooks'!$A$49</c:f>
          <c:strCache>
            <c:ptCount val="1"/>
            <c:pt idx="0">
              <c:v>Fishing income per kW day at sea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'U10m using hooks'!$D$2:$N$2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using hooks'!$D$22:$N$22</c:f>
              <c:numCache>
                <c:formatCode>#,##0.00</c:formatCode>
                <c:ptCount val="11"/>
                <c:pt idx="0">
                  <c:v>6.4272607697647297</c:v>
                </c:pt>
                <c:pt idx="1">
                  <c:v>6.64825300295107</c:v>
                </c:pt>
                <c:pt idx="2">
                  <c:v>7.1405463844536596</c:v>
                </c:pt>
                <c:pt idx="3">
                  <c:v>6.9581481384477</c:v>
                </c:pt>
                <c:pt idx="4">
                  <c:v>8.1614931622480196</c:v>
                </c:pt>
                <c:pt idx="5">
                  <c:v>8.0895959923728302</c:v>
                </c:pt>
                <c:pt idx="6">
                  <c:v>6.8192681668011703</c:v>
                </c:pt>
                <c:pt idx="7">
                  <c:v>6.4690027667827197</c:v>
                </c:pt>
                <c:pt idx="8">
                  <c:v>8.1070385932743605</c:v>
                </c:pt>
                <c:pt idx="9">
                  <c:v>10.130891056871199</c:v>
                </c:pt>
                <c:pt idx="10">
                  <c:v>10.15244965406024</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953024896"/>
        <c:axId val="953026432"/>
      </c:lineChart>
      <c:catAx>
        <c:axId val="953024896"/>
        <c:scaling>
          <c:orientation val="minMax"/>
        </c:scaling>
        <c:delete val="0"/>
        <c:axPos val="b"/>
        <c:numFmt formatCode="General" sourceLinked="1"/>
        <c:majorTickMark val="out"/>
        <c:minorTickMark val="none"/>
        <c:tickLblPos val="nextTo"/>
        <c:crossAx val="953026432"/>
        <c:crosses val="autoZero"/>
        <c:auto val="1"/>
        <c:lblAlgn val="ctr"/>
        <c:lblOffset val="100"/>
        <c:noMultiLvlLbl val="0"/>
      </c:catAx>
      <c:valAx>
        <c:axId val="953026432"/>
        <c:scaling>
          <c:orientation val="minMax"/>
        </c:scaling>
        <c:delete val="0"/>
        <c:axPos val="l"/>
        <c:majorGridlines>
          <c:spPr>
            <a:ln w="3175">
              <a:prstDash val="sysDot"/>
            </a:ln>
          </c:spPr>
        </c:majorGridlines>
        <c:numFmt formatCode="#,##0.00" sourceLinked="1"/>
        <c:majorTickMark val="out"/>
        <c:minorTickMark val="none"/>
        <c:tickLblPos val="nextTo"/>
        <c:crossAx val="953024896"/>
        <c:crosses val="autoZero"/>
        <c:crossBetween val="between"/>
      </c:valAx>
    </c:plotArea>
    <c:plotVisOnly val="0"/>
    <c:dispBlanksAs val="gap"/>
    <c:showDLblsOverMax val="0"/>
  </c:chart>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hooks'!$B$62</c:f>
          <c:strCache>
            <c:ptCount val="1"/>
            <c:pt idx="0">
              <c:v>Total cost per kW day at sea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'U10m using hooks'!$D$2:$N$2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using hooks'!$D$23:$N$23</c:f>
              <c:numCache>
                <c:formatCode>#,##0.00</c:formatCode>
                <c:ptCount val="11"/>
                <c:pt idx="0">
                  <c:v>5.5097639673307901</c:v>
                </c:pt>
                <c:pt idx="1">
                  <c:v>4.5903880694175498</c:v>
                </c:pt>
                <c:pt idx="2">
                  <c:v>5.8172655829005802</c:v>
                </c:pt>
                <c:pt idx="3">
                  <c:v>6.5864098342905697</c:v>
                </c:pt>
                <c:pt idx="4">
                  <c:v>6.8368874548616096</c:v>
                </c:pt>
                <c:pt idx="5">
                  <c:v>6.6487356244499098</c:v>
                </c:pt>
                <c:pt idx="6">
                  <c:v>5.0534135567610603</c:v>
                </c:pt>
                <c:pt idx="7">
                  <c:v>4.3909343837052903</c:v>
                </c:pt>
                <c:pt idx="8">
                  <c:v>5.1642688820628697</c:v>
                </c:pt>
                <c:pt idx="9">
                  <c:v>7.1787697395595798</c:v>
                </c:pt>
                <c:pt idx="10">
                  <c:v>7.2751313620599927</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953073024"/>
        <c:axId val="953074816"/>
      </c:lineChart>
      <c:catAx>
        <c:axId val="953073024"/>
        <c:scaling>
          <c:orientation val="minMax"/>
        </c:scaling>
        <c:delete val="0"/>
        <c:axPos val="b"/>
        <c:numFmt formatCode="General" sourceLinked="1"/>
        <c:majorTickMark val="out"/>
        <c:minorTickMark val="none"/>
        <c:tickLblPos val="nextTo"/>
        <c:crossAx val="953074816"/>
        <c:crosses val="autoZero"/>
        <c:auto val="1"/>
        <c:lblAlgn val="ctr"/>
        <c:lblOffset val="100"/>
        <c:noMultiLvlLbl val="0"/>
      </c:catAx>
      <c:valAx>
        <c:axId val="953074816"/>
        <c:scaling>
          <c:orientation val="minMax"/>
        </c:scaling>
        <c:delete val="0"/>
        <c:axPos val="l"/>
        <c:majorGridlines>
          <c:spPr>
            <a:ln w="3175">
              <a:prstDash val="sysDot"/>
            </a:ln>
          </c:spPr>
        </c:majorGridlines>
        <c:numFmt formatCode="#,##0.00" sourceLinked="1"/>
        <c:majorTickMark val="out"/>
        <c:minorTickMark val="none"/>
        <c:tickLblPos val="nextTo"/>
        <c:crossAx val="953073024"/>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hooks'!$K$48</c:f>
          <c:strCache>
            <c:ptCount val="1"/>
            <c:pt idx="0">
              <c:v>Operating profit per kW day at sea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'U10m using hooks'!$D$2:$N$2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using hooks'!$D$24:$N$24</c:f>
              <c:numCache>
                <c:formatCode>#,##0.00</c:formatCode>
                <c:ptCount val="11"/>
                <c:pt idx="0">
                  <c:v>0.96575509408024696</c:v>
                </c:pt>
                <c:pt idx="1">
                  <c:v>2.3285854437576301</c:v>
                </c:pt>
                <c:pt idx="2">
                  <c:v>1.5810515567079599</c:v>
                </c:pt>
                <c:pt idx="3">
                  <c:v>0.48265880137990802</c:v>
                </c:pt>
                <c:pt idx="4">
                  <c:v>1.5054803941600801</c:v>
                </c:pt>
                <c:pt idx="5">
                  <c:v>2.6450363180359502</c:v>
                </c:pt>
                <c:pt idx="6">
                  <c:v>2.0009712258190899</c:v>
                </c:pt>
                <c:pt idx="7">
                  <c:v>2.1460962454588302</c:v>
                </c:pt>
                <c:pt idx="8">
                  <c:v>2.99895925827138</c:v>
                </c:pt>
                <c:pt idx="9">
                  <c:v>3.4680670199841002</c:v>
                </c:pt>
                <c:pt idx="10">
                  <c:v>3.3943619113105772</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54206848"/>
        <c:axId val="954229120"/>
      </c:lineChart>
      <c:catAx>
        <c:axId val="954206848"/>
        <c:scaling>
          <c:orientation val="minMax"/>
        </c:scaling>
        <c:delete val="0"/>
        <c:axPos val="b"/>
        <c:numFmt formatCode="General" sourceLinked="1"/>
        <c:majorTickMark val="out"/>
        <c:minorTickMark val="none"/>
        <c:tickLblPos val="nextTo"/>
        <c:crossAx val="954229120"/>
        <c:crosses val="autoZero"/>
        <c:auto val="1"/>
        <c:lblAlgn val="ctr"/>
        <c:lblOffset val="100"/>
        <c:noMultiLvlLbl val="0"/>
      </c:catAx>
      <c:valAx>
        <c:axId val="954229120"/>
        <c:scaling>
          <c:orientation val="minMax"/>
        </c:scaling>
        <c:delete val="0"/>
        <c:axPos val="l"/>
        <c:majorGridlines>
          <c:spPr>
            <a:ln w="3175">
              <a:prstDash val="sysDot"/>
            </a:ln>
          </c:spPr>
        </c:majorGridlines>
        <c:numFmt formatCode="#,##0.00" sourceLinked="1"/>
        <c:majorTickMark val="out"/>
        <c:minorTickMark val="none"/>
        <c:tickLblPos val="nextTo"/>
        <c:crossAx val="954206848"/>
        <c:crosses val="autoZero"/>
        <c:crossBetween val="between"/>
      </c:valAx>
    </c:plotArea>
    <c:plotVisOnly val="0"/>
    <c:dispBlanksAs val="gap"/>
    <c:showDLblsOverMax val="0"/>
  </c:chart>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hooks'!$A$50</c:f>
          <c:strCache>
            <c:ptCount val="1"/>
            <c:pt idx="0">
              <c:v>Average price per tonne landed (£)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'U10m using hooks'!$D$2:$N$2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using hooks'!$D$20:$N$20</c:f>
              <c:numCache>
                <c:formatCode>#,##0</c:formatCode>
                <c:ptCount val="11"/>
                <c:pt idx="0">
                  <c:v>2891</c:v>
                </c:pt>
                <c:pt idx="1">
                  <c:v>2726</c:v>
                </c:pt>
                <c:pt idx="2">
                  <c:v>2859</c:v>
                </c:pt>
                <c:pt idx="3">
                  <c:v>2937</c:v>
                </c:pt>
                <c:pt idx="4">
                  <c:v>3014</c:v>
                </c:pt>
                <c:pt idx="5">
                  <c:v>3115</c:v>
                </c:pt>
                <c:pt idx="6">
                  <c:v>3292</c:v>
                </c:pt>
                <c:pt idx="7">
                  <c:v>3214</c:v>
                </c:pt>
                <c:pt idx="8">
                  <c:v>3125</c:v>
                </c:pt>
                <c:pt idx="9">
                  <c:v>3161</c:v>
                </c:pt>
                <c:pt idx="10">
                  <c:v>3692</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54255232"/>
        <c:axId val="954256768"/>
      </c:lineChart>
      <c:catAx>
        <c:axId val="954255232"/>
        <c:scaling>
          <c:orientation val="minMax"/>
        </c:scaling>
        <c:delete val="0"/>
        <c:axPos val="b"/>
        <c:numFmt formatCode="General" sourceLinked="1"/>
        <c:majorTickMark val="out"/>
        <c:minorTickMark val="none"/>
        <c:tickLblPos val="nextTo"/>
        <c:crossAx val="954256768"/>
        <c:crosses val="autoZero"/>
        <c:auto val="1"/>
        <c:lblAlgn val="ctr"/>
        <c:lblOffset val="100"/>
        <c:noMultiLvlLbl val="0"/>
      </c:catAx>
      <c:valAx>
        <c:axId val="954256768"/>
        <c:scaling>
          <c:orientation val="minMax"/>
        </c:scaling>
        <c:delete val="0"/>
        <c:axPos val="l"/>
        <c:majorGridlines>
          <c:spPr>
            <a:ln w="3175">
              <a:prstDash val="sysDot"/>
            </a:ln>
          </c:spPr>
        </c:majorGridlines>
        <c:numFmt formatCode="#,##0" sourceLinked="1"/>
        <c:majorTickMark val="out"/>
        <c:minorTickMark val="none"/>
        <c:tickLblPos val="nextTo"/>
        <c:crossAx val="954255232"/>
        <c:crosses val="autoZero"/>
        <c:crossBetween val="between"/>
      </c:valAx>
    </c:plotArea>
    <c:plotVisOnly val="0"/>
    <c:dispBlanksAs val="gap"/>
    <c:showDLblsOverMax val="0"/>
  </c:chart>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hooks'!$K$62</c:f>
          <c:strCache>
            <c:ptCount val="1"/>
            <c:pt idx="0">
              <c:v>Average annual operating profit per vessel (£'000)
Under 10m using hooks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'U10m using hooks'!$D$2:$N$2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'U10m using hooks'!$D$37:$N$37</c:f>
              <c:numCache>
                <c:formatCode>#,##0.0</c:formatCode>
                <c:ptCount val="11"/>
                <c:pt idx="0">
                  <c:v>6.2</c:v>
                </c:pt>
                <c:pt idx="1">
                  <c:v>12.1</c:v>
                </c:pt>
                <c:pt idx="2">
                  <c:v>8.5</c:v>
                </c:pt>
                <c:pt idx="3">
                  <c:v>2.6</c:v>
                </c:pt>
                <c:pt idx="4">
                  <c:v>7.7</c:v>
                </c:pt>
                <c:pt idx="5">
                  <c:v>11.9</c:v>
                </c:pt>
                <c:pt idx="6">
                  <c:v>9.6999999999999993</c:v>
                </c:pt>
                <c:pt idx="7">
                  <c:v>13.3</c:v>
                </c:pt>
                <c:pt idx="8">
                  <c:v>15.2</c:v>
                </c:pt>
                <c:pt idx="9">
                  <c:v>12.6</c:v>
                </c:pt>
                <c:pt idx="10">
                  <c:v>13</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54008704"/>
        <c:axId val="954010240"/>
      </c:lineChart>
      <c:catAx>
        <c:axId val="954008704"/>
        <c:scaling>
          <c:orientation val="minMax"/>
        </c:scaling>
        <c:delete val="0"/>
        <c:axPos val="b"/>
        <c:numFmt formatCode="General" sourceLinked="1"/>
        <c:majorTickMark val="out"/>
        <c:minorTickMark val="none"/>
        <c:tickLblPos val="nextTo"/>
        <c:crossAx val="954010240"/>
        <c:crosses val="autoZero"/>
        <c:auto val="1"/>
        <c:lblAlgn val="ctr"/>
        <c:lblOffset val="100"/>
        <c:noMultiLvlLbl val="0"/>
      </c:catAx>
      <c:valAx>
        <c:axId val="954010240"/>
        <c:scaling>
          <c:orientation val="minMax"/>
        </c:scaling>
        <c:delete val="0"/>
        <c:axPos val="l"/>
        <c:majorGridlines>
          <c:spPr>
            <a:ln w="3175">
              <a:prstDash val="sysDot"/>
            </a:ln>
          </c:spPr>
        </c:majorGridlines>
        <c:numFmt formatCode="#,##0.0" sourceLinked="1"/>
        <c:majorTickMark val="out"/>
        <c:minorTickMark val="none"/>
        <c:tickLblPos val="nextTo"/>
        <c:crossAx val="954008704"/>
        <c:crosses val="autoZero"/>
        <c:crossBetween val="between"/>
      </c:valAx>
    </c:plotArea>
    <c:plotVisOnly val="0"/>
    <c:dispBlanksAs val="gap"/>
    <c:showDLblsOverMax val="0"/>
  </c:chart>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using hooks'!$A$76</c:f>
          <c:strCache>
            <c:ptCount val="1"/>
            <c:pt idx="0">
              <c:v>Top 5 landed species by volume in 2017
Under 10m using hooks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C1D11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648C2E"/>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2273B9"/>
              </a:solidFill>
              <a:ln>
                <a:solidFill>
                  <a:srgbClr val="FFFFFF"/>
                </a:solidFill>
              </a:ln>
            </c:spPr>
          </c:dPt>
          <c:dPt>
            <c:idx val="3"/>
            <c:bubble3D val="0"/>
            <c:spPr>
              <a:solidFill>
                <a:srgbClr val="E84A38"/>
              </a:solidFill>
              <a:ln>
                <a:solidFill>
                  <a:srgbClr val="FFFFFF"/>
                </a:solidFill>
              </a:ln>
            </c:spPr>
          </c:dPt>
          <c:dPt>
            <c:idx val="4"/>
            <c:bubble3D val="0"/>
            <c:spPr>
              <a:solidFill>
                <a:srgbClr val="E87308"/>
              </a:solidFill>
              <a:ln>
                <a:solidFill>
                  <a:srgbClr val="FFFFFF"/>
                </a:solidFill>
              </a:ln>
            </c:spPr>
          </c:dPt>
          <c:dPt>
            <c:idx val="5"/>
            <c:bubble3D val="0"/>
            <c:spPr>
              <a:solidFill>
                <a:srgbClr val="55585A"/>
              </a:solidFill>
              <a:ln>
                <a:solidFill>
                  <a:srgbClr val="FFFFFF"/>
                </a:solidFill>
              </a:ln>
            </c:spPr>
          </c:dPt>
          <c:cat>
            <c:strRef>
              <c:f>'U10m using hooks'!$B$77:$B$82</c:f>
              <c:strCache>
                <c:ptCount val="6"/>
                <c:pt idx="0">
                  <c:v>Mackerel - 42.7%</c:v>
                </c:pt>
                <c:pt idx="1">
                  <c:v>Scallops - 16.6%</c:v>
                </c:pt>
                <c:pt idx="2">
                  <c:v>Razor Clam - 14.2%</c:v>
                </c:pt>
                <c:pt idx="3">
                  <c:v>Pollack - 7.3%</c:v>
                </c:pt>
                <c:pt idx="4">
                  <c:v>Bass - 6.4%</c:v>
                </c:pt>
                <c:pt idx="5">
                  <c:v>Others - 12.7%</c:v>
                </c:pt>
              </c:strCache>
            </c:strRef>
          </c:cat>
          <c:val>
            <c:numRef>
              <c:f>'U10m using hooks'!$C$77:$C$82</c:f>
              <c:numCache>
                <c:formatCode>0.0%</c:formatCode>
                <c:ptCount val="6"/>
                <c:pt idx="0">
                  <c:v>0.42745348416734918</c:v>
                </c:pt>
                <c:pt idx="1">
                  <c:v>0.16600836645989192</c:v>
                </c:pt>
                <c:pt idx="2">
                  <c:v>0.14237331374273715</c:v>
                </c:pt>
                <c:pt idx="3">
                  <c:v>7.3193060877938421E-2</c:v>
                </c:pt>
                <c:pt idx="4">
                  <c:v>6.4378464758494722E-2</c:v>
                </c:pt>
                <c:pt idx="5">
                  <c:v>0.12659330999358853</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'U10m using hooks'!$F$76</c:f>
          <c:strCache>
            <c:ptCount val="1"/>
            <c:pt idx="0">
              <c:v>Top 5 landed species by value in 2017
Under 10m using hooks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'U10m using hooks'!$G$77:$G$82</c:f>
              <c:strCache>
                <c:ptCount val="6"/>
                <c:pt idx="0">
                  <c:v>Razor Clam - 26.9%</c:v>
                </c:pt>
                <c:pt idx="1">
                  <c:v>Bass - 22.1%</c:v>
                </c:pt>
                <c:pt idx="2">
                  <c:v>Scallops - 16.4%</c:v>
                </c:pt>
                <c:pt idx="3">
                  <c:v>Mackerel - 16.0%</c:v>
                </c:pt>
                <c:pt idx="4">
                  <c:v>Pollack - 6.8%</c:v>
                </c:pt>
                <c:pt idx="5">
                  <c:v>Others - 11.8%</c:v>
                </c:pt>
              </c:strCache>
            </c:strRef>
          </c:cat>
          <c:val>
            <c:numRef>
              <c:f>'U10m using hooks'!$H$77:$H$82</c:f>
              <c:numCache>
                <c:formatCode>0.0%</c:formatCode>
                <c:ptCount val="6"/>
                <c:pt idx="0">
                  <c:v>0.2689824786913198</c:v>
                </c:pt>
                <c:pt idx="1">
                  <c:v>0.22099032315257186</c:v>
                </c:pt>
                <c:pt idx="2">
                  <c:v>0.16390086654042094</c:v>
                </c:pt>
                <c:pt idx="3">
                  <c:v>0.16030454048413473</c:v>
                </c:pt>
                <c:pt idx="4">
                  <c:v>6.8237553118451547E-2</c:v>
                </c:pt>
                <c:pt idx="5">
                  <c:v>0.11758423801310114</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'U10m using hooks'!$C$92</c:f>
              <c:strCache>
                <c:ptCount val="1"/>
                <c:pt idx="0">
                  <c:v>Razor Clam</c:v>
                </c:pt>
              </c:strCache>
            </c:strRef>
          </c:tx>
          <c:spPr>
            <a:solidFill>
              <a:srgbClr val="2273B9"/>
            </a:solidFill>
            <a:ln>
              <a:solidFill>
                <a:srgbClr val="FFFFFF"/>
              </a:solidFill>
            </a:ln>
          </c:spPr>
          <c:invertIfNegative val="0"/>
          <c:cat>
            <c:numRef>
              <c:f>'U10m using hooks'!$D$91:$M$91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using hooks'!$D$92:$M$92</c:f>
              <c:numCache>
                <c:formatCode>0%</c:formatCode>
                <c:ptCount val="10"/>
                <c:pt idx="0">
                  <c:v>0.16528416212954675</c:v>
                </c:pt>
                <c:pt idx="1">
                  <c:v>0.1905871303943262</c:v>
                </c:pt>
                <c:pt idx="2">
                  <c:v>0.2185681392982925</c:v>
                </c:pt>
                <c:pt idx="3">
                  <c:v>0.27843096396648614</c:v>
                </c:pt>
                <c:pt idx="4">
                  <c:v>0.31039222299122649</c:v>
                </c:pt>
                <c:pt idx="5">
                  <c:v>0.13783119231677812</c:v>
                </c:pt>
                <c:pt idx="6">
                  <c:v>0.21859195914844093</c:v>
                </c:pt>
                <c:pt idx="7">
                  <c:v>0.28741259088271609</c:v>
                </c:pt>
                <c:pt idx="8">
                  <c:v>0.2689824786913198</c:v>
                </c:pt>
                <c:pt idx="9">
                  <c:v>0.28310214716919335</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'U10m using hooks'!$C$93</c:f>
              <c:strCache>
                <c:ptCount val="1"/>
                <c:pt idx="0">
                  <c:v>Bass</c:v>
                </c:pt>
              </c:strCache>
            </c:strRef>
          </c:tx>
          <c:spPr>
            <a:solidFill>
              <a:srgbClr val="E87308"/>
            </a:solidFill>
            <a:ln>
              <a:solidFill>
                <a:srgbClr val="FFFFFF"/>
              </a:solidFill>
            </a:ln>
          </c:spPr>
          <c:invertIfNegative val="0"/>
          <c:cat>
            <c:numRef>
              <c:f>'U10m using hooks'!$D$91:$M$91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using hooks'!$D$93:$M$93</c:f>
              <c:numCache>
                <c:formatCode>0%</c:formatCode>
                <c:ptCount val="10"/>
                <c:pt idx="0">
                  <c:v>0.22248790510151653</c:v>
                </c:pt>
                <c:pt idx="1">
                  <c:v>0.2027400462229022</c:v>
                </c:pt>
                <c:pt idx="2">
                  <c:v>0.16785493551084807</c:v>
                </c:pt>
                <c:pt idx="3">
                  <c:v>0.211783174248106</c:v>
                </c:pt>
                <c:pt idx="4">
                  <c:v>0.22612944975905583</c:v>
                </c:pt>
                <c:pt idx="5">
                  <c:v>0.32116198684164082</c:v>
                </c:pt>
                <c:pt idx="6">
                  <c:v>0.25458513133870647</c:v>
                </c:pt>
                <c:pt idx="7">
                  <c:v>0.2262429138774022</c:v>
                </c:pt>
                <c:pt idx="8">
                  <c:v>0.22099032315257186</c:v>
                </c:pt>
                <c:pt idx="9">
                  <c:v>0.2559044589196921</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'U10m using hooks'!$C$94</c:f>
              <c:strCache>
                <c:ptCount val="1"/>
                <c:pt idx="0">
                  <c:v>Scallops</c:v>
                </c:pt>
              </c:strCache>
            </c:strRef>
          </c:tx>
          <c:spPr>
            <a:solidFill>
              <a:srgbClr val="648C2E"/>
            </a:solidFill>
            <a:ln>
              <a:solidFill>
                <a:srgbClr val="FFFFFF"/>
              </a:solidFill>
            </a:ln>
          </c:spPr>
          <c:invertIfNegative val="0"/>
          <c:cat>
            <c:numRef>
              <c:f>'U10m using hooks'!$D$91:$M$91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using hooks'!$D$94:$M$94</c:f>
              <c:numCache>
                <c:formatCode>0%</c:formatCode>
                <c:ptCount val="10"/>
                <c:pt idx="0">
                  <c:v>0.29360284086946342</c:v>
                </c:pt>
                <c:pt idx="1">
                  <c:v>0.22165543806908383</c:v>
                </c:pt>
                <c:pt idx="2">
                  <c:v>0.20961170180664462</c:v>
                </c:pt>
                <c:pt idx="3">
                  <c:v>0.16669803190472476</c:v>
                </c:pt>
                <c:pt idx="4">
                  <c:v>0.16940846839695609</c:v>
                </c:pt>
                <c:pt idx="5">
                  <c:v>0.26057548135537073</c:v>
                </c:pt>
                <c:pt idx="6">
                  <c:v>0.289731815883218</c:v>
                </c:pt>
                <c:pt idx="7">
                  <c:v>0.21521991971403304</c:v>
                </c:pt>
                <c:pt idx="8">
                  <c:v>0.16390086654042094</c:v>
                </c:pt>
                <c:pt idx="9">
                  <c:v>0.14583254039338336</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'U10m using hooks'!$C$95</c:f>
              <c:strCache>
                <c:ptCount val="1"/>
                <c:pt idx="0">
                  <c:v>Mackerel</c:v>
                </c:pt>
              </c:strCache>
            </c:strRef>
          </c:tx>
          <c:spPr>
            <a:solidFill>
              <a:srgbClr val="C1D119"/>
            </a:solidFill>
            <a:ln>
              <a:solidFill>
                <a:srgbClr val="FFFFFF"/>
              </a:solidFill>
            </a:ln>
          </c:spPr>
          <c:invertIfNegative val="0"/>
          <c:cat>
            <c:numRef>
              <c:f>'U10m using hooks'!$D$91:$M$91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using hooks'!$D$95:$M$95</c:f>
              <c:numCache>
                <c:formatCode>0%</c:formatCode>
                <c:ptCount val="10"/>
                <c:pt idx="0">
                  <c:v>0.12824717471105654</c:v>
                </c:pt>
                <c:pt idx="1">
                  <c:v>0.12713646716334198</c:v>
                </c:pt>
                <c:pt idx="2">
                  <c:v>0.17955078790138679</c:v>
                </c:pt>
                <c:pt idx="3">
                  <c:v>0.13089084952649011</c:v>
                </c:pt>
                <c:pt idx="4">
                  <c:v>0.10641792376997501</c:v>
                </c:pt>
                <c:pt idx="5">
                  <c:v>0.10508980186432716</c:v>
                </c:pt>
                <c:pt idx="6">
                  <c:v>8.0592152990605431E-2</c:v>
                </c:pt>
                <c:pt idx="7">
                  <c:v>0.10358897568382357</c:v>
                </c:pt>
                <c:pt idx="8">
                  <c:v>0.16030454048413473</c:v>
                </c:pt>
                <c:pt idx="9">
                  <c:v>0.12634034112952941</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'U10m using hooks'!$C$96</c:f>
              <c:strCache>
                <c:ptCount val="1"/>
                <c:pt idx="0">
                  <c:v>Pollack</c:v>
                </c:pt>
              </c:strCache>
            </c:strRef>
          </c:tx>
          <c:spPr>
            <a:solidFill>
              <a:srgbClr val="E84A38"/>
            </a:solidFill>
            <a:ln>
              <a:solidFill>
                <a:srgbClr val="FFFFFF"/>
              </a:solidFill>
            </a:ln>
          </c:spPr>
          <c:invertIfNegative val="0"/>
          <c:cat>
            <c:numRef>
              <c:f>'U10m using hooks'!$D$91:$M$91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using hooks'!$D$96:$M$96</c:f>
              <c:numCache>
                <c:formatCode>0%</c:formatCode>
                <c:ptCount val="10"/>
                <c:pt idx="0">
                  <c:v>7.7785420848399303E-2</c:v>
                </c:pt>
                <c:pt idx="2">
                  <c:v>0.10030689330192218</c:v>
                </c:pt>
                <c:pt idx="3">
                  <c:v>7.7915985602835483E-2</c:v>
                </c:pt>
                <c:pt idx="4">
                  <c:v>7.344898614192015E-2</c:v>
                </c:pt>
                <c:pt idx="5">
                  <c:v>5.4083653060282448E-2</c:v>
                </c:pt>
                <c:pt idx="6">
                  <c:v>6.912197334418746E-2</c:v>
                </c:pt>
                <c:pt idx="7">
                  <c:v>5.6030024507622109E-2</c:v>
                </c:pt>
                <c:pt idx="8">
                  <c:v>6.8237553118451547E-2</c:v>
                </c:pt>
                <c:pt idx="9">
                  <c:v>6.1576219715696663E-2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'U10m using hooks'!$C$97</c:f>
              <c:strCache>
                <c:ptCount val="1"/>
                <c:pt idx="0">
                  <c:v>Cod</c:v>
                </c:pt>
              </c:strCache>
            </c:strRef>
          </c:tx>
          <c:spPr>
            <a:solidFill>
              <a:srgbClr val="0F9AA9"/>
            </a:solidFill>
            <a:ln>
              <a:solidFill>
                <a:srgbClr val="FFFFFF"/>
              </a:solidFill>
            </a:ln>
          </c:spPr>
          <c:invertIfNegative val="0"/>
          <c:cat>
            <c:numRef>
              <c:f>'U10m using hooks'!$D$91:$M$91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using hooks'!$D$97:$M$97</c:f>
              <c:numCache>
                <c:formatCode>0%</c:formatCode>
                <c:ptCount val="10"/>
                <c:pt idx="1">
                  <c:v>8.4408228302888064E-2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'U10m using hooks'!$C$98</c:f>
              <c:strCache>
                <c:ptCount val="1"/>
                <c:pt idx="0">
                  <c:v>Others</c:v>
                </c:pt>
              </c:strCache>
            </c:strRef>
          </c:tx>
          <c:spPr>
            <a:solidFill>
              <a:srgbClr val="55585A"/>
            </a:solidFill>
            <a:ln>
              <a:solidFill>
                <a:srgbClr val="FFFFFF"/>
              </a:solidFill>
            </a:ln>
          </c:spPr>
          <c:invertIfNegative val="0"/>
          <c:cat>
            <c:numRef>
              <c:f>'U10m using hooks'!$D$91:$M$91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'U10m using hooks'!$D$98:$M$98</c:f>
              <c:numCache>
                <c:formatCode>0%</c:formatCode>
                <c:ptCount val="10"/>
                <c:pt idx="0">
                  <c:v>0.1125924963400175</c:v>
                </c:pt>
                <c:pt idx="1">
                  <c:v>0.1734726898474577</c:v>
                </c:pt>
                <c:pt idx="2">
                  <c:v>0.12410754218090586</c:v>
                </c:pt>
                <c:pt idx="3">
                  <c:v>0.13428099475135749</c:v>
                </c:pt>
                <c:pt idx="4">
                  <c:v>0.11420294894086643</c:v>
                </c:pt>
                <c:pt idx="5">
                  <c:v>0.12125788456160072</c:v>
                </c:pt>
                <c:pt idx="6">
                  <c:v>8.7376967294841665E-2</c:v>
                </c:pt>
                <c:pt idx="7">
                  <c:v>0.11150557533440301</c:v>
                </c:pt>
                <c:pt idx="8">
                  <c:v>0.11758423801310114</c:v>
                </c:pt>
                <c:pt idx="9">
                  <c:v>0.12724429267250509</c:v>
                </c:pt>
              </c:numCache>
            </c:numRef>
          </c:val>
          <c:extLst xmlns:c16r2="http://schemas.microsoft.com/office/drawing/2015/06/chart">
            <c:ext xmlns:c16="http://schemas.microsoft.com/office/drawing/2014/chart" uri="{C3380CC4-5D6E-409C-BE32-E72D297353CC}">
              <c16:uniqueId val="{00000006-282A-42F3-A8CE-7B6B063B5E4F}"/>
            </c:ext>
          </c:extLst>
        </c:ser>
        <c:dLbls>
          <c:showLegendKey val="0"/>
          <c:showVal val="0"/>
          <c:showCatName val="0"/>
          <c:showSerName val="0"/>
          <c:showPercent val="0"/>
          <c:showBubbleSize val="0"/>
        </c:dLbls>
        <c:gapWidth val="150"/>
        <c:overlap val="100"/>
        <c:axId val="954135680"/>
        <c:axId val="954137216"/>
      </c:barChart>
      <c:catAx>
        <c:axId val="954135680"/>
        <c:scaling>
          <c:orientation val="minMax"/>
        </c:scaling>
        <c:delete val="0"/>
        <c:axPos val="b"/>
        <c:numFmt formatCode="General" sourceLinked="1"/>
        <c:majorTickMark val="out"/>
        <c:minorTickMark val="none"/>
        <c:tickLblPos val="nextTo"/>
        <c:crossAx val="954137216"/>
        <c:crosses val="autoZero"/>
        <c:auto val="1"/>
        <c:lblAlgn val="ctr"/>
        <c:lblOffset val="100"/>
        <c:noMultiLvlLbl val="0"/>
      </c:catAx>
      <c:valAx>
        <c:axId val="954137216"/>
        <c:scaling>
          <c:orientation val="minMax"/>
          <c:max val="1"/>
          <c:min val="0"/>
        </c:scaling>
        <c:delete val="0"/>
        <c:axPos val="l"/>
        <c:majorGridlines/>
        <c:numFmt formatCode="0%" sourceLinked="1"/>
        <c:majorTickMark val="out"/>
        <c:minorTickMark val="none"/>
        <c:tickLblPos val="nextTo"/>
        <c:crossAx val="954135680"/>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'U10m using hooks'!$B$162</c:f>
              <c:strCache>
                <c:ptCount val="1"/>
                <c:pt idx="0">
                  <c:v>Mackerel</c:v>
                </c:pt>
              </c:strCache>
            </c:strRef>
          </c:tx>
          <c:spPr>
            <a:solidFill>
              <a:srgbClr val="C1D119"/>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hooks'!$C$162:$E$162</c:f>
              <c:numCache>
                <c:formatCode>0%</c:formatCode>
                <c:ptCount val="3"/>
                <c:pt idx="0">
                  <c:v>0.33786767529769934</c:v>
                </c:pt>
                <c:pt idx="1">
                  <c:v>0.39759357172215348</c:v>
                </c:pt>
                <c:pt idx="2">
                  <c:v>0.48917294007505463</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'U10m using hooks'!$B$163</c:f>
              <c:strCache>
                <c:ptCount val="1"/>
                <c:pt idx="0">
                  <c:v>Scallops</c:v>
                </c:pt>
              </c:strCache>
            </c:strRef>
          </c:tx>
          <c:spPr>
            <a:solidFill>
              <a:srgbClr val="648C2E"/>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hooks'!$C$163:$E$163</c:f>
              <c:numCache>
                <c:formatCode>0%</c:formatCode>
                <c:ptCount val="3"/>
                <c:pt idx="0">
                  <c:v>5.257390165149161E-2</c:v>
                </c:pt>
                <c:pt idx="1">
                  <c:v>0.26080936429496554</c:v>
                </c:pt>
                <c:pt idx="2">
                  <c:v>0.1346666186753292</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'U10m using hooks'!$B$164</c:f>
              <c:strCache>
                <c:ptCount val="1"/>
                <c:pt idx="0">
                  <c:v>Razor Clam</c:v>
                </c:pt>
              </c:strCache>
            </c:strRef>
          </c:tx>
          <c:spPr>
            <a:solidFill>
              <a:srgbClr val="2273B9"/>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hooks'!$C$164:$E$164</c:f>
              <c:numCache>
                <c:formatCode>0%</c:formatCode>
                <c:ptCount val="3"/>
                <c:pt idx="0">
                  <c:v>0.41754860269934901</c:v>
                </c:pt>
                <c:pt idx="1">
                  <c:v>0.11053827058727686</c:v>
                </c:pt>
                <c:pt idx="2">
                  <c:v>0</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'U10m using hooks'!$B$165</c:f>
              <c:strCache>
                <c:ptCount val="1"/>
                <c:pt idx="0">
                  <c:v>Pollack</c:v>
                </c:pt>
              </c:strCache>
            </c:strRef>
          </c:tx>
          <c:spPr>
            <a:solidFill>
              <a:srgbClr val="E84A38"/>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hooks'!$C$165:$E$165</c:f>
              <c:numCache>
                <c:formatCode>0%</c:formatCode>
                <c:ptCount val="3"/>
                <c:pt idx="0">
                  <c:v>0</c:v>
                </c:pt>
                <c:pt idx="1">
                  <c:v>8.7647287464063181E-2</c:v>
                </c:pt>
                <c:pt idx="2">
                  <c:v>0.13217622214240221</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'U10m using hooks'!$B$166</c:f>
              <c:strCache>
                <c:ptCount val="1"/>
                <c:pt idx="0">
                  <c:v>Bass</c:v>
                </c:pt>
              </c:strCache>
            </c:strRef>
          </c:tx>
          <c:spPr>
            <a:solidFill>
              <a:srgbClr val="E87308"/>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hooks'!$C$166:$E$166</c:f>
              <c:numCache>
                <c:formatCode>0%</c:formatCode>
                <c:ptCount val="3"/>
                <c:pt idx="0">
                  <c:v>4.1558352607649673E-2</c:v>
                </c:pt>
                <c:pt idx="1">
                  <c:v>6.713221591690291E-2</c:v>
                </c:pt>
                <c:pt idx="2">
                  <c:v>6.9365126290632503E-2</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'U10m using hooks'!$B$167</c:f>
              <c:strCache>
                <c:ptCount val="1"/>
                <c:pt idx="0">
                  <c:v>Thornback Ray</c:v>
                </c:pt>
              </c:strCache>
            </c:strRef>
          </c:tx>
          <c:spPr>
            <a:solidFill>
              <a:srgbClr val="0F9AA9"/>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hooks'!$C$167:$E$167</c:f>
              <c:numCache>
                <c:formatCode>0%</c:formatCode>
                <c:ptCount val="3"/>
                <c:pt idx="0">
                  <c:v>0</c:v>
                </c:pt>
                <c:pt idx="1">
                  <c:v>0</c:v>
                </c:pt>
                <c:pt idx="2">
                  <c:v>3.2412492949138151E-2</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'U10m using hooks'!$B$168</c:f>
              <c:strCache>
                <c:ptCount val="1"/>
                <c:pt idx="0">
                  <c:v>Cod</c:v>
                </c:pt>
              </c:strCache>
            </c:strRef>
          </c:tx>
          <c:spPr>
            <a:solidFill>
              <a:srgbClr val="707271"/>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hooks'!$C$168:$E$168</c:f>
              <c:numCache>
                <c:formatCode>0%</c:formatCode>
                <c:ptCount val="3"/>
                <c:pt idx="0">
                  <c:v>8.7476325553369011E-2</c:v>
                </c:pt>
                <c:pt idx="1">
                  <c:v>0</c:v>
                </c:pt>
                <c:pt idx="2">
                  <c:v>0</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'U10m using hooks'!$B$169</c:f>
              <c:strCache>
                <c:ptCount val="1"/>
                <c:pt idx="0">
                  <c:v>Others</c:v>
                </c:pt>
              </c:strCache>
            </c:strRef>
          </c:tx>
          <c:spPr>
            <a:solidFill>
              <a:srgbClr val="55585A"/>
            </a:solidFill>
            <a:ln>
              <a:solidFill>
                <a:srgbClr val="FFFFFF"/>
              </a:solidFill>
            </a:ln>
          </c:spPr>
          <c:invertIfNegative val="0"/>
          <c:cat>
            <c:strRef>
              <c:f>'U10m using hooks'!$C$161:$E$161</c:f>
              <c:strCache>
                <c:ptCount val="3"/>
                <c:pt idx="0">
                  <c:v>Most
profitable
quartile</c:v>
                </c:pt>
                <c:pt idx="1">
                  <c:v>Middle 
two quartiles</c:v>
                </c:pt>
                <c:pt idx="2">
                  <c:v>Least
profitable
quartile</c:v>
                </c:pt>
              </c:strCache>
            </c:strRef>
          </c:cat>
          <c:val>
            <c:numRef>
              <c:f>'U10m using hooks'!$C$169:$E$169</c:f>
              <c:numCache>
                <c:formatCode>0%</c:formatCode>
                <c:ptCount val="3"/>
                <c:pt idx="0">
                  <c:v>6.2975142190441424E-2</c:v>
                </c:pt>
                <c:pt idx="1">
                  <c:v>7.6279290014638068E-2</c:v>
                </c:pt>
                <c:pt idx="2">
                  <c:v>0.14220659986744333</c:v>
                </c:pt>
              </c:numCache>
            </c:numRef>
          </c:val>
          <c:extLst xmlns:c16r2="http://schemas.microsoft.com/office/drawing/2015/06/chart">
            <c:ext xmlns:c16="http://schemas.microsoft.com/office/drawing/2014/chart" uri="{C3380CC4-5D6E-409C-BE32-E72D297353CC}">
              <c16:uniqueId val="{00000007-DFDD-4C01-8393-1BE532AE55F9}"/>
            </c:ext>
          </c:extLst>
        </c:ser>
        <c:dLbls>
          <c:showLegendKey val="0"/>
          <c:showVal val="0"/>
          <c:showCatName val="0"/>
          <c:showSerName val="0"/>
          <c:showPercent val="0"/>
          <c:showBubbleSize val="0"/>
        </c:dLbls>
        <c:gapWidth val="150"/>
        <c:overlap val="100"/>
        <c:axId val="954350976"/>
        <c:axId val="954352768"/>
      </c:barChart>
      <c:catAx>
        <c:axId val="954350976"/>
        <c:scaling>
          <c:orientation val="minMax"/>
        </c:scaling>
        <c:delete val="0"/>
        <c:axPos val="b"/>
        <c:numFmt formatCode="General" sourceLinked="0"/>
        <c:majorTickMark val="out"/>
        <c:minorTickMark val="none"/>
        <c:tickLblPos val="nextTo"/>
        <c:crossAx val="954352768"/>
        <c:crosses val="autoZero"/>
        <c:auto val="1"/>
        <c:lblAlgn val="ctr"/>
        <c:lblOffset val="100"/>
        <c:noMultiLvlLbl val="0"/>
      </c:catAx>
      <c:valAx>
        <c:axId val="954352768"/>
        <c:scaling>
          <c:orientation val="minMax"/>
          <c:max val="1"/>
          <c:min val="0"/>
        </c:scaling>
        <c:delete val="0"/>
        <c:axPos val="l"/>
        <c:majorGridlines/>
        <c:minorGridlines/>
        <c:numFmt formatCode="0%" sourceLinked="1"/>
        <c:majorTickMark val="out"/>
        <c:minorTickMark val="none"/>
        <c:tickLblPos val="nextTo"/>
        <c:crossAx val="954350976"/>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VIIa nephrops u250kW'!$H$162</c:f>
              <c:strCache>
                <c:ptCount val="1"/>
                <c:pt idx="0">
                  <c:v>Nephrops</c:v>
                </c:pt>
              </c:strCache>
            </c:strRef>
          </c:tx>
          <c:spPr>
            <a:solidFill>
              <a:srgbClr val="2273B9"/>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u250kW'!$I$162:$K$162</c:f>
              <c:numCache>
                <c:formatCode>0%</c:formatCode>
                <c:ptCount val="3"/>
                <c:pt idx="0">
                  <c:v>0.81157398191542274</c:v>
                </c:pt>
                <c:pt idx="1">
                  <c:v>0.82761217637231388</c:v>
                </c:pt>
                <c:pt idx="2">
                  <c:v>0.91210528083226916</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'Area VIIa nephrops u250kW'!$H$163</c:f>
              <c:strCache>
                <c:ptCount val="1"/>
                <c:pt idx="0">
                  <c:v>Scallops</c:v>
                </c:pt>
              </c:strCache>
            </c:strRef>
          </c:tx>
          <c:spPr>
            <a:solidFill>
              <a:srgbClr val="E87308"/>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u250kW'!$I$163:$K$163</c:f>
              <c:numCache>
                <c:formatCode>0%</c:formatCode>
                <c:ptCount val="3"/>
                <c:pt idx="0">
                  <c:v>0.10205472039137352</c:v>
                </c:pt>
                <c:pt idx="1">
                  <c:v>9.6825096774473554E-2</c:v>
                </c:pt>
                <c:pt idx="2">
                  <c:v>0</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'Area VIIa nephrops u250kW'!$H$164</c:f>
              <c:strCache>
                <c:ptCount val="1"/>
                <c:pt idx="0">
                  <c:v>Haddock</c:v>
                </c:pt>
              </c:strCache>
            </c:strRef>
          </c:tx>
          <c:spPr>
            <a:solidFill>
              <a:srgbClr val="648C2E"/>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u250kW'!$I$164:$K$164</c:f>
              <c:numCache>
                <c:formatCode>0%</c:formatCode>
                <c:ptCount val="3"/>
                <c:pt idx="0">
                  <c:v>2.4337363819309527E-2</c:v>
                </c:pt>
                <c:pt idx="1">
                  <c:v>1.9179546102773108E-2</c:v>
                </c:pt>
                <c:pt idx="2">
                  <c:v>1.1630432972714731E-2</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'Area VIIa nephrops u250kW'!$H$165</c:f>
              <c:strCache>
                <c:ptCount val="1"/>
                <c:pt idx="0">
                  <c:v>Anglerfish</c:v>
                </c:pt>
              </c:strCache>
            </c:strRef>
          </c:tx>
          <c:spPr>
            <a:solidFill>
              <a:srgbClr val="C1D119"/>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u250kW'!$I$165:$K$165</c:f>
              <c:numCache>
                <c:formatCode>0%</c:formatCode>
                <c:ptCount val="3"/>
                <c:pt idx="0">
                  <c:v>1.7673733203607454E-2</c:v>
                </c:pt>
                <c:pt idx="1">
                  <c:v>1.6924915172518616E-2</c:v>
                </c:pt>
                <c:pt idx="2">
                  <c:v>1.4978822654581026E-2</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'Area VIIa nephrops u250kW'!$H$166</c:f>
              <c:strCache>
                <c:ptCount val="1"/>
                <c:pt idx="0">
                  <c:v>Mussels</c:v>
                </c:pt>
              </c:strCache>
            </c:strRef>
          </c:tx>
          <c:spPr>
            <a:solidFill>
              <a:srgbClr val="E84A38"/>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u250kW'!$I$166:$K$166</c:f>
              <c:numCache>
                <c:formatCode>0%</c:formatCode>
                <c:ptCount val="3"/>
                <c:pt idx="0">
                  <c:v>2.1860569303281292E-2</c:v>
                </c:pt>
                <c:pt idx="1">
                  <c:v>1.0699975893820277E-2</c:v>
                </c:pt>
                <c:pt idx="2">
                  <c:v>0</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'Area VIIa nephrops u250kW'!$H$167</c:f>
              <c:strCache>
                <c:ptCount val="1"/>
                <c:pt idx="0">
                  <c:v>Queen Scallops</c:v>
                </c:pt>
              </c:strCache>
            </c:strRef>
          </c:tx>
          <c:spPr>
            <a:solidFill>
              <a:srgbClr val="FED825"/>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u250kW'!$I$167:$K$167</c:f>
              <c:numCache>
                <c:formatCode>0%</c:formatCode>
                <c:ptCount val="3"/>
                <c:pt idx="0">
                  <c:v>0</c:v>
                </c:pt>
                <c:pt idx="1">
                  <c:v>0</c:v>
                </c:pt>
                <c:pt idx="2">
                  <c:v>3.3409822449811825E-2</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'Area VIIa nephrops u250kW'!$H$168</c:f>
              <c:strCache>
                <c:ptCount val="1"/>
                <c:pt idx="0">
                  <c:v>Les. Spot. Dog</c:v>
                </c:pt>
              </c:strCache>
            </c:strRef>
          </c:tx>
          <c:spPr>
            <a:solidFill>
              <a:srgbClr val="0F9AA9"/>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u250kW'!$I$168:$K$168</c:f>
              <c:numCache>
                <c:formatCode>0%</c:formatCode>
                <c:ptCount val="3"/>
                <c:pt idx="0">
                  <c:v>0</c:v>
                </c:pt>
                <c:pt idx="1">
                  <c:v>0</c:v>
                </c:pt>
                <c:pt idx="2">
                  <c:v>6.7763708025717004E-3</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'Area VIIa nephrops u250kW'!$H$169</c:f>
              <c:strCache>
                <c:ptCount val="1"/>
                <c:pt idx="0">
                  <c:v>Others</c:v>
                </c:pt>
              </c:strCache>
            </c:strRef>
          </c:tx>
          <c:spPr>
            <a:solidFill>
              <a:srgbClr val="55585A"/>
            </a:solidFill>
            <a:ln>
              <a:solidFill>
                <a:srgbClr val="FFFFFF"/>
              </a:solidFill>
            </a:ln>
          </c:spPr>
          <c:invertIfNegative val="0"/>
          <c:cat>
            <c:strRef>
              <c:f>'Area VIIa nephrops u250kW'!$I$161:$K$161</c:f>
              <c:strCache>
                <c:ptCount val="3"/>
                <c:pt idx="0">
                  <c:v>Most
profitable
quartile</c:v>
                </c:pt>
                <c:pt idx="1">
                  <c:v>Middle 
two quartiles</c:v>
                </c:pt>
                <c:pt idx="2">
                  <c:v>Least
profitable
quartile</c:v>
                </c:pt>
              </c:strCache>
            </c:strRef>
          </c:cat>
          <c:val>
            <c:numRef>
              <c:f>'Area VIIa nephrops u250kW'!$I$169:$K$169</c:f>
              <c:numCache>
                <c:formatCode>0%</c:formatCode>
                <c:ptCount val="3"/>
                <c:pt idx="0">
                  <c:v>2.2499631367005501E-2</c:v>
                </c:pt>
                <c:pt idx="1">
                  <c:v>2.8758289684100546E-2</c:v>
                </c:pt>
                <c:pt idx="2">
                  <c:v>2.1099270288051586E-2</c:v>
                </c:pt>
              </c:numCache>
            </c:numRef>
          </c:val>
          <c:extLst xmlns:c16r2="http://schemas.microsoft.com/office/drawing/2015/06/chart">
            <c:ext xmlns:c16="http://schemas.microsoft.com/office/drawing/2014/chart" uri="{C3380CC4-5D6E-409C-BE32-E72D297353CC}">
              <c16:uniqueId val="{00000007-DC58-4725-8A67-0BDC09FD93CD}"/>
            </c:ext>
          </c:extLst>
        </c:ser>
        <c:dLbls>
          <c:showLegendKey val="0"/>
          <c:showVal val="0"/>
          <c:showCatName val="0"/>
          <c:showSerName val="0"/>
          <c:showPercent val="0"/>
          <c:showBubbleSize val="0"/>
        </c:dLbls>
        <c:gapWidth val="150"/>
        <c:overlap val="100"/>
        <c:axId val="704828160"/>
        <c:axId val="704829696"/>
      </c:barChart>
      <c:catAx>
        <c:axId val="704828160"/>
        <c:scaling>
          <c:orientation val="minMax"/>
        </c:scaling>
        <c:delete val="0"/>
        <c:axPos val="b"/>
        <c:numFmt formatCode="General" sourceLinked="0"/>
        <c:majorTickMark val="out"/>
        <c:minorTickMark val="none"/>
        <c:tickLblPos val="nextTo"/>
        <c:crossAx val="704829696"/>
        <c:crosses val="autoZero"/>
        <c:auto val="1"/>
        <c:lblAlgn val="ctr"/>
        <c:lblOffset val="100"/>
        <c:noMultiLvlLbl val="0"/>
      </c:catAx>
      <c:valAx>
        <c:axId val="704829696"/>
        <c:scaling>
          <c:orientation val="minMax"/>
          <c:max val="1"/>
          <c:min val="0"/>
        </c:scaling>
        <c:delete val="0"/>
        <c:axPos val="l"/>
        <c:majorGridlines/>
        <c:minorGridlines/>
        <c:numFmt formatCode="0%" sourceLinked="1"/>
        <c:majorTickMark val="out"/>
        <c:minorTickMark val="none"/>
        <c:tickLblPos val="nextTo"/>
        <c:crossAx val="704828160"/>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'U10m using hooks'!$H$162</c:f>
              <c:strCache>
                <c:ptCount val="1"/>
                <c:pt idx="0">
                  <c:v>Bass</c:v>
                </c:pt>
              </c:strCache>
            </c:strRef>
          </c:tx>
          <c:spPr>
            <a:solidFill>
              <a:srgbClr val="E87308"/>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hooks'!$I$162:$K$162</c:f>
              <c:numCache>
                <c:formatCode>0%</c:formatCode>
                <c:ptCount val="3"/>
                <c:pt idx="0">
                  <c:v>0.11503325482567947</c:v>
                </c:pt>
                <c:pt idx="1">
                  <c:v>0.27764823151656592</c:v>
                </c:pt>
                <c:pt idx="2">
                  <c:v>0.29048888738978673</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'U10m using hooks'!$H$163</c:f>
              <c:strCache>
                <c:ptCount val="1"/>
                <c:pt idx="0">
                  <c:v>Scallops</c:v>
                </c:pt>
              </c:strCache>
            </c:strRef>
          </c:tx>
          <c:spPr>
            <a:solidFill>
              <a:srgbClr val="648C2E"/>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hooks'!$I$163:$K$163</c:f>
              <c:numCache>
                <c:formatCode>0%</c:formatCode>
                <c:ptCount val="3"/>
                <c:pt idx="0">
                  <c:v>3.7904835883333848E-2</c:v>
                </c:pt>
                <c:pt idx="1">
                  <c:v>0.2737519770004479</c:v>
                </c:pt>
                <c:pt idx="2">
                  <c:v>0.14179226111662835</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'U10m using hooks'!$H$164</c:f>
              <c:strCache>
                <c:ptCount val="1"/>
                <c:pt idx="0">
                  <c:v>Mackerel</c:v>
                </c:pt>
              </c:strCache>
            </c:strRef>
          </c:tx>
          <c:spPr>
            <a:solidFill>
              <a:srgbClr val="C1D119"/>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hooks'!$I$164:$K$164</c:f>
              <c:numCache>
                <c:formatCode>0%</c:formatCode>
                <c:ptCount val="3"/>
                <c:pt idx="0">
                  <c:v>0.10856850694623321</c:v>
                </c:pt>
                <c:pt idx="1">
                  <c:v>0.18110314136425248</c:v>
                </c:pt>
                <c:pt idx="2">
                  <c:v>0.21366987597772083</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'U10m using hooks'!$H$165</c:f>
              <c:strCache>
                <c:ptCount val="1"/>
                <c:pt idx="0">
                  <c:v>Razor Clam</c:v>
                </c:pt>
              </c:strCache>
            </c:strRef>
          </c:tx>
          <c:spPr>
            <a:solidFill>
              <a:srgbClr val="2273B9"/>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hooks'!$I$165:$K$165</c:f>
              <c:numCache>
                <c:formatCode>0%</c:formatCode>
                <c:ptCount val="3"/>
                <c:pt idx="0">
                  <c:v>0.63847990361952323</c:v>
                </c:pt>
                <c:pt idx="1">
                  <c:v>0.11388647707596534</c:v>
                </c:pt>
                <c:pt idx="2">
                  <c:v>0</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'U10m using hooks'!$H$166</c:f>
              <c:strCache>
                <c:ptCount val="1"/>
                <c:pt idx="0">
                  <c:v>Pollack</c:v>
                </c:pt>
              </c:strCache>
            </c:strRef>
          </c:tx>
          <c:spPr>
            <a:solidFill>
              <a:srgbClr val="E84A38"/>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hooks'!$I$166:$K$166</c:f>
              <c:numCache>
                <c:formatCode>0%</c:formatCode>
                <c:ptCount val="3"/>
                <c:pt idx="0">
                  <c:v>0</c:v>
                </c:pt>
                <c:pt idx="1">
                  <c:v>8.2648642905426117E-2</c:v>
                </c:pt>
                <c:pt idx="2">
                  <c:v>0.14290291092684732</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'U10m using hooks'!$H$167</c:f>
              <c:strCache>
                <c:ptCount val="1"/>
                <c:pt idx="0">
                  <c:v>Lobsters</c:v>
                </c:pt>
              </c:strCache>
            </c:strRef>
          </c:tx>
          <c:spPr>
            <a:solidFill>
              <a:srgbClr val="FED825"/>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hooks'!$I$167:$K$167</c:f>
              <c:numCache>
                <c:formatCode>0%</c:formatCode>
                <c:ptCount val="3"/>
                <c:pt idx="0">
                  <c:v>0</c:v>
                </c:pt>
                <c:pt idx="1">
                  <c:v>0</c:v>
                </c:pt>
                <c:pt idx="2">
                  <c:v>4.0193544146834945E-2</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'U10m using hooks'!$H$168</c:f>
              <c:strCache>
                <c:ptCount val="1"/>
                <c:pt idx="0">
                  <c:v>Cod</c:v>
                </c:pt>
              </c:strCache>
            </c:strRef>
          </c:tx>
          <c:spPr>
            <a:solidFill>
              <a:srgbClr val="707271"/>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hooks'!$I$168:$K$168</c:f>
              <c:numCache>
                <c:formatCode>0%</c:formatCode>
                <c:ptCount val="3"/>
                <c:pt idx="0">
                  <c:v>5.0221929696119369E-2</c:v>
                </c:pt>
                <c:pt idx="1">
                  <c:v>0</c:v>
                </c:pt>
                <c:pt idx="2">
                  <c:v>0</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'U10m using hooks'!$H$169</c:f>
              <c:strCache>
                <c:ptCount val="1"/>
                <c:pt idx="0">
                  <c:v>Others</c:v>
                </c:pt>
              </c:strCache>
            </c:strRef>
          </c:tx>
          <c:spPr>
            <a:solidFill>
              <a:srgbClr val="55585A"/>
            </a:solidFill>
            <a:ln>
              <a:solidFill>
                <a:srgbClr val="FFFFFF"/>
              </a:solidFill>
            </a:ln>
          </c:spPr>
          <c:invertIfNegative val="0"/>
          <c:cat>
            <c:strRef>
              <c:f>'U10m using hooks'!$I$161:$K$161</c:f>
              <c:strCache>
                <c:ptCount val="3"/>
                <c:pt idx="0">
                  <c:v>Most
profitable
quartile</c:v>
                </c:pt>
                <c:pt idx="1">
                  <c:v>Middle 
two quartiles</c:v>
                </c:pt>
                <c:pt idx="2">
                  <c:v>Least
profitable
quartile</c:v>
                </c:pt>
              </c:strCache>
            </c:strRef>
          </c:cat>
          <c:val>
            <c:numRef>
              <c:f>'U10m using hooks'!$I$169:$K$169</c:f>
              <c:numCache>
                <c:formatCode>0%</c:formatCode>
                <c:ptCount val="3"/>
                <c:pt idx="0">
                  <c:v>4.979156902911086E-2</c:v>
                </c:pt>
                <c:pt idx="1">
                  <c:v>7.0961530137342299E-2</c:v>
                </c:pt>
                <c:pt idx="2">
                  <c:v>0.17095252044218179</c:v>
                </c:pt>
              </c:numCache>
            </c:numRef>
          </c:val>
          <c:extLst xmlns:c16r2="http://schemas.microsoft.com/office/drawing/2015/06/chart">
            <c:ext xmlns:c16="http://schemas.microsoft.com/office/drawing/2014/chart" uri="{C3380CC4-5D6E-409C-BE32-E72D297353CC}">
              <c16:uniqueId val="{00000007-DC58-4725-8A67-0BDC09FD93CD}"/>
            </c:ext>
          </c:extLst>
        </c:ser>
        <c:dLbls>
          <c:showLegendKey val="0"/>
          <c:showVal val="0"/>
          <c:showCatName val="0"/>
          <c:showSerName val="0"/>
          <c:showPercent val="0"/>
          <c:showBubbleSize val="0"/>
        </c:dLbls>
        <c:gapWidth val="150"/>
        <c:overlap val="100"/>
        <c:axId val="954398976"/>
        <c:axId val="954478592"/>
      </c:barChart>
      <c:catAx>
        <c:axId val="954398976"/>
        <c:scaling>
          <c:orientation val="minMax"/>
        </c:scaling>
        <c:delete val="0"/>
        <c:axPos val="b"/>
        <c:numFmt formatCode="General" sourceLinked="0"/>
        <c:majorTickMark val="out"/>
        <c:minorTickMark val="none"/>
        <c:tickLblPos val="nextTo"/>
        <c:crossAx val="954478592"/>
        <c:crosses val="autoZero"/>
        <c:auto val="1"/>
        <c:lblAlgn val="ctr"/>
        <c:lblOffset val="100"/>
        <c:noMultiLvlLbl val="0"/>
      </c:catAx>
      <c:valAx>
        <c:axId val="954478592"/>
        <c:scaling>
          <c:orientation val="minMax"/>
          <c:max val="1"/>
          <c:min val="0"/>
        </c:scaling>
        <c:delete val="0"/>
        <c:axPos val="l"/>
        <c:majorGridlines/>
        <c:minorGridlines/>
        <c:numFmt formatCode="0%" sourceLinked="1"/>
        <c:majorTickMark val="out"/>
        <c:minorTickMark val="none"/>
        <c:tickLblPos val="nextTo"/>
        <c:crossAx val="954398976"/>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'U10m using hooks'!$K$143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'U10m using hooks'!$K$139</c:f>
              <c:strCache>
                <c:ptCount val="1"/>
                <c:pt idx="0">
                  <c:v>Total income</c:v>
                </c:pt>
              </c:strCache>
            </c:strRef>
          </c:tx>
          <c:spPr>
            <a:solidFill>
              <a:schemeClr val="accent1"/>
            </a:solidFill>
            <a:ln>
              <a:solidFill>
                <a:schemeClr val="accent1"/>
              </a:solidFill>
            </a:ln>
          </c:spPr>
          <c:invertIfNegative val="0"/>
          <c:cat>
            <c:strRef>
              <c:f>'U10m using hooks'!$L$138:$N$138</c:f>
              <c:strCache>
                <c:ptCount val="3"/>
                <c:pt idx="0">
                  <c:v>Most
profitable
quartile</c:v>
                </c:pt>
                <c:pt idx="1">
                  <c:v>Middle
two quartiles</c:v>
                </c:pt>
                <c:pt idx="2">
                  <c:v>Least
profitable
quartile</c:v>
                </c:pt>
              </c:strCache>
            </c:strRef>
          </c:cat>
          <c:val>
            <c:numRef>
              <c:f>'U10m using hooks'!$L$139:$N$139</c:f>
              <c:numCache>
                <c:formatCode>#,##0</c:formatCode>
                <c:ptCount val="3"/>
                <c:pt idx="0">
                  <c:v>52.472499999999997</c:v>
                </c:pt>
                <c:pt idx="1">
                  <c:v>35.991608039529901</c:v>
                </c:pt>
                <c:pt idx="2">
                  <c:v>30.053437500000001</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'U10m using hooks'!$K$140</c:f>
              <c:strCache>
                <c:ptCount val="1"/>
                <c:pt idx="0">
                  <c:v>Operating costs</c:v>
                </c:pt>
              </c:strCache>
            </c:strRef>
          </c:tx>
          <c:spPr>
            <a:solidFill>
              <a:schemeClr val="accent3"/>
            </a:solidFill>
          </c:spPr>
          <c:invertIfNegative val="0"/>
          <c:cat>
            <c:strRef>
              <c:f>'U10m using hooks'!$L$138:$N$138</c:f>
              <c:strCache>
                <c:ptCount val="3"/>
                <c:pt idx="0">
                  <c:v>Most
profitable
quartile</c:v>
                </c:pt>
                <c:pt idx="1">
                  <c:v>Middle
two quartiles</c:v>
                </c:pt>
                <c:pt idx="2">
                  <c:v>Least
profitable
quartile</c:v>
                </c:pt>
              </c:strCache>
            </c:strRef>
          </c:cat>
          <c:val>
            <c:numRef>
              <c:f>'U10m using hooks'!$L$140:$N$140</c:f>
              <c:numCache>
                <c:formatCode>#,##0</c:formatCode>
                <c:ptCount val="3"/>
                <c:pt idx="0">
                  <c:v>33.461187500000001</c:v>
                </c:pt>
                <c:pt idx="1">
                  <c:v>24.049113080929502</c:v>
                </c:pt>
                <c:pt idx="2">
                  <c:v>22.616708984374998</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'U10m using hooks'!$K$141</c:f>
              <c:strCache>
                <c:ptCount val="1"/>
                <c:pt idx="0">
                  <c:v>Operating profit</c:v>
                </c:pt>
              </c:strCache>
            </c:strRef>
          </c:tx>
          <c:spPr>
            <a:solidFill>
              <a:schemeClr val="accent2"/>
            </a:solidFill>
          </c:spPr>
          <c:invertIfNegative val="0"/>
          <c:cat>
            <c:strRef>
              <c:f>'U10m using hooks'!$L$138:$N$138</c:f>
              <c:strCache>
                <c:ptCount val="3"/>
                <c:pt idx="0">
                  <c:v>Most
profitable
quartile</c:v>
                </c:pt>
                <c:pt idx="1">
                  <c:v>Middle
two quartiles</c:v>
                </c:pt>
                <c:pt idx="2">
                  <c:v>Least
profitable
quartile</c:v>
                </c:pt>
              </c:strCache>
            </c:strRef>
          </c:cat>
          <c:val>
            <c:numRef>
              <c:f>'U10m using hooks'!$L$141:$N$141</c:f>
              <c:numCache>
                <c:formatCode>#,##0</c:formatCode>
                <c:ptCount val="3"/>
                <c:pt idx="0">
                  <c:v>19.011312499999999</c:v>
                </c:pt>
                <c:pt idx="1">
                  <c:v>11.942494958600401</c:v>
                </c:pt>
                <c:pt idx="2">
                  <c:v>7.436728515625</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954509952"/>
        <c:axId val="954519936"/>
      </c:barChart>
      <c:catAx>
        <c:axId val="954509952"/>
        <c:scaling>
          <c:orientation val="minMax"/>
        </c:scaling>
        <c:delete val="0"/>
        <c:axPos val="b"/>
        <c:numFmt formatCode="General" sourceLinked="0"/>
        <c:majorTickMark val="out"/>
        <c:minorTickMark val="none"/>
        <c:tickLblPos val="nextTo"/>
        <c:crossAx val="954519936"/>
        <c:crosses val="autoZero"/>
        <c:auto val="1"/>
        <c:lblAlgn val="ctr"/>
        <c:lblOffset val="100"/>
        <c:noMultiLvlLbl val="0"/>
      </c:catAx>
      <c:valAx>
        <c:axId val="954519936"/>
        <c:scaling>
          <c:orientation val="minMax"/>
        </c:scaling>
        <c:delete val="0"/>
        <c:axPos val="l"/>
        <c:majorGridlines/>
        <c:title>
          <c:tx>
            <c:strRef>
              <c:f>'U10m using hooks'!$K$142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954509952"/>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250kW'!$A$48</c:f>
          <c:strCache>
            <c:ptCount val="1"/>
            <c:pt idx="0">
              <c:v>Landings per kW day at sea (kg)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'WOS nephrops over 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'WOS nephrops over 250kW'!$D$21:$N$21</c:f>
              <c:numCache>
                <c:formatCode>#,##0.00</c:formatCode>
                <c:ptCount val="11"/>
                <c:pt idx="0">
                  <c:v>2.120283587993546</c:v>
                </c:pt>
                <c:pt idx="1">
                  <c:v>2.1249182139693721</c:v>
                </c:pt>
                <c:pt idx="2">
                  <c:v>2.2435628804617034</c:v>
                </c:pt>
                <c:pt idx="3">
                  <c:v>2.6858890184899766</c:v>
                </c:pt>
                <c:pt idx="4">
                  <c:v>2.9922154868455353</c:v>
                </c:pt>
                <c:pt idx="5">
                  <c:v>2.5581684467125867</c:v>
                </c:pt>
                <c:pt idx="6">
                  <c:v>2.6258873452062752</c:v>
                </c:pt>
                <c:pt idx="7">
                  <c:v>2.3105281310881853</c:v>
                </c:pt>
                <c:pt idx="8">
                  <c:v>2.7314686058598219</c:v>
                </c:pt>
                <c:pt idx="9">
                  <c:v>2.5523452675374929</c:v>
                </c:pt>
                <c:pt idx="10">
                  <c:v>1.8661265764750952</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953692160"/>
        <c:axId val="953693696"/>
      </c:lineChart>
      <c:catAx>
        <c:axId val="953692160"/>
        <c:scaling>
          <c:orientation val="minMax"/>
        </c:scaling>
        <c:delete val="0"/>
        <c:axPos val="b"/>
        <c:numFmt formatCode="General" sourceLinked="1"/>
        <c:majorTickMark val="out"/>
        <c:minorTickMark val="none"/>
        <c:tickLblPos val="nextTo"/>
        <c:crossAx val="953693696"/>
        <c:crosses val="autoZero"/>
        <c:auto val="1"/>
        <c:lblAlgn val="ctr"/>
        <c:lblOffset val="100"/>
        <c:noMultiLvlLbl val="0"/>
      </c:catAx>
      <c:valAx>
        <c:axId val="953693696"/>
        <c:scaling>
          <c:orientation val="minMax"/>
        </c:scaling>
        <c:delete val="0"/>
        <c:axPos val="l"/>
        <c:majorGridlines>
          <c:spPr>
            <a:ln w="3175">
              <a:prstDash val="sysDot"/>
            </a:ln>
          </c:spPr>
        </c:majorGridlines>
        <c:numFmt formatCode="#,##0.00" sourceLinked="1"/>
        <c:majorTickMark val="out"/>
        <c:minorTickMark val="none"/>
        <c:tickLblPos val="nextTo"/>
        <c:crossAx val="953692160"/>
        <c:crosses val="autoZero"/>
        <c:crossBetween val="between"/>
      </c:valAx>
    </c:plotArea>
    <c:plotVisOnly val="0"/>
    <c:dispBlanksAs val="gap"/>
    <c:showDLblsOverMax val="0"/>
  </c:chart>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250kW'!$A$49</c:f>
          <c:strCache>
            <c:ptCount val="1"/>
            <c:pt idx="0">
              <c:v>Fishing income per kW day at sea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'WOS nephrops over 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'WOS nephrops over 250kW'!$D$22:$N$22</c:f>
              <c:numCache>
                <c:formatCode>#,##0.00</c:formatCode>
                <c:ptCount val="11"/>
                <c:pt idx="0">
                  <c:v>5.5449653233808496</c:v>
                </c:pt>
                <c:pt idx="1">
                  <c:v>4.5966397183056298</c:v>
                </c:pt>
                <c:pt idx="2">
                  <c:v>4.8530420164239603</c:v>
                </c:pt>
                <c:pt idx="3">
                  <c:v>6.6694542920694104</c:v>
                </c:pt>
                <c:pt idx="4">
                  <c:v>6.89964870768015</c:v>
                </c:pt>
                <c:pt idx="5">
                  <c:v>6.0115692825066596</c:v>
                </c:pt>
                <c:pt idx="6">
                  <c:v>5.9436954140384</c:v>
                </c:pt>
                <c:pt idx="7">
                  <c:v>5.6348494903784099</c:v>
                </c:pt>
                <c:pt idx="8">
                  <c:v>6.0609915153444298</c:v>
                </c:pt>
                <c:pt idx="9">
                  <c:v>5.8034236167786197</c:v>
                </c:pt>
                <c:pt idx="10">
                  <c:v>5.4149578073618061</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953728000"/>
        <c:axId val="953737984"/>
      </c:lineChart>
      <c:catAx>
        <c:axId val="953728000"/>
        <c:scaling>
          <c:orientation val="minMax"/>
        </c:scaling>
        <c:delete val="0"/>
        <c:axPos val="b"/>
        <c:numFmt formatCode="General" sourceLinked="1"/>
        <c:majorTickMark val="out"/>
        <c:minorTickMark val="none"/>
        <c:tickLblPos val="nextTo"/>
        <c:crossAx val="953737984"/>
        <c:crosses val="autoZero"/>
        <c:auto val="1"/>
        <c:lblAlgn val="ctr"/>
        <c:lblOffset val="100"/>
        <c:noMultiLvlLbl val="0"/>
      </c:catAx>
      <c:valAx>
        <c:axId val="953737984"/>
        <c:scaling>
          <c:orientation val="minMax"/>
        </c:scaling>
        <c:delete val="0"/>
        <c:axPos val="l"/>
        <c:majorGridlines>
          <c:spPr>
            <a:ln w="3175">
              <a:prstDash val="sysDot"/>
            </a:ln>
          </c:spPr>
        </c:majorGridlines>
        <c:numFmt formatCode="#,##0.00" sourceLinked="1"/>
        <c:majorTickMark val="out"/>
        <c:minorTickMark val="none"/>
        <c:tickLblPos val="nextTo"/>
        <c:crossAx val="953728000"/>
        <c:crosses val="autoZero"/>
        <c:crossBetween val="between"/>
      </c:valAx>
    </c:plotArea>
    <c:plotVisOnly val="0"/>
    <c:dispBlanksAs val="gap"/>
    <c:showDLblsOverMax val="0"/>
  </c:chart>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250kW'!$B$62</c:f>
          <c:strCache>
            <c:ptCount val="1"/>
            <c:pt idx="0">
              <c:v>Total cost per kW day at sea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'WOS nephrops over 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'WOS nephrops over 250kW'!$D$23:$N$23</c:f>
              <c:numCache>
                <c:formatCode>#,##0.00</c:formatCode>
                <c:ptCount val="11"/>
                <c:pt idx="0">
                  <c:v>5.1573222696077696</c:v>
                </c:pt>
                <c:pt idx="1">
                  <c:v>4.62786026274311</c:v>
                </c:pt>
                <c:pt idx="2">
                  <c:v>4.4659489155017198</c:v>
                </c:pt>
                <c:pt idx="3">
                  <c:v>5.2764021178564802</c:v>
                </c:pt>
                <c:pt idx="4">
                  <c:v>5.7083235488281598</c:v>
                </c:pt>
                <c:pt idx="5">
                  <c:v>5.3374662863825604</c:v>
                </c:pt>
                <c:pt idx="6">
                  <c:v>5.1996388141220002</c:v>
                </c:pt>
                <c:pt idx="7">
                  <c:v>4.8885130172829401</c:v>
                </c:pt>
                <c:pt idx="8">
                  <c:v>5.1126205307469901</c:v>
                </c:pt>
                <c:pt idx="9">
                  <c:v>5.5331170478131</c:v>
                </c:pt>
                <c:pt idx="10">
                  <c:v>5.3218398742405881</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953829632"/>
        <c:axId val="953831424"/>
      </c:lineChart>
      <c:catAx>
        <c:axId val="953829632"/>
        <c:scaling>
          <c:orientation val="minMax"/>
        </c:scaling>
        <c:delete val="0"/>
        <c:axPos val="b"/>
        <c:numFmt formatCode="General" sourceLinked="1"/>
        <c:majorTickMark val="out"/>
        <c:minorTickMark val="none"/>
        <c:tickLblPos val="nextTo"/>
        <c:crossAx val="953831424"/>
        <c:crosses val="autoZero"/>
        <c:auto val="1"/>
        <c:lblAlgn val="ctr"/>
        <c:lblOffset val="100"/>
        <c:noMultiLvlLbl val="0"/>
      </c:catAx>
      <c:valAx>
        <c:axId val="953831424"/>
        <c:scaling>
          <c:orientation val="minMax"/>
        </c:scaling>
        <c:delete val="0"/>
        <c:axPos val="l"/>
        <c:majorGridlines>
          <c:spPr>
            <a:ln w="3175">
              <a:prstDash val="sysDot"/>
            </a:ln>
          </c:spPr>
        </c:majorGridlines>
        <c:numFmt formatCode="#,##0.00" sourceLinked="1"/>
        <c:majorTickMark val="out"/>
        <c:minorTickMark val="none"/>
        <c:tickLblPos val="nextTo"/>
        <c:crossAx val="953829632"/>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250kW'!$K$48</c:f>
          <c:strCache>
            <c:ptCount val="1"/>
            <c:pt idx="0">
              <c:v>Operating profit per kW day at sea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'WOS nephrops over 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'WOS nephrops over 250kW'!$D$24:$N$24</c:f>
              <c:numCache>
                <c:formatCode>#,##0.00</c:formatCode>
                <c:ptCount val="11"/>
                <c:pt idx="0">
                  <c:v>0.49303762664662598</c:v>
                </c:pt>
                <c:pt idx="1">
                  <c:v>-2.22426545911238E-2</c:v>
                </c:pt>
                <c:pt idx="2">
                  <c:v>0.50481535442099201</c:v>
                </c:pt>
                <c:pt idx="3">
                  <c:v>1.46180057609791</c:v>
                </c:pt>
                <c:pt idx="4">
                  <c:v>1.5706946110375599</c:v>
                </c:pt>
                <c:pt idx="5">
                  <c:v>0.78887863531496105</c:v>
                </c:pt>
                <c:pt idx="6">
                  <c:v>1.2340122390836199</c:v>
                </c:pt>
                <c:pt idx="7">
                  <c:v>0.89371482289097604</c:v>
                </c:pt>
                <c:pt idx="8">
                  <c:v>1.0611411121934899</c:v>
                </c:pt>
                <c:pt idx="9">
                  <c:v>0.80165842844764301</c:v>
                </c:pt>
                <c:pt idx="10">
                  <c:v>0.58890253222883748</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53865728"/>
        <c:axId val="953867264"/>
      </c:lineChart>
      <c:catAx>
        <c:axId val="953865728"/>
        <c:scaling>
          <c:orientation val="minMax"/>
        </c:scaling>
        <c:delete val="0"/>
        <c:axPos val="b"/>
        <c:numFmt formatCode="General" sourceLinked="1"/>
        <c:majorTickMark val="out"/>
        <c:minorTickMark val="none"/>
        <c:tickLblPos val="nextTo"/>
        <c:crossAx val="953867264"/>
        <c:crosses val="autoZero"/>
        <c:auto val="1"/>
        <c:lblAlgn val="ctr"/>
        <c:lblOffset val="100"/>
        <c:noMultiLvlLbl val="0"/>
      </c:catAx>
      <c:valAx>
        <c:axId val="953867264"/>
        <c:scaling>
          <c:orientation val="minMax"/>
        </c:scaling>
        <c:delete val="0"/>
        <c:axPos val="l"/>
        <c:majorGridlines>
          <c:spPr>
            <a:ln w="3175">
              <a:prstDash val="sysDot"/>
            </a:ln>
          </c:spPr>
        </c:majorGridlines>
        <c:numFmt formatCode="#,##0.00" sourceLinked="1"/>
        <c:majorTickMark val="out"/>
        <c:minorTickMark val="none"/>
        <c:tickLblPos val="nextTo"/>
        <c:crossAx val="953865728"/>
        <c:crosses val="autoZero"/>
        <c:crossBetween val="between"/>
      </c:valAx>
    </c:plotArea>
    <c:plotVisOnly val="0"/>
    <c:dispBlanksAs val="gap"/>
    <c:showDLblsOverMax val="0"/>
  </c:chart>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250kW'!$A$50</c:f>
          <c:strCache>
            <c:ptCount val="1"/>
            <c:pt idx="0">
              <c:v>Average price per tonne landed (£)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'WOS nephrops over 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'WOS nephrops over 250kW'!$D$20:$N$20</c:f>
              <c:numCache>
                <c:formatCode>#,##0</c:formatCode>
                <c:ptCount val="11"/>
                <c:pt idx="0">
                  <c:v>2615</c:v>
                </c:pt>
                <c:pt idx="1">
                  <c:v>2163</c:v>
                </c:pt>
                <c:pt idx="2">
                  <c:v>2163</c:v>
                </c:pt>
                <c:pt idx="3">
                  <c:v>2483</c:v>
                </c:pt>
                <c:pt idx="4">
                  <c:v>2306</c:v>
                </c:pt>
                <c:pt idx="5">
                  <c:v>2350</c:v>
                </c:pt>
                <c:pt idx="6">
                  <c:v>2263</c:v>
                </c:pt>
                <c:pt idx="7">
                  <c:v>2439</c:v>
                </c:pt>
                <c:pt idx="8">
                  <c:v>2219</c:v>
                </c:pt>
                <c:pt idx="9">
                  <c:v>2274</c:v>
                </c:pt>
                <c:pt idx="10">
                  <c:v>2902</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53897728"/>
        <c:axId val="953899264"/>
      </c:lineChart>
      <c:catAx>
        <c:axId val="953897728"/>
        <c:scaling>
          <c:orientation val="minMax"/>
        </c:scaling>
        <c:delete val="0"/>
        <c:axPos val="b"/>
        <c:numFmt formatCode="General" sourceLinked="1"/>
        <c:majorTickMark val="out"/>
        <c:minorTickMark val="none"/>
        <c:tickLblPos val="nextTo"/>
        <c:crossAx val="953899264"/>
        <c:crosses val="autoZero"/>
        <c:auto val="1"/>
        <c:lblAlgn val="ctr"/>
        <c:lblOffset val="100"/>
        <c:noMultiLvlLbl val="0"/>
      </c:catAx>
      <c:valAx>
        <c:axId val="953899264"/>
        <c:scaling>
          <c:orientation val="minMax"/>
        </c:scaling>
        <c:delete val="0"/>
        <c:axPos val="l"/>
        <c:majorGridlines>
          <c:spPr>
            <a:ln w="3175">
              <a:prstDash val="sysDot"/>
            </a:ln>
          </c:spPr>
        </c:majorGridlines>
        <c:numFmt formatCode="#,##0" sourceLinked="1"/>
        <c:majorTickMark val="out"/>
        <c:minorTickMark val="none"/>
        <c:tickLblPos val="nextTo"/>
        <c:crossAx val="953897728"/>
        <c:crosses val="autoZero"/>
        <c:crossBetween val="between"/>
      </c:valAx>
    </c:plotArea>
    <c:plotVisOnly val="0"/>
    <c:dispBlanksAs val="gap"/>
    <c:showDLblsOverMax val="0"/>
  </c:chart>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250kW'!$K$62</c:f>
          <c:strCache>
            <c:ptCount val="1"/>
            <c:pt idx="0">
              <c:v>Average annual operating profit per vessel (£'000)
WOS nephrops over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'WOS nephrops over 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'WOS nephrops over 250kW'!$D$37:$N$37</c:f>
              <c:numCache>
                <c:formatCode>#,##0.0</c:formatCode>
                <c:ptCount val="11"/>
                <c:pt idx="0">
                  <c:v>26.6</c:v>
                </c:pt>
                <c:pt idx="1">
                  <c:v>-1.3</c:v>
                </c:pt>
                <c:pt idx="2">
                  <c:v>28.7</c:v>
                </c:pt>
                <c:pt idx="3">
                  <c:v>78.3</c:v>
                </c:pt>
                <c:pt idx="4">
                  <c:v>93</c:v>
                </c:pt>
                <c:pt idx="5">
                  <c:v>46.9</c:v>
                </c:pt>
                <c:pt idx="6">
                  <c:v>77.099999999999994</c:v>
                </c:pt>
                <c:pt idx="7">
                  <c:v>52.3</c:v>
                </c:pt>
                <c:pt idx="8">
                  <c:v>65.900000000000006</c:v>
                </c:pt>
                <c:pt idx="9">
                  <c:v>46.5</c:v>
                </c:pt>
                <c:pt idx="10">
                  <c:v>31.6</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53937920"/>
        <c:axId val="953939456"/>
      </c:lineChart>
      <c:catAx>
        <c:axId val="953937920"/>
        <c:scaling>
          <c:orientation val="minMax"/>
        </c:scaling>
        <c:delete val="0"/>
        <c:axPos val="b"/>
        <c:numFmt formatCode="General" sourceLinked="1"/>
        <c:majorTickMark val="out"/>
        <c:minorTickMark val="none"/>
        <c:tickLblPos val="nextTo"/>
        <c:crossAx val="953939456"/>
        <c:crosses val="autoZero"/>
        <c:auto val="1"/>
        <c:lblAlgn val="ctr"/>
        <c:lblOffset val="100"/>
        <c:noMultiLvlLbl val="0"/>
      </c:catAx>
      <c:valAx>
        <c:axId val="953939456"/>
        <c:scaling>
          <c:orientation val="minMax"/>
        </c:scaling>
        <c:delete val="0"/>
        <c:axPos val="l"/>
        <c:majorGridlines>
          <c:spPr>
            <a:ln w="3175">
              <a:prstDash val="sysDot"/>
            </a:ln>
          </c:spPr>
        </c:majorGridlines>
        <c:numFmt formatCode="#,##0.0" sourceLinked="1"/>
        <c:majorTickMark val="out"/>
        <c:minorTickMark val="none"/>
        <c:tickLblPos val="nextTo"/>
        <c:crossAx val="953937920"/>
        <c:crosses val="autoZero"/>
        <c:crossBetween val="between"/>
      </c:valAx>
    </c:plotArea>
    <c:plotVisOnly val="0"/>
    <c:dispBlanksAs val="gap"/>
    <c:showDLblsOverMax val="0"/>
  </c:chart>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over 250kW'!$A$76</c:f>
          <c:strCache>
            <c:ptCount val="1"/>
            <c:pt idx="0">
              <c:v>Top 5 landed species by volume in 2017
WOS nephrops over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648C2E"/>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E84A38"/>
              </a:solidFill>
              <a:ln>
                <a:solidFill>
                  <a:srgbClr val="FFFFFF"/>
                </a:solidFill>
              </a:ln>
            </c:spPr>
          </c:dPt>
          <c:dPt>
            <c:idx val="3"/>
            <c:bubble3D val="0"/>
            <c:spPr>
              <a:solidFill>
                <a:srgbClr val="E87308"/>
              </a:solidFill>
              <a:ln>
                <a:solidFill>
                  <a:srgbClr val="FFFFFF"/>
                </a:solidFill>
              </a:ln>
            </c:spPr>
          </c:dPt>
          <c:dPt>
            <c:idx val="4"/>
            <c:bubble3D val="0"/>
            <c:spPr>
              <a:solidFill>
                <a:srgbClr val="0F9AA9"/>
              </a:solidFill>
              <a:ln>
                <a:solidFill>
                  <a:srgbClr val="FFFFFF"/>
                </a:solidFill>
              </a:ln>
            </c:spPr>
          </c:dPt>
          <c:dPt>
            <c:idx val="5"/>
            <c:bubble3D val="0"/>
            <c:spPr>
              <a:solidFill>
                <a:srgbClr val="55585A"/>
              </a:solidFill>
              <a:ln>
                <a:solidFill>
                  <a:srgbClr val="FFFFFF"/>
                </a:solidFill>
              </a:ln>
            </c:spPr>
          </c:dPt>
          <c:cat>
            <c:strRef>
              <c:f>'WOS nephrops over 250kW'!$B$77:$B$82</c:f>
              <c:strCache>
                <c:ptCount val="6"/>
                <c:pt idx="0">
                  <c:v>Nephrops - 66.5%</c:v>
                </c:pt>
                <c:pt idx="1">
                  <c:v>Sprats - 21.3%</c:v>
                </c:pt>
                <c:pt idx="2">
                  <c:v>Haddock - 3.6%</c:v>
                </c:pt>
                <c:pt idx="3">
                  <c:v>Anglerfish - 2.0%</c:v>
                </c:pt>
                <c:pt idx="4">
                  <c:v>Herring - 1.2%</c:v>
                </c:pt>
                <c:pt idx="5">
                  <c:v>Others - 5.5%</c:v>
                </c:pt>
              </c:strCache>
            </c:strRef>
          </c:cat>
          <c:val>
            <c:numRef>
              <c:f>'WOS nephrops over 250kW'!$C$77:$C$82</c:f>
              <c:numCache>
                <c:formatCode>0.0%</c:formatCode>
                <c:ptCount val="6"/>
                <c:pt idx="0">
                  <c:v>0.66503156237091909</c:v>
                </c:pt>
                <c:pt idx="1">
                  <c:v>0.21275540514471056</c:v>
                </c:pt>
                <c:pt idx="2">
                  <c:v>3.6043797559769837E-2</c:v>
                </c:pt>
                <c:pt idx="3">
                  <c:v>1.9845887025543296E-2</c:v>
                </c:pt>
                <c:pt idx="4">
                  <c:v>1.18154159333307E-2</c:v>
                </c:pt>
                <c:pt idx="5">
                  <c:v>5.4507931965726564E-2</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over 250kW'!$F$76</c:f>
          <c:strCache>
            <c:ptCount val="1"/>
            <c:pt idx="0">
              <c:v>Top 5 landed species by value in 2017
WOS nephrops over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'WOS nephrops over 250kW'!$G$77:$G$82</c:f>
              <c:strCache>
                <c:ptCount val="6"/>
                <c:pt idx="0">
                  <c:v>Nephrops - 88.8%</c:v>
                </c:pt>
                <c:pt idx="1">
                  <c:v>Anglerfish - 2.4%</c:v>
                </c:pt>
                <c:pt idx="2">
                  <c:v>Sprats - 2.1%</c:v>
                </c:pt>
                <c:pt idx="3">
                  <c:v>Squid - 1.7%</c:v>
                </c:pt>
                <c:pt idx="4">
                  <c:v>Haddock - 1.6%</c:v>
                </c:pt>
                <c:pt idx="5">
                  <c:v>Others - 3.4%</c:v>
                </c:pt>
              </c:strCache>
            </c:strRef>
          </c:cat>
          <c:val>
            <c:numRef>
              <c:f>'WOS nephrops over 250kW'!$H$77:$H$82</c:f>
              <c:numCache>
                <c:formatCode>0.0%</c:formatCode>
                <c:ptCount val="6"/>
                <c:pt idx="0">
                  <c:v>0.88825370800076697</c:v>
                </c:pt>
                <c:pt idx="1">
                  <c:v>2.3892472815617672E-2</c:v>
                </c:pt>
                <c:pt idx="2">
                  <c:v>2.1193190314425799E-2</c:v>
                </c:pt>
                <c:pt idx="3">
                  <c:v>1.664083431996383E-2</c:v>
                </c:pt>
                <c:pt idx="4">
                  <c:v>1.6492427427682772E-2</c:v>
                </c:pt>
                <c:pt idx="5">
                  <c:v>3.3527367121542917E-2</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nephrops u250kW'!$K$143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VIIa nephrops u250kW'!$K$139</c:f>
              <c:strCache>
                <c:ptCount val="1"/>
                <c:pt idx="0">
                  <c:v>Total income</c:v>
                </c:pt>
              </c:strCache>
            </c:strRef>
          </c:tx>
          <c:spPr>
            <a:solidFill>
              <a:schemeClr val="accent1"/>
            </a:solidFill>
            <a:ln>
              <a:solidFill>
                <a:schemeClr val="accent1"/>
              </a:solidFill>
            </a:ln>
          </c:spPr>
          <c:invertIfNegative val="0"/>
          <c:cat>
            <c:strRef>
              <c:f>'Area VIIa nephrops u250kW'!$L$138:$N$138</c:f>
              <c:strCache>
                <c:ptCount val="3"/>
                <c:pt idx="0">
                  <c:v>Most
profitable
quartile</c:v>
                </c:pt>
                <c:pt idx="1">
                  <c:v>Middle
two quartiles</c:v>
                </c:pt>
                <c:pt idx="2">
                  <c:v>Least
profitable
quartile</c:v>
                </c:pt>
              </c:strCache>
            </c:strRef>
          </c:cat>
          <c:val>
            <c:numRef>
              <c:f>'Area VIIa nephrops u250kW'!$L$139:$N$139</c:f>
              <c:numCache>
                <c:formatCode>#,##0</c:formatCode>
                <c:ptCount val="3"/>
                <c:pt idx="0">
                  <c:v>220.90687500000001</c:v>
                </c:pt>
                <c:pt idx="1">
                  <c:v>189.11210156249999</c:v>
                </c:pt>
                <c:pt idx="2">
                  <c:v>110.07752343750001</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'Area VIIa nephrops u250kW'!$K$140</c:f>
              <c:strCache>
                <c:ptCount val="1"/>
                <c:pt idx="0">
                  <c:v>Operating costs</c:v>
                </c:pt>
              </c:strCache>
            </c:strRef>
          </c:tx>
          <c:spPr>
            <a:solidFill>
              <a:schemeClr val="accent3"/>
            </a:solidFill>
          </c:spPr>
          <c:invertIfNegative val="0"/>
          <c:cat>
            <c:strRef>
              <c:f>'Area VIIa nephrops u250kW'!$L$138:$N$138</c:f>
              <c:strCache>
                <c:ptCount val="3"/>
                <c:pt idx="0">
                  <c:v>Most
profitable
quartile</c:v>
                </c:pt>
                <c:pt idx="1">
                  <c:v>Middle
two quartiles</c:v>
                </c:pt>
                <c:pt idx="2">
                  <c:v>Least
profitable
quartile</c:v>
                </c:pt>
              </c:strCache>
            </c:strRef>
          </c:cat>
          <c:val>
            <c:numRef>
              <c:f>'Area VIIa nephrops u250kW'!$L$140:$N$140</c:f>
              <c:numCache>
                <c:formatCode>#,##0</c:formatCode>
                <c:ptCount val="3"/>
                <c:pt idx="0">
                  <c:v>158.93753125000001</c:v>
                </c:pt>
                <c:pt idx="1">
                  <c:v>142.65420312500001</c:v>
                </c:pt>
                <c:pt idx="2">
                  <c:v>88.965984375000005</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'Area VIIa nephrops u250kW'!$K$141</c:f>
              <c:strCache>
                <c:ptCount val="1"/>
                <c:pt idx="0">
                  <c:v>Operating profit</c:v>
                </c:pt>
              </c:strCache>
            </c:strRef>
          </c:tx>
          <c:spPr>
            <a:solidFill>
              <a:schemeClr val="accent2"/>
            </a:solidFill>
          </c:spPr>
          <c:invertIfNegative val="0"/>
          <c:cat>
            <c:strRef>
              <c:f>'Area VIIa nephrops u250kW'!$L$138:$N$138</c:f>
              <c:strCache>
                <c:ptCount val="3"/>
                <c:pt idx="0">
                  <c:v>Most
profitable
quartile</c:v>
                </c:pt>
                <c:pt idx="1">
                  <c:v>Middle
two quartiles</c:v>
                </c:pt>
                <c:pt idx="2">
                  <c:v>Least
profitable
quartile</c:v>
                </c:pt>
              </c:strCache>
            </c:strRef>
          </c:cat>
          <c:val>
            <c:numRef>
              <c:f>'Area VIIa nephrops u250kW'!$L$141:$N$141</c:f>
              <c:numCache>
                <c:formatCode>#,##0</c:formatCode>
                <c:ptCount val="3"/>
                <c:pt idx="0">
                  <c:v>61.96934375</c:v>
                </c:pt>
                <c:pt idx="1">
                  <c:v>46.457898437499999</c:v>
                </c:pt>
                <c:pt idx="2">
                  <c:v>21.1115390625</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704869504"/>
        <c:axId val="704871040"/>
      </c:barChart>
      <c:catAx>
        <c:axId val="704869504"/>
        <c:scaling>
          <c:orientation val="minMax"/>
        </c:scaling>
        <c:delete val="0"/>
        <c:axPos val="b"/>
        <c:numFmt formatCode="General" sourceLinked="0"/>
        <c:majorTickMark val="out"/>
        <c:minorTickMark val="none"/>
        <c:tickLblPos val="nextTo"/>
        <c:crossAx val="704871040"/>
        <c:crosses val="autoZero"/>
        <c:auto val="1"/>
        <c:lblAlgn val="ctr"/>
        <c:lblOffset val="100"/>
        <c:noMultiLvlLbl val="0"/>
      </c:catAx>
      <c:valAx>
        <c:axId val="704871040"/>
        <c:scaling>
          <c:orientation val="minMax"/>
        </c:scaling>
        <c:delete val="0"/>
        <c:axPos val="l"/>
        <c:majorGridlines/>
        <c:title>
          <c:tx>
            <c:strRef>
              <c:f>'Area VIIa nephrops u250kW'!$K$142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704869504"/>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'WOS nephrops over 250kW'!$C$92</c:f>
              <c:strCache>
                <c:ptCount val="1"/>
                <c:pt idx="0">
                  <c:v>Nephrops</c:v>
                </c:pt>
              </c:strCache>
            </c:strRef>
          </c:tx>
          <c:spPr>
            <a:solidFill>
              <a:srgbClr val="2273B9"/>
            </a:solidFill>
            <a:ln>
              <a:solidFill>
                <a:srgbClr val="FFFFFF"/>
              </a:solidFill>
            </a:ln>
          </c:spPr>
          <c:invertIfNegative val="0"/>
          <c:cat>
            <c:numRef>
              <c:f>'WOS nephrops over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over 250kW'!$D$92:$M$92</c:f>
              <c:numCache>
                <c:formatCode>0%</c:formatCode>
                <c:ptCount val="10"/>
                <c:pt idx="0">
                  <c:v>0.90225419373692517</c:v>
                </c:pt>
                <c:pt idx="1">
                  <c:v>0.90013991240851732</c:v>
                </c:pt>
                <c:pt idx="2">
                  <c:v>0.93359581975012895</c:v>
                </c:pt>
                <c:pt idx="3">
                  <c:v>0.91943293830689354</c:v>
                </c:pt>
                <c:pt idx="4">
                  <c:v>0.93151145129164914</c:v>
                </c:pt>
                <c:pt idx="5">
                  <c:v>0.91807383408086729</c:v>
                </c:pt>
                <c:pt idx="6">
                  <c:v>0.9174952671797485</c:v>
                </c:pt>
                <c:pt idx="7">
                  <c:v>0.90393682729957858</c:v>
                </c:pt>
                <c:pt idx="8">
                  <c:v>0.88825370800076697</c:v>
                </c:pt>
                <c:pt idx="9">
                  <c:v>0.92009847534130862</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'WOS nephrops over 250kW'!$C$93</c:f>
              <c:strCache>
                <c:ptCount val="1"/>
                <c:pt idx="0">
                  <c:v>Anglerfish</c:v>
                </c:pt>
              </c:strCache>
            </c:strRef>
          </c:tx>
          <c:spPr>
            <a:solidFill>
              <a:srgbClr val="E87308"/>
            </a:solidFill>
            <a:ln>
              <a:solidFill>
                <a:srgbClr val="FFFFFF"/>
              </a:solidFill>
            </a:ln>
          </c:spPr>
          <c:invertIfNegative val="0"/>
          <c:cat>
            <c:numRef>
              <c:f>'WOS nephrops over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over 250kW'!$D$93:$M$93</c:f>
              <c:numCache>
                <c:formatCode>0%</c:formatCode>
                <c:ptCount val="10"/>
                <c:pt idx="0">
                  <c:v>1.3607384433903427E-2</c:v>
                </c:pt>
                <c:pt idx="1">
                  <c:v>1.581195403676618E-2</c:v>
                </c:pt>
                <c:pt idx="2">
                  <c:v>1.3342215442388613E-2</c:v>
                </c:pt>
                <c:pt idx="3">
                  <c:v>1.2745998916651595E-2</c:v>
                </c:pt>
                <c:pt idx="4">
                  <c:v>1.5019061626402199E-2</c:v>
                </c:pt>
                <c:pt idx="5">
                  <c:v>1.5684346272758675E-2</c:v>
                </c:pt>
                <c:pt idx="6">
                  <c:v>3.0322621399217063E-2</c:v>
                </c:pt>
                <c:pt idx="7">
                  <c:v>2.9032363209429996E-2</c:v>
                </c:pt>
                <c:pt idx="8">
                  <c:v>2.3892472815617672E-2</c:v>
                </c:pt>
                <c:pt idx="9">
                  <c:v>3.0635476701926023E-2</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'WOS nephrops over 250kW'!$C$94</c:f>
              <c:strCache>
                <c:ptCount val="1"/>
                <c:pt idx="0">
                  <c:v>Sprats</c:v>
                </c:pt>
              </c:strCache>
            </c:strRef>
          </c:tx>
          <c:spPr>
            <a:solidFill>
              <a:srgbClr val="648C2E"/>
            </a:solidFill>
            <a:ln>
              <a:solidFill>
                <a:srgbClr val="FFFFFF"/>
              </a:solidFill>
            </a:ln>
          </c:spPr>
          <c:invertIfNegative val="0"/>
          <c:cat>
            <c:numRef>
              <c:f>'WOS nephrops over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over 250kW'!$D$94:$M$94</c:f>
              <c:numCache>
                <c:formatCode>0%</c:formatCode>
                <c:ptCount val="10"/>
                <c:pt idx="1">
                  <c:v>1.2865579029658162E-2</c:v>
                </c:pt>
                <c:pt idx="2">
                  <c:v>1.1553252102466572E-2</c:v>
                </c:pt>
                <c:pt idx="3">
                  <c:v>2.8373222509970788E-2</c:v>
                </c:pt>
                <c:pt idx="4">
                  <c:v>1.8500513439783012E-2</c:v>
                </c:pt>
                <c:pt idx="5">
                  <c:v>2.6568068637269692E-2</c:v>
                </c:pt>
                <c:pt idx="6">
                  <c:v>1.9552337169447306E-2</c:v>
                </c:pt>
                <c:pt idx="7">
                  <c:v>2.7197899656840215E-2</c:v>
                </c:pt>
                <c:pt idx="8">
                  <c:v>2.1193190314425799E-2</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'WOS nephrops over 250kW'!$C$95</c:f>
              <c:strCache>
                <c:ptCount val="1"/>
                <c:pt idx="0">
                  <c:v>Squid</c:v>
                </c:pt>
              </c:strCache>
            </c:strRef>
          </c:tx>
          <c:spPr>
            <a:solidFill>
              <a:srgbClr val="C1D119"/>
            </a:solidFill>
            <a:ln>
              <a:solidFill>
                <a:srgbClr val="FFFFFF"/>
              </a:solidFill>
            </a:ln>
          </c:spPr>
          <c:invertIfNegative val="0"/>
          <c:cat>
            <c:numRef>
              <c:f>'WOS nephrops over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over 250kW'!$D$95:$M$95</c:f>
              <c:numCache>
                <c:formatCode>0%</c:formatCode>
                <c:ptCount val="10"/>
                <c:pt idx="0">
                  <c:v>2.624207047830162E-2</c:v>
                </c:pt>
                <c:pt idx="1">
                  <c:v>2.690566092881105E-2</c:v>
                </c:pt>
                <c:pt idx="5">
                  <c:v>8.671942962357633E-3</c:v>
                </c:pt>
                <c:pt idx="8">
                  <c:v>1.664083431996383E-2</c:v>
                </c:pt>
                <c:pt idx="9">
                  <c:v>1.5018235952309248E-2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'WOS nephrops over 250kW'!$C$96</c:f>
              <c:strCache>
                <c:ptCount val="1"/>
                <c:pt idx="0">
                  <c:v>Haddock</c:v>
                </c:pt>
              </c:strCache>
            </c:strRef>
          </c:tx>
          <c:spPr>
            <a:solidFill>
              <a:srgbClr val="E84A38"/>
            </a:solidFill>
            <a:ln>
              <a:solidFill>
                <a:srgbClr val="FFFFFF"/>
              </a:solidFill>
            </a:ln>
          </c:spPr>
          <c:invertIfNegative val="0"/>
          <c:cat>
            <c:numRef>
              <c:f>'WOS nephrops over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over 250kW'!$D$96:$M$96</c:f>
              <c:numCache>
                <c:formatCode>0%</c:formatCode>
                <c:ptCount val="10"/>
                <c:pt idx="1">
                  <c:v>7.0792389980641789E-3</c:v>
                </c:pt>
                <c:pt idx="3">
                  <c:v>1.1051857303685169E-2</c:v>
                </c:pt>
                <c:pt idx="4">
                  <c:v>1.1524149618438055E-2</c:v>
                </c:pt>
                <c:pt idx="5">
                  <c:v>9.7292073950730786E-3</c:v>
                </c:pt>
                <c:pt idx="6">
                  <c:v>9.0728109939999333E-3</c:v>
                </c:pt>
                <c:pt idx="7">
                  <c:v>1.2197501906653993E-2</c:v>
                </c:pt>
                <c:pt idx="8">
                  <c:v>1.6492427427682772E-2</c:v>
                </c:pt>
                <c:pt idx="9">
                  <c:v>1.2082600247038309E-2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'WOS nephrops over 250kW'!$C$97</c:f>
              <c:strCache>
                <c:ptCount val="1"/>
                <c:pt idx="0">
                  <c:v>Thornback Ray</c:v>
                </c:pt>
              </c:strCache>
            </c:strRef>
          </c:tx>
          <c:spPr>
            <a:solidFill>
              <a:srgbClr val="0F9AA9"/>
            </a:solidFill>
            <a:ln>
              <a:solidFill>
                <a:srgbClr val="FFFFFF"/>
              </a:solidFill>
            </a:ln>
          </c:spPr>
          <c:invertIfNegative val="0"/>
          <c:cat>
            <c:numRef>
              <c:f>'WOS nephrops over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over 250kW'!$D$97:$M$97</c:f>
              <c:numCache>
                <c:formatCode>0%</c:formatCode>
                <c:ptCount val="10"/>
                <c:pt idx="9">
                  <c:v>4.1382454845846853E-3</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'WOS nephrops over 250kW'!$C$98</c:f>
              <c:strCache>
                <c:ptCount val="1"/>
                <c:pt idx="0">
                  <c:v>Cod</c:v>
                </c:pt>
              </c:strCache>
            </c:strRef>
          </c:tx>
          <c:spPr>
            <a:solidFill>
              <a:srgbClr val="FED825"/>
            </a:solidFill>
            <a:ln>
              <a:solidFill>
                <a:srgbClr val="FFFFFF"/>
              </a:solidFill>
            </a:ln>
          </c:spPr>
          <c:invertIfNegative val="0"/>
          <c:cat>
            <c:numRef>
              <c:f>'WOS nephrops over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over 250kW'!$D$98:$M$98</c:f>
              <c:numCache>
                <c:formatCode>0%</c:formatCode>
                <c:ptCount val="10"/>
                <c:pt idx="7">
                  <c:v>3.571773980461687E-3</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'WOS nephrops over 250kW'!$C$99</c:f>
              <c:strCache>
                <c:ptCount val="1"/>
                <c:pt idx="0">
                  <c:v>Scallops</c:v>
                </c:pt>
              </c:strCache>
            </c:strRef>
          </c:tx>
          <c:spPr>
            <a:solidFill>
              <a:srgbClr val="707271"/>
            </a:solidFill>
            <a:ln>
              <a:solidFill>
                <a:srgbClr val="FFFFFF"/>
              </a:solidFill>
            </a:ln>
          </c:spPr>
          <c:invertIfNegative val="0"/>
          <c:cat>
            <c:numRef>
              <c:f>'WOS nephrops over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over 250kW'!$D$99:$M$99</c:f>
              <c:numCache>
                <c:formatCode>0%</c:formatCode>
                <c:ptCount val="10"/>
                <c:pt idx="6">
                  <c:v>3.7888634672335413E-3</c:v>
                </c:pt>
              </c:numCache>
            </c:numRef>
          </c:val>
          <c:extLst xmlns:c16r2="http://schemas.microsoft.com/office/drawing/2015/06/chart">
            <c:ext xmlns:c16="http://schemas.microsoft.com/office/drawing/2014/chart" uri="{C3380CC4-5D6E-409C-BE32-E72D297353CC}">
              <c16:uniqueId val="{00000007-282A-42F3-A8CE-7B6B063B5E4F}"/>
            </c:ext>
          </c:extLst>
        </c:ser>
        <c:ser>
          <c:idx val="8"/>
          <c:order val="8"/>
          <c:tx>
            <c:strRef>
              <c:f>'WOS nephrops over 250kW'!$C$100</c:f>
              <c:strCache>
                <c:ptCount val="1"/>
                <c:pt idx="0">
                  <c:v>Whiting</c:v>
                </c:pt>
              </c:strCache>
            </c:strRef>
          </c:tx>
          <c:spPr>
            <a:solidFill>
              <a:srgbClr val="51AA81"/>
            </a:solidFill>
            <a:ln>
              <a:solidFill>
                <a:srgbClr val="FFFFFF"/>
              </a:solidFill>
            </a:ln>
          </c:spPr>
          <c:invertIfNegative val="0"/>
          <c:cat>
            <c:numRef>
              <c:f>'WOS nephrops over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over 250kW'!$D$100:$M$100</c:f>
              <c:numCache>
                <c:formatCode>0%</c:formatCode>
                <c:ptCount val="10"/>
                <c:pt idx="4">
                  <c:v>3.0757763262472238E-3</c:v>
                </c:pt>
              </c:numCache>
            </c:numRef>
          </c:val>
          <c:extLst xmlns:c16r2="http://schemas.microsoft.com/office/drawing/2015/06/chart">
            <c:ext xmlns:c16="http://schemas.microsoft.com/office/drawing/2014/chart" uri="{C3380CC4-5D6E-409C-BE32-E72D297353CC}">
              <c16:uniqueId val="{00000008-282A-42F3-A8CE-7B6B063B5E4F}"/>
            </c:ext>
          </c:extLst>
        </c:ser>
        <c:ser>
          <c:idx val="9"/>
          <c:order val="9"/>
          <c:tx>
            <c:strRef>
              <c:f>'WOS nephrops over 250kW'!$C$101</c:f>
              <c:strCache>
                <c:ptCount val="1"/>
                <c:pt idx="0">
                  <c:v>Herring</c:v>
                </c:pt>
              </c:strCache>
            </c:strRef>
          </c:tx>
          <c:spPr>
            <a:solidFill>
              <a:srgbClr val="169FDB"/>
            </a:solidFill>
            <a:ln>
              <a:solidFill>
                <a:srgbClr val="FFFFFF"/>
              </a:solidFill>
            </a:ln>
          </c:spPr>
          <c:invertIfNegative val="0"/>
          <c:cat>
            <c:numRef>
              <c:f>'WOS nephrops over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over 250kW'!$D$101:$M$101</c:f>
              <c:numCache>
                <c:formatCode>0%</c:formatCode>
                <c:ptCount val="10"/>
                <c:pt idx="0">
                  <c:v>1.1844950231114374E-2</c:v>
                </c:pt>
                <c:pt idx="2">
                  <c:v>8.1102367305195561E-3</c:v>
                </c:pt>
                <c:pt idx="3">
                  <c:v>9.4313789906088109E-3</c:v>
                </c:pt>
              </c:numCache>
            </c:numRef>
          </c:val>
          <c:extLst xmlns:c16r2="http://schemas.microsoft.com/office/drawing/2015/06/chart">
            <c:ext xmlns:c16="http://schemas.microsoft.com/office/drawing/2014/chart" uri="{C3380CC4-5D6E-409C-BE32-E72D297353CC}">
              <c16:uniqueId val="{00000009-282A-42F3-A8CE-7B6B063B5E4F}"/>
            </c:ext>
          </c:extLst>
        </c:ser>
        <c:ser>
          <c:idx val="10"/>
          <c:order val="10"/>
          <c:tx>
            <c:strRef>
              <c:f>'WOS nephrops over 250kW'!$C$102</c:f>
              <c:strCache>
                <c:ptCount val="1"/>
                <c:pt idx="0">
                  <c:v>Megrim</c:v>
                </c:pt>
              </c:strCache>
            </c:strRef>
          </c:tx>
          <c:spPr>
            <a:solidFill>
              <a:srgbClr val="E40D2C"/>
            </a:solidFill>
            <a:ln>
              <a:solidFill>
                <a:srgbClr val="FFFFFF"/>
              </a:solidFill>
            </a:ln>
          </c:spPr>
          <c:invertIfNegative val="0"/>
          <c:cat>
            <c:numRef>
              <c:f>'WOS nephrops over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over 250kW'!$D$102:$M$102</c:f>
              <c:numCache>
                <c:formatCode>0%</c:formatCode>
                <c:ptCount val="10"/>
                <c:pt idx="2">
                  <c:v>5.7296097088858269E-3</c:v>
                </c:pt>
              </c:numCache>
            </c:numRef>
          </c:val>
          <c:extLst xmlns:c16r2="http://schemas.microsoft.com/office/drawing/2015/06/chart">
            <c:ext xmlns:c16="http://schemas.microsoft.com/office/drawing/2014/chart" uri="{C3380CC4-5D6E-409C-BE32-E72D297353CC}">
              <c16:uniqueId val="{0000000A-282A-42F3-A8CE-7B6B063B5E4F}"/>
            </c:ext>
          </c:extLst>
        </c:ser>
        <c:ser>
          <c:idx val="11"/>
          <c:order val="11"/>
          <c:tx>
            <c:strRef>
              <c:f>'WOS nephrops over 250kW'!$C$103</c:f>
              <c:strCache>
                <c:ptCount val="1"/>
                <c:pt idx="0">
                  <c:v>Spurdog</c:v>
                </c:pt>
              </c:strCache>
            </c:strRef>
          </c:tx>
          <c:spPr>
            <a:solidFill>
              <a:srgbClr val="B4C3E5"/>
            </a:solidFill>
            <a:ln>
              <a:solidFill>
                <a:srgbClr val="FFFFFF"/>
              </a:solidFill>
            </a:ln>
          </c:spPr>
          <c:invertIfNegative val="0"/>
          <c:cat>
            <c:numRef>
              <c:f>'WOS nephrops over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over 250kW'!$D$103:$M$103</c:f>
              <c:numCache>
                <c:formatCode>0%</c:formatCode>
                <c:ptCount val="10"/>
                <c:pt idx="0">
                  <c:v>8.1242326628581212E-3</c:v>
                </c:pt>
              </c:numCache>
            </c:numRef>
          </c:val>
          <c:extLst xmlns:c16r2="http://schemas.microsoft.com/office/drawing/2015/06/chart">
            <c:ext xmlns:c16="http://schemas.microsoft.com/office/drawing/2014/chart" uri="{C3380CC4-5D6E-409C-BE32-E72D297353CC}">
              <c16:uniqueId val="{0000000B-282A-42F3-A8CE-7B6B063B5E4F}"/>
            </c:ext>
          </c:extLst>
        </c:ser>
        <c:ser>
          <c:idx val="12"/>
          <c:order val="12"/>
          <c:tx>
            <c:strRef>
              <c:f>'WOS nephrops over 250kW'!$C$104</c:f>
              <c:strCache>
                <c:ptCount val="1"/>
                <c:pt idx="0">
                  <c:v>Others</c:v>
                </c:pt>
              </c:strCache>
            </c:strRef>
          </c:tx>
          <c:spPr>
            <a:solidFill>
              <a:srgbClr val="55585A"/>
            </a:solidFill>
            <a:ln>
              <a:solidFill>
                <a:srgbClr val="FFFFFF"/>
              </a:solidFill>
            </a:ln>
          </c:spPr>
          <c:invertIfNegative val="0"/>
          <c:cat>
            <c:numRef>
              <c:f>'WOS nephrops over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over 250kW'!$D$104:$M$104</c:f>
              <c:numCache>
                <c:formatCode>0%</c:formatCode>
                <c:ptCount val="10"/>
                <c:pt idx="0">
                  <c:v>3.792716845689726E-2</c:v>
                </c:pt>
                <c:pt idx="1">
                  <c:v>3.7197654598183111E-2</c:v>
                </c:pt>
                <c:pt idx="2">
                  <c:v>2.7668866265610437E-2</c:v>
                </c:pt>
                <c:pt idx="3">
                  <c:v>1.8964603972190113E-2</c:v>
                </c:pt>
                <c:pt idx="4">
                  <c:v>2.0369047697480359E-2</c:v>
                </c:pt>
                <c:pt idx="5">
                  <c:v>2.1272600651673659E-2</c:v>
                </c:pt>
                <c:pt idx="6">
                  <c:v>1.9768099790353707E-2</c:v>
                </c:pt>
                <c:pt idx="7">
                  <c:v>2.40636339470355E-2</c:v>
                </c:pt>
                <c:pt idx="8">
                  <c:v>3.352736712154291E-2</c:v>
                </c:pt>
                <c:pt idx="9">
                  <c:v>1.8026966272833067E-2</c:v>
                </c:pt>
              </c:numCache>
            </c:numRef>
          </c:val>
          <c:extLst xmlns:c16r2="http://schemas.microsoft.com/office/drawing/2015/06/chart">
            <c:ext xmlns:c16="http://schemas.microsoft.com/office/drawing/2014/chart" uri="{C3380CC4-5D6E-409C-BE32-E72D297353CC}">
              <c16:uniqueId val="{0000000C-282A-42F3-A8CE-7B6B063B5E4F}"/>
            </c:ext>
          </c:extLst>
        </c:ser>
        <c:dLbls>
          <c:showLegendKey val="0"/>
          <c:showVal val="0"/>
          <c:showCatName val="0"/>
          <c:showSerName val="0"/>
          <c:showPercent val="0"/>
          <c:showBubbleSize val="0"/>
        </c:dLbls>
        <c:gapWidth val="150"/>
        <c:overlap val="100"/>
        <c:axId val="955341824"/>
        <c:axId val="955360000"/>
      </c:barChart>
      <c:catAx>
        <c:axId val="955341824"/>
        <c:scaling>
          <c:orientation val="minMax"/>
        </c:scaling>
        <c:delete val="0"/>
        <c:axPos val="b"/>
        <c:numFmt formatCode="General" sourceLinked="1"/>
        <c:majorTickMark val="out"/>
        <c:minorTickMark val="none"/>
        <c:tickLblPos val="nextTo"/>
        <c:crossAx val="955360000"/>
        <c:crosses val="autoZero"/>
        <c:auto val="1"/>
        <c:lblAlgn val="ctr"/>
        <c:lblOffset val="100"/>
        <c:noMultiLvlLbl val="0"/>
      </c:catAx>
      <c:valAx>
        <c:axId val="955360000"/>
        <c:scaling>
          <c:orientation val="minMax"/>
          <c:max val="1"/>
          <c:min val="0"/>
        </c:scaling>
        <c:delete val="0"/>
        <c:axPos val="l"/>
        <c:majorGridlines/>
        <c:numFmt formatCode="0%" sourceLinked="1"/>
        <c:majorTickMark val="out"/>
        <c:minorTickMark val="none"/>
        <c:tickLblPos val="nextTo"/>
        <c:crossAx val="955341824"/>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'WOS nephrops over 250kW'!$B$162</c:f>
              <c:strCache>
                <c:ptCount val="1"/>
                <c:pt idx="0">
                  <c:v>Nephrops</c:v>
                </c:pt>
              </c:strCache>
            </c:strRef>
          </c:tx>
          <c:spPr>
            <a:solidFill>
              <a:srgbClr val="2273B9"/>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250kW'!$C$162:$E$162</c:f>
              <c:numCache>
                <c:formatCode>0%</c:formatCode>
                <c:ptCount val="3"/>
                <c:pt idx="0">
                  <c:v>0.46442434951304001</c:v>
                </c:pt>
                <c:pt idx="1">
                  <c:v>0.94003563410840496</c:v>
                </c:pt>
                <c:pt idx="2">
                  <c:v>0.94627367892320224</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'WOS nephrops over 250kW'!$B$163</c:f>
              <c:strCache>
                <c:ptCount val="1"/>
                <c:pt idx="0">
                  <c:v>Haddock</c:v>
                </c:pt>
              </c:strCache>
            </c:strRef>
          </c:tx>
          <c:spPr>
            <a:solidFill>
              <a:srgbClr val="E84A38"/>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250kW'!$C$163:$E$163</c:f>
              <c:numCache>
                <c:formatCode>0%</c:formatCode>
                <c:ptCount val="3"/>
                <c:pt idx="0">
                  <c:v>2.2505305103759966E-2</c:v>
                </c:pt>
                <c:pt idx="1">
                  <c:v>1.9122925105557159E-2</c:v>
                </c:pt>
                <c:pt idx="2">
                  <c:v>2.1226014003896679E-2</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'WOS nephrops over 250kW'!$B$164</c:f>
              <c:strCache>
                <c:ptCount val="1"/>
                <c:pt idx="0">
                  <c:v>Anglerfish</c:v>
                </c:pt>
              </c:strCache>
            </c:strRef>
          </c:tx>
          <c:spPr>
            <a:solidFill>
              <a:srgbClr val="E87308"/>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250kW'!$C$164:$E$164</c:f>
              <c:numCache>
                <c:formatCode>0%</c:formatCode>
                <c:ptCount val="3"/>
                <c:pt idx="0">
                  <c:v>1.8203165981336426E-2</c:v>
                </c:pt>
                <c:pt idx="1">
                  <c:v>1.56739021747688E-2</c:v>
                </c:pt>
                <c:pt idx="2">
                  <c:v>8.9783745339010769E-3</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'WOS nephrops over 250kW'!$B$165</c:f>
              <c:strCache>
                <c:ptCount val="1"/>
                <c:pt idx="0">
                  <c:v>Thornback Ray</c:v>
                </c:pt>
              </c:strCache>
            </c:strRef>
          </c:tx>
          <c:spPr>
            <a:solidFill>
              <a:srgbClr val="FED825"/>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250kW'!$C$165:$E$165</c:f>
              <c:numCache>
                <c:formatCode>0%</c:formatCode>
                <c:ptCount val="3"/>
                <c:pt idx="0">
                  <c:v>0</c:v>
                </c:pt>
                <c:pt idx="1">
                  <c:v>7.4363052814078161E-3</c:v>
                </c:pt>
                <c:pt idx="2">
                  <c:v>0</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'WOS nephrops over 250kW'!$B$166</c:f>
              <c:strCache>
                <c:ptCount val="1"/>
                <c:pt idx="0">
                  <c:v>Witch</c:v>
                </c:pt>
              </c:strCache>
            </c:strRef>
          </c:tx>
          <c:spPr>
            <a:solidFill>
              <a:srgbClr val="707271"/>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250kW'!$C$166:$E$166</c:f>
              <c:numCache>
                <c:formatCode>0%</c:formatCode>
                <c:ptCount val="3"/>
                <c:pt idx="0">
                  <c:v>0</c:v>
                </c:pt>
                <c:pt idx="1">
                  <c:v>5.4028835458844729E-3</c:v>
                </c:pt>
                <c:pt idx="2">
                  <c:v>2.2767287124999371E-3</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'WOS nephrops over 250kW'!$B$167</c:f>
              <c:strCache>
                <c:ptCount val="1"/>
                <c:pt idx="0">
                  <c:v>Squid</c:v>
                </c:pt>
              </c:strCache>
            </c:strRef>
          </c:tx>
          <c:spPr>
            <a:solidFill>
              <a:srgbClr val="C1D119"/>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250kW'!$C$167:$E$167</c:f>
              <c:numCache>
                <c:formatCode>0%</c:formatCode>
                <c:ptCount val="3"/>
                <c:pt idx="0">
                  <c:v>0</c:v>
                </c:pt>
                <c:pt idx="1">
                  <c:v>0</c:v>
                </c:pt>
                <c:pt idx="2">
                  <c:v>7.0081008776223565E-3</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'WOS nephrops over 250kW'!$B$168</c:f>
              <c:strCache>
                <c:ptCount val="1"/>
                <c:pt idx="0">
                  <c:v>Sprats</c:v>
                </c:pt>
              </c:strCache>
            </c:strRef>
          </c:tx>
          <c:spPr>
            <a:solidFill>
              <a:srgbClr val="648C2E"/>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250kW'!$C$168:$E$168</c:f>
              <c:numCache>
                <c:formatCode>0%</c:formatCode>
                <c:ptCount val="3"/>
                <c:pt idx="0">
                  <c:v>0.40832788393040931</c:v>
                </c:pt>
                <c:pt idx="1">
                  <c:v>0</c:v>
                </c:pt>
                <c:pt idx="2">
                  <c:v>0</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'WOS nephrops over 250kW'!$B$169</c:f>
              <c:strCache>
                <c:ptCount val="1"/>
                <c:pt idx="0">
                  <c:v>Herring</c:v>
                </c:pt>
              </c:strCache>
            </c:strRef>
          </c:tx>
          <c:spPr>
            <a:solidFill>
              <a:srgbClr val="0F9AA9"/>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250kW'!$C$169:$E$169</c:f>
              <c:numCache>
                <c:formatCode>0%</c:formatCode>
                <c:ptCount val="3"/>
                <c:pt idx="0">
                  <c:v>2.4346507964502107E-2</c:v>
                </c:pt>
                <c:pt idx="1">
                  <c:v>0</c:v>
                </c:pt>
                <c:pt idx="2">
                  <c:v>0</c:v>
                </c:pt>
              </c:numCache>
            </c:numRef>
          </c:val>
          <c:extLst xmlns:c16r2="http://schemas.microsoft.com/office/drawing/2015/06/chart">
            <c:ext xmlns:c16="http://schemas.microsoft.com/office/drawing/2014/chart" uri="{C3380CC4-5D6E-409C-BE32-E72D297353CC}">
              <c16:uniqueId val="{00000007-DFDD-4C01-8393-1BE532AE55F9}"/>
            </c:ext>
          </c:extLst>
        </c:ser>
        <c:ser>
          <c:idx val="8"/>
          <c:order val="8"/>
          <c:tx>
            <c:strRef>
              <c:f>'WOS nephrops over 250kW'!$B$170</c:f>
              <c:strCache>
                <c:ptCount val="1"/>
                <c:pt idx="0">
                  <c:v>Others</c:v>
                </c:pt>
              </c:strCache>
            </c:strRef>
          </c:tx>
          <c:spPr>
            <a:solidFill>
              <a:srgbClr val="55585A"/>
            </a:solidFill>
            <a:ln>
              <a:solidFill>
                <a:srgbClr val="FFFFFF"/>
              </a:solidFill>
            </a:ln>
          </c:spPr>
          <c:invertIfNegative val="0"/>
          <c:cat>
            <c:strRef>
              <c:f>'WOS nephrops over 250kW'!$C$161:$E$161</c:f>
              <c:strCache>
                <c:ptCount val="3"/>
                <c:pt idx="0">
                  <c:v>Most
profitable
quartile</c:v>
                </c:pt>
                <c:pt idx="1">
                  <c:v>Middle 
two quartiles</c:v>
                </c:pt>
                <c:pt idx="2">
                  <c:v>Least
profitable
quartile</c:v>
                </c:pt>
              </c:strCache>
            </c:strRef>
          </c:cat>
          <c:val>
            <c:numRef>
              <c:f>'WOS nephrops over 250kW'!$C$170:$E$170</c:f>
              <c:numCache>
                <c:formatCode>0%</c:formatCode>
                <c:ptCount val="3"/>
                <c:pt idx="0">
                  <c:v>6.219278750695223E-2</c:v>
                </c:pt>
                <c:pt idx="1">
                  <c:v>1.2328349783976789E-2</c:v>
                </c:pt>
                <c:pt idx="2">
                  <c:v>1.42371029488777E-2</c:v>
                </c:pt>
              </c:numCache>
            </c:numRef>
          </c:val>
          <c:extLst xmlns:c16r2="http://schemas.microsoft.com/office/drawing/2015/06/chart">
            <c:ext xmlns:c16="http://schemas.microsoft.com/office/drawing/2014/chart" uri="{C3380CC4-5D6E-409C-BE32-E72D297353CC}">
              <c16:uniqueId val="{00000008-DFDD-4C01-8393-1BE532AE55F9}"/>
            </c:ext>
          </c:extLst>
        </c:ser>
        <c:dLbls>
          <c:showLegendKey val="0"/>
          <c:showVal val="0"/>
          <c:showCatName val="0"/>
          <c:showSerName val="0"/>
          <c:showPercent val="0"/>
          <c:showBubbleSize val="0"/>
        </c:dLbls>
        <c:gapWidth val="150"/>
        <c:overlap val="100"/>
        <c:axId val="955399552"/>
        <c:axId val="955421824"/>
      </c:barChart>
      <c:catAx>
        <c:axId val="955399552"/>
        <c:scaling>
          <c:orientation val="minMax"/>
        </c:scaling>
        <c:delete val="0"/>
        <c:axPos val="b"/>
        <c:numFmt formatCode="General" sourceLinked="0"/>
        <c:majorTickMark val="out"/>
        <c:minorTickMark val="none"/>
        <c:tickLblPos val="nextTo"/>
        <c:crossAx val="955421824"/>
        <c:crosses val="autoZero"/>
        <c:auto val="1"/>
        <c:lblAlgn val="ctr"/>
        <c:lblOffset val="100"/>
        <c:noMultiLvlLbl val="0"/>
      </c:catAx>
      <c:valAx>
        <c:axId val="955421824"/>
        <c:scaling>
          <c:orientation val="minMax"/>
          <c:max val="1"/>
          <c:min val="0"/>
        </c:scaling>
        <c:delete val="0"/>
        <c:axPos val="l"/>
        <c:majorGridlines/>
        <c:minorGridlines/>
        <c:numFmt formatCode="0%" sourceLinked="1"/>
        <c:majorTickMark val="out"/>
        <c:minorTickMark val="none"/>
        <c:tickLblPos val="nextTo"/>
        <c:crossAx val="955399552"/>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'WOS nephrops over 250kW'!$H$162</c:f>
              <c:strCache>
                <c:ptCount val="1"/>
                <c:pt idx="0">
                  <c:v>Nephrops</c:v>
                </c:pt>
              </c:strCache>
            </c:strRef>
          </c:tx>
          <c:spPr>
            <a:solidFill>
              <a:srgbClr val="2273B9"/>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250kW'!$I$162:$K$162</c:f>
              <c:numCache>
                <c:formatCode>0%</c:formatCode>
                <c:ptCount val="3"/>
                <c:pt idx="0">
                  <c:v>0.82749302273048031</c:v>
                </c:pt>
                <c:pt idx="1">
                  <c:v>0.91697094268140489</c:v>
                </c:pt>
                <c:pt idx="2">
                  <c:v>0.96343053421844216</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'WOS nephrops over 250kW'!$H$163</c:f>
              <c:strCache>
                <c:ptCount val="1"/>
                <c:pt idx="0">
                  <c:v>Haddock</c:v>
                </c:pt>
              </c:strCache>
            </c:strRef>
          </c:tx>
          <c:spPr>
            <a:solidFill>
              <a:srgbClr val="E84A38"/>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250kW'!$I$163:$K$163</c:f>
              <c:numCache>
                <c:formatCode>0%</c:formatCode>
                <c:ptCount val="3"/>
                <c:pt idx="0">
                  <c:v>0</c:v>
                </c:pt>
                <c:pt idx="1">
                  <c:v>2.3463611686021683E-2</c:v>
                </c:pt>
                <c:pt idx="2">
                  <c:v>7.1297480646980863E-3</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'WOS nephrops over 250kW'!$H$164</c:f>
              <c:strCache>
                <c:ptCount val="1"/>
                <c:pt idx="0">
                  <c:v>Anglerfish</c:v>
                </c:pt>
              </c:strCache>
            </c:strRef>
          </c:tx>
          <c:spPr>
            <a:solidFill>
              <a:srgbClr val="E87308"/>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250kW'!$I$164:$K$164</c:f>
              <c:numCache>
                <c:formatCode>0%</c:formatCode>
                <c:ptCount val="3"/>
                <c:pt idx="0">
                  <c:v>3.2803490629897972E-2</c:v>
                </c:pt>
                <c:pt idx="1">
                  <c:v>2.2760743269051913E-2</c:v>
                </c:pt>
                <c:pt idx="2">
                  <c:v>8.3719196313068941E-3</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'WOS nephrops over 250kW'!$H$165</c:f>
              <c:strCache>
                <c:ptCount val="1"/>
                <c:pt idx="0">
                  <c:v>Cuttlefish</c:v>
                </c:pt>
              </c:strCache>
            </c:strRef>
          </c:tx>
          <c:spPr>
            <a:solidFill>
              <a:srgbClr val="51AA81"/>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250kW'!$I$165:$K$165</c:f>
              <c:numCache>
                <c:formatCode>0%</c:formatCode>
                <c:ptCount val="3"/>
                <c:pt idx="0">
                  <c:v>0</c:v>
                </c:pt>
                <c:pt idx="1">
                  <c:v>1.3567833635119656E-2</c:v>
                </c:pt>
                <c:pt idx="2">
                  <c:v>0</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'WOS nephrops over 250kW'!$H$166</c:f>
              <c:strCache>
                <c:ptCount val="1"/>
                <c:pt idx="0">
                  <c:v>Sprats</c:v>
                </c:pt>
              </c:strCache>
            </c:strRef>
          </c:tx>
          <c:spPr>
            <a:solidFill>
              <a:srgbClr val="648C2E"/>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250kW'!$I$166:$K$166</c:f>
              <c:numCache>
                <c:formatCode>0%</c:formatCode>
                <c:ptCount val="3"/>
                <c:pt idx="0">
                  <c:v>5.0205734931754849E-2</c:v>
                </c:pt>
                <c:pt idx="1">
                  <c:v>5.8288716040273388E-3</c:v>
                </c:pt>
                <c:pt idx="2">
                  <c:v>0</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'WOS nephrops over 250kW'!$H$167</c:f>
              <c:strCache>
                <c:ptCount val="1"/>
                <c:pt idx="0">
                  <c:v>Squid</c:v>
                </c:pt>
              </c:strCache>
            </c:strRef>
          </c:tx>
          <c:spPr>
            <a:solidFill>
              <a:srgbClr val="C1D119"/>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250kW'!$I$167:$K$167</c:f>
              <c:numCache>
                <c:formatCode>0%</c:formatCode>
                <c:ptCount val="3"/>
                <c:pt idx="0">
                  <c:v>3.5614442076520737E-2</c:v>
                </c:pt>
                <c:pt idx="1">
                  <c:v>0</c:v>
                </c:pt>
                <c:pt idx="2">
                  <c:v>1.2275899453052911E-2</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'WOS nephrops over 250kW'!$H$168</c:f>
              <c:strCache>
                <c:ptCount val="1"/>
                <c:pt idx="0">
                  <c:v>Cod</c:v>
                </c:pt>
              </c:strCache>
            </c:strRef>
          </c:tx>
          <c:spPr>
            <a:solidFill>
              <a:srgbClr val="169FDB"/>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250kW'!$I$168:$K$168</c:f>
              <c:numCache>
                <c:formatCode>0%</c:formatCode>
                <c:ptCount val="3"/>
                <c:pt idx="0">
                  <c:v>0</c:v>
                </c:pt>
                <c:pt idx="1">
                  <c:v>0</c:v>
                </c:pt>
                <c:pt idx="2">
                  <c:v>1.7680096556700494E-3</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'WOS nephrops over 250kW'!$H$169</c:f>
              <c:strCache>
                <c:ptCount val="1"/>
                <c:pt idx="0">
                  <c:v>Scallops</c:v>
                </c:pt>
              </c:strCache>
            </c:strRef>
          </c:tx>
          <c:spPr>
            <a:solidFill>
              <a:srgbClr val="E40D2C"/>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250kW'!$I$169:$K$169</c:f>
              <c:numCache>
                <c:formatCode>0%</c:formatCode>
                <c:ptCount val="3"/>
                <c:pt idx="0">
                  <c:v>1.4566076856530805E-2</c:v>
                </c:pt>
                <c:pt idx="1">
                  <c:v>0</c:v>
                </c:pt>
                <c:pt idx="2">
                  <c:v>0</c:v>
                </c:pt>
              </c:numCache>
            </c:numRef>
          </c:val>
          <c:extLst xmlns:c16r2="http://schemas.microsoft.com/office/drawing/2015/06/chart">
            <c:ext xmlns:c16="http://schemas.microsoft.com/office/drawing/2014/chart" uri="{C3380CC4-5D6E-409C-BE32-E72D297353CC}">
              <c16:uniqueId val="{00000007-DC58-4725-8A67-0BDC09FD93CD}"/>
            </c:ext>
          </c:extLst>
        </c:ser>
        <c:ser>
          <c:idx val="8"/>
          <c:order val="8"/>
          <c:tx>
            <c:strRef>
              <c:f>'WOS nephrops over 250kW'!$H$170</c:f>
              <c:strCache>
                <c:ptCount val="1"/>
                <c:pt idx="0">
                  <c:v>Others</c:v>
                </c:pt>
              </c:strCache>
            </c:strRef>
          </c:tx>
          <c:spPr>
            <a:solidFill>
              <a:srgbClr val="55585A"/>
            </a:solidFill>
            <a:ln>
              <a:solidFill>
                <a:srgbClr val="FFFFFF"/>
              </a:solidFill>
            </a:ln>
          </c:spPr>
          <c:invertIfNegative val="0"/>
          <c:cat>
            <c:strRef>
              <c:f>'WOS nephrops over 250kW'!$I$161:$K$161</c:f>
              <c:strCache>
                <c:ptCount val="3"/>
                <c:pt idx="0">
                  <c:v>Most
profitable
quartile</c:v>
                </c:pt>
                <c:pt idx="1">
                  <c:v>Middle 
two quartiles</c:v>
                </c:pt>
                <c:pt idx="2">
                  <c:v>Least
profitable
quartile</c:v>
                </c:pt>
              </c:strCache>
            </c:strRef>
          </c:cat>
          <c:val>
            <c:numRef>
              <c:f>'WOS nephrops over 250kW'!$I$170:$K$170</c:f>
              <c:numCache>
                <c:formatCode>0%</c:formatCode>
                <c:ptCount val="3"/>
                <c:pt idx="0">
                  <c:v>3.9317232774815358E-2</c:v>
                </c:pt>
                <c:pt idx="1">
                  <c:v>1.7407997124374464E-2</c:v>
                </c:pt>
                <c:pt idx="2">
                  <c:v>7.0238889768298174E-3</c:v>
                </c:pt>
              </c:numCache>
            </c:numRef>
          </c:val>
          <c:extLst xmlns:c16r2="http://schemas.microsoft.com/office/drawing/2015/06/chart">
            <c:ext xmlns:c16="http://schemas.microsoft.com/office/drawing/2014/chart" uri="{C3380CC4-5D6E-409C-BE32-E72D297353CC}">
              <c16:uniqueId val="{00000008-DC58-4725-8A67-0BDC09FD93CD}"/>
            </c:ext>
          </c:extLst>
        </c:ser>
        <c:dLbls>
          <c:showLegendKey val="0"/>
          <c:showVal val="0"/>
          <c:showCatName val="0"/>
          <c:showSerName val="0"/>
          <c:showPercent val="0"/>
          <c:showBubbleSize val="0"/>
        </c:dLbls>
        <c:gapWidth val="150"/>
        <c:overlap val="100"/>
        <c:axId val="955546624"/>
        <c:axId val="955552512"/>
      </c:barChart>
      <c:catAx>
        <c:axId val="955546624"/>
        <c:scaling>
          <c:orientation val="minMax"/>
        </c:scaling>
        <c:delete val="0"/>
        <c:axPos val="b"/>
        <c:numFmt formatCode="General" sourceLinked="0"/>
        <c:majorTickMark val="out"/>
        <c:minorTickMark val="none"/>
        <c:tickLblPos val="nextTo"/>
        <c:crossAx val="955552512"/>
        <c:crosses val="autoZero"/>
        <c:auto val="1"/>
        <c:lblAlgn val="ctr"/>
        <c:lblOffset val="100"/>
        <c:noMultiLvlLbl val="0"/>
      </c:catAx>
      <c:valAx>
        <c:axId val="955552512"/>
        <c:scaling>
          <c:orientation val="minMax"/>
          <c:max val="1"/>
          <c:min val="0"/>
        </c:scaling>
        <c:delete val="0"/>
        <c:axPos val="l"/>
        <c:majorGridlines/>
        <c:minorGridlines/>
        <c:numFmt formatCode="0%" sourceLinked="1"/>
        <c:majorTickMark val="out"/>
        <c:minorTickMark val="none"/>
        <c:tickLblPos val="nextTo"/>
        <c:crossAx val="95554662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over 250kW'!$K$143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'WOS nephrops over 250kW'!$K$139</c:f>
              <c:strCache>
                <c:ptCount val="1"/>
                <c:pt idx="0">
                  <c:v>Total income</c:v>
                </c:pt>
              </c:strCache>
            </c:strRef>
          </c:tx>
          <c:spPr>
            <a:solidFill>
              <a:schemeClr val="accent1"/>
            </a:solidFill>
            <a:ln>
              <a:solidFill>
                <a:schemeClr val="accent1"/>
              </a:solidFill>
            </a:ln>
          </c:spPr>
          <c:invertIfNegative val="0"/>
          <c:cat>
            <c:strRef>
              <c:f>'WOS nephrops over 250kW'!$L$138:$N$138</c:f>
              <c:strCache>
                <c:ptCount val="3"/>
                <c:pt idx="0">
                  <c:v>Most
profitable
quartile</c:v>
                </c:pt>
                <c:pt idx="1">
                  <c:v>Middle
two quartiles</c:v>
                </c:pt>
                <c:pt idx="2">
                  <c:v>Least
profitable
quartile</c:v>
                </c:pt>
              </c:strCache>
            </c:strRef>
          </c:cat>
          <c:val>
            <c:numRef>
              <c:f>'WOS nephrops over 250kW'!$L$139:$N$139</c:f>
              <c:numCache>
                <c:formatCode>#,##0</c:formatCode>
                <c:ptCount val="3"/>
                <c:pt idx="0">
                  <c:v>530.64587500000005</c:v>
                </c:pt>
                <c:pt idx="1">
                  <c:v>344.34760714285699</c:v>
                </c:pt>
                <c:pt idx="2">
                  <c:v>248.25607812499999</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'WOS nephrops over 250kW'!$K$140</c:f>
              <c:strCache>
                <c:ptCount val="1"/>
                <c:pt idx="0">
                  <c:v>Operating costs</c:v>
                </c:pt>
              </c:strCache>
            </c:strRef>
          </c:tx>
          <c:spPr>
            <a:solidFill>
              <a:schemeClr val="accent3"/>
            </a:solidFill>
          </c:spPr>
          <c:invertIfNegative val="0"/>
          <c:cat>
            <c:strRef>
              <c:f>'WOS nephrops over 250kW'!$L$138:$N$138</c:f>
              <c:strCache>
                <c:ptCount val="3"/>
                <c:pt idx="0">
                  <c:v>Most
profitable
quartile</c:v>
                </c:pt>
                <c:pt idx="1">
                  <c:v>Middle
two quartiles</c:v>
                </c:pt>
                <c:pt idx="2">
                  <c:v>Least
profitable
quartile</c:v>
                </c:pt>
              </c:strCache>
            </c:strRef>
          </c:cat>
          <c:val>
            <c:numRef>
              <c:f>'WOS nephrops over 250kW'!$L$140:$N$140</c:f>
              <c:numCache>
                <c:formatCode>#,##0</c:formatCode>
                <c:ptCount val="3"/>
                <c:pt idx="0">
                  <c:v>440.03825000000001</c:v>
                </c:pt>
                <c:pt idx="1">
                  <c:v>302.35652976190499</c:v>
                </c:pt>
                <c:pt idx="2">
                  <c:v>237.2673125</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'WOS nephrops over 250kW'!$K$141</c:f>
              <c:strCache>
                <c:ptCount val="1"/>
                <c:pt idx="0">
                  <c:v>Operating profit</c:v>
                </c:pt>
              </c:strCache>
            </c:strRef>
          </c:tx>
          <c:spPr>
            <a:solidFill>
              <a:schemeClr val="accent2"/>
            </a:solidFill>
          </c:spPr>
          <c:invertIfNegative val="0"/>
          <c:cat>
            <c:strRef>
              <c:f>'WOS nephrops over 250kW'!$L$138:$N$138</c:f>
              <c:strCache>
                <c:ptCount val="3"/>
                <c:pt idx="0">
                  <c:v>Most
profitable
quartile</c:v>
                </c:pt>
                <c:pt idx="1">
                  <c:v>Middle
two quartiles</c:v>
                </c:pt>
                <c:pt idx="2">
                  <c:v>Least
profitable
quartile</c:v>
                </c:pt>
              </c:strCache>
            </c:strRef>
          </c:cat>
          <c:val>
            <c:numRef>
              <c:f>'WOS nephrops over 250kW'!$L$141:$N$141</c:f>
              <c:numCache>
                <c:formatCode>#,##0</c:formatCode>
                <c:ptCount val="3"/>
                <c:pt idx="0">
                  <c:v>90.607624999999999</c:v>
                </c:pt>
                <c:pt idx="1">
                  <c:v>41.991077380952397</c:v>
                </c:pt>
                <c:pt idx="2">
                  <c:v>10.988765624999999</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955575680"/>
        <c:axId val="955593856"/>
      </c:barChart>
      <c:catAx>
        <c:axId val="955575680"/>
        <c:scaling>
          <c:orientation val="minMax"/>
        </c:scaling>
        <c:delete val="0"/>
        <c:axPos val="b"/>
        <c:numFmt formatCode="General" sourceLinked="0"/>
        <c:majorTickMark val="out"/>
        <c:minorTickMark val="none"/>
        <c:tickLblPos val="nextTo"/>
        <c:crossAx val="955593856"/>
        <c:crosses val="autoZero"/>
        <c:auto val="1"/>
        <c:lblAlgn val="ctr"/>
        <c:lblOffset val="100"/>
        <c:noMultiLvlLbl val="0"/>
      </c:catAx>
      <c:valAx>
        <c:axId val="955593856"/>
        <c:scaling>
          <c:orientation val="minMax"/>
        </c:scaling>
        <c:delete val="0"/>
        <c:axPos val="l"/>
        <c:majorGridlines/>
        <c:title>
          <c:tx>
            <c:strRef>
              <c:f>'WOS nephrops over 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955575680"/>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250kW'!$A$48</c:f>
          <c:strCache>
            <c:ptCount val="1"/>
            <c:pt idx="0">
              <c:v>Landings per kW day at sea (kg)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'WOS nephrops under 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'WOS nephrops under 250kW'!$D$21:$N$21</c:f>
              <c:numCache>
                <c:formatCode>#,##0.00</c:formatCode>
                <c:ptCount val="11"/>
                <c:pt idx="0">
                  <c:v>2.320924771914477</c:v>
                </c:pt>
                <c:pt idx="1">
                  <c:v>2.1779881968707619</c:v>
                </c:pt>
                <c:pt idx="2">
                  <c:v>2.2000049668624242</c:v>
                </c:pt>
                <c:pt idx="3">
                  <c:v>2.3413848243591371</c:v>
                </c:pt>
                <c:pt idx="4">
                  <c:v>2.432466362316934</c:v>
                </c:pt>
                <c:pt idx="5">
                  <c:v>2.490275431312762</c:v>
                </c:pt>
                <c:pt idx="6">
                  <c:v>2.3079651784571489</c:v>
                </c:pt>
                <c:pt idx="7">
                  <c:v>2.2092416750993156</c:v>
                </c:pt>
                <c:pt idx="8">
                  <c:v>2.6478014562120338</c:v>
                </c:pt>
                <c:pt idx="9">
                  <c:v>2.6264226437522993</c:v>
                </c:pt>
                <c:pt idx="10">
                  <c:v>2.3971415055572187</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954606336"/>
        <c:axId val="954607872"/>
      </c:lineChart>
      <c:catAx>
        <c:axId val="954606336"/>
        <c:scaling>
          <c:orientation val="minMax"/>
        </c:scaling>
        <c:delete val="0"/>
        <c:axPos val="b"/>
        <c:numFmt formatCode="General" sourceLinked="1"/>
        <c:majorTickMark val="out"/>
        <c:minorTickMark val="none"/>
        <c:tickLblPos val="nextTo"/>
        <c:crossAx val="954607872"/>
        <c:crosses val="autoZero"/>
        <c:auto val="1"/>
        <c:lblAlgn val="ctr"/>
        <c:lblOffset val="100"/>
        <c:noMultiLvlLbl val="0"/>
      </c:catAx>
      <c:valAx>
        <c:axId val="954607872"/>
        <c:scaling>
          <c:orientation val="minMax"/>
        </c:scaling>
        <c:delete val="0"/>
        <c:axPos val="l"/>
        <c:majorGridlines>
          <c:spPr>
            <a:ln w="3175">
              <a:prstDash val="sysDot"/>
            </a:ln>
          </c:spPr>
        </c:majorGridlines>
        <c:numFmt formatCode="#,##0.00" sourceLinked="1"/>
        <c:majorTickMark val="out"/>
        <c:minorTickMark val="none"/>
        <c:tickLblPos val="nextTo"/>
        <c:crossAx val="954606336"/>
        <c:crosses val="autoZero"/>
        <c:crossBetween val="between"/>
      </c:valAx>
    </c:plotArea>
    <c:plotVisOnly val="0"/>
    <c:dispBlanksAs val="gap"/>
    <c:showDLblsOverMax val="0"/>
  </c:chart>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250kW'!$A$49</c:f>
          <c:strCache>
            <c:ptCount val="1"/>
            <c:pt idx="0">
              <c:v>Fishing income per kW day at sea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'WOS nephrops under 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'WOS nephrops under 250kW'!$D$22:$N$22</c:f>
              <c:numCache>
                <c:formatCode>#,##0.00</c:formatCode>
                <c:ptCount val="11"/>
                <c:pt idx="0">
                  <c:v>6.4507850278277603</c:v>
                </c:pt>
                <c:pt idx="1">
                  <c:v>5.1384446140995399</c:v>
                </c:pt>
                <c:pt idx="2">
                  <c:v>5.3406522658301601</c:v>
                </c:pt>
                <c:pt idx="3">
                  <c:v>6.78858692601532</c:v>
                </c:pt>
                <c:pt idx="4">
                  <c:v>7.4368862265786397</c:v>
                </c:pt>
                <c:pt idx="5">
                  <c:v>6.8093189487744397</c:v>
                </c:pt>
                <c:pt idx="6">
                  <c:v>6.6390959833579002</c:v>
                </c:pt>
                <c:pt idx="7">
                  <c:v>6.41658364910153</c:v>
                </c:pt>
                <c:pt idx="8">
                  <c:v>7.0982000022732796</c:v>
                </c:pt>
                <c:pt idx="9">
                  <c:v>7.0325856371677498</c:v>
                </c:pt>
                <c:pt idx="10">
                  <c:v>6.7654072502533849</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954634240"/>
        <c:axId val="954635776"/>
      </c:lineChart>
      <c:catAx>
        <c:axId val="954634240"/>
        <c:scaling>
          <c:orientation val="minMax"/>
        </c:scaling>
        <c:delete val="0"/>
        <c:axPos val="b"/>
        <c:numFmt formatCode="General" sourceLinked="1"/>
        <c:majorTickMark val="out"/>
        <c:minorTickMark val="none"/>
        <c:tickLblPos val="nextTo"/>
        <c:crossAx val="954635776"/>
        <c:crosses val="autoZero"/>
        <c:auto val="1"/>
        <c:lblAlgn val="ctr"/>
        <c:lblOffset val="100"/>
        <c:noMultiLvlLbl val="0"/>
      </c:catAx>
      <c:valAx>
        <c:axId val="954635776"/>
        <c:scaling>
          <c:orientation val="minMax"/>
        </c:scaling>
        <c:delete val="0"/>
        <c:axPos val="l"/>
        <c:majorGridlines>
          <c:spPr>
            <a:ln w="3175">
              <a:prstDash val="sysDot"/>
            </a:ln>
          </c:spPr>
        </c:majorGridlines>
        <c:numFmt formatCode="#,##0.00" sourceLinked="1"/>
        <c:majorTickMark val="out"/>
        <c:minorTickMark val="none"/>
        <c:tickLblPos val="nextTo"/>
        <c:crossAx val="954634240"/>
        <c:crosses val="autoZero"/>
        <c:crossBetween val="between"/>
      </c:valAx>
    </c:plotArea>
    <c:plotVisOnly val="0"/>
    <c:dispBlanksAs val="gap"/>
    <c:showDLblsOverMax val="0"/>
  </c:chart>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250kW'!$B$62</c:f>
          <c:strCache>
            <c:ptCount val="1"/>
            <c:pt idx="0">
              <c:v>Total cost per kW day at sea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'WOS nephrops under 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'WOS nephrops under 250kW'!$D$23:$N$23</c:f>
              <c:numCache>
                <c:formatCode>#,##0.00</c:formatCode>
                <c:ptCount val="11"/>
                <c:pt idx="0">
                  <c:v>5.5034423697890498</c:v>
                </c:pt>
                <c:pt idx="1">
                  <c:v>4.3072173670926999</c:v>
                </c:pt>
                <c:pt idx="2">
                  <c:v>4.5865964472057597</c:v>
                </c:pt>
                <c:pt idx="3">
                  <c:v>5.7082743733917498</c:v>
                </c:pt>
                <c:pt idx="4">
                  <c:v>6.1726092948924798</c:v>
                </c:pt>
                <c:pt idx="5">
                  <c:v>6.0044849881292404</c:v>
                </c:pt>
                <c:pt idx="6">
                  <c:v>5.8908670015094398</c:v>
                </c:pt>
                <c:pt idx="7">
                  <c:v>5.2745363213151801</c:v>
                </c:pt>
                <c:pt idx="8">
                  <c:v>5.86491015020819</c:v>
                </c:pt>
                <c:pt idx="9">
                  <c:v>5.7177270733429397</c:v>
                </c:pt>
                <c:pt idx="10">
                  <c:v>5.6291897355529326</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955612160"/>
        <c:axId val="955613952"/>
      </c:lineChart>
      <c:catAx>
        <c:axId val="955612160"/>
        <c:scaling>
          <c:orientation val="minMax"/>
        </c:scaling>
        <c:delete val="0"/>
        <c:axPos val="b"/>
        <c:numFmt formatCode="General" sourceLinked="1"/>
        <c:majorTickMark val="out"/>
        <c:minorTickMark val="none"/>
        <c:tickLblPos val="nextTo"/>
        <c:crossAx val="955613952"/>
        <c:crosses val="autoZero"/>
        <c:auto val="1"/>
        <c:lblAlgn val="ctr"/>
        <c:lblOffset val="100"/>
        <c:noMultiLvlLbl val="0"/>
      </c:catAx>
      <c:valAx>
        <c:axId val="955613952"/>
        <c:scaling>
          <c:orientation val="minMax"/>
        </c:scaling>
        <c:delete val="0"/>
        <c:axPos val="l"/>
        <c:majorGridlines>
          <c:spPr>
            <a:ln w="3175">
              <a:prstDash val="sysDot"/>
            </a:ln>
          </c:spPr>
        </c:majorGridlines>
        <c:numFmt formatCode="#,##0.00" sourceLinked="1"/>
        <c:majorTickMark val="out"/>
        <c:minorTickMark val="none"/>
        <c:tickLblPos val="nextTo"/>
        <c:crossAx val="955612160"/>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250kW'!$K$48</c:f>
          <c:strCache>
            <c:ptCount val="1"/>
            <c:pt idx="0">
              <c:v>Operating profit per kW day at sea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'WOS nephrops under 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'WOS nephrops under 250kW'!$D$24:$N$24</c:f>
              <c:numCache>
                <c:formatCode>#,##0.00</c:formatCode>
                <c:ptCount val="11"/>
                <c:pt idx="0">
                  <c:v>1.1518029889636401</c:v>
                </c:pt>
                <c:pt idx="1">
                  <c:v>0.90281965564008404</c:v>
                </c:pt>
                <c:pt idx="2">
                  <c:v>0.85128456529558205</c:v>
                </c:pt>
                <c:pt idx="3">
                  <c:v>1.2043559761173901</c:v>
                </c:pt>
                <c:pt idx="4">
                  <c:v>1.69164671662917</c:v>
                </c:pt>
                <c:pt idx="5">
                  <c:v>1.1220524847305999</c:v>
                </c:pt>
                <c:pt idx="6">
                  <c:v>1.21419536222161</c:v>
                </c:pt>
                <c:pt idx="7">
                  <c:v>1.3056993918497299</c:v>
                </c:pt>
                <c:pt idx="8">
                  <c:v>1.48476963112593</c:v>
                </c:pt>
                <c:pt idx="9">
                  <c:v>1.4442631160147199</c:v>
                </c:pt>
                <c:pt idx="10">
                  <c:v>1.2607057926580258</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954796288"/>
        <c:axId val="954806272"/>
      </c:lineChart>
      <c:catAx>
        <c:axId val="954796288"/>
        <c:scaling>
          <c:orientation val="minMax"/>
        </c:scaling>
        <c:delete val="0"/>
        <c:axPos val="b"/>
        <c:numFmt formatCode="General" sourceLinked="1"/>
        <c:majorTickMark val="out"/>
        <c:minorTickMark val="none"/>
        <c:tickLblPos val="nextTo"/>
        <c:crossAx val="954806272"/>
        <c:crosses val="autoZero"/>
        <c:auto val="1"/>
        <c:lblAlgn val="ctr"/>
        <c:lblOffset val="100"/>
        <c:noMultiLvlLbl val="0"/>
      </c:catAx>
      <c:valAx>
        <c:axId val="954806272"/>
        <c:scaling>
          <c:orientation val="minMax"/>
        </c:scaling>
        <c:delete val="0"/>
        <c:axPos val="l"/>
        <c:majorGridlines>
          <c:spPr>
            <a:ln w="3175">
              <a:prstDash val="sysDot"/>
            </a:ln>
          </c:spPr>
        </c:majorGridlines>
        <c:numFmt formatCode="#,##0.00" sourceLinked="1"/>
        <c:majorTickMark val="out"/>
        <c:minorTickMark val="none"/>
        <c:tickLblPos val="nextTo"/>
        <c:crossAx val="954796288"/>
        <c:crosses val="autoZero"/>
        <c:crossBetween val="between"/>
      </c:valAx>
    </c:plotArea>
    <c:plotVisOnly val="0"/>
    <c:dispBlanksAs val="gap"/>
    <c:showDLblsOverMax val="0"/>
  </c:chart>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250kW'!$A$50</c:f>
          <c:strCache>
            <c:ptCount val="1"/>
            <c:pt idx="0">
              <c:v>Average price per tonne landed (£)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'WOS nephrops under 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'WOS nephrops under 250kW'!$D$20:$N$20</c:f>
              <c:numCache>
                <c:formatCode>#,##0</c:formatCode>
                <c:ptCount val="11"/>
                <c:pt idx="0">
                  <c:v>2779</c:v>
                </c:pt>
                <c:pt idx="1">
                  <c:v>2359</c:v>
                </c:pt>
                <c:pt idx="2">
                  <c:v>2428</c:v>
                </c:pt>
                <c:pt idx="3">
                  <c:v>2899</c:v>
                </c:pt>
                <c:pt idx="4">
                  <c:v>3057</c:v>
                </c:pt>
                <c:pt idx="5">
                  <c:v>2734</c:v>
                </c:pt>
                <c:pt idx="6">
                  <c:v>2877</c:v>
                </c:pt>
                <c:pt idx="7">
                  <c:v>2904</c:v>
                </c:pt>
                <c:pt idx="8">
                  <c:v>2681</c:v>
                </c:pt>
                <c:pt idx="9">
                  <c:v>2678</c:v>
                </c:pt>
                <c:pt idx="10">
                  <c:v>2822</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954836480"/>
        <c:axId val="954838016"/>
      </c:lineChart>
      <c:catAx>
        <c:axId val="954836480"/>
        <c:scaling>
          <c:orientation val="minMax"/>
        </c:scaling>
        <c:delete val="0"/>
        <c:axPos val="b"/>
        <c:numFmt formatCode="General" sourceLinked="1"/>
        <c:majorTickMark val="out"/>
        <c:minorTickMark val="none"/>
        <c:tickLblPos val="nextTo"/>
        <c:crossAx val="954838016"/>
        <c:crosses val="autoZero"/>
        <c:auto val="1"/>
        <c:lblAlgn val="ctr"/>
        <c:lblOffset val="100"/>
        <c:noMultiLvlLbl val="0"/>
      </c:catAx>
      <c:valAx>
        <c:axId val="954838016"/>
        <c:scaling>
          <c:orientation val="minMax"/>
        </c:scaling>
        <c:delete val="0"/>
        <c:axPos val="l"/>
        <c:majorGridlines>
          <c:spPr>
            <a:ln w="3175">
              <a:prstDash val="sysDot"/>
            </a:ln>
          </c:spPr>
        </c:majorGridlines>
        <c:numFmt formatCode="#,##0" sourceLinked="1"/>
        <c:majorTickMark val="out"/>
        <c:minorTickMark val="none"/>
        <c:tickLblPos val="nextTo"/>
        <c:crossAx val="954836480"/>
        <c:crosses val="autoZero"/>
        <c:crossBetween val="between"/>
      </c:valAx>
    </c:plotArea>
    <c:plotVisOnly val="0"/>
    <c:dispBlanksAs val="gap"/>
    <c:showDLblsOverMax val="0"/>
  </c:chart>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250kW'!$K$62</c:f>
          <c:strCache>
            <c:ptCount val="1"/>
            <c:pt idx="0">
              <c:v>Average annual operating profit per vessel (£'000)
WOS nephrops under 250kW</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'WOS nephrops under 250kW'!$D$2:$N$2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'WOS nephrops under 250kW'!$D$37:$N$37</c:f>
              <c:numCache>
                <c:formatCode>#,##0.0</c:formatCode>
                <c:ptCount val="11"/>
                <c:pt idx="0">
                  <c:v>30.5</c:v>
                </c:pt>
                <c:pt idx="1">
                  <c:v>24.5</c:v>
                </c:pt>
                <c:pt idx="2">
                  <c:v>24.1</c:v>
                </c:pt>
                <c:pt idx="3">
                  <c:v>31.8</c:v>
                </c:pt>
                <c:pt idx="4">
                  <c:v>45.9</c:v>
                </c:pt>
                <c:pt idx="5">
                  <c:v>29.5</c:v>
                </c:pt>
                <c:pt idx="6">
                  <c:v>32.200000000000003</c:v>
                </c:pt>
                <c:pt idx="7">
                  <c:v>32.1</c:v>
                </c:pt>
                <c:pt idx="8">
                  <c:v>39.799999999999997</c:v>
                </c:pt>
                <c:pt idx="9">
                  <c:v>36.6</c:v>
                </c:pt>
                <c:pt idx="10">
                  <c:v>32.299999999999997</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955667200"/>
        <c:axId val="955668736"/>
      </c:lineChart>
      <c:catAx>
        <c:axId val="955667200"/>
        <c:scaling>
          <c:orientation val="minMax"/>
        </c:scaling>
        <c:delete val="0"/>
        <c:axPos val="b"/>
        <c:numFmt formatCode="General" sourceLinked="1"/>
        <c:majorTickMark val="out"/>
        <c:minorTickMark val="none"/>
        <c:tickLblPos val="nextTo"/>
        <c:crossAx val="955668736"/>
        <c:crosses val="autoZero"/>
        <c:auto val="1"/>
        <c:lblAlgn val="ctr"/>
        <c:lblOffset val="100"/>
        <c:noMultiLvlLbl val="0"/>
      </c:catAx>
      <c:valAx>
        <c:axId val="955668736"/>
        <c:scaling>
          <c:orientation val="minMax"/>
        </c:scaling>
        <c:delete val="0"/>
        <c:axPos val="l"/>
        <c:majorGridlines>
          <c:spPr>
            <a:ln w="3175">
              <a:prstDash val="sysDot"/>
            </a:ln>
          </c:spPr>
        </c:majorGridlines>
        <c:numFmt formatCode="#,##0.0" sourceLinked="1"/>
        <c:majorTickMark val="out"/>
        <c:minorTickMark val="none"/>
        <c:tickLblPos val="nextTo"/>
        <c:crossAx val="955667200"/>
        <c:crosses val="autoZero"/>
        <c:crossBetween val="between"/>
      </c:valAx>
    </c:plotArea>
    <c:plotVisOnly val="0"/>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24-40m'!$A$48</c:f>
          <c:strCache>
            <c:ptCount val="1"/>
            <c:pt idx="0">
              <c:v>Landings per kW day at sea (kg)
Area VIIBCDEFGHK 24-40m</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'Area VIIb-k trawlers 24-40m'!$D$2:$N$2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VIIb-k trawlers 24-40m'!$D$21:$N$21</c:f>
              <c:numCache>
                <c:formatCode>#,##0.00</c:formatCode>
                <c:ptCount val="11"/>
                <c:pt idx="0">
                  <c:v>1.7684932533941802</c:v>
                </c:pt>
                <c:pt idx="1">
                  <c:v>2.1105520327309337</c:v>
                </c:pt>
                <c:pt idx="2">
                  <c:v>2.5295654467914912</c:v>
                </c:pt>
                <c:pt idx="3">
                  <c:v>2.9151586121683546</c:v>
                </c:pt>
                <c:pt idx="4">
                  <c:v>3.4286802419799729</c:v>
                </c:pt>
                <c:pt idx="5">
                  <c:v>3.5895086438181409</c:v>
                </c:pt>
                <c:pt idx="6">
                  <c:v>3.6788352963461071</c:v>
                </c:pt>
                <c:pt idx="7">
                  <c:v>3.5715711831750334</c:v>
                </c:pt>
                <c:pt idx="8">
                  <c:v>3.191630936465613</c:v>
                </c:pt>
                <c:pt idx="9">
                  <c:v>3.2398935711648877</c:v>
                </c:pt>
                <c:pt idx="10">
                  <c:v>3.2419460826279551</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706197760"/>
        <c:axId val="706203648"/>
      </c:lineChart>
      <c:catAx>
        <c:axId val="706197760"/>
        <c:scaling>
          <c:orientation val="minMax"/>
        </c:scaling>
        <c:delete val="0"/>
        <c:axPos val="b"/>
        <c:numFmt formatCode="General" sourceLinked="1"/>
        <c:majorTickMark val="out"/>
        <c:minorTickMark val="none"/>
        <c:tickLblPos val="nextTo"/>
        <c:crossAx val="706203648"/>
        <c:crosses val="autoZero"/>
        <c:auto val="1"/>
        <c:lblAlgn val="ctr"/>
        <c:lblOffset val="100"/>
        <c:noMultiLvlLbl val="0"/>
      </c:catAx>
      <c:valAx>
        <c:axId val="706203648"/>
        <c:scaling>
          <c:orientation val="minMax"/>
        </c:scaling>
        <c:delete val="0"/>
        <c:axPos val="l"/>
        <c:majorGridlines>
          <c:spPr>
            <a:ln w="3175">
              <a:prstDash val="sysDot"/>
            </a:ln>
          </c:spPr>
        </c:majorGridlines>
        <c:numFmt formatCode="#,##0.00" sourceLinked="1"/>
        <c:majorTickMark val="out"/>
        <c:minorTickMark val="none"/>
        <c:tickLblPos val="nextTo"/>
        <c:crossAx val="706197760"/>
        <c:crosses val="autoZero"/>
        <c:crossBetween val="between"/>
      </c:valAx>
    </c:plotArea>
    <c:plotVisOnly val="0"/>
    <c:dispBlanksAs val="gap"/>
    <c:showDLblsOverMax val="0"/>
  </c:chart>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under 250kW'!$A$76</c:f>
          <c:strCache>
            <c:ptCount val="1"/>
            <c:pt idx="0">
              <c:v>Top 5 landed species by volume in 2017
WOS nephrops under 250kW</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C1D119"/>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648C2E"/>
              </a:solidFill>
              <a:ln>
                <a:solidFill>
                  <a:srgbClr val="FFFFFF"/>
                </a:solidFill>
              </a:ln>
            </c:spPr>
          </c:dPt>
          <c:dPt>
            <c:idx val="3"/>
            <c:bubble3D val="0"/>
            <c:spPr>
              <a:solidFill>
                <a:srgbClr val="E87308"/>
              </a:solidFill>
              <a:ln>
                <a:solidFill>
                  <a:srgbClr val="FFFFFF"/>
                </a:solidFill>
              </a:ln>
            </c:spPr>
          </c:dPt>
          <c:dPt>
            <c:idx val="4"/>
            <c:bubble3D val="0"/>
            <c:spPr>
              <a:solidFill>
                <a:srgbClr val="0F9AA9"/>
              </a:solidFill>
              <a:ln>
                <a:solidFill>
                  <a:srgbClr val="FFFFFF"/>
                </a:solidFill>
              </a:ln>
            </c:spPr>
          </c:dPt>
          <c:dPt>
            <c:idx val="5"/>
            <c:bubble3D val="0"/>
            <c:spPr>
              <a:solidFill>
                <a:srgbClr val="55585A"/>
              </a:solidFill>
              <a:ln>
                <a:solidFill>
                  <a:srgbClr val="FFFFFF"/>
                </a:solidFill>
              </a:ln>
            </c:spPr>
          </c:dPt>
          <c:cat>
            <c:strRef>
              <c:f>'WOS nephrops under 250kW'!$B$77:$B$82</c:f>
              <c:strCache>
                <c:ptCount val="6"/>
                <c:pt idx="0">
                  <c:v>Nephrops - 95.0%</c:v>
                </c:pt>
                <c:pt idx="1">
                  <c:v>Brown Crab - 1.3%</c:v>
                </c:pt>
                <c:pt idx="2">
                  <c:v>Scallops - 0.8%</c:v>
                </c:pt>
                <c:pt idx="3">
                  <c:v>Squid - 0.8%</c:v>
                </c:pt>
                <c:pt idx="4">
                  <c:v>Haddock - 0.8%</c:v>
                </c:pt>
                <c:pt idx="5">
                  <c:v>Others - 1.3%</c:v>
                </c:pt>
              </c:strCache>
            </c:strRef>
          </c:cat>
          <c:val>
            <c:numRef>
              <c:f>'WOS nephrops under 250kW'!$C$77:$C$82</c:f>
              <c:numCache>
                <c:formatCode>0.0%</c:formatCode>
                <c:ptCount val="6"/>
                <c:pt idx="0">
                  <c:v>0.94996685116206048</c:v>
                </c:pt>
                <c:pt idx="1">
                  <c:v>1.2734254155064084E-2</c:v>
                </c:pt>
                <c:pt idx="2">
                  <c:v>8.3745663018874317E-3</c:v>
                </c:pt>
                <c:pt idx="3">
                  <c:v>8.3333047155874761E-3</c:v>
                </c:pt>
                <c:pt idx="4">
                  <c:v>7.837212265246335E-3</c:v>
                </c:pt>
                <c:pt idx="5">
                  <c:v>1.275381140015408E-2</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'WOS nephrops under 250kW'!$F$76</c:f>
          <c:strCache>
            <c:ptCount val="1"/>
            <c:pt idx="0">
              <c:v>Top 5 landed species by value in 2017
WOS nephrops under 250kW</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'WOS nephrops under 250kW'!$G$77:$G$82</c:f>
              <c:strCache>
                <c:ptCount val="6"/>
                <c:pt idx="0">
                  <c:v>Nephrops - 96.6%</c:v>
                </c:pt>
                <c:pt idx="1">
                  <c:v>Squid - 0.9%</c:v>
                </c:pt>
                <c:pt idx="2">
                  <c:v>Scallops - 0.9%</c:v>
                </c:pt>
                <c:pt idx="3">
                  <c:v>Brown Crab - 0.8%</c:v>
                </c:pt>
                <c:pt idx="4">
                  <c:v>Anglerfish - 0.3%</c:v>
                </c:pt>
                <c:pt idx="5">
                  <c:v>Others - 0.6%</c:v>
                </c:pt>
              </c:strCache>
            </c:strRef>
          </c:cat>
          <c:val>
            <c:numRef>
              <c:f>'WOS nephrops under 250kW'!$H$77:$H$82</c:f>
              <c:numCache>
                <c:formatCode>0.0%</c:formatCode>
                <c:ptCount val="6"/>
                <c:pt idx="0">
                  <c:v>0.96561066376605786</c:v>
                </c:pt>
                <c:pt idx="1">
                  <c:v>9.3146977361273052E-3</c:v>
                </c:pt>
                <c:pt idx="2">
                  <c:v>8.9290052127181802E-3</c:v>
                </c:pt>
                <c:pt idx="3">
                  <c:v>7.8040521942492318E-3</c:v>
                </c:pt>
                <c:pt idx="4">
                  <c:v>2.8278219066543548E-3</c:v>
                </c:pt>
                <c:pt idx="5">
                  <c:v>5.5137591841931677E-3</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'WOS nephrops under 250kW'!$C$92</c:f>
              <c:strCache>
                <c:ptCount val="1"/>
                <c:pt idx="0">
                  <c:v>Nephrops</c:v>
                </c:pt>
              </c:strCache>
            </c:strRef>
          </c:tx>
          <c:spPr>
            <a:solidFill>
              <a:srgbClr val="2273B9"/>
            </a:solidFill>
            <a:ln>
              <a:solidFill>
                <a:srgbClr val="FFFFFF"/>
              </a:solidFill>
            </a:ln>
          </c:spPr>
          <c:invertIfNegative val="0"/>
          <c:cat>
            <c:numRef>
              <c:f>'WOS nephrops under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under 250kW'!$D$92:$M$92</c:f>
              <c:numCache>
                <c:formatCode>0%</c:formatCode>
                <c:ptCount val="10"/>
                <c:pt idx="0">
                  <c:v>0.9587650234912366</c:v>
                </c:pt>
                <c:pt idx="1">
                  <c:v>0.96620790644760102</c:v>
                </c:pt>
                <c:pt idx="2">
                  <c:v>0.98157068400627689</c:v>
                </c:pt>
                <c:pt idx="3">
                  <c:v>0.958895395030122</c:v>
                </c:pt>
                <c:pt idx="4">
                  <c:v>0.95686832877374328</c:v>
                </c:pt>
                <c:pt idx="5">
                  <c:v>0.97667636891857212</c:v>
                </c:pt>
                <c:pt idx="6">
                  <c:v>0.97751762348819993</c:v>
                </c:pt>
                <c:pt idx="7">
                  <c:v>0.97630561696280249</c:v>
                </c:pt>
                <c:pt idx="8">
                  <c:v>0.96561066376605786</c:v>
                </c:pt>
                <c:pt idx="9">
                  <c:v>0.9610785283278277</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'WOS nephrops under 250kW'!$C$93</c:f>
              <c:strCache>
                <c:ptCount val="1"/>
                <c:pt idx="0">
                  <c:v>Squid</c:v>
                </c:pt>
              </c:strCache>
            </c:strRef>
          </c:tx>
          <c:spPr>
            <a:solidFill>
              <a:srgbClr val="E87308"/>
            </a:solidFill>
            <a:ln>
              <a:solidFill>
                <a:srgbClr val="FFFFFF"/>
              </a:solidFill>
            </a:ln>
          </c:spPr>
          <c:invertIfNegative val="0"/>
          <c:cat>
            <c:numRef>
              <c:f>'WOS nephrops under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under 250kW'!$D$93:$M$93</c:f>
              <c:numCache>
                <c:formatCode>0%</c:formatCode>
                <c:ptCount val="10"/>
                <c:pt idx="0">
                  <c:v>9.8178290937000565E-3</c:v>
                </c:pt>
                <c:pt idx="1">
                  <c:v>9.0853793956398518E-3</c:v>
                </c:pt>
                <c:pt idx="2">
                  <c:v>6.6073433024652854E-4</c:v>
                </c:pt>
                <c:pt idx="4">
                  <c:v>3.7225217258412759E-3</c:v>
                </c:pt>
                <c:pt idx="7">
                  <c:v>2.9143313590627288E-3</c:v>
                </c:pt>
                <c:pt idx="8">
                  <c:v>9.3146977361273052E-3</c:v>
                </c:pt>
                <c:pt idx="9">
                  <c:v>7.2558427548077079E-3</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'WOS nephrops under 250kW'!$C$94</c:f>
              <c:strCache>
                <c:ptCount val="1"/>
                <c:pt idx="0">
                  <c:v>Scallops</c:v>
                </c:pt>
              </c:strCache>
            </c:strRef>
          </c:tx>
          <c:spPr>
            <a:solidFill>
              <a:srgbClr val="648C2E"/>
            </a:solidFill>
            <a:ln>
              <a:solidFill>
                <a:srgbClr val="FFFFFF"/>
              </a:solidFill>
            </a:ln>
          </c:spPr>
          <c:invertIfNegative val="0"/>
          <c:cat>
            <c:numRef>
              <c:f>'WOS nephrops under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under 250kW'!$D$94:$M$94</c:f>
              <c:numCache>
                <c:formatCode>0%</c:formatCode>
                <c:ptCount val="10"/>
                <c:pt idx="0">
                  <c:v>1.3792767807281317E-2</c:v>
                </c:pt>
                <c:pt idx="1">
                  <c:v>7.8876987281942933E-3</c:v>
                </c:pt>
                <c:pt idx="2">
                  <c:v>1.0140327053287832E-2</c:v>
                </c:pt>
                <c:pt idx="3">
                  <c:v>2.1433350884196109E-2</c:v>
                </c:pt>
                <c:pt idx="4">
                  <c:v>1.2863799209848122E-2</c:v>
                </c:pt>
                <c:pt idx="5">
                  <c:v>3.8048753227787817E-3</c:v>
                </c:pt>
                <c:pt idx="6">
                  <c:v>9.3074370368271056E-3</c:v>
                </c:pt>
                <c:pt idx="7">
                  <c:v>9.3843116517454504E-3</c:v>
                </c:pt>
                <c:pt idx="8">
                  <c:v>8.9290052127181802E-3</c:v>
                </c:pt>
                <c:pt idx="9">
                  <c:v>8.3421172678315968E-3</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'WOS nephrops under 250kW'!$C$95</c:f>
              <c:strCache>
                <c:ptCount val="1"/>
                <c:pt idx="0">
                  <c:v>Brown Crab</c:v>
                </c:pt>
              </c:strCache>
            </c:strRef>
          </c:tx>
          <c:spPr>
            <a:solidFill>
              <a:srgbClr val="C1D119"/>
            </a:solidFill>
            <a:ln>
              <a:solidFill>
                <a:srgbClr val="FFFFFF"/>
              </a:solidFill>
            </a:ln>
          </c:spPr>
          <c:invertIfNegative val="0"/>
          <c:cat>
            <c:numRef>
              <c:f>'WOS nephrops under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under 250kW'!$D$95:$M$95</c:f>
              <c:numCache>
                <c:formatCode>0%</c:formatCode>
                <c:ptCount val="10"/>
                <c:pt idx="5">
                  <c:v>3.378448104257966E-3</c:v>
                </c:pt>
                <c:pt idx="6">
                  <c:v>2.9346165003633295E-3</c:v>
                </c:pt>
                <c:pt idx="7">
                  <c:v>4.0863740943088995E-3</c:v>
                </c:pt>
                <c:pt idx="8">
                  <c:v>7.8040521942492318E-3</c:v>
                </c:pt>
                <c:pt idx="9">
                  <c:v>1.3041143706938688E-2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'WOS nephrops under 250kW'!$C$96</c:f>
              <c:strCache>
                <c:ptCount val="1"/>
                <c:pt idx="0">
                  <c:v>Anglerfish</c:v>
                </c:pt>
              </c:strCache>
            </c:strRef>
          </c:tx>
          <c:spPr>
            <a:solidFill>
              <a:srgbClr val="E84A38"/>
            </a:solidFill>
            <a:ln>
              <a:solidFill>
                <a:srgbClr val="FFFFFF"/>
              </a:solidFill>
            </a:ln>
          </c:spPr>
          <c:invertIfNegative val="0"/>
          <c:cat>
            <c:numRef>
              <c:f>'WOS nephrops under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under 250kW'!$D$96:$M$96</c:f>
              <c:numCache>
                <c:formatCode>0%</c:formatCode>
                <c:ptCount val="10"/>
                <c:pt idx="0">
                  <c:v>1.4415841510155244E-3</c:v>
                </c:pt>
                <c:pt idx="2">
                  <c:v>8.8346688257512037E-4</c:v>
                </c:pt>
                <c:pt idx="3">
                  <c:v>2.0406881152511833E-3</c:v>
                </c:pt>
                <c:pt idx="5">
                  <c:v>4.5561749192062021E-3</c:v>
                </c:pt>
                <c:pt idx="6">
                  <c:v>3.5171205801977994E-3</c:v>
                </c:pt>
                <c:pt idx="7">
                  <c:v>2.4533184887049735E-3</c:v>
                </c:pt>
                <c:pt idx="8">
                  <c:v>2.8278219066543548E-3</c:v>
                </c:pt>
                <c:pt idx="9">
                  <c:v>5.0757601393531257E-3</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'WOS nephrops under 250kW'!$C$97</c:f>
              <c:strCache>
                <c:ptCount val="1"/>
                <c:pt idx="0">
                  <c:v>Haddock</c:v>
                </c:pt>
              </c:strCache>
            </c:strRef>
          </c:tx>
          <c:spPr>
            <a:solidFill>
              <a:srgbClr val="0F9AA9"/>
            </a:solidFill>
            <a:ln>
              <a:solidFill>
                <a:srgbClr val="FFFFFF"/>
              </a:solidFill>
            </a:ln>
          </c:spPr>
          <c:invertIfNegative val="0"/>
          <c:cat>
            <c:numRef>
              <c:f>'WOS nephrops under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under 250kW'!$D$97:$M$97</c:f>
              <c:numCache>
                <c:formatCode>0%</c:formatCode>
                <c:ptCount val="10"/>
                <c:pt idx="2">
                  <c:v>1.3943719163772874E-3</c:v>
                </c:pt>
                <c:pt idx="3">
                  <c:v>3.2937935435945883E-3</c:v>
                </c:pt>
                <c:pt idx="6">
                  <c:v>1.5340162826834776E-3</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'WOS nephrops under 250kW'!$C$98</c:f>
              <c:strCache>
                <c:ptCount val="1"/>
                <c:pt idx="0">
                  <c:v>Megrim</c:v>
                </c:pt>
              </c:strCache>
            </c:strRef>
          </c:tx>
          <c:spPr>
            <a:solidFill>
              <a:srgbClr val="FED825"/>
            </a:solidFill>
            <a:ln>
              <a:solidFill>
                <a:srgbClr val="FFFFFF"/>
              </a:solidFill>
            </a:ln>
          </c:spPr>
          <c:invertIfNegative val="0"/>
          <c:cat>
            <c:numRef>
              <c:f>'WOS nephrops under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under 250kW'!$D$98:$M$98</c:f>
              <c:numCache>
                <c:formatCode>0%</c:formatCode>
                <c:ptCount val="10"/>
                <c:pt idx="5">
                  <c:v>2.0934494093297158E-3</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'WOS nephrops under 250kW'!$C$99</c:f>
              <c:strCache>
                <c:ptCount val="1"/>
                <c:pt idx="0">
                  <c:v>Queen Scallops</c:v>
                </c:pt>
              </c:strCache>
            </c:strRef>
          </c:tx>
          <c:spPr>
            <a:solidFill>
              <a:srgbClr val="707271"/>
            </a:solidFill>
            <a:ln>
              <a:solidFill>
                <a:srgbClr val="FFFFFF"/>
              </a:solidFill>
            </a:ln>
          </c:spPr>
          <c:invertIfNegative val="0"/>
          <c:cat>
            <c:numRef>
              <c:f>'WOS nephrops under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under 250kW'!$D$99:$M$99</c:f>
              <c:numCache>
                <c:formatCode>0%</c:formatCode>
                <c:ptCount val="10"/>
                <c:pt idx="0">
                  <c:v>6.2418851310877621E-3</c:v>
                </c:pt>
                <c:pt idx="1">
                  <c:v>5.7616598664800628E-3</c:v>
                </c:pt>
                <c:pt idx="3">
                  <c:v>4.0106842876232287E-3</c:v>
                </c:pt>
                <c:pt idx="4">
                  <c:v>7.4518382298895645E-3</c:v>
                </c:pt>
              </c:numCache>
            </c:numRef>
          </c:val>
          <c:extLst xmlns:c16r2="http://schemas.microsoft.com/office/drawing/2015/06/chart">
            <c:ext xmlns:c16="http://schemas.microsoft.com/office/drawing/2014/chart" uri="{C3380CC4-5D6E-409C-BE32-E72D297353CC}">
              <c16:uniqueId val="{00000007-282A-42F3-A8CE-7B6B063B5E4F}"/>
            </c:ext>
          </c:extLst>
        </c:ser>
        <c:ser>
          <c:idx val="8"/>
          <c:order val="8"/>
          <c:tx>
            <c:strRef>
              <c:f>'WOS nephrops under 250kW'!$C$100</c:f>
              <c:strCache>
                <c:ptCount val="1"/>
                <c:pt idx="0">
                  <c:v>Razor Clam</c:v>
                </c:pt>
              </c:strCache>
            </c:strRef>
          </c:tx>
          <c:spPr>
            <a:solidFill>
              <a:srgbClr val="51AA81"/>
            </a:solidFill>
            <a:ln>
              <a:solidFill>
                <a:srgbClr val="FFFFFF"/>
              </a:solidFill>
            </a:ln>
          </c:spPr>
          <c:invertIfNegative val="0"/>
          <c:cat>
            <c:numRef>
              <c:f>'WOS nephrops under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under 250kW'!$D$100:$M$100</c:f>
              <c:numCache>
                <c:formatCode>0%</c:formatCode>
                <c:ptCount val="10"/>
                <c:pt idx="4">
                  <c:v>5.2036337846536876E-3</c:v>
                </c:pt>
              </c:numCache>
            </c:numRef>
          </c:val>
          <c:extLst xmlns:c16r2="http://schemas.microsoft.com/office/drawing/2015/06/chart">
            <c:ext xmlns:c16="http://schemas.microsoft.com/office/drawing/2014/chart" uri="{C3380CC4-5D6E-409C-BE32-E72D297353CC}">
              <c16:uniqueId val="{00000008-282A-42F3-A8CE-7B6B063B5E4F}"/>
            </c:ext>
          </c:extLst>
        </c:ser>
        <c:ser>
          <c:idx val="9"/>
          <c:order val="9"/>
          <c:tx>
            <c:strRef>
              <c:f>'WOS nephrops under 250kW'!$C$101</c:f>
              <c:strCache>
                <c:ptCount val="1"/>
                <c:pt idx="0">
                  <c:v>Skates and Rays</c:v>
                </c:pt>
              </c:strCache>
            </c:strRef>
          </c:tx>
          <c:spPr>
            <a:solidFill>
              <a:srgbClr val="169FDB"/>
            </a:solidFill>
            <a:ln>
              <a:solidFill>
                <a:srgbClr val="FFFFFF"/>
              </a:solidFill>
            </a:ln>
          </c:spPr>
          <c:invertIfNegative val="0"/>
          <c:cat>
            <c:numRef>
              <c:f>'WOS nephrops under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under 250kW'!$D$101:$M$101</c:f>
              <c:numCache>
                <c:formatCode>0%</c:formatCode>
                <c:ptCount val="10"/>
                <c:pt idx="1">
                  <c:v>1.8907820380995065E-3</c:v>
                </c:pt>
              </c:numCache>
            </c:numRef>
          </c:val>
          <c:extLst xmlns:c16r2="http://schemas.microsoft.com/office/drawing/2015/06/chart">
            <c:ext xmlns:c16="http://schemas.microsoft.com/office/drawing/2014/chart" uri="{C3380CC4-5D6E-409C-BE32-E72D297353CC}">
              <c16:uniqueId val="{00000009-282A-42F3-A8CE-7B6B063B5E4F}"/>
            </c:ext>
          </c:extLst>
        </c:ser>
        <c:ser>
          <c:idx val="10"/>
          <c:order val="10"/>
          <c:tx>
            <c:strRef>
              <c:f>'WOS nephrops under 250kW'!$C$102</c:f>
              <c:strCache>
                <c:ptCount val="1"/>
                <c:pt idx="0">
                  <c:v>Others</c:v>
                </c:pt>
              </c:strCache>
            </c:strRef>
          </c:tx>
          <c:spPr>
            <a:solidFill>
              <a:srgbClr val="55585A"/>
            </a:solidFill>
            <a:ln>
              <a:solidFill>
                <a:srgbClr val="FFFFFF"/>
              </a:solidFill>
            </a:ln>
          </c:spPr>
          <c:invertIfNegative val="0"/>
          <c:cat>
            <c:numRef>
              <c:f>'WOS nephrops under 250kW'!$D$91:$M$91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'WOS nephrops under 250kW'!$D$102:$M$102</c:f>
              <c:numCache>
                <c:formatCode>0%</c:formatCode>
                <c:ptCount val="10"/>
                <c:pt idx="0">
                  <c:v>9.940910325678759E-3</c:v>
                </c:pt>
                <c:pt idx="1">
                  <c:v>9.1665735239852327E-3</c:v>
                </c:pt>
                <c:pt idx="2">
                  <c:v>5.3504158112363687E-3</c:v>
                </c:pt>
                <c:pt idx="3">
                  <c:v>1.032608813921284E-2</c:v>
                </c:pt>
                <c:pt idx="4">
                  <c:v>1.3889878276024068E-2</c:v>
                </c:pt>
                <c:pt idx="5">
                  <c:v>9.4906833258552592E-3</c:v>
                </c:pt>
                <c:pt idx="6">
                  <c:v>5.189186111728381E-3</c:v>
                </c:pt>
                <c:pt idx="7">
                  <c:v>4.8560474433754167E-3</c:v>
                </c:pt>
                <c:pt idx="8">
                  <c:v>5.5137591841930862E-3</c:v>
                </c:pt>
                <c:pt idx="9">
                  <c:v>5.2066078032411717E-3</c:v>
                </c:pt>
              </c:numCache>
            </c:numRef>
          </c:val>
          <c:extLst xmlns:c16r2="http://schemas.microsoft.com/office/drawing/2015/06/chart">
            <c:ext xmlns:c16="http://schemas.microsoft.com/office/drawing/2014/chart" uri="{C3380CC4-5D6E-409C-BE32-E72D297353CC}">
              <c16:uniqueId val="{0000000A-282A-42F3-A8CE-7B6B063B5E4F}"/>
            </c:ext>
          </c:extLst>
        </c:ser>
        <c:dLbls>
          <c:showLegendKey val="0"/>
          <c:showVal val="0"/>
          <c:showCatName val="0"/>
          <c:showSerName val="0"/>
          <c:showPercent val="0"/>
          <c:showBubbleSize val="0"/>
        </c:dLbls>
        <c:gapWidth val="150"/>
        <c:overlap val="100"/>
        <c:axId val="955835904"/>
        <c:axId val="955837440"/>
      </c:barChart>
      <c:catAx>
        <c:axId val="955835904"/>
        <c:scaling>
          <c:orientation val="minMax"/>
        </c:scaling>
        <c:delete val="0"/>
        <c:axPos val="b"/>
        <c:numFmt formatCode="General" sourceLinked="1"/>
        <c:majorTickMark val="out"/>
        <c:minorTickMark val="none"/>
        <c:tickLblPos val="nextTo"/>
        <c:crossAx val="955837440"/>
        <c:crosses val="autoZero"/>
        <c:auto val="1"/>
        <c:lblAlgn val="ctr"/>
        <c:lblOffset val="100"/>
        <c:noMultiLvlLbl val="0"/>
      </c:catAx>
      <c:valAx>
        <c:axId val="955837440"/>
        <c:scaling>
          <c:orientation val="minMax"/>
          <c:max val="1"/>
          <c:min val="0"/>
        </c:scaling>
        <c:delete val="0"/>
        <c:axPos val="l"/>
        <c:majorGridlines/>
        <c:numFmt formatCode="0%" sourceLinked="1"/>
        <c:majorTickMark val="out"/>
        <c:minorTickMark val="none"/>
        <c:tickLblPos val="nextTo"/>
        <c:crossAx val="955835904"/>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3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'WOS nephrops under 250kW'!$B$162</c:f>
              <c:strCache>
                <c:ptCount val="1"/>
                <c:pt idx="0">
                  <c:v>Nephrops</c:v>
                </c:pt>
              </c:strCache>
            </c:strRef>
          </c:tx>
          <c:spPr>
            <a:solidFill>
              <a:srgbClr val="2273B9"/>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250kW'!$C$162:$E$162</c:f>
              <c:numCache>
                <c:formatCode>0%</c:formatCode>
                <c:ptCount val="3"/>
                <c:pt idx="0">
                  <c:v>0.97131489549404693</c:v>
                </c:pt>
                <c:pt idx="1">
                  <c:v>0.95056146809670061</c:v>
                </c:pt>
                <c:pt idx="2">
                  <c:v>0.9532029516556707</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'WOS nephrops under 250kW'!$B$163</c:f>
              <c:strCache>
                <c:ptCount val="1"/>
                <c:pt idx="0">
                  <c:v>Scallops</c:v>
                </c:pt>
              </c:strCache>
            </c:strRef>
          </c:tx>
          <c:spPr>
            <a:solidFill>
              <a:srgbClr val="648C2E"/>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250kW'!$C$163:$E$163</c:f>
              <c:numCache>
                <c:formatCode>0%</c:formatCode>
                <c:ptCount val="3"/>
                <c:pt idx="0">
                  <c:v>0</c:v>
                </c:pt>
                <c:pt idx="1">
                  <c:v>1.8995694156867558E-2</c:v>
                </c:pt>
                <c:pt idx="2">
                  <c:v>0</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'WOS nephrops under 250kW'!$B$164</c:f>
              <c:strCache>
                <c:ptCount val="1"/>
                <c:pt idx="0">
                  <c:v>Brown Crab</c:v>
                </c:pt>
              </c:strCache>
            </c:strRef>
          </c:tx>
          <c:spPr>
            <a:solidFill>
              <a:srgbClr val="C1D119"/>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250kW'!$C$164:$E$164</c:f>
              <c:numCache>
                <c:formatCode>0%</c:formatCode>
                <c:ptCount val="3"/>
                <c:pt idx="0">
                  <c:v>0</c:v>
                </c:pt>
                <c:pt idx="1">
                  <c:v>1.3982308346408737E-2</c:v>
                </c:pt>
                <c:pt idx="2">
                  <c:v>0</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'WOS nephrops under 250kW'!$B$165</c:f>
              <c:strCache>
                <c:ptCount val="1"/>
                <c:pt idx="0">
                  <c:v>Squid</c:v>
                </c:pt>
              </c:strCache>
            </c:strRef>
          </c:tx>
          <c:spPr>
            <a:solidFill>
              <a:srgbClr val="E87308"/>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250kW'!$C$165:$E$165</c:f>
              <c:numCache>
                <c:formatCode>0%</c:formatCode>
                <c:ptCount val="3"/>
                <c:pt idx="0">
                  <c:v>1.8363141610930465E-2</c:v>
                </c:pt>
                <c:pt idx="1">
                  <c:v>5.051236290158345E-3</c:v>
                </c:pt>
                <c:pt idx="2">
                  <c:v>7.4228770382913038E-3</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'WOS nephrops under 250kW'!$B$166</c:f>
              <c:strCache>
                <c:ptCount val="1"/>
                <c:pt idx="0">
                  <c:v>Anglerfish</c:v>
                </c:pt>
              </c:strCache>
            </c:strRef>
          </c:tx>
          <c:spPr>
            <a:solidFill>
              <a:srgbClr val="E84A38"/>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250kW'!$C$166:$E$166</c:f>
              <c:numCache>
                <c:formatCode>0%</c:formatCode>
                <c:ptCount val="3"/>
                <c:pt idx="0">
                  <c:v>1.5668556497422921E-3</c:v>
                </c:pt>
                <c:pt idx="1">
                  <c:v>2.8157593891573172E-3</c:v>
                </c:pt>
                <c:pt idx="2">
                  <c:v>9.5907775900925616E-3</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'WOS nephrops under 250kW'!$B$167</c:f>
              <c:strCache>
                <c:ptCount val="1"/>
                <c:pt idx="0">
                  <c:v>Haddock</c:v>
                </c:pt>
              </c:strCache>
            </c:strRef>
          </c:tx>
          <c:spPr>
            <a:solidFill>
              <a:srgbClr val="0F9AA9"/>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250kW'!$C$167:$E$167</c:f>
              <c:numCache>
                <c:formatCode>0%</c:formatCode>
                <c:ptCount val="3"/>
                <c:pt idx="0">
                  <c:v>1.9129671216269353E-3</c:v>
                </c:pt>
                <c:pt idx="1">
                  <c:v>0</c:v>
                </c:pt>
                <c:pt idx="2">
                  <c:v>1.6585166131173598E-2</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'WOS nephrops under 250kW'!$B$168</c:f>
              <c:strCache>
                <c:ptCount val="1"/>
                <c:pt idx="0">
                  <c:v>Les. Spot. Dog</c:v>
                </c:pt>
              </c:strCache>
            </c:strRef>
          </c:tx>
          <c:spPr>
            <a:solidFill>
              <a:srgbClr val="FED825"/>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250kW'!$C$168:$E$168</c:f>
              <c:numCache>
                <c:formatCode>0%</c:formatCode>
                <c:ptCount val="3"/>
                <c:pt idx="0">
                  <c:v>0</c:v>
                </c:pt>
                <c:pt idx="1">
                  <c:v>0</c:v>
                </c:pt>
                <c:pt idx="2">
                  <c:v>6.0515021600836983E-3</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'WOS nephrops under 250kW'!$B$169</c:f>
              <c:strCache>
                <c:ptCount val="1"/>
                <c:pt idx="0">
                  <c:v>Queen Scallops</c:v>
                </c:pt>
              </c:strCache>
            </c:strRef>
          </c:tx>
          <c:spPr>
            <a:solidFill>
              <a:srgbClr val="51AA81"/>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250kW'!$C$169:$E$169</c:f>
              <c:numCache>
                <c:formatCode>0%</c:formatCode>
                <c:ptCount val="3"/>
                <c:pt idx="0">
                  <c:v>4.7918478208319407E-3</c:v>
                </c:pt>
                <c:pt idx="1">
                  <c:v>0</c:v>
                </c:pt>
                <c:pt idx="2">
                  <c:v>0</c:v>
                </c:pt>
              </c:numCache>
            </c:numRef>
          </c:val>
          <c:extLst xmlns:c16r2="http://schemas.microsoft.com/office/drawing/2015/06/chart">
            <c:ext xmlns:c16="http://schemas.microsoft.com/office/drawing/2014/chart" uri="{C3380CC4-5D6E-409C-BE32-E72D297353CC}">
              <c16:uniqueId val="{00000007-DFDD-4C01-8393-1BE532AE55F9}"/>
            </c:ext>
          </c:extLst>
        </c:ser>
        <c:ser>
          <c:idx val="8"/>
          <c:order val="8"/>
          <c:tx>
            <c:strRef>
              <c:f>'WOS nephrops under 250kW'!$B$170</c:f>
              <c:strCache>
                <c:ptCount val="1"/>
                <c:pt idx="0">
                  <c:v>Others</c:v>
                </c:pt>
              </c:strCache>
            </c:strRef>
          </c:tx>
          <c:spPr>
            <a:solidFill>
              <a:srgbClr val="55585A"/>
            </a:solidFill>
            <a:ln>
              <a:solidFill>
                <a:srgbClr val="FFFFFF"/>
              </a:solidFill>
            </a:ln>
          </c:spPr>
          <c:invertIfNegative val="0"/>
          <c:cat>
            <c:strRef>
              <c:f>'WOS nephrops under 250kW'!$C$161:$E$161</c:f>
              <c:strCache>
                <c:ptCount val="3"/>
                <c:pt idx="0">
                  <c:v>Most
profitable
quartile</c:v>
                </c:pt>
                <c:pt idx="1">
                  <c:v>Middle 
two quartiles</c:v>
                </c:pt>
                <c:pt idx="2">
                  <c:v>Least
profitable
quartile</c:v>
                </c:pt>
              </c:strCache>
            </c:strRef>
          </c:cat>
          <c:val>
            <c:numRef>
              <c:f>'WOS nephrops under 250kW'!$C$170:$E$170</c:f>
              <c:numCache>
                <c:formatCode>0%</c:formatCode>
                <c:ptCount val="3"/>
                <c:pt idx="0">
                  <c:v>2.0502923028214992E-3</c:v>
                </c:pt>
                <c:pt idx="1">
                  <c:v>8.5935337207073692E-3</c:v>
                </c:pt>
                <c:pt idx="2">
                  <c:v>7.146725424688305E-3</c:v>
                </c:pt>
              </c:numCache>
            </c:numRef>
          </c:val>
          <c:extLst xmlns:c16r2="http://schemas.microsoft.com/office/drawing/2015/06/chart">
            <c:ext xmlns:c16="http://schemas.microsoft.com/office/drawing/2014/chart" uri="{C3380CC4-5D6E-409C-BE32-E72D297353CC}">
              <c16:uniqueId val="{00000008-DFDD-4C01-8393-1BE532AE55F9}"/>
            </c:ext>
          </c:extLst>
        </c:ser>
        <c:dLbls>
          <c:showLegendKey val="0"/>
          <c:showVal val="0"/>
          <c:showCatName val="0"/>
          <c:showSerName val="0"/>
          <c:showPercent val="0"/>
          <c:showBubbleSize val="0"/>
        </c:dLbls>
        <c:gapWidth val="150"/>
        <c:overlap val="100"/>
        <c:axId val="955893248"/>
        <c:axId val="955894784"/>
      </c:barChart>
      <c:catAx>
        <c:axId val="955893248"/>
        <c:scaling>
          <c:orientation val="minMax"/>
        </c:scaling>
        <c:delete val="0"/>
        <c:axPos val="b"/>
        <c:numFmt formatCode="General" sourceLinked="0"/>
        <c:majorTickMark val="out"/>
        <c:minorTickMark val="none"/>
        <c:tickLblPos val="nextTo"/>
        <c:crossAx val="955894784"/>
        <c:crosses val="autoZero"/>
        <c:auto val="1"/>
        <c:lblAlgn val="ctr"/>
        <c:lblOffset val="100"/>
        <c:noMultiLvlLbl val="0"/>
      </c:catAx>
      <c:valAx>
        <c:axId val="955894784"/>
        <c:scaling>
          <c:orientation val="minMax"/>
          <c:max val="1"/>
          <c:min val="0"/>
        </c:scaling>
        <c:delete val="0"/>
        <c:axPos val="l"/>
        <c:majorGridlines/>
        <c:minorGridlines/>
        <c:numFmt formatCode="0%" sourceLinked="1"/>
        <c:majorTickMark val="out"/>
        <c:minorTickMark val="none"/>
        <c:tickLblPos val="nextTo"/>
        <c:crossAx val="95589324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'WOS nephrops under 250kW'!$H$162</c:f>
              <c:strCache>
                <c:ptCount val="1"/>
                <c:pt idx="0">
                  <c:v>Nephrops</c:v>
                </c:pt>
              </c:strCache>
            </c:strRef>
          </c:tx>
          <c:spPr>
            <a:solidFill>
              <a:srgbClr val="2273B9"/>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250kW'!$I$162:$K$162</c:f>
              <c:numCache>
                <c:formatCode>0%</c:formatCode>
                <c:ptCount val="3"/>
                <c:pt idx="0">
                  <c:v>0.97639199924005438</c:v>
                </c:pt>
                <c:pt idx="1">
                  <c:v>0.95645197028311824</c:v>
                </c:pt>
                <c:pt idx="2">
                  <c:v>0.97624244110627323</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'WOS nephrops under 250kW'!$H$163</c:f>
              <c:strCache>
                <c:ptCount val="1"/>
                <c:pt idx="0">
                  <c:v>Scallops</c:v>
                </c:pt>
              </c:strCache>
            </c:strRef>
          </c:tx>
          <c:spPr>
            <a:solidFill>
              <a:srgbClr val="648C2E"/>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250kW'!$I$163:$K$163</c:f>
              <c:numCache>
                <c:formatCode>0%</c:formatCode>
                <c:ptCount val="3"/>
                <c:pt idx="0">
                  <c:v>0</c:v>
                </c:pt>
                <c:pt idx="1">
                  <c:v>1.7083280378874518E-2</c:v>
                </c:pt>
                <c:pt idx="2">
                  <c:v>0</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'WOS nephrops under 250kW'!$H$164</c:f>
              <c:strCache>
                <c:ptCount val="1"/>
                <c:pt idx="0">
                  <c:v>Brown Crab</c:v>
                </c:pt>
              </c:strCache>
            </c:strRef>
          </c:tx>
          <c:spPr>
            <a:solidFill>
              <a:srgbClr val="C1D119"/>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250kW'!$I$164:$K$164</c:f>
              <c:numCache>
                <c:formatCode>0%</c:formatCode>
                <c:ptCount val="3"/>
                <c:pt idx="0">
                  <c:v>0</c:v>
                </c:pt>
                <c:pt idx="1">
                  <c:v>1.4938433595331597E-2</c:v>
                </c:pt>
                <c:pt idx="2">
                  <c:v>0</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'WOS nephrops under 250kW'!$H$165</c:f>
              <c:strCache>
                <c:ptCount val="1"/>
                <c:pt idx="0">
                  <c:v>Squid</c:v>
                </c:pt>
              </c:strCache>
            </c:strRef>
          </c:tx>
          <c:spPr>
            <a:solidFill>
              <a:srgbClr val="E87308"/>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250kW'!$I$165:$K$165</c:f>
              <c:numCache>
                <c:formatCode>0%</c:formatCode>
                <c:ptCount val="3"/>
                <c:pt idx="0">
                  <c:v>1.8585178543052448E-2</c:v>
                </c:pt>
                <c:pt idx="1">
                  <c:v>5.1515604429067654E-3</c:v>
                </c:pt>
                <c:pt idx="2">
                  <c:v>7.022001928669125E-3</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'WOS nephrops under 250kW'!$H$166</c:f>
              <c:strCache>
                <c:ptCount val="1"/>
                <c:pt idx="0">
                  <c:v>Haddock</c:v>
                </c:pt>
              </c:strCache>
            </c:strRef>
          </c:tx>
          <c:spPr>
            <a:solidFill>
              <a:srgbClr val="0F9AA9"/>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250kW'!$I$166:$K$166</c:f>
              <c:numCache>
                <c:formatCode>0%</c:formatCode>
                <c:ptCount val="3"/>
                <c:pt idx="0">
                  <c:v>4.9227644393368651E-4</c:v>
                </c:pt>
                <c:pt idx="1">
                  <c:v>1.9935118390792669E-3</c:v>
                </c:pt>
                <c:pt idx="2">
                  <c:v>5.8994252264728819E-3</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'WOS nephrops under 250kW'!$H$167</c:f>
              <c:strCache>
                <c:ptCount val="1"/>
                <c:pt idx="0">
                  <c:v>Anglerfish</c:v>
                </c:pt>
              </c:strCache>
            </c:strRef>
          </c:tx>
          <c:spPr>
            <a:solidFill>
              <a:srgbClr val="E84A38"/>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250kW'!$I$167:$K$167</c:f>
              <c:numCache>
                <c:formatCode>0%</c:formatCode>
                <c:ptCount val="3"/>
                <c:pt idx="0">
                  <c:v>1.2016768298797902E-3</c:v>
                </c:pt>
                <c:pt idx="1">
                  <c:v>0</c:v>
                </c:pt>
                <c:pt idx="2">
                  <c:v>7.7158713560057691E-3</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'WOS nephrops under 250kW'!$H$168</c:f>
              <c:strCache>
                <c:ptCount val="1"/>
                <c:pt idx="0">
                  <c:v>Thornback Ray</c:v>
                </c:pt>
              </c:strCache>
            </c:strRef>
          </c:tx>
          <c:spPr>
            <a:solidFill>
              <a:srgbClr val="707271"/>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250kW'!$I$168:$K$168</c:f>
              <c:numCache>
                <c:formatCode>0%</c:formatCode>
                <c:ptCount val="3"/>
                <c:pt idx="0">
                  <c:v>0</c:v>
                </c:pt>
                <c:pt idx="1">
                  <c:v>0</c:v>
                </c:pt>
                <c:pt idx="2">
                  <c:v>6.3095353203148578E-4</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'WOS nephrops under 250kW'!$H$169</c:f>
              <c:strCache>
                <c:ptCount val="1"/>
                <c:pt idx="0">
                  <c:v>Queen Scallops</c:v>
                </c:pt>
              </c:strCache>
            </c:strRef>
          </c:tx>
          <c:spPr>
            <a:solidFill>
              <a:srgbClr val="51AA81"/>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250kW'!$I$169:$K$169</c:f>
              <c:numCache>
                <c:formatCode>0%</c:formatCode>
                <c:ptCount val="3"/>
                <c:pt idx="0">
                  <c:v>2.02145798222144E-3</c:v>
                </c:pt>
                <c:pt idx="1">
                  <c:v>0</c:v>
                </c:pt>
                <c:pt idx="2">
                  <c:v>0</c:v>
                </c:pt>
              </c:numCache>
            </c:numRef>
          </c:val>
          <c:extLst xmlns:c16r2="http://schemas.microsoft.com/office/drawing/2015/06/chart">
            <c:ext xmlns:c16="http://schemas.microsoft.com/office/drawing/2014/chart" uri="{C3380CC4-5D6E-409C-BE32-E72D297353CC}">
              <c16:uniqueId val="{00000007-DC58-4725-8A67-0BDC09FD93CD}"/>
            </c:ext>
          </c:extLst>
        </c:ser>
        <c:ser>
          <c:idx val="8"/>
          <c:order val="8"/>
          <c:tx>
            <c:strRef>
              <c:f>'WOS nephrops under 250kW'!$H$170</c:f>
              <c:strCache>
                <c:ptCount val="1"/>
                <c:pt idx="0">
                  <c:v>Others</c:v>
                </c:pt>
              </c:strCache>
            </c:strRef>
          </c:tx>
          <c:spPr>
            <a:solidFill>
              <a:srgbClr val="55585A"/>
            </a:solidFill>
            <a:ln>
              <a:solidFill>
                <a:srgbClr val="FFFFFF"/>
              </a:solidFill>
            </a:ln>
          </c:spPr>
          <c:invertIfNegative val="0"/>
          <c:cat>
            <c:strRef>
              <c:f>'WOS nephrops under 250kW'!$I$161:$K$161</c:f>
              <c:strCache>
                <c:ptCount val="3"/>
                <c:pt idx="0">
                  <c:v>Most
profitable
quartile</c:v>
                </c:pt>
                <c:pt idx="1">
                  <c:v>Middle 
two quartiles</c:v>
                </c:pt>
                <c:pt idx="2">
                  <c:v>Least
profitable
quartile</c:v>
                </c:pt>
              </c:strCache>
            </c:strRef>
          </c:cat>
          <c:val>
            <c:numRef>
              <c:f>'WOS nephrops under 250kW'!$I$170:$K$170</c:f>
              <c:numCache>
                <c:formatCode>0%</c:formatCode>
                <c:ptCount val="3"/>
                <c:pt idx="0">
                  <c:v>1.3074109608582907E-3</c:v>
                </c:pt>
                <c:pt idx="1">
                  <c:v>4.3812434606895767E-3</c:v>
                </c:pt>
                <c:pt idx="2">
                  <c:v>2.4893068505474902E-3</c:v>
                </c:pt>
              </c:numCache>
            </c:numRef>
          </c:val>
          <c:extLst xmlns:c16r2="http://schemas.microsoft.com/office/drawing/2015/06/chart">
            <c:ext xmlns:c16="http://schemas.microsoft.com/office/drawing/2014/chart" uri="{C3380CC4-5D6E-409C-BE32-E72D297353CC}">
              <c16:uniqueId val="{00000008-DC58-4725-8A67-0BDC09FD93CD}"/>
            </c:ext>
          </c:extLst>
        </c:ser>
        <c:dLbls>
          <c:showLegendKey val="0"/>
          <c:showVal val="0"/>
          <c:showCatName val="0"/>
          <c:showSerName val="0"/>
          <c:showPercent val="0"/>
          <c:showBubbleSize val="0"/>
        </c:dLbls>
        <c:gapWidth val="150"/>
        <c:overlap val="100"/>
        <c:axId val="956331136"/>
        <c:axId val="956332672"/>
      </c:barChart>
      <c:catAx>
        <c:axId val="956331136"/>
        <c:scaling>
          <c:orientation val="minMax"/>
        </c:scaling>
        <c:delete val="0"/>
        <c:axPos val="b"/>
        <c:numFmt formatCode="General" sourceLinked="0"/>
        <c:majorTickMark val="out"/>
        <c:minorTickMark val="none"/>
        <c:tickLblPos val="nextTo"/>
        <c:crossAx val="956332672"/>
        <c:crosses val="autoZero"/>
        <c:auto val="1"/>
        <c:lblAlgn val="ctr"/>
        <c:lblOffset val="100"/>
        <c:noMultiLvlLbl val="0"/>
      </c:catAx>
      <c:valAx>
        <c:axId val="956332672"/>
        <c:scaling>
          <c:orientation val="minMax"/>
          <c:max val="1"/>
          <c:min val="0"/>
        </c:scaling>
        <c:delete val="0"/>
        <c:axPos val="l"/>
        <c:majorGridlines/>
        <c:minorGridlines/>
        <c:numFmt formatCode="0%" sourceLinked="1"/>
        <c:majorTickMark val="out"/>
        <c:minorTickMark val="none"/>
        <c:tickLblPos val="nextTo"/>
        <c:crossAx val="956331136"/>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'WOS nephrops under 250kW'!$K$143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'WOS nephrops under 250kW'!$K$139</c:f>
              <c:strCache>
                <c:ptCount val="1"/>
                <c:pt idx="0">
                  <c:v>Total income</c:v>
                </c:pt>
              </c:strCache>
            </c:strRef>
          </c:tx>
          <c:spPr>
            <a:solidFill>
              <a:schemeClr val="accent1"/>
            </a:solidFill>
            <a:ln>
              <a:solidFill>
                <a:schemeClr val="accent1"/>
              </a:solidFill>
            </a:ln>
          </c:spPr>
          <c:invertIfNegative val="0"/>
          <c:cat>
            <c:strRef>
              <c:f>'WOS nephrops under 250kW'!$L$138:$N$138</c:f>
              <c:strCache>
                <c:ptCount val="3"/>
                <c:pt idx="0">
                  <c:v>Most
profitable
quartile</c:v>
                </c:pt>
                <c:pt idx="1">
                  <c:v>Middle
two quartiles</c:v>
                </c:pt>
                <c:pt idx="2">
                  <c:v>Least
profitable
quartile</c:v>
                </c:pt>
              </c:strCache>
            </c:strRef>
          </c:cat>
          <c:val>
            <c:numRef>
              <c:f>'WOS nephrops under 250kW'!$L$139:$N$139</c:f>
              <c:numCache>
                <c:formatCode>#,##0</c:formatCode>
                <c:ptCount val="3"/>
                <c:pt idx="0">
                  <c:v>202.438453125</c:v>
                </c:pt>
                <c:pt idx="1">
                  <c:v>191.93322170608101</c:v>
                </c:pt>
                <c:pt idx="2">
                  <c:v>139.30034375</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'WOS nephrops under 250kW'!$K$140</c:f>
              <c:strCache>
                <c:ptCount val="1"/>
                <c:pt idx="0">
                  <c:v>Operating costs</c:v>
                </c:pt>
              </c:strCache>
            </c:strRef>
          </c:tx>
          <c:spPr>
            <a:solidFill>
              <a:schemeClr val="accent3"/>
            </a:solidFill>
          </c:spPr>
          <c:invertIfNegative val="0"/>
          <c:cat>
            <c:strRef>
              <c:f>'WOS nephrops under 250kW'!$L$138:$N$138</c:f>
              <c:strCache>
                <c:ptCount val="3"/>
                <c:pt idx="0">
                  <c:v>Most
profitable
quartile</c:v>
                </c:pt>
                <c:pt idx="1">
                  <c:v>Middle
two quartiles</c:v>
                </c:pt>
                <c:pt idx="2">
                  <c:v>Least
profitable
quartile</c:v>
                </c:pt>
              </c:strCache>
            </c:strRef>
          </c:cat>
          <c:val>
            <c:numRef>
              <c:f>'WOS nephrops under 250kW'!$L$140:$N$140</c:f>
              <c:numCache>
                <c:formatCode>#,##0</c:formatCode>
                <c:ptCount val="3"/>
                <c:pt idx="0">
                  <c:v>151.27074999999999</c:v>
                </c:pt>
                <c:pt idx="1">
                  <c:v>152.688926942568</c:v>
                </c:pt>
                <c:pt idx="2">
                  <c:v>122.60508593749999</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'WOS nephrops under 250kW'!$K$141</c:f>
              <c:strCache>
                <c:ptCount val="1"/>
                <c:pt idx="0">
                  <c:v>Operating profit</c:v>
                </c:pt>
              </c:strCache>
            </c:strRef>
          </c:tx>
          <c:spPr>
            <a:solidFill>
              <a:schemeClr val="accent2"/>
            </a:solidFill>
          </c:spPr>
          <c:invertIfNegative val="0"/>
          <c:cat>
            <c:strRef>
              <c:f>'WOS nephrops under 250kW'!$L$138:$N$138</c:f>
              <c:strCache>
                <c:ptCount val="3"/>
                <c:pt idx="0">
                  <c:v>Most
profitable
quartile</c:v>
                </c:pt>
                <c:pt idx="1">
                  <c:v>Middle
two quartiles</c:v>
                </c:pt>
                <c:pt idx="2">
                  <c:v>Least
profitable
quartile</c:v>
                </c:pt>
              </c:strCache>
            </c:strRef>
          </c:cat>
          <c:val>
            <c:numRef>
              <c:f>'WOS nephrops under 250kW'!$L$141:$N$141</c:f>
              <c:numCache>
                <c:formatCode>#,##0</c:formatCode>
                <c:ptCount val="3"/>
                <c:pt idx="0">
                  <c:v>51.167703125000003</c:v>
                </c:pt>
                <c:pt idx="1">
                  <c:v>39.244294763513501</c:v>
                </c:pt>
                <c:pt idx="2">
                  <c:v>16.6952578125</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956122624"/>
        <c:axId val="956124160"/>
      </c:barChart>
      <c:catAx>
        <c:axId val="956122624"/>
        <c:scaling>
          <c:orientation val="minMax"/>
        </c:scaling>
        <c:delete val="0"/>
        <c:axPos val="b"/>
        <c:numFmt formatCode="General" sourceLinked="0"/>
        <c:majorTickMark val="out"/>
        <c:minorTickMark val="none"/>
        <c:tickLblPos val="nextTo"/>
        <c:crossAx val="956124160"/>
        <c:crosses val="autoZero"/>
        <c:auto val="1"/>
        <c:lblAlgn val="ctr"/>
        <c:lblOffset val="100"/>
        <c:noMultiLvlLbl val="0"/>
      </c:catAx>
      <c:valAx>
        <c:axId val="956124160"/>
        <c:scaling>
          <c:orientation val="minMax"/>
        </c:scaling>
        <c:delete val="0"/>
        <c:axPos val="l"/>
        <c:majorGridlines/>
        <c:title>
          <c:tx>
            <c:strRef>
              <c:f>'WOS nephrops under 250kW'!$K$142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956122624"/>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24-40m'!$A$49</c:f>
          <c:strCache>
            <c:ptCount val="1"/>
            <c:pt idx="0">
              <c:v>Fishing income per kW day at sea (£)
Area VIIBCDEFGHK 24-40m</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'Area VIIb-k trawlers 24-40m'!$D$2:$N$2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VIIb-k trawlers 24-40m'!$D$22:$N$22</c:f>
              <c:numCache>
                <c:formatCode>#,##0.00</c:formatCode>
                <c:ptCount val="11"/>
                <c:pt idx="0">
                  <c:v>4.5921902216342403</c:v>
                </c:pt>
                <c:pt idx="1">
                  <c:v>6.15336866825995</c:v>
                </c:pt>
                <c:pt idx="2">
                  <c:v>7.88111835901368</c:v>
                </c:pt>
                <c:pt idx="3">
                  <c:v>8.2135367346824992</c:v>
                </c:pt>
                <c:pt idx="4">
                  <c:v>9.9028510803295404</c:v>
                </c:pt>
                <c:pt idx="5">
                  <c:v>9.7604852374501903</c:v>
                </c:pt>
                <c:pt idx="6">
                  <c:v>10.7023671442106</c:v>
                </c:pt>
                <c:pt idx="7">
                  <c:v>10.0278625583266</c:v>
                </c:pt>
                <c:pt idx="8">
                  <c:v>10.5514938345995</c:v>
                </c:pt>
                <c:pt idx="9">
                  <c:v>9.9276322247916795</c:v>
                </c:pt>
                <c:pt idx="10">
                  <c:v>9.5948100180278821</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706041344"/>
        <c:axId val="706042880"/>
      </c:lineChart>
      <c:catAx>
        <c:axId val="706041344"/>
        <c:scaling>
          <c:orientation val="minMax"/>
        </c:scaling>
        <c:delete val="0"/>
        <c:axPos val="b"/>
        <c:numFmt formatCode="General" sourceLinked="1"/>
        <c:majorTickMark val="out"/>
        <c:minorTickMark val="none"/>
        <c:tickLblPos val="nextTo"/>
        <c:crossAx val="706042880"/>
        <c:crosses val="autoZero"/>
        <c:auto val="1"/>
        <c:lblAlgn val="ctr"/>
        <c:lblOffset val="100"/>
        <c:noMultiLvlLbl val="0"/>
      </c:catAx>
      <c:valAx>
        <c:axId val="706042880"/>
        <c:scaling>
          <c:orientation val="minMax"/>
        </c:scaling>
        <c:delete val="0"/>
        <c:axPos val="l"/>
        <c:majorGridlines>
          <c:spPr>
            <a:ln w="3175">
              <a:prstDash val="sysDot"/>
            </a:ln>
          </c:spPr>
        </c:majorGridlines>
        <c:numFmt formatCode="#,##0.00" sourceLinked="1"/>
        <c:majorTickMark val="out"/>
        <c:minorTickMark val="none"/>
        <c:tickLblPos val="nextTo"/>
        <c:crossAx val="706041344"/>
        <c:crosses val="autoZero"/>
        <c:crossBetween val="between"/>
      </c:valAx>
    </c:plotArea>
    <c:plotVisOnly val="0"/>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24-40m'!$B$62</c:f>
          <c:strCache>
            <c:ptCount val="1"/>
            <c:pt idx="0">
              <c:v>Total cost per kW day at sea (£)
Area VIIBCDEFGHK 24-40m</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'Area VIIb-k trawlers 24-40m'!$D$2:$N$2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VIIb-k trawlers 24-40m'!$D$23:$N$23</c:f>
              <c:numCache>
                <c:formatCode>#,##0.00</c:formatCode>
                <c:ptCount val="11"/>
                <c:pt idx="0">
                  <c:v>5.3136922152674897</c:v>
                </c:pt>
                <c:pt idx="1">
                  <c:v>6.1163575431331401</c:v>
                </c:pt>
                <c:pt idx="2">
                  <c:v>5.8597157977198302</c:v>
                </c:pt>
                <c:pt idx="3">
                  <c:v>6.4813890556876101</c:v>
                </c:pt>
                <c:pt idx="4">
                  <c:v>9.9812434182448708</c:v>
                </c:pt>
                <c:pt idx="5">
                  <c:v>9.8385125120007295</c:v>
                </c:pt>
                <c:pt idx="6">
                  <c:v>10.6025225934692</c:v>
                </c:pt>
                <c:pt idx="7">
                  <c:v>9.4335755770754997</c:v>
                </c:pt>
                <c:pt idx="8">
                  <c:v>7.0721422846001198</c:v>
                </c:pt>
                <c:pt idx="9">
                  <c:v>9.3581958776504308</c:v>
                </c:pt>
                <c:pt idx="10">
                  <c:v>9.3525688654495802</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706081536"/>
        <c:axId val="706083072"/>
      </c:lineChart>
      <c:catAx>
        <c:axId val="706081536"/>
        <c:scaling>
          <c:orientation val="minMax"/>
        </c:scaling>
        <c:delete val="0"/>
        <c:axPos val="b"/>
        <c:numFmt formatCode="General" sourceLinked="1"/>
        <c:majorTickMark val="out"/>
        <c:minorTickMark val="none"/>
        <c:tickLblPos val="nextTo"/>
        <c:crossAx val="706083072"/>
        <c:crosses val="autoZero"/>
        <c:auto val="1"/>
        <c:lblAlgn val="ctr"/>
        <c:lblOffset val="100"/>
        <c:noMultiLvlLbl val="0"/>
      </c:catAx>
      <c:valAx>
        <c:axId val="706083072"/>
        <c:scaling>
          <c:orientation val="minMax"/>
        </c:scaling>
        <c:delete val="0"/>
        <c:axPos val="l"/>
        <c:majorGridlines>
          <c:spPr>
            <a:ln w="3175">
              <a:prstDash val="sysDot"/>
            </a:ln>
          </c:spPr>
        </c:majorGridlines>
        <c:numFmt formatCode="#,##0.00" sourceLinked="1"/>
        <c:majorTickMark val="out"/>
        <c:minorTickMark val="none"/>
        <c:tickLblPos val="nextTo"/>
        <c:crossAx val="70608153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24-40m'!$K$48</c:f>
          <c:strCache>
            <c:ptCount val="1"/>
            <c:pt idx="0">
              <c:v>Operating profit per kW day at sea (£)
Area VIIBCDEFGHK 24-40m</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'Area VIIb-k trawlers 24-40m'!$D$2:$N$2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VIIb-k trawlers 24-40m'!$D$24:$N$24</c:f>
              <c:numCache>
                <c:formatCode>#,##0.00</c:formatCode>
                <c:ptCount val="11"/>
                <c:pt idx="0">
                  <c:v>-0.697665512248136</c:v>
                </c:pt>
                <c:pt idx="1">
                  <c:v>5.4396368961670001E-2</c:v>
                </c:pt>
                <c:pt idx="2">
                  <c:v>2.0436692534589902</c:v>
                </c:pt>
                <c:pt idx="3">
                  <c:v>1.7553535607519299</c:v>
                </c:pt>
                <c:pt idx="4">
                  <c:v>-5.0413601242733003E-2</c:v>
                </c:pt>
                <c:pt idx="5">
                  <c:v>-5.0450767389560301E-2</c:v>
                </c:pt>
                <c:pt idx="6">
                  <c:v>0.23362237033820399</c:v>
                </c:pt>
                <c:pt idx="7">
                  <c:v>0.68630799860185798</c:v>
                </c:pt>
                <c:pt idx="8">
                  <c:v>3.5091629111284002</c:v>
                </c:pt>
                <c:pt idx="9">
                  <c:v>0.73483737029346097</c:v>
                </c:pt>
                <c:pt idx="10">
                  <c:v>0.26934957352392414</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706248704"/>
        <c:axId val="706250240"/>
      </c:lineChart>
      <c:catAx>
        <c:axId val="706248704"/>
        <c:scaling>
          <c:orientation val="minMax"/>
        </c:scaling>
        <c:delete val="0"/>
        <c:axPos val="b"/>
        <c:numFmt formatCode="General" sourceLinked="1"/>
        <c:majorTickMark val="out"/>
        <c:minorTickMark val="none"/>
        <c:tickLblPos val="nextTo"/>
        <c:crossAx val="706250240"/>
        <c:crosses val="autoZero"/>
        <c:auto val="1"/>
        <c:lblAlgn val="ctr"/>
        <c:lblOffset val="100"/>
        <c:noMultiLvlLbl val="0"/>
      </c:catAx>
      <c:valAx>
        <c:axId val="706250240"/>
        <c:scaling>
          <c:orientation val="minMax"/>
        </c:scaling>
        <c:delete val="0"/>
        <c:axPos val="l"/>
        <c:majorGridlines>
          <c:spPr>
            <a:ln w="3175">
              <a:prstDash val="sysDot"/>
            </a:ln>
          </c:spPr>
        </c:majorGridlines>
        <c:numFmt formatCode="#,##0.00" sourceLinked="1"/>
        <c:majorTickMark val="out"/>
        <c:minorTickMark val="none"/>
        <c:tickLblPos val="nextTo"/>
        <c:crossAx val="706248704"/>
        <c:crosses val="autoZero"/>
        <c:crossBetween val="between"/>
      </c:valAx>
    </c:plotArea>
    <c:plotVisOnly val="0"/>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24-40m'!$A$50</c:f>
          <c:strCache>
            <c:ptCount val="1"/>
            <c:pt idx="0">
              <c:v>Average price per tonne landed (£)
Area VIIBCDEFGHK 24-40m</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'Area VIIb-k trawlers 24-40m'!$D$2:$N$2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VIIb-k trawlers 24-40m'!$D$20:$N$20</c:f>
              <c:numCache>
                <c:formatCode>#,##0</c:formatCode>
                <c:ptCount val="11"/>
                <c:pt idx="0">
                  <c:v>2597</c:v>
                </c:pt>
                <c:pt idx="1">
                  <c:v>2916</c:v>
                </c:pt>
                <c:pt idx="2">
                  <c:v>3116</c:v>
                </c:pt>
                <c:pt idx="3">
                  <c:v>2818</c:v>
                </c:pt>
                <c:pt idx="4">
                  <c:v>2888</c:v>
                </c:pt>
                <c:pt idx="5">
                  <c:v>2719</c:v>
                </c:pt>
                <c:pt idx="6">
                  <c:v>2909</c:v>
                </c:pt>
                <c:pt idx="7">
                  <c:v>2808</c:v>
                </c:pt>
                <c:pt idx="8">
                  <c:v>3306</c:v>
                </c:pt>
                <c:pt idx="9">
                  <c:v>3064</c:v>
                </c:pt>
                <c:pt idx="10">
                  <c:v>2960</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706288640"/>
        <c:axId val="706290432"/>
      </c:lineChart>
      <c:catAx>
        <c:axId val="706288640"/>
        <c:scaling>
          <c:orientation val="minMax"/>
        </c:scaling>
        <c:delete val="0"/>
        <c:axPos val="b"/>
        <c:numFmt formatCode="General" sourceLinked="1"/>
        <c:majorTickMark val="out"/>
        <c:minorTickMark val="none"/>
        <c:tickLblPos val="nextTo"/>
        <c:crossAx val="706290432"/>
        <c:crosses val="autoZero"/>
        <c:auto val="1"/>
        <c:lblAlgn val="ctr"/>
        <c:lblOffset val="100"/>
        <c:noMultiLvlLbl val="0"/>
      </c:catAx>
      <c:valAx>
        <c:axId val="706290432"/>
        <c:scaling>
          <c:orientation val="minMax"/>
        </c:scaling>
        <c:delete val="0"/>
        <c:axPos val="l"/>
        <c:majorGridlines>
          <c:spPr>
            <a:ln w="3175">
              <a:prstDash val="sysDot"/>
            </a:ln>
          </c:spPr>
        </c:majorGridlines>
        <c:numFmt formatCode="#,##0" sourceLinked="1"/>
        <c:majorTickMark val="out"/>
        <c:minorTickMark val="none"/>
        <c:tickLblPos val="nextTo"/>
        <c:crossAx val="706288640"/>
        <c:crosses val="autoZero"/>
        <c:crossBetween val="between"/>
      </c:valAx>
    </c:plotArea>
    <c:plotVisOnly val="0"/>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24-40m'!$K$62</c:f>
          <c:strCache>
            <c:ptCount val="1"/>
            <c:pt idx="0">
              <c:v>Average annual operating profit per vessel (£'000)
Area VIIBCDEFGHK 24-40m</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'Area VIIb-k trawlers 24-40m'!$D$2:$N$2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VIIb-k trawlers 24-40m'!$D$37:$N$37</c:f>
              <c:numCache>
                <c:formatCode>#,##0.0</c:formatCode>
                <c:ptCount val="11"/>
                <c:pt idx="0">
                  <c:v>-119</c:v>
                </c:pt>
                <c:pt idx="1">
                  <c:v>10</c:v>
                </c:pt>
                <c:pt idx="2">
                  <c:v>372.5</c:v>
                </c:pt>
                <c:pt idx="3">
                  <c:v>310</c:v>
                </c:pt>
                <c:pt idx="4">
                  <c:v>-8.6999999999999993</c:v>
                </c:pt>
                <c:pt idx="5">
                  <c:v>-7.5</c:v>
                </c:pt>
                <c:pt idx="6">
                  <c:v>40.700000000000003</c:v>
                </c:pt>
                <c:pt idx="7">
                  <c:v>117.6</c:v>
                </c:pt>
                <c:pt idx="8">
                  <c:v>631.20000000000005</c:v>
                </c:pt>
                <c:pt idx="9">
                  <c:v>114.7</c:v>
                </c:pt>
                <c:pt idx="10">
                  <c:v>42.7</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706316544"/>
        <c:axId val="706322432"/>
      </c:lineChart>
      <c:catAx>
        <c:axId val="706316544"/>
        <c:scaling>
          <c:orientation val="minMax"/>
        </c:scaling>
        <c:delete val="0"/>
        <c:axPos val="b"/>
        <c:numFmt formatCode="General" sourceLinked="1"/>
        <c:majorTickMark val="out"/>
        <c:minorTickMark val="none"/>
        <c:tickLblPos val="nextTo"/>
        <c:crossAx val="706322432"/>
        <c:crosses val="autoZero"/>
        <c:auto val="1"/>
        <c:lblAlgn val="ctr"/>
        <c:lblOffset val="100"/>
        <c:noMultiLvlLbl val="0"/>
      </c:catAx>
      <c:valAx>
        <c:axId val="706322432"/>
        <c:scaling>
          <c:orientation val="minMax"/>
        </c:scaling>
        <c:delete val="0"/>
        <c:axPos val="l"/>
        <c:majorGridlines>
          <c:spPr>
            <a:ln w="3175">
              <a:prstDash val="sysDot"/>
            </a:ln>
          </c:spPr>
        </c:majorGridlines>
        <c:numFmt formatCode="#,##0.0" sourceLinked="1"/>
        <c:majorTickMark val="out"/>
        <c:minorTickMark val="none"/>
        <c:tickLblPos val="nextTo"/>
        <c:crossAx val="706316544"/>
        <c:crosses val="autoZero"/>
        <c:crossBetween val="between"/>
      </c:valAx>
    </c:plotArea>
    <c:plotVisOnly val="0"/>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trawl'!$K$48</c:f>
          <c:strCache>
            <c:ptCount val="1"/>
            <c:pt idx="0">
              <c:v>Operating profit per kW day at sea (£)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'Area VIIa demersal trawl'!$D$2:$N$2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demersal trawl'!$D$24:$N$24</c:f>
              <c:numCache>
                <c:formatCode>#,##0.00</c:formatCode>
                <c:ptCount val="11"/>
                <c:pt idx="0">
                  <c:v>0.95792757851694499</c:v>
                </c:pt>
                <c:pt idx="1">
                  <c:v>0.74528721034024004</c:v>
                </c:pt>
                <c:pt idx="2">
                  <c:v>0.66602798366051996</c:v>
                </c:pt>
                <c:pt idx="3">
                  <c:v>0.34419491466805802</c:v>
                </c:pt>
                <c:pt idx="4">
                  <c:v>0.68847590756510901</c:v>
                </c:pt>
                <c:pt idx="5">
                  <c:v>0.93115958956342404</c:v>
                </c:pt>
                <c:pt idx="6">
                  <c:v>0.90350207514070602</c:v>
                </c:pt>
                <c:pt idx="7">
                  <c:v>1.3889702182321899</c:v>
                </c:pt>
                <c:pt idx="8">
                  <c:v>1.8757243917513999</c:v>
                </c:pt>
                <c:pt idx="9">
                  <c:v>0.86936126435372896</c:v>
                </c:pt>
                <c:pt idx="10">
                  <c:v>0.75459236681888231</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615488512"/>
        <c:axId val="615494400"/>
      </c:lineChart>
      <c:catAx>
        <c:axId val="615488512"/>
        <c:scaling>
          <c:orientation val="minMax"/>
        </c:scaling>
        <c:delete val="0"/>
        <c:axPos val="b"/>
        <c:numFmt formatCode="General" sourceLinked="1"/>
        <c:majorTickMark val="out"/>
        <c:minorTickMark val="none"/>
        <c:tickLblPos val="nextTo"/>
        <c:crossAx val="615494400"/>
        <c:crosses val="autoZero"/>
        <c:auto val="1"/>
        <c:lblAlgn val="ctr"/>
        <c:lblOffset val="100"/>
        <c:noMultiLvlLbl val="0"/>
      </c:catAx>
      <c:valAx>
        <c:axId val="615494400"/>
        <c:scaling>
          <c:orientation val="minMax"/>
        </c:scaling>
        <c:delete val="0"/>
        <c:axPos val="l"/>
        <c:majorGridlines>
          <c:spPr>
            <a:ln w="3175">
              <a:prstDash val="sysDot"/>
            </a:ln>
          </c:spPr>
        </c:majorGridlines>
        <c:numFmt formatCode="#,##0.00" sourceLinked="1"/>
        <c:majorTickMark val="out"/>
        <c:minorTickMark val="none"/>
        <c:tickLblPos val="nextTo"/>
        <c:crossAx val="615488512"/>
        <c:crosses val="autoZero"/>
        <c:crossBetween val="between"/>
      </c:valAx>
    </c:plotArea>
    <c:plotVisOnly val="0"/>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24-40m'!$A$76</c:f>
          <c:strCache>
            <c:ptCount val="1"/>
            <c:pt idx="0">
              <c:v>Top 5 landed species by volume in 2017
Area VIIBCDEFGHK 24-40m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C1D119"/>
              </a:solidFill>
              <a:ln>
                <a:solidFill>
                  <a:srgbClr val="FFFFFF"/>
                </a:solidFill>
              </a:ln>
            </c:spPr>
          </c:dPt>
          <c:dPt>
            <c:idx val="3"/>
            <c:bubble3D val="0"/>
            <c:spPr>
              <a:solidFill>
                <a:srgbClr val="648C2E"/>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'Area VIIb-k trawlers 24-40m'!$B$77:$B$82</c:f>
              <c:strCache>
                <c:ptCount val="6"/>
                <c:pt idx="0">
                  <c:v>Anglerfish - 38.4%</c:v>
                </c:pt>
                <c:pt idx="1">
                  <c:v>Megrim - 28.8%</c:v>
                </c:pt>
                <c:pt idx="2">
                  <c:v>Hake - 7.4%</c:v>
                </c:pt>
                <c:pt idx="3">
                  <c:v>Nephrops - 4.4%</c:v>
                </c:pt>
                <c:pt idx="4">
                  <c:v>Witch - 3.5%</c:v>
                </c:pt>
                <c:pt idx="5">
                  <c:v>Others - 17.5%</c:v>
                </c:pt>
              </c:strCache>
            </c:strRef>
          </c:cat>
          <c:val>
            <c:numRef>
              <c:f>'Area VIIb-k trawlers 24-40m'!$C$77:$C$82</c:f>
              <c:numCache>
                <c:formatCode>0.0%</c:formatCode>
                <c:ptCount val="6"/>
                <c:pt idx="0">
                  <c:v>0.38396381948350139</c:v>
                </c:pt>
                <c:pt idx="1">
                  <c:v>0.2883412684712377</c:v>
                </c:pt>
                <c:pt idx="2">
                  <c:v>7.4237150181069633E-2</c:v>
                </c:pt>
                <c:pt idx="3">
                  <c:v>4.3728118045153253E-2</c:v>
                </c:pt>
                <c:pt idx="4">
                  <c:v>3.5018195132001717E-2</c:v>
                </c:pt>
                <c:pt idx="5">
                  <c:v>0.17471144868703647</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layout/>
      <c:overlay val="0"/>
    </c:legend>
    <c:plotVisOnly val="1"/>
    <c:dispBlanksAs val="gap"/>
    <c:showDLblsOverMax val="0"/>
  </c:chart>
  <c:printSettings>
    <c:headerFooter/>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24-40m'!$F$76</c:f>
          <c:strCache>
            <c:ptCount val="1"/>
            <c:pt idx="0">
              <c:v>Top 5 landed species by value in 2017
Area VIIBCDEFGHK 24-40m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'Area VIIb-k trawlers 24-40m'!$G$77:$G$82</c:f>
              <c:strCache>
                <c:ptCount val="6"/>
                <c:pt idx="0">
                  <c:v>Anglerfish - 43.7%</c:v>
                </c:pt>
                <c:pt idx="1">
                  <c:v>Megrim - 31.1%</c:v>
                </c:pt>
                <c:pt idx="2">
                  <c:v>Nephrops - 7.8%</c:v>
                </c:pt>
                <c:pt idx="3">
                  <c:v>Hake - 4.7%</c:v>
                </c:pt>
                <c:pt idx="4">
                  <c:v>Witch - 2.7%</c:v>
                </c:pt>
                <c:pt idx="5">
                  <c:v>Others - 9.9%</c:v>
                </c:pt>
              </c:strCache>
            </c:strRef>
          </c:cat>
          <c:val>
            <c:numRef>
              <c:f>'Area VIIb-k trawlers 24-40m'!$H$77:$H$82</c:f>
              <c:numCache>
                <c:formatCode>0.0%</c:formatCode>
                <c:ptCount val="6"/>
                <c:pt idx="0">
                  <c:v>0.43749402326564518</c:v>
                </c:pt>
                <c:pt idx="1">
                  <c:v>0.31123016507613932</c:v>
                </c:pt>
                <c:pt idx="2">
                  <c:v>7.8486778806545462E-2</c:v>
                </c:pt>
                <c:pt idx="3">
                  <c:v>4.7451126234088238E-2</c:v>
                </c:pt>
                <c:pt idx="4">
                  <c:v>2.658338666484172E-2</c:v>
                </c:pt>
                <c:pt idx="5">
                  <c:v>9.8754519952740094E-2</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layout/>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VIIb-k trawlers 24-40m'!$C$92</c:f>
              <c:strCache>
                <c:ptCount val="1"/>
                <c:pt idx="0">
                  <c:v>Anglerfish</c:v>
                </c:pt>
              </c:strCache>
            </c:strRef>
          </c:tx>
          <c:spPr>
            <a:solidFill>
              <a:srgbClr val="2273B9"/>
            </a:solidFill>
            <a:ln>
              <a:solidFill>
                <a:srgbClr val="FFFFFF"/>
              </a:solidFill>
            </a:ln>
          </c:spPr>
          <c:invertIfNegative val="0"/>
          <c:cat>
            <c:numRef>
              <c:f>'Area VIIb-k trawlers 24-40m'!$D$91:$M$91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24-40m'!$D$92:$M$92</c:f>
              <c:numCache>
                <c:formatCode>0%</c:formatCode>
                <c:ptCount val="10"/>
                <c:pt idx="0">
                  <c:v>0.30943516936926435</c:v>
                </c:pt>
                <c:pt idx="1">
                  <c:v>0.31573627255070941</c:v>
                </c:pt>
                <c:pt idx="2">
                  <c:v>0.30431647570538156</c:v>
                </c:pt>
                <c:pt idx="3">
                  <c:v>0.30022325579153103</c:v>
                </c:pt>
                <c:pt idx="4">
                  <c:v>0.40593822606860597</c:v>
                </c:pt>
                <c:pt idx="5">
                  <c:v>0.40701506377959568</c:v>
                </c:pt>
                <c:pt idx="6">
                  <c:v>0.38506751811489454</c:v>
                </c:pt>
                <c:pt idx="7">
                  <c:v>0.45823946110685815</c:v>
                </c:pt>
                <c:pt idx="8">
                  <c:v>0.43749402326564518</c:v>
                </c:pt>
                <c:pt idx="9">
                  <c:v>0.46997026641005601</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'Area VIIb-k trawlers 24-40m'!$C$93</c:f>
              <c:strCache>
                <c:ptCount val="1"/>
                <c:pt idx="0">
                  <c:v>Megrim</c:v>
                </c:pt>
              </c:strCache>
            </c:strRef>
          </c:tx>
          <c:spPr>
            <a:solidFill>
              <a:srgbClr val="E87308"/>
            </a:solidFill>
            <a:ln>
              <a:solidFill>
                <a:srgbClr val="FFFFFF"/>
              </a:solidFill>
            </a:ln>
          </c:spPr>
          <c:invertIfNegative val="0"/>
          <c:cat>
            <c:numRef>
              <c:f>'Area VIIb-k trawlers 24-40m'!$D$91:$M$91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24-40m'!$D$93:$M$93</c:f>
              <c:numCache>
                <c:formatCode>0%</c:formatCode>
                <c:ptCount val="10"/>
                <c:pt idx="0">
                  <c:v>0.30250515020562324</c:v>
                </c:pt>
                <c:pt idx="1">
                  <c:v>0.26514155856211619</c:v>
                </c:pt>
                <c:pt idx="2">
                  <c:v>0.26721863897459691</c:v>
                </c:pt>
                <c:pt idx="3">
                  <c:v>0.24647905541468038</c:v>
                </c:pt>
                <c:pt idx="4">
                  <c:v>0.32182614785795</c:v>
                </c:pt>
                <c:pt idx="5">
                  <c:v>0.32545855941152041</c:v>
                </c:pt>
                <c:pt idx="6">
                  <c:v>0.30892385848014436</c:v>
                </c:pt>
                <c:pt idx="7">
                  <c:v>0.33941883631047026</c:v>
                </c:pt>
                <c:pt idx="8">
                  <c:v>0.31123016507613932</c:v>
                </c:pt>
                <c:pt idx="9">
                  <c:v>0.28539325774580832</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'Area VIIb-k trawlers 24-40m'!$C$94</c:f>
              <c:strCache>
                <c:ptCount val="1"/>
                <c:pt idx="0">
                  <c:v>Nephrops</c:v>
                </c:pt>
              </c:strCache>
            </c:strRef>
          </c:tx>
          <c:spPr>
            <a:solidFill>
              <a:srgbClr val="648C2E"/>
            </a:solidFill>
            <a:ln>
              <a:solidFill>
                <a:srgbClr val="FFFFFF"/>
              </a:solidFill>
            </a:ln>
          </c:spPr>
          <c:invertIfNegative val="0"/>
          <c:cat>
            <c:numRef>
              <c:f>'Area VIIb-k trawlers 24-40m'!$D$91:$M$91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24-40m'!$D$94:$M$94</c:f>
              <c:numCache>
                <c:formatCode>0%</c:formatCode>
                <c:ptCount val="10"/>
                <c:pt idx="7">
                  <c:v>3.6085591352397257E-2</c:v>
                </c:pt>
                <c:pt idx="8">
                  <c:v>7.8486778806545462E-2</c:v>
                </c:pt>
                <c:pt idx="9">
                  <c:v>7.3146198620946637E-2</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'Area VIIb-k trawlers 24-40m'!$C$95</c:f>
              <c:strCache>
                <c:ptCount val="1"/>
                <c:pt idx="0">
                  <c:v>Hake</c:v>
                </c:pt>
              </c:strCache>
            </c:strRef>
          </c:tx>
          <c:spPr>
            <a:solidFill>
              <a:srgbClr val="C1D119"/>
            </a:solidFill>
            <a:ln>
              <a:solidFill>
                <a:srgbClr val="FFFFFF"/>
              </a:solidFill>
            </a:ln>
          </c:spPr>
          <c:invertIfNegative val="0"/>
          <c:cat>
            <c:numRef>
              <c:f>'Area VIIb-k trawlers 24-40m'!$D$91:$M$91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24-40m'!$D$95:$M$95</c:f>
              <c:numCache>
                <c:formatCode>0%</c:formatCode>
                <c:ptCount val="10"/>
                <c:pt idx="0">
                  <c:v>8.2759771458823475E-2</c:v>
                </c:pt>
                <c:pt idx="1">
                  <c:v>4.5650539255286768E-2</c:v>
                </c:pt>
                <c:pt idx="2">
                  <c:v>4.8673338029959878E-2</c:v>
                </c:pt>
                <c:pt idx="4">
                  <c:v>3.2360640184445184E-2</c:v>
                </c:pt>
                <c:pt idx="5">
                  <c:v>4.1481225663011344E-2</c:v>
                </c:pt>
                <c:pt idx="6">
                  <c:v>4.9009991365753493E-2</c:v>
                </c:pt>
                <c:pt idx="7">
                  <c:v>4.9711217944211454E-2</c:v>
                </c:pt>
                <c:pt idx="8">
                  <c:v>4.7451126234088238E-2</c:v>
                </c:pt>
                <c:pt idx="9">
                  <c:v>3.4707045758487431E-2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'Area VIIb-k trawlers 24-40m'!$C$96</c:f>
              <c:strCache>
                <c:ptCount val="1"/>
                <c:pt idx="0">
                  <c:v>Witch</c:v>
                </c:pt>
              </c:strCache>
            </c:strRef>
          </c:tx>
          <c:spPr>
            <a:solidFill>
              <a:srgbClr val="E84A38"/>
            </a:solidFill>
            <a:ln>
              <a:solidFill>
                <a:srgbClr val="FFFFFF"/>
              </a:solidFill>
            </a:ln>
          </c:spPr>
          <c:invertIfNegative val="0"/>
          <c:cat>
            <c:numRef>
              <c:f>'Area VIIb-k trawlers 24-40m'!$D$91:$M$91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24-40m'!$D$96:$M$96</c:f>
              <c:numCache>
                <c:formatCode>0%</c:formatCode>
                <c:ptCount val="10"/>
                <c:pt idx="0">
                  <c:v>3.73705963862953E-2</c:v>
                </c:pt>
                <c:pt idx="3">
                  <c:v>4.0314657856668643E-2</c:v>
                </c:pt>
                <c:pt idx="7">
                  <c:v>3.3873146624952548E-2</c:v>
                </c:pt>
                <c:pt idx="8">
                  <c:v>2.658338666484172E-2</c:v>
                </c:pt>
                <c:pt idx="9">
                  <c:v>3.3012934359169806E-2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'Area VIIb-k trawlers 24-40m'!$C$97</c:f>
              <c:strCache>
                <c:ptCount val="1"/>
                <c:pt idx="0">
                  <c:v>Squid</c:v>
                </c:pt>
              </c:strCache>
            </c:strRef>
          </c:tx>
          <c:spPr>
            <a:solidFill>
              <a:srgbClr val="0F9AA9"/>
            </a:solidFill>
            <a:ln>
              <a:solidFill>
                <a:srgbClr val="FFFFFF"/>
              </a:solidFill>
            </a:ln>
          </c:spPr>
          <c:invertIfNegative val="0"/>
          <c:cat>
            <c:numRef>
              <c:f>'Area VIIb-k trawlers 24-40m'!$D$91:$M$91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24-40m'!$D$97:$M$97</c:f>
              <c:numCache>
                <c:formatCode>0%</c:formatCode>
                <c:ptCount val="10"/>
                <c:pt idx="3">
                  <c:v>4.9442960271591438E-2</c:v>
                </c:pt>
                <c:pt idx="4">
                  <c:v>3.812046288115542E-2</c:v>
                </c:pt>
                <c:pt idx="5">
                  <c:v>4.0309536607420322E-2</c:v>
                </c:pt>
                <c:pt idx="6">
                  <c:v>3.6188919291715992E-2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'Area VIIb-k trawlers 24-40m'!$C$98</c:f>
              <c:strCache>
                <c:ptCount val="1"/>
                <c:pt idx="0">
                  <c:v>Plaice</c:v>
                </c:pt>
              </c:strCache>
            </c:strRef>
          </c:tx>
          <c:spPr>
            <a:solidFill>
              <a:srgbClr val="FED825"/>
            </a:solidFill>
            <a:ln>
              <a:solidFill>
                <a:srgbClr val="FFFFFF"/>
              </a:solidFill>
            </a:ln>
          </c:spPr>
          <c:invertIfNegative val="0"/>
          <c:cat>
            <c:numRef>
              <c:f>'Area VIIb-k trawlers 24-40m'!$D$91:$M$91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24-40m'!$D$98:$M$98</c:f>
              <c:numCache>
                <c:formatCode>0%</c:formatCode>
                <c:ptCount val="10"/>
                <c:pt idx="2">
                  <c:v>7.9026297668420092E-2</c:v>
                </c:pt>
                <c:pt idx="3">
                  <c:v>6.7341048616974528E-2</c:v>
                </c:pt>
                <c:pt idx="6">
                  <c:v>3.0294966055495028E-2</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'Area VIIb-k trawlers 24-40m'!$C$99</c:f>
              <c:strCache>
                <c:ptCount val="1"/>
                <c:pt idx="0">
                  <c:v>Haddock</c:v>
                </c:pt>
              </c:strCache>
            </c:strRef>
          </c:tx>
          <c:spPr>
            <a:solidFill>
              <a:srgbClr val="707271"/>
            </a:solidFill>
            <a:ln>
              <a:solidFill>
                <a:srgbClr val="FFFFFF"/>
              </a:solidFill>
            </a:ln>
          </c:spPr>
          <c:invertIfNegative val="0"/>
          <c:cat>
            <c:numRef>
              <c:f>'Area VIIb-k trawlers 24-40m'!$D$91:$M$91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24-40m'!$D$99:$M$99</c:f>
              <c:numCache>
                <c:formatCode>0%</c:formatCode>
                <c:ptCount val="10"/>
                <c:pt idx="4">
                  <c:v>5.4719395542305933E-2</c:v>
                </c:pt>
                <c:pt idx="5">
                  <c:v>2.2554224177519389E-2</c:v>
                </c:pt>
              </c:numCache>
            </c:numRef>
          </c:val>
          <c:extLst xmlns:c16r2="http://schemas.microsoft.com/office/drawing/2015/06/chart">
            <c:ext xmlns:c16="http://schemas.microsoft.com/office/drawing/2014/chart" uri="{C3380CC4-5D6E-409C-BE32-E72D297353CC}">
              <c16:uniqueId val="{00000007-282A-42F3-A8CE-7B6B063B5E4F}"/>
            </c:ext>
          </c:extLst>
        </c:ser>
        <c:ser>
          <c:idx val="8"/>
          <c:order val="8"/>
          <c:tx>
            <c:strRef>
              <c:f>'Area VIIb-k trawlers 24-40m'!$C$100</c:f>
              <c:strCache>
                <c:ptCount val="1"/>
                <c:pt idx="0">
                  <c:v>Red Mullet</c:v>
                </c:pt>
              </c:strCache>
            </c:strRef>
          </c:tx>
          <c:spPr>
            <a:solidFill>
              <a:srgbClr val="51AA81"/>
            </a:solidFill>
            <a:ln>
              <a:solidFill>
                <a:srgbClr val="FFFFFF"/>
              </a:solidFill>
            </a:ln>
          </c:spPr>
          <c:invertIfNegative val="0"/>
          <c:cat>
            <c:numRef>
              <c:f>'Area VIIb-k trawlers 24-40m'!$D$91:$M$91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24-40m'!$D$100:$M$100</c:f>
              <c:numCache>
                <c:formatCode>0%</c:formatCode>
                <c:ptCount val="10"/>
                <c:pt idx="0">
                  <c:v>4.3032328149581259E-2</c:v>
                </c:pt>
                <c:pt idx="1">
                  <c:v>5.7547139099962043E-2</c:v>
                </c:pt>
                <c:pt idx="2">
                  <c:v>4.2090338581294025E-2</c:v>
                </c:pt>
              </c:numCache>
            </c:numRef>
          </c:val>
          <c:extLst xmlns:c16r2="http://schemas.microsoft.com/office/drawing/2015/06/chart">
            <c:ext xmlns:c16="http://schemas.microsoft.com/office/drawing/2014/chart" uri="{C3380CC4-5D6E-409C-BE32-E72D297353CC}">
              <c16:uniqueId val="{00000008-282A-42F3-A8CE-7B6B063B5E4F}"/>
            </c:ext>
          </c:extLst>
        </c:ser>
        <c:ser>
          <c:idx val="9"/>
          <c:order val="9"/>
          <c:tx>
            <c:strRef>
              <c:f>'Area VIIb-k trawlers 24-40m'!$C$101</c:f>
              <c:strCache>
                <c:ptCount val="1"/>
                <c:pt idx="0">
                  <c:v>John Dory</c:v>
                </c:pt>
              </c:strCache>
            </c:strRef>
          </c:tx>
          <c:spPr>
            <a:solidFill>
              <a:srgbClr val="169FDB"/>
            </a:solidFill>
            <a:ln>
              <a:solidFill>
                <a:srgbClr val="FFFFFF"/>
              </a:solidFill>
            </a:ln>
          </c:spPr>
          <c:invertIfNegative val="0"/>
          <c:cat>
            <c:numRef>
              <c:f>'Area VIIb-k trawlers 24-40m'!$D$91:$M$91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24-40m'!$D$101:$M$101</c:f>
              <c:numCache>
                <c:formatCode>0%</c:formatCode>
                <c:ptCount val="10"/>
                <c:pt idx="1">
                  <c:v>4.0916724428403099E-2</c:v>
                </c:pt>
              </c:numCache>
            </c:numRef>
          </c:val>
          <c:extLst xmlns:c16r2="http://schemas.microsoft.com/office/drawing/2015/06/chart">
            <c:ext xmlns:c16="http://schemas.microsoft.com/office/drawing/2014/chart" uri="{C3380CC4-5D6E-409C-BE32-E72D297353CC}">
              <c16:uniqueId val="{00000009-282A-42F3-A8CE-7B6B063B5E4F}"/>
            </c:ext>
          </c:extLst>
        </c:ser>
        <c:ser>
          <c:idx val="10"/>
          <c:order val="10"/>
          <c:tx>
            <c:strRef>
              <c:f>'Area VIIb-k trawlers 24-40m'!$C$102</c:f>
              <c:strCache>
                <c:ptCount val="1"/>
                <c:pt idx="0">
                  <c:v>Others</c:v>
                </c:pt>
              </c:strCache>
            </c:strRef>
          </c:tx>
          <c:spPr>
            <a:solidFill>
              <a:srgbClr val="55585A"/>
            </a:solidFill>
            <a:ln>
              <a:solidFill>
                <a:srgbClr val="FFFFFF"/>
              </a:solidFill>
            </a:ln>
          </c:spPr>
          <c:invertIfNegative val="0"/>
          <c:cat>
            <c:numRef>
              <c:f>'Area VIIb-k trawlers 24-40m'!$D$91:$M$91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24-40m'!$D$102:$M$102</c:f>
              <c:numCache>
                <c:formatCode>0%</c:formatCode>
                <c:ptCount val="10"/>
                <c:pt idx="0">
                  <c:v>0.22489698443041237</c:v>
                </c:pt>
                <c:pt idx="1">
                  <c:v>0.27500776610352251</c:v>
                </c:pt>
                <c:pt idx="2">
                  <c:v>0.25867491104034751</c:v>
                </c:pt>
                <c:pt idx="3">
                  <c:v>0.29619902204855397</c:v>
                </c:pt>
                <c:pt idx="4">
                  <c:v>0.14703512746553749</c:v>
                </c:pt>
                <c:pt idx="5">
                  <c:v>0.16318139036093285</c:v>
                </c:pt>
                <c:pt idx="6">
                  <c:v>0.19051474669199658</c:v>
                </c:pt>
                <c:pt idx="7">
                  <c:v>8.2671746661110365E-2</c:v>
                </c:pt>
                <c:pt idx="8">
                  <c:v>9.875451995274008E-2</c:v>
                </c:pt>
                <c:pt idx="9">
                  <c:v>0.10377029710553182</c:v>
                </c:pt>
              </c:numCache>
            </c:numRef>
          </c:val>
          <c:extLst xmlns:c16r2="http://schemas.microsoft.com/office/drawing/2015/06/chart">
            <c:ext xmlns:c16="http://schemas.microsoft.com/office/drawing/2014/chart" uri="{C3380CC4-5D6E-409C-BE32-E72D297353CC}">
              <c16:uniqueId val="{0000000A-282A-42F3-A8CE-7B6B063B5E4F}"/>
            </c:ext>
          </c:extLst>
        </c:ser>
        <c:dLbls>
          <c:showLegendKey val="0"/>
          <c:showVal val="0"/>
          <c:showCatName val="0"/>
          <c:showSerName val="0"/>
          <c:showPercent val="0"/>
          <c:showBubbleSize val="0"/>
        </c:dLbls>
        <c:gapWidth val="150"/>
        <c:overlap val="100"/>
        <c:axId val="708553728"/>
        <c:axId val="708567808"/>
      </c:barChart>
      <c:catAx>
        <c:axId val="708553728"/>
        <c:scaling>
          <c:orientation val="minMax"/>
        </c:scaling>
        <c:delete val="0"/>
        <c:axPos val="b"/>
        <c:numFmt formatCode="General" sourceLinked="1"/>
        <c:majorTickMark val="out"/>
        <c:minorTickMark val="none"/>
        <c:tickLblPos val="nextTo"/>
        <c:crossAx val="708567808"/>
        <c:crosses val="autoZero"/>
        <c:auto val="1"/>
        <c:lblAlgn val="ctr"/>
        <c:lblOffset val="100"/>
        <c:noMultiLvlLbl val="0"/>
      </c:catAx>
      <c:valAx>
        <c:axId val="708567808"/>
        <c:scaling>
          <c:orientation val="minMax"/>
          <c:max val="1"/>
          <c:min val="0"/>
        </c:scaling>
        <c:delete val="0"/>
        <c:axPos val="l"/>
        <c:majorGridlines/>
        <c:numFmt formatCode="0%" sourceLinked="1"/>
        <c:majorTickMark val="out"/>
        <c:minorTickMark val="none"/>
        <c:tickLblPos val="nextTo"/>
        <c:crossAx val="708553728"/>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10-24m'!$A$48</c:f>
          <c:strCache>
            <c:ptCount val="1"/>
            <c:pt idx="0">
              <c:v>Landings per kW day at sea (kg)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'Area VIIb-k trawlers 10-24m'!$D$2:$N$2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VIIb-k trawlers 10-24m'!$D$21:$N$21</c:f>
              <c:numCache>
                <c:formatCode>#,##0.00</c:formatCode>
                <c:ptCount val="11"/>
                <c:pt idx="0">
                  <c:v>3.7987568453234051</c:v>
                </c:pt>
                <c:pt idx="1">
                  <c:v>3.5623307147888714</c:v>
                </c:pt>
                <c:pt idx="2">
                  <c:v>4.6261995502140412</c:v>
                </c:pt>
                <c:pt idx="3">
                  <c:v>4.4979952140553889</c:v>
                </c:pt>
                <c:pt idx="4">
                  <c:v>5.399652033029704</c:v>
                </c:pt>
                <c:pt idx="5">
                  <c:v>4.8627880970355344</c:v>
                </c:pt>
                <c:pt idx="6">
                  <c:v>4.6352351020909133</c:v>
                </c:pt>
                <c:pt idx="7">
                  <c:v>4.1546736667718207</c:v>
                </c:pt>
                <c:pt idx="8">
                  <c:v>4.1247542620845525</c:v>
                </c:pt>
                <c:pt idx="9">
                  <c:v>4.1677244885900446</c:v>
                </c:pt>
                <c:pt idx="10">
                  <c:v>3.6173686978507131</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708878720"/>
        <c:axId val="708880256"/>
      </c:lineChart>
      <c:catAx>
        <c:axId val="708878720"/>
        <c:scaling>
          <c:orientation val="minMax"/>
        </c:scaling>
        <c:delete val="0"/>
        <c:axPos val="b"/>
        <c:numFmt formatCode="General" sourceLinked="1"/>
        <c:majorTickMark val="out"/>
        <c:minorTickMark val="none"/>
        <c:tickLblPos val="nextTo"/>
        <c:crossAx val="708880256"/>
        <c:crosses val="autoZero"/>
        <c:auto val="1"/>
        <c:lblAlgn val="ctr"/>
        <c:lblOffset val="100"/>
        <c:noMultiLvlLbl val="0"/>
      </c:catAx>
      <c:valAx>
        <c:axId val="708880256"/>
        <c:scaling>
          <c:orientation val="minMax"/>
        </c:scaling>
        <c:delete val="0"/>
        <c:axPos val="l"/>
        <c:majorGridlines>
          <c:spPr>
            <a:ln w="3175">
              <a:prstDash val="sysDot"/>
            </a:ln>
          </c:spPr>
        </c:majorGridlines>
        <c:numFmt formatCode="#,##0.00" sourceLinked="1"/>
        <c:majorTickMark val="out"/>
        <c:minorTickMark val="none"/>
        <c:tickLblPos val="nextTo"/>
        <c:crossAx val="708878720"/>
        <c:crosses val="autoZero"/>
        <c:crossBetween val="between"/>
      </c:valAx>
    </c:plotArea>
    <c:plotVisOnly val="0"/>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10-24m'!$A$49</c:f>
          <c:strCache>
            <c:ptCount val="1"/>
            <c:pt idx="0">
              <c:v>Fishing income per kW day at sea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'Area VIIb-k trawlers 10-24m'!$D$2:$N$2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VIIb-k trawlers 10-24m'!$D$22:$N$22</c:f>
              <c:numCache>
                <c:formatCode>#,##0.00</c:formatCode>
                <c:ptCount val="11"/>
                <c:pt idx="0">
                  <c:v>5.4541058796141604</c:v>
                </c:pt>
                <c:pt idx="1">
                  <c:v>5.6022863528060904</c:v>
                </c:pt>
                <c:pt idx="2">
                  <c:v>6.62731084638681</c:v>
                </c:pt>
                <c:pt idx="3">
                  <c:v>7.6376280572018196</c:v>
                </c:pt>
                <c:pt idx="4">
                  <c:v>7.8915775051747401</c:v>
                </c:pt>
                <c:pt idx="5">
                  <c:v>7.6413434406707204</c:v>
                </c:pt>
                <c:pt idx="6">
                  <c:v>7.6941308204574002</c:v>
                </c:pt>
                <c:pt idx="7">
                  <c:v>7.1790564011953704</c:v>
                </c:pt>
                <c:pt idx="8">
                  <c:v>7.0582341466340601</c:v>
                </c:pt>
                <c:pt idx="9">
                  <c:v>8.0906947724318297</c:v>
                </c:pt>
                <c:pt idx="10">
                  <c:v>6.0844724919549966</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708902272"/>
        <c:axId val="708772992"/>
      </c:lineChart>
      <c:catAx>
        <c:axId val="708902272"/>
        <c:scaling>
          <c:orientation val="minMax"/>
        </c:scaling>
        <c:delete val="0"/>
        <c:axPos val="b"/>
        <c:numFmt formatCode="General" sourceLinked="1"/>
        <c:majorTickMark val="out"/>
        <c:minorTickMark val="none"/>
        <c:tickLblPos val="nextTo"/>
        <c:crossAx val="708772992"/>
        <c:crosses val="autoZero"/>
        <c:auto val="1"/>
        <c:lblAlgn val="ctr"/>
        <c:lblOffset val="100"/>
        <c:noMultiLvlLbl val="0"/>
      </c:catAx>
      <c:valAx>
        <c:axId val="708772992"/>
        <c:scaling>
          <c:orientation val="minMax"/>
        </c:scaling>
        <c:delete val="0"/>
        <c:axPos val="l"/>
        <c:majorGridlines>
          <c:spPr>
            <a:ln w="3175">
              <a:prstDash val="sysDot"/>
            </a:ln>
          </c:spPr>
        </c:majorGridlines>
        <c:numFmt formatCode="#,##0.00" sourceLinked="1"/>
        <c:majorTickMark val="out"/>
        <c:minorTickMark val="none"/>
        <c:tickLblPos val="nextTo"/>
        <c:crossAx val="708902272"/>
        <c:crosses val="autoZero"/>
        <c:crossBetween val="between"/>
      </c:valAx>
    </c:plotArea>
    <c:plotVisOnly val="0"/>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10-24m'!$B$62</c:f>
          <c:strCache>
            <c:ptCount val="1"/>
            <c:pt idx="0">
              <c:v>Total cost per kW day at sea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'Area VIIb-k trawlers 10-24m'!$D$2:$N$2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VIIb-k trawlers 10-24m'!$D$23:$N$23</c:f>
              <c:numCache>
                <c:formatCode>#,##0.00</c:formatCode>
                <c:ptCount val="11"/>
                <c:pt idx="0">
                  <c:v>4.5228572395728603</c:v>
                </c:pt>
                <c:pt idx="1">
                  <c:v>4.5794466131956399</c:v>
                </c:pt>
                <c:pt idx="2">
                  <c:v>5.3107729181069203</c:v>
                </c:pt>
                <c:pt idx="3">
                  <c:v>7.3203784334918103</c:v>
                </c:pt>
                <c:pt idx="4">
                  <c:v>6.70268705736403</c:v>
                </c:pt>
                <c:pt idx="5">
                  <c:v>6.4418411318998299</c:v>
                </c:pt>
                <c:pt idx="6">
                  <c:v>5.9408585949550696</c:v>
                </c:pt>
                <c:pt idx="7">
                  <c:v>5.7824259383264396</c:v>
                </c:pt>
                <c:pt idx="8">
                  <c:v>4.8383393247536297</c:v>
                </c:pt>
                <c:pt idx="9">
                  <c:v>5.4497041574367699</c:v>
                </c:pt>
                <c:pt idx="10">
                  <c:v>4.3451850389129083</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708811392"/>
        <c:axId val="708817280"/>
      </c:lineChart>
      <c:catAx>
        <c:axId val="708811392"/>
        <c:scaling>
          <c:orientation val="minMax"/>
        </c:scaling>
        <c:delete val="0"/>
        <c:axPos val="b"/>
        <c:numFmt formatCode="General" sourceLinked="1"/>
        <c:majorTickMark val="out"/>
        <c:minorTickMark val="none"/>
        <c:tickLblPos val="nextTo"/>
        <c:crossAx val="708817280"/>
        <c:crosses val="autoZero"/>
        <c:auto val="1"/>
        <c:lblAlgn val="ctr"/>
        <c:lblOffset val="100"/>
        <c:noMultiLvlLbl val="0"/>
      </c:catAx>
      <c:valAx>
        <c:axId val="708817280"/>
        <c:scaling>
          <c:orientation val="minMax"/>
        </c:scaling>
        <c:delete val="0"/>
        <c:axPos val="l"/>
        <c:majorGridlines>
          <c:spPr>
            <a:ln w="3175">
              <a:prstDash val="sysDot"/>
            </a:ln>
          </c:spPr>
        </c:majorGridlines>
        <c:numFmt formatCode="#,##0.00" sourceLinked="1"/>
        <c:majorTickMark val="out"/>
        <c:minorTickMark val="none"/>
        <c:tickLblPos val="nextTo"/>
        <c:crossAx val="708811392"/>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10-24m'!$K$48</c:f>
          <c:strCache>
            <c:ptCount val="1"/>
            <c:pt idx="0">
              <c:v>Operating profit per kW day at sea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'Area VIIb-k trawlers 10-24m'!$D$2:$N$2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VIIb-k trawlers 10-24m'!$D$24:$N$24</c:f>
              <c:numCache>
                <c:formatCode>#,##0.00</c:formatCode>
                <c:ptCount val="11"/>
                <c:pt idx="0">
                  <c:v>0.97798721361684904</c:v>
                </c:pt>
                <c:pt idx="1">
                  <c:v>1.0551148935675301</c:v>
                </c:pt>
                <c:pt idx="2">
                  <c:v>1.5611150793872099</c:v>
                </c:pt>
                <c:pt idx="3">
                  <c:v>0.31724962371000898</c:v>
                </c:pt>
                <c:pt idx="4">
                  <c:v>1.55195685712273</c:v>
                </c:pt>
                <c:pt idx="5">
                  <c:v>1.29024827971095</c:v>
                </c:pt>
                <c:pt idx="6">
                  <c:v>1.8266665293044499</c:v>
                </c:pt>
                <c:pt idx="7">
                  <c:v>1.6001630793358399</c:v>
                </c:pt>
                <c:pt idx="8">
                  <c:v>2.3330036383028299</c:v>
                </c:pt>
                <c:pt idx="9">
                  <c:v>2.7920791472598898</c:v>
                </c:pt>
                <c:pt idx="10">
                  <c:v>1.8529110764755607</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708908928"/>
        <c:axId val="708910464"/>
      </c:lineChart>
      <c:catAx>
        <c:axId val="708908928"/>
        <c:scaling>
          <c:orientation val="minMax"/>
        </c:scaling>
        <c:delete val="0"/>
        <c:axPos val="b"/>
        <c:numFmt formatCode="General" sourceLinked="1"/>
        <c:majorTickMark val="out"/>
        <c:minorTickMark val="none"/>
        <c:tickLblPos val="nextTo"/>
        <c:crossAx val="708910464"/>
        <c:crosses val="autoZero"/>
        <c:auto val="1"/>
        <c:lblAlgn val="ctr"/>
        <c:lblOffset val="100"/>
        <c:noMultiLvlLbl val="0"/>
      </c:catAx>
      <c:valAx>
        <c:axId val="708910464"/>
        <c:scaling>
          <c:orientation val="minMax"/>
        </c:scaling>
        <c:delete val="0"/>
        <c:axPos val="l"/>
        <c:majorGridlines>
          <c:spPr>
            <a:ln w="3175">
              <a:prstDash val="sysDot"/>
            </a:ln>
          </c:spPr>
        </c:majorGridlines>
        <c:numFmt formatCode="#,##0.00" sourceLinked="1"/>
        <c:majorTickMark val="out"/>
        <c:minorTickMark val="none"/>
        <c:tickLblPos val="nextTo"/>
        <c:crossAx val="708908928"/>
        <c:crosses val="autoZero"/>
        <c:crossBetween val="between"/>
      </c:valAx>
    </c:plotArea>
    <c:plotVisOnly val="0"/>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10-24m'!$A$50</c:f>
          <c:strCache>
            <c:ptCount val="1"/>
            <c:pt idx="0">
              <c:v>Average price per tonne landed (£)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'Area VIIb-k trawlers 10-24m'!$D$2:$N$2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VIIb-k trawlers 10-24m'!$D$20:$N$20</c:f>
              <c:numCache>
                <c:formatCode>#,##0</c:formatCode>
                <c:ptCount val="11"/>
                <c:pt idx="0">
                  <c:v>1436</c:v>
                </c:pt>
                <c:pt idx="1">
                  <c:v>1573</c:v>
                </c:pt>
                <c:pt idx="2">
                  <c:v>1433</c:v>
                </c:pt>
                <c:pt idx="3">
                  <c:v>1698</c:v>
                </c:pt>
                <c:pt idx="4">
                  <c:v>1461</c:v>
                </c:pt>
                <c:pt idx="5">
                  <c:v>1571</c:v>
                </c:pt>
                <c:pt idx="6">
                  <c:v>1660</c:v>
                </c:pt>
                <c:pt idx="7">
                  <c:v>1728</c:v>
                </c:pt>
                <c:pt idx="8">
                  <c:v>1711</c:v>
                </c:pt>
                <c:pt idx="9">
                  <c:v>1941</c:v>
                </c:pt>
                <c:pt idx="10">
                  <c:v>1682</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708949120"/>
        <c:axId val="708950656"/>
      </c:lineChart>
      <c:catAx>
        <c:axId val="708949120"/>
        <c:scaling>
          <c:orientation val="minMax"/>
        </c:scaling>
        <c:delete val="0"/>
        <c:axPos val="b"/>
        <c:numFmt formatCode="General" sourceLinked="1"/>
        <c:majorTickMark val="out"/>
        <c:minorTickMark val="none"/>
        <c:tickLblPos val="nextTo"/>
        <c:crossAx val="708950656"/>
        <c:crosses val="autoZero"/>
        <c:auto val="1"/>
        <c:lblAlgn val="ctr"/>
        <c:lblOffset val="100"/>
        <c:noMultiLvlLbl val="0"/>
      </c:catAx>
      <c:valAx>
        <c:axId val="708950656"/>
        <c:scaling>
          <c:orientation val="minMax"/>
        </c:scaling>
        <c:delete val="0"/>
        <c:axPos val="l"/>
        <c:majorGridlines>
          <c:spPr>
            <a:ln w="3175">
              <a:prstDash val="sysDot"/>
            </a:ln>
          </c:spPr>
        </c:majorGridlines>
        <c:numFmt formatCode="#,##0" sourceLinked="1"/>
        <c:majorTickMark val="out"/>
        <c:minorTickMark val="none"/>
        <c:tickLblPos val="nextTo"/>
        <c:crossAx val="708949120"/>
        <c:crosses val="autoZero"/>
        <c:crossBetween val="between"/>
      </c:valAx>
    </c:plotArea>
    <c:plotVisOnly val="0"/>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10-24m'!$K$62</c:f>
          <c:strCache>
            <c:ptCount val="1"/>
            <c:pt idx="0">
              <c:v>Average annual operating profit per vessel (£'000)
Area VIIBCDEFGHK trawlers 10-24m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'Area VIIb-k trawlers 10-24m'!$D$2:$N$2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VIIb-k trawlers 10-24m'!$D$37:$N$37</c:f>
              <c:numCache>
                <c:formatCode>#,##0.0</c:formatCode>
                <c:ptCount val="11"/>
                <c:pt idx="0">
                  <c:v>30.2</c:v>
                </c:pt>
                <c:pt idx="1">
                  <c:v>36.9</c:v>
                </c:pt>
                <c:pt idx="2">
                  <c:v>55.8</c:v>
                </c:pt>
                <c:pt idx="3">
                  <c:v>10.8</c:v>
                </c:pt>
                <c:pt idx="4">
                  <c:v>53.4</c:v>
                </c:pt>
                <c:pt idx="5">
                  <c:v>43.5</c:v>
                </c:pt>
                <c:pt idx="6">
                  <c:v>60.3</c:v>
                </c:pt>
                <c:pt idx="7">
                  <c:v>49.5</c:v>
                </c:pt>
                <c:pt idx="8">
                  <c:v>86</c:v>
                </c:pt>
                <c:pt idx="9">
                  <c:v>92.6</c:v>
                </c:pt>
                <c:pt idx="10">
                  <c:v>59.1</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708981120"/>
        <c:axId val="708982656"/>
      </c:lineChart>
      <c:catAx>
        <c:axId val="708981120"/>
        <c:scaling>
          <c:orientation val="minMax"/>
        </c:scaling>
        <c:delete val="0"/>
        <c:axPos val="b"/>
        <c:numFmt formatCode="General" sourceLinked="1"/>
        <c:majorTickMark val="out"/>
        <c:minorTickMark val="none"/>
        <c:tickLblPos val="nextTo"/>
        <c:crossAx val="708982656"/>
        <c:crosses val="autoZero"/>
        <c:auto val="1"/>
        <c:lblAlgn val="ctr"/>
        <c:lblOffset val="100"/>
        <c:noMultiLvlLbl val="0"/>
      </c:catAx>
      <c:valAx>
        <c:axId val="708982656"/>
        <c:scaling>
          <c:orientation val="minMax"/>
        </c:scaling>
        <c:delete val="0"/>
        <c:axPos val="l"/>
        <c:majorGridlines>
          <c:spPr>
            <a:ln w="3175">
              <a:prstDash val="sysDot"/>
            </a:ln>
          </c:spPr>
        </c:majorGridlines>
        <c:numFmt formatCode="#,##0.0" sourceLinked="1"/>
        <c:majorTickMark val="out"/>
        <c:minorTickMark val="none"/>
        <c:tickLblPos val="nextTo"/>
        <c:crossAx val="708981120"/>
        <c:crosses val="autoZero"/>
        <c:crossBetween val="between"/>
      </c:valAx>
    </c:plotArea>
    <c:plotVisOnly val="0"/>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10-24m'!$A$76</c:f>
          <c:strCache>
            <c:ptCount val="1"/>
            <c:pt idx="0">
              <c:v>Top 5 landed species by volume in 2017
Area VIIBCDEFGHK trawlers 10-24m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0F9AA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E87308"/>
              </a:solidFill>
              <a:ln>
                <a:solidFill>
                  <a:srgbClr val="FFFFFF"/>
                </a:solidFill>
              </a:ln>
            </c:spPr>
          </c:dPt>
          <c:dPt>
            <c:idx val="3"/>
            <c:bubble3D val="0"/>
            <c:spPr>
              <a:solidFill>
                <a:srgbClr val="FED825"/>
              </a:solidFill>
              <a:ln>
                <a:solidFill>
                  <a:srgbClr val="FFFFFF"/>
                </a:solidFill>
              </a:ln>
            </c:spPr>
          </c:dPt>
          <c:dPt>
            <c:idx val="4"/>
            <c:bubble3D val="0"/>
            <c:spPr>
              <a:solidFill>
                <a:srgbClr val="707271"/>
              </a:solidFill>
              <a:ln>
                <a:solidFill>
                  <a:srgbClr val="FFFFFF"/>
                </a:solidFill>
              </a:ln>
            </c:spPr>
          </c:dPt>
          <c:dPt>
            <c:idx val="5"/>
            <c:bubble3D val="0"/>
            <c:spPr>
              <a:solidFill>
                <a:srgbClr val="55585A"/>
              </a:solidFill>
              <a:ln>
                <a:solidFill>
                  <a:srgbClr val="FFFFFF"/>
                </a:solidFill>
              </a:ln>
            </c:spPr>
          </c:dPt>
          <c:cat>
            <c:strRef>
              <c:f>'Area VIIb-k trawlers 10-24m'!$B$77:$B$82</c:f>
              <c:strCache>
                <c:ptCount val="6"/>
                <c:pt idx="0">
                  <c:v>Sprats - 28.7%</c:v>
                </c:pt>
                <c:pt idx="1">
                  <c:v>Cuttlefish - 18.9%</c:v>
                </c:pt>
                <c:pt idx="2">
                  <c:v>Lemon Sole - 4.7%</c:v>
                </c:pt>
                <c:pt idx="3">
                  <c:v>Whiting - 4.6%</c:v>
                </c:pt>
                <c:pt idx="4">
                  <c:v>Pilchards - 4.5%</c:v>
                </c:pt>
                <c:pt idx="5">
                  <c:v>Others - 38.6%</c:v>
                </c:pt>
              </c:strCache>
            </c:strRef>
          </c:cat>
          <c:val>
            <c:numRef>
              <c:f>'Area VIIb-k trawlers 10-24m'!$C$77:$C$82</c:f>
              <c:numCache>
                <c:formatCode>0.0%</c:formatCode>
                <c:ptCount val="6"/>
                <c:pt idx="0">
                  <c:v>0.28652875704653508</c:v>
                </c:pt>
                <c:pt idx="1">
                  <c:v>0.18911627137712075</c:v>
                </c:pt>
                <c:pt idx="2">
                  <c:v>4.6837958803223029E-2</c:v>
                </c:pt>
                <c:pt idx="3">
                  <c:v>4.6204292021274442E-2</c:v>
                </c:pt>
                <c:pt idx="4">
                  <c:v>4.513198549069837E-2</c:v>
                </c:pt>
                <c:pt idx="5">
                  <c:v>0.38618073526114827</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trawl'!$A$50</c:f>
          <c:strCache>
            <c:ptCount val="1"/>
            <c:pt idx="0">
              <c:v>Average price per tonne landed (£)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'Area VIIa demersal trawl'!$D$2:$N$2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demersal trawl'!$D$20:$N$20</c:f>
              <c:numCache>
                <c:formatCode>#,##0</c:formatCode>
                <c:ptCount val="11"/>
                <c:pt idx="0">
                  <c:v>2115</c:v>
                </c:pt>
                <c:pt idx="1">
                  <c:v>1660</c:v>
                </c:pt>
                <c:pt idx="2">
                  <c:v>1402</c:v>
                </c:pt>
                <c:pt idx="3">
                  <c:v>1666</c:v>
                </c:pt>
                <c:pt idx="4">
                  <c:v>855</c:v>
                </c:pt>
                <c:pt idx="5">
                  <c:v>1294</c:v>
                </c:pt>
                <c:pt idx="6">
                  <c:v>1811</c:v>
                </c:pt>
                <c:pt idx="7">
                  <c:v>1634</c:v>
                </c:pt>
                <c:pt idx="8">
                  <c:v>2086</c:v>
                </c:pt>
                <c:pt idx="9">
                  <c:v>2119</c:v>
                </c:pt>
                <c:pt idx="10">
                  <c:v>1687</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615523072"/>
        <c:axId val="615524608"/>
      </c:lineChart>
      <c:catAx>
        <c:axId val="615523072"/>
        <c:scaling>
          <c:orientation val="minMax"/>
        </c:scaling>
        <c:delete val="0"/>
        <c:axPos val="b"/>
        <c:numFmt formatCode="General" sourceLinked="1"/>
        <c:majorTickMark val="out"/>
        <c:minorTickMark val="none"/>
        <c:tickLblPos val="nextTo"/>
        <c:crossAx val="615524608"/>
        <c:crosses val="autoZero"/>
        <c:auto val="1"/>
        <c:lblAlgn val="ctr"/>
        <c:lblOffset val="100"/>
        <c:noMultiLvlLbl val="0"/>
      </c:catAx>
      <c:valAx>
        <c:axId val="615524608"/>
        <c:scaling>
          <c:orientation val="minMax"/>
        </c:scaling>
        <c:delete val="0"/>
        <c:axPos val="l"/>
        <c:majorGridlines>
          <c:spPr>
            <a:ln w="3175">
              <a:prstDash val="sysDot"/>
            </a:ln>
          </c:spPr>
        </c:majorGridlines>
        <c:numFmt formatCode="#,##0" sourceLinked="1"/>
        <c:majorTickMark val="out"/>
        <c:minorTickMark val="none"/>
        <c:tickLblPos val="nextTo"/>
        <c:crossAx val="615523072"/>
        <c:crosses val="autoZero"/>
        <c:crossBetween val="between"/>
      </c:valAx>
    </c:plotArea>
    <c:plotVisOnly val="0"/>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VIIb-k trawlers 10-24m'!$F$76</c:f>
          <c:strCache>
            <c:ptCount val="1"/>
            <c:pt idx="0">
              <c:v>Top 5 landed species by value in 2017
Area VIIBCDEFGHK trawlers 10-24m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'Area VIIb-k trawlers 10-24m'!$G$77:$G$82</c:f>
              <c:strCache>
                <c:ptCount val="6"/>
                <c:pt idx="0">
                  <c:v>Cuttlefish - 35.6%</c:v>
                </c:pt>
                <c:pt idx="1">
                  <c:v>Lemon Sole - 12.2%</c:v>
                </c:pt>
                <c:pt idx="2">
                  <c:v>Squid - 7.3%</c:v>
                </c:pt>
                <c:pt idx="3">
                  <c:v>Anglerfish - 5.8%</c:v>
                </c:pt>
                <c:pt idx="4">
                  <c:v>John Dory - 4.0%</c:v>
                </c:pt>
                <c:pt idx="5">
                  <c:v>Others - 35.2%</c:v>
                </c:pt>
              </c:strCache>
            </c:strRef>
          </c:cat>
          <c:val>
            <c:numRef>
              <c:f>'Area VIIb-k trawlers 10-24m'!$H$77:$H$82</c:f>
              <c:numCache>
                <c:formatCode>0.0%</c:formatCode>
                <c:ptCount val="6"/>
                <c:pt idx="0">
                  <c:v>0.355821755538829</c:v>
                </c:pt>
                <c:pt idx="1">
                  <c:v>0.12167444457336557</c:v>
                </c:pt>
                <c:pt idx="2">
                  <c:v>7.2924644698507582E-2</c:v>
                </c:pt>
                <c:pt idx="3">
                  <c:v>5.774750251292441E-2</c:v>
                </c:pt>
                <c:pt idx="4">
                  <c:v>3.9758329749962462E-2</c:v>
                </c:pt>
                <c:pt idx="5">
                  <c:v>0.35207332292641103</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VIIb-k trawlers 10-24m'!$C$92</c:f>
              <c:strCache>
                <c:ptCount val="1"/>
                <c:pt idx="0">
                  <c:v>Cuttlefish</c:v>
                </c:pt>
              </c:strCache>
            </c:strRef>
          </c:tx>
          <c:spPr>
            <a:solidFill>
              <a:srgbClr val="2273B9"/>
            </a:solidFill>
            <a:ln>
              <a:solidFill>
                <a:srgbClr val="FFFFFF"/>
              </a:solidFill>
            </a:ln>
          </c:spPr>
          <c:invertIfNegative val="0"/>
          <c:cat>
            <c:numRef>
              <c:f>'Area VIIb-k trawlers 10-24m'!$D$91:$M$91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10-24m'!$D$92:$M$92</c:f>
              <c:numCache>
                <c:formatCode>0%</c:formatCode>
                <c:ptCount val="10"/>
                <c:pt idx="1">
                  <c:v>9.995972084888767E-2</c:v>
                </c:pt>
                <c:pt idx="3">
                  <c:v>9.3912713169823706E-2</c:v>
                </c:pt>
                <c:pt idx="5">
                  <c:v>0.10992614092339756</c:v>
                </c:pt>
                <c:pt idx="6">
                  <c:v>0.17191068170665549</c:v>
                </c:pt>
                <c:pt idx="7">
                  <c:v>0.19576597155737094</c:v>
                </c:pt>
                <c:pt idx="8">
                  <c:v>0.355821755538829</c:v>
                </c:pt>
                <c:pt idx="9">
                  <c:v>0.13686278857389961</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'Area VIIb-k trawlers 10-24m'!$C$93</c:f>
              <c:strCache>
                <c:ptCount val="1"/>
                <c:pt idx="0">
                  <c:v>Lemon Sole</c:v>
                </c:pt>
              </c:strCache>
            </c:strRef>
          </c:tx>
          <c:spPr>
            <a:solidFill>
              <a:srgbClr val="E87308"/>
            </a:solidFill>
            <a:ln>
              <a:solidFill>
                <a:srgbClr val="FFFFFF"/>
              </a:solidFill>
            </a:ln>
          </c:spPr>
          <c:invertIfNegative val="0"/>
          <c:cat>
            <c:numRef>
              <c:f>'Area VIIb-k trawlers 10-24m'!$D$91:$M$91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10-24m'!$D$93:$M$93</c:f>
              <c:numCache>
                <c:formatCode>0%</c:formatCode>
                <c:ptCount val="10"/>
                <c:pt idx="0">
                  <c:v>0.19095321662614953</c:v>
                </c:pt>
                <c:pt idx="1">
                  <c:v>0.21100368085636217</c:v>
                </c:pt>
                <c:pt idx="2">
                  <c:v>0.13311012607229364</c:v>
                </c:pt>
                <c:pt idx="3">
                  <c:v>0.18793371532097555</c:v>
                </c:pt>
                <c:pt idx="4">
                  <c:v>0.22792348775620239</c:v>
                </c:pt>
                <c:pt idx="5">
                  <c:v>0.21216468615648737</c:v>
                </c:pt>
                <c:pt idx="6">
                  <c:v>0.18660859042451419</c:v>
                </c:pt>
                <c:pt idx="7">
                  <c:v>0.18170108805625268</c:v>
                </c:pt>
                <c:pt idx="8">
                  <c:v>0.12167444457336557</c:v>
                </c:pt>
                <c:pt idx="9">
                  <c:v>0.1273400232502068</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'Area VIIb-k trawlers 10-24m'!$C$94</c:f>
              <c:strCache>
                <c:ptCount val="1"/>
                <c:pt idx="0">
                  <c:v>Squid</c:v>
                </c:pt>
              </c:strCache>
            </c:strRef>
          </c:tx>
          <c:spPr>
            <a:solidFill>
              <a:srgbClr val="648C2E"/>
            </a:solidFill>
            <a:ln>
              <a:solidFill>
                <a:srgbClr val="FFFFFF"/>
              </a:solidFill>
            </a:ln>
          </c:spPr>
          <c:invertIfNegative val="0"/>
          <c:cat>
            <c:numRef>
              <c:f>'Area VIIb-k trawlers 10-24m'!$D$91:$M$91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10-24m'!$D$94:$M$94</c:f>
              <c:numCache>
                <c:formatCode>0%</c:formatCode>
                <c:ptCount val="10"/>
                <c:pt idx="0">
                  <c:v>0.11284138874014549</c:v>
                </c:pt>
                <c:pt idx="1">
                  <c:v>7.3796493689823481E-2</c:v>
                </c:pt>
                <c:pt idx="2">
                  <c:v>0.11742881858422445</c:v>
                </c:pt>
                <c:pt idx="3">
                  <c:v>7.6441233665479655E-2</c:v>
                </c:pt>
                <c:pt idx="4">
                  <c:v>0.11282445180290994</c:v>
                </c:pt>
                <c:pt idx="5">
                  <c:v>0.11954291175096382</c:v>
                </c:pt>
                <c:pt idx="6">
                  <c:v>9.6884274781710258E-2</c:v>
                </c:pt>
                <c:pt idx="7">
                  <c:v>6.1294379921496139E-2</c:v>
                </c:pt>
                <c:pt idx="8">
                  <c:v>7.2924644698507582E-2</c:v>
                </c:pt>
                <c:pt idx="9">
                  <c:v>7.8652779338539092E-2</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'Area VIIb-k trawlers 10-24m'!$C$95</c:f>
              <c:strCache>
                <c:ptCount val="1"/>
                <c:pt idx="0">
                  <c:v>Anglerfish</c:v>
                </c:pt>
              </c:strCache>
            </c:strRef>
          </c:tx>
          <c:spPr>
            <a:solidFill>
              <a:srgbClr val="C1D119"/>
            </a:solidFill>
            <a:ln>
              <a:solidFill>
                <a:srgbClr val="FFFFFF"/>
              </a:solidFill>
            </a:ln>
          </c:spPr>
          <c:invertIfNegative val="0"/>
          <c:cat>
            <c:numRef>
              <c:f>'Area VIIb-k trawlers 10-24m'!$D$91:$M$91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10-24m'!$D$95:$M$95</c:f>
              <c:numCache>
                <c:formatCode>0%</c:formatCode>
                <c:ptCount val="10"/>
                <c:pt idx="0">
                  <c:v>7.4429409872185118E-2</c:v>
                </c:pt>
                <c:pt idx="1">
                  <c:v>8.9923650912233088E-2</c:v>
                </c:pt>
                <c:pt idx="2">
                  <c:v>9.8146917320935514E-2</c:v>
                </c:pt>
                <c:pt idx="3">
                  <c:v>8.4483414636622595E-2</c:v>
                </c:pt>
                <c:pt idx="4">
                  <c:v>6.9482656034881865E-2</c:v>
                </c:pt>
                <c:pt idx="5">
                  <c:v>7.3905013771125599E-2</c:v>
                </c:pt>
                <c:pt idx="6">
                  <c:v>7.9531859877568667E-2</c:v>
                </c:pt>
                <c:pt idx="7">
                  <c:v>8.6424500147920372E-2</c:v>
                </c:pt>
                <c:pt idx="8">
                  <c:v>5.774750251292441E-2</c:v>
                </c:pt>
                <c:pt idx="9">
                  <c:v>7.4053235523385691E-2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'Area VIIb-k trawlers 10-24m'!$C$96</c:f>
              <c:strCache>
                <c:ptCount val="1"/>
                <c:pt idx="0">
                  <c:v>John Dory</c:v>
                </c:pt>
              </c:strCache>
            </c:strRef>
          </c:tx>
          <c:spPr>
            <a:solidFill>
              <a:srgbClr val="E84A38"/>
            </a:solidFill>
            <a:ln>
              <a:solidFill>
                <a:srgbClr val="FFFFFF"/>
              </a:solidFill>
            </a:ln>
          </c:spPr>
          <c:invertIfNegative val="0"/>
          <c:cat>
            <c:numRef>
              <c:f>'Area VIIb-k trawlers 10-24m'!$D$91:$M$91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10-24m'!$D$96:$M$96</c:f>
              <c:numCache>
                <c:formatCode>0%</c:formatCode>
                <c:ptCount val="10"/>
                <c:pt idx="5">
                  <c:v>4.4567198947102628E-2</c:v>
                </c:pt>
                <c:pt idx="8">
                  <c:v>3.9758329749962462E-2</c:v>
                </c:pt>
                <c:pt idx="9">
                  <c:v>7.0147410596233736E-2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'Area VIIb-k trawlers 10-24m'!$C$97</c:f>
              <c:strCache>
                <c:ptCount val="1"/>
                <c:pt idx="0">
                  <c:v>Blonde Ray</c:v>
                </c:pt>
              </c:strCache>
            </c:strRef>
          </c:tx>
          <c:spPr>
            <a:solidFill>
              <a:srgbClr val="0F9AA9"/>
            </a:solidFill>
            <a:ln>
              <a:solidFill>
                <a:srgbClr val="FFFFFF"/>
              </a:solidFill>
            </a:ln>
          </c:spPr>
          <c:invertIfNegative val="0"/>
          <c:cat>
            <c:numRef>
              <c:f>'Area VIIb-k trawlers 10-24m'!$D$91:$M$91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10-24m'!$D$97:$M$97</c:f>
              <c:numCache>
                <c:formatCode>0%</c:formatCode>
                <c:ptCount val="10"/>
                <c:pt idx="6">
                  <c:v>5.3811205469792844E-2</c:v>
                </c:pt>
                <c:pt idx="7">
                  <c:v>4.0321912100368895E-2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'Area VIIb-k trawlers 10-24m'!$C$98</c:f>
              <c:strCache>
                <c:ptCount val="1"/>
                <c:pt idx="0">
                  <c:v>Haddock</c:v>
                </c:pt>
              </c:strCache>
            </c:strRef>
          </c:tx>
          <c:spPr>
            <a:solidFill>
              <a:srgbClr val="FED825"/>
            </a:solidFill>
            <a:ln>
              <a:solidFill>
                <a:srgbClr val="FFFFFF"/>
              </a:solidFill>
            </a:ln>
          </c:spPr>
          <c:invertIfNegative val="0"/>
          <c:cat>
            <c:numRef>
              <c:f>'Area VIIb-k trawlers 10-24m'!$D$91:$M$91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10-24m'!$D$98:$M$98</c:f>
              <c:numCache>
                <c:formatCode>0%</c:formatCode>
                <c:ptCount val="10"/>
                <c:pt idx="2">
                  <c:v>7.7802327434861207E-2</c:v>
                </c:pt>
                <c:pt idx="3">
                  <c:v>0.10216012555577211</c:v>
                </c:pt>
                <c:pt idx="4">
                  <c:v>7.9535233718624421E-2</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'Area VIIb-k trawlers 10-24m'!$C$99</c:f>
              <c:strCache>
                <c:ptCount val="1"/>
                <c:pt idx="0">
                  <c:v>Scallops</c:v>
                </c:pt>
              </c:strCache>
            </c:strRef>
          </c:tx>
          <c:spPr>
            <a:solidFill>
              <a:srgbClr val="707271"/>
            </a:solidFill>
            <a:ln>
              <a:solidFill>
                <a:srgbClr val="FFFFFF"/>
              </a:solidFill>
            </a:ln>
          </c:spPr>
          <c:invertIfNegative val="0"/>
          <c:cat>
            <c:numRef>
              <c:f>'Area VIIb-k trawlers 10-24m'!$D$91:$M$91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10-24m'!$D$99:$M$99</c:f>
              <c:numCache>
                <c:formatCode>0%</c:formatCode>
                <c:ptCount val="10"/>
                <c:pt idx="1">
                  <c:v>5.9477989300077083E-2</c:v>
                </c:pt>
                <c:pt idx="2">
                  <c:v>7.099078831198008E-2</c:v>
                </c:pt>
                <c:pt idx="4">
                  <c:v>6.1555020169600225E-2</c:v>
                </c:pt>
              </c:numCache>
            </c:numRef>
          </c:val>
          <c:extLst xmlns:c16r2="http://schemas.microsoft.com/office/drawing/2015/06/chart">
            <c:ext xmlns:c16="http://schemas.microsoft.com/office/drawing/2014/chart" uri="{C3380CC4-5D6E-409C-BE32-E72D297353CC}">
              <c16:uniqueId val="{00000007-282A-42F3-A8CE-7B6B063B5E4F}"/>
            </c:ext>
          </c:extLst>
        </c:ser>
        <c:ser>
          <c:idx val="8"/>
          <c:order val="8"/>
          <c:tx>
            <c:strRef>
              <c:f>'Area VIIb-k trawlers 10-24m'!$C$100</c:f>
              <c:strCache>
                <c:ptCount val="1"/>
                <c:pt idx="0">
                  <c:v>Bass</c:v>
                </c:pt>
              </c:strCache>
            </c:strRef>
          </c:tx>
          <c:spPr>
            <a:solidFill>
              <a:srgbClr val="51AA81"/>
            </a:solidFill>
            <a:ln>
              <a:solidFill>
                <a:srgbClr val="FFFFFF"/>
              </a:solidFill>
            </a:ln>
          </c:spPr>
          <c:invertIfNegative val="0"/>
          <c:cat>
            <c:numRef>
              <c:f>'Area VIIb-k trawlers 10-24m'!$D$91:$M$91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10-24m'!$D$100:$M$100</c:f>
              <c:numCache>
                <c:formatCode>0%</c:formatCode>
                <c:ptCount val="10"/>
                <c:pt idx="0">
                  <c:v>6.3592236661373633E-2</c:v>
                </c:pt>
              </c:numCache>
            </c:numRef>
          </c:val>
          <c:extLst xmlns:c16r2="http://schemas.microsoft.com/office/drawing/2015/06/chart">
            <c:ext xmlns:c16="http://schemas.microsoft.com/office/drawing/2014/chart" uri="{C3380CC4-5D6E-409C-BE32-E72D297353CC}">
              <c16:uniqueId val="{00000008-282A-42F3-A8CE-7B6B063B5E4F}"/>
            </c:ext>
          </c:extLst>
        </c:ser>
        <c:ser>
          <c:idx val="9"/>
          <c:order val="9"/>
          <c:tx>
            <c:strRef>
              <c:f>'Area VIIb-k trawlers 10-24m'!$C$101</c:f>
              <c:strCache>
                <c:ptCount val="1"/>
                <c:pt idx="0">
                  <c:v>Sprats</c:v>
                </c:pt>
              </c:strCache>
            </c:strRef>
          </c:tx>
          <c:spPr>
            <a:solidFill>
              <a:srgbClr val="169FDB"/>
            </a:solidFill>
            <a:ln>
              <a:solidFill>
                <a:srgbClr val="FFFFFF"/>
              </a:solidFill>
            </a:ln>
          </c:spPr>
          <c:invertIfNegative val="0"/>
          <c:cat>
            <c:numRef>
              <c:f>'Area VIIb-k trawlers 10-24m'!$D$91:$M$91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10-24m'!$D$101:$M$101</c:f>
              <c:numCache>
                <c:formatCode>0%</c:formatCode>
                <c:ptCount val="10"/>
                <c:pt idx="0">
                  <c:v>6.0552439184300935E-2</c:v>
                </c:pt>
              </c:numCache>
            </c:numRef>
          </c:val>
          <c:extLst xmlns:c16r2="http://schemas.microsoft.com/office/drawing/2015/06/chart">
            <c:ext xmlns:c16="http://schemas.microsoft.com/office/drawing/2014/chart" uri="{C3380CC4-5D6E-409C-BE32-E72D297353CC}">
              <c16:uniqueId val="{00000009-282A-42F3-A8CE-7B6B063B5E4F}"/>
            </c:ext>
          </c:extLst>
        </c:ser>
        <c:ser>
          <c:idx val="10"/>
          <c:order val="10"/>
          <c:tx>
            <c:strRef>
              <c:f>'Area VIIb-k trawlers 10-24m'!$C$102</c:f>
              <c:strCache>
                <c:ptCount val="1"/>
                <c:pt idx="0">
                  <c:v>Others</c:v>
                </c:pt>
              </c:strCache>
            </c:strRef>
          </c:tx>
          <c:spPr>
            <a:solidFill>
              <a:srgbClr val="55585A"/>
            </a:solidFill>
            <a:ln>
              <a:solidFill>
                <a:srgbClr val="FFFFFF"/>
              </a:solidFill>
            </a:ln>
          </c:spPr>
          <c:invertIfNegative val="0"/>
          <c:cat>
            <c:numRef>
              <c:f>'Area VIIb-k trawlers 10-24m'!$D$91:$M$91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VIIb-k trawlers 10-24m'!$D$102:$M$102</c:f>
              <c:numCache>
                <c:formatCode>0%</c:formatCode>
                <c:ptCount val="10"/>
                <c:pt idx="0">
                  <c:v>0.49763130891584528</c:v>
                </c:pt>
                <c:pt idx="1">
                  <c:v>0.4658384643926165</c:v>
                </c:pt>
                <c:pt idx="2">
                  <c:v>0.50252102227570505</c:v>
                </c:pt>
                <c:pt idx="3">
                  <c:v>0.45506879765132641</c:v>
                </c:pt>
                <c:pt idx="4">
                  <c:v>0.44867915051778118</c:v>
                </c:pt>
                <c:pt idx="5">
                  <c:v>0.439894048450923</c:v>
                </c:pt>
                <c:pt idx="6">
                  <c:v>0.41125338773975856</c:v>
                </c:pt>
                <c:pt idx="7">
                  <c:v>0.43449214821659099</c:v>
                </c:pt>
                <c:pt idx="8">
                  <c:v>0.35207332292641097</c:v>
                </c:pt>
                <c:pt idx="9">
                  <c:v>0.51294376271773512</c:v>
                </c:pt>
              </c:numCache>
            </c:numRef>
          </c:val>
          <c:extLst xmlns:c16r2="http://schemas.microsoft.com/office/drawing/2015/06/chart">
            <c:ext xmlns:c16="http://schemas.microsoft.com/office/drawing/2014/chart" uri="{C3380CC4-5D6E-409C-BE32-E72D297353CC}">
              <c16:uniqueId val="{0000000A-282A-42F3-A8CE-7B6B063B5E4F}"/>
            </c:ext>
          </c:extLst>
        </c:ser>
        <c:dLbls>
          <c:showLegendKey val="0"/>
          <c:showVal val="0"/>
          <c:showCatName val="0"/>
          <c:showSerName val="0"/>
          <c:showPercent val="0"/>
          <c:showBubbleSize val="0"/>
        </c:dLbls>
        <c:gapWidth val="150"/>
        <c:overlap val="100"/>
        <c:axId val="709198976"/>
        <c:axId val="709200512"/>
      </c:barChart>
      <c:catAx>
        <c:axId val="709198976"/>
        <c:scaling>
          <c:orientation val="minMax"/>
        </c:scaling>
        <c:delete val="0"/>
        <c:axPos val="b"/>
        <c:numFmt formatCode="General" sourceLinked="1"/>
        <c:majorTickMark val="out"/>
        <c:minorTickMark val="none"/>
        <c:tickLblPos val="nextTo"/>
        <c:crossAx val="709200512"/>
        <c:crosses val="autoZero"/>
        <c:auto val="1"/>
        <c:lblAlgn val="ctr"/>
        <c:lblOffset val="100"/>
        <c:noMultiLvlLbl val="0"/>
      </c:catAx>
      <c:valAx>
        <c:axId val="709200512"/>
        <c:scaling>
          <c:orientation val="minMax"/>
          <c:max val="1"/>
          <c:min val="0"/>
        </c:scaling>
        <c:delete val="0"/>
        <c:axPos val="l"/>
        <c:majorGridlines/>
        <c:numFmt formatCode="0%" sourceLinked="1"/>
        <c:majorTickMark val="out"/>
        <c:minorTickMark val="none"/>
        <c:tickLblPos val="nextTo"/>
        <c:crossAx val="709198976"/>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'Area VIIb-k trawlers 10-24m'!$B$162</c:f>
              <c:strCache>
                <c:ptCount val="1"/>
                <c:pt idx="0">
                  <c:v>Sprats</c:v>
                </c:pt>
              </c:strCache>
            </c:strRef>
          </c:tx>
          <c:spPr>
            <a:solidFill>
              <a:srgbClr val="0F9AA9"/>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10-24m'!$C$162:$E$162</c:f>
              <c:numCache>
                <c:formatCode>0%</c:formatCode>
                <c:ptCount val="3"/>
                <c:pt idx="0">
                  <c:v>0.43894818643354788</c:v>
                </c:pt>
                <c:pt idx="1">
                  <c:v>0.16441375407171105</c:v>
                </c:pt>
                <c:pt idx="2">
                  <c:v>0</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'Area VIIb-k trawlers 10-24m'!$B$163</c:f>
              <c:strCache>
                <c:ptCount val="1"/>
                <c:pt idx="0">
                  <c:v>Les. Spot. Dog</c:v>
                </c:pt>
              </c:strCache>
            </c:strRef>
          </c:tx>
          <c:spPr>
            <a:solidFill>
              <a:srgbClr val="51AA81"/>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10-24m'!$C$163:$E$163</c:f>
              <c:numCache>
                <c:formatCode>0%</c:formatCode>
                <c:ptCount val="3"/>
                <c:pt idx="0">
                  <c:v>3.4207663689382405E-2</c:v>
                </c:pt>
                <c:pt idx="1">
                  <c:v>0.13215647845321968</c:v>
                </c:pt>
                <c:pt idx="2">
                  <c:v>8.3108926926401705E-2</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'Area VIIb-k trawlers 10-24m'!$B$164</c:f>
              <c:strCache>
                <c:ptCount val="1"/>
                <c:pt idx="0">
                  <c:v>Lemon Sole</c:v>
                </c:pt>
              </c:strCache>
            </c:strRef>
          </c:tx>
          <c:spPr>
            <a:solidFill>
              <a:srgbClr val="E87308"/>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10-24m'!$C$164:$E$164</c:f>
              <c:numCache>
                <c:formatCode>0%</c:formatCode>
                <c:ptCount val="3"/>
                <c:pt idx="0">
                  <c:v>0</c:v>
                </c:pt>
                <c:pt idx="1">
                  <c:v>0.11744536735902818</c:v>
                </c:pt>
                <c:pt idx="2">
                  <c:v>7.1253390712749748E-2</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'Area VIIb-k trawlers 10-24m'!$B$165</c:f>
              <c:strCache>
                <c:ptCount val="1"/>
                <c:pt idx="0">
                  <c:v>Cuttlefish</c:v>
                </c:pt>
              </c:strCache>
            </c:strRef>
          </c:tx>
          <c:spPr>
            <a:solidFill>
              <a:srgbClr val="2273B9"/>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10-24m'!$C$165:$E$165</c:f>
              <c:numCache>
                <c:formatCode>0%</c:formatCode>
                <c:ptCount val="3"/>
                <c:pt idx="0">
                  <c:v>0.13066641974552859</c:v>
                </c:pt>
                <c:pt idx="1">
                  <c:v>0.11434089946520679</c:v>
                </c:pt>
                <c:pt idx="2">
                  <c:v>0.16634658479092523</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'Area VIIb-k trawlers 10-24m'!$B$166</c:f>
              <c:strCache>
                <c:ptCount val="1"/>
                <c:pt idx="0">
                  <c:v>Whiting</c:v>
                </c:pt>
              </c:strCache>
            </c:strRef>
          </c:tx>
          <c:spPr>
            <a:solidFill>
              <a:srgbClr val="FED825"/>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10-24m'!$C$166:$E$166</c:f>
              <c:numCache>
                <c:formatCode>0%</c:formatCode>
                <c:ptCount val="3"/>
                <c:pt idx="0">
                  <c:v>0</c:v>
                </c:pt>
                <c:pt idx="1">
                  <c:v>0.10762949342676639</c:v>
                </c:pt>
                <c:pt idx="2">
                  <c:v>7.5018724611705251E-2</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'Area VIIb-k trawlers 10-24m'!$B$167</c:f>
              <c:strCache>
                <c:ptCount val="1"/>
                <c:pt idx="0">
                  <c:v>Plaice</c:v>
                </c:pt>
              </c:strCache>
            </c:strRef>
          </c:tx>
          <c:spPr>
            <a:solidFill>
              <a:srgbClr val="169FDB"/>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10-24m'!$C$167:$E$167</c:f>
              <c:numCache>
                <c:formatCode>0%</c:formatCode>
                <c:ptCount val="3"/>
                <c:pt idx="0">
                  <c:v>0</c:v>
                </c:pt>
                <c:pt idx="1">
                  <c:v>0</c:v>
                </c:pt>
                <c:pt idx="2">
                  <c:v>0.15985438339341679</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'Area VIIb-k trawlers 10-24m'!$B$168</c:f>
              <c:strCache>
                <c:ptCount val="1"/>
                <c:pt idx="0">
                  <c:v>Pilchards</c:v>
                </c:pt>
              </c:strCache>
            </c:strRef>
          </c:tx>
          <c:spPr>
            <a:solidFill>
              <a:srgbClr val="707271"/>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10-24m'!$C$168:$E$168</c:f>
              <c:numCache>
                <c:formatCode>0%</c:formatCode>
                <c:ptCount val="3"/>
                <c:pt idx="0">
                  <c:v>5.7633768611970261E-2</c:v>
                </c:pt>
                <c:pt idx="1">
                  <c:v>0</c:v>
                </c:pt>
                <c:pt idx="2">
                  <c:v>0</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'Area VIIb-k trawlers 10-24m'!$B$169</c:f>
              <c:strCache>
                <c:ptCount val="1"/>
                <c:pt idx="0">
                  <c:v>Haddock</c:v>
                </c:pt>
              </c:strCache>
            </c:strRef>
          </c:tx>
          <c:spPr>
            <a:solidFill>
              <a:srgbClr val="E40D2C"/>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10-24m'!$C$169:$E$169</c:f>
              <c:numCache>
                <c:formatCode>0%</c:formatCode>
                <c:ptCount val="3"/>
                <c:pt idx="0">
                  <c:v>4.0213103900400803E-2</c:v>
                </c:pt>
                <c:pt idx="1">
                  <c:v>0</c:v>
                </c:pt>
                <c:pt idx="2">
                  <c:v>0</c:v>
                </c:pt>
              </c:numCache>
            </c:numRef>
          </c:val>
          <c:extLst xmlns:c16r2="http://schemas.microsoft.com/office/drawing/2015/06/chart">
            <c:ext xmlns:c16="http://schemas.microsoft.com/office/drawing/2014/chart" uri="{C3380CC4-5D6E-409C-BE32-E72D297353CC}">
              <c16:uniqueId val="{00000007-DFDD-4C01-8393-1BE532AE55F9}"/>
            </c:ext>
          </c:extLst>
        </c:ser>
        <c:ser>
          <c:idx val="8"/>
          <c:order val="8"/>
          <c:tx>
            <c:strRef>
              <c:f>'Area VIIb-k trawlers 10-24m'!$B$170</c:f>
              <c:strCache>
                <c:ptCount val="1"/>
                <c:pt idx="0">
                  <c:v>Others</c:v>
                </c:pt>
              </c:strCache>
            </c:strRef>
          </c:tx>
          <c:spPr>
            <a:solidFill>
              <a:srgbClr val="55585A"/>
            </a:solidFill>
            <a:ln>
              <a:solidFill>
                <a:srgbClr val="FFFFFF"/>
              </a:solidFill>
            </a:ln>
          </c:spPr>
          <c:invertIfNegative val="0"/>
          <c:cat>
            <c:strRef>
              <c:f>'Area VIIb-k trawlers 10-24m'!$C$161:$E$161</c:f>
              <c:strCache>
                <c:ptCount val="3"/>
                <c:pt idx="0">
                  <c:v>Most
profitable
quartile</c:v>
                </c:pt>
                <c:pt idx="1">
                  <c:v>Middle 
two quartiles</c:v>
                </c:pt>
                <c:pt idx="2">
                  <c:v>Least
profitable
quartile</c:v>
                </c:pt>
              </c:strCache>
            </c:strRef>
          </c:cat>
          <c:val>
            <c:numRef>
              <c:f>'Area VIIb-k trawlers 10-24m'!$C$170:$E$170</c:f>
              <c:numCache>
                <c:formatCode>0%</c:formatCode>
                <c:ptCount val="3"/>
                <c:pt idx="0">
                  <c:v>0.29833085761917011</c:v>
                </c:pt>
                <c:pt idx="1">
                  <c:v>0.36401400722406785</c:v>
                </c:pt>
                <c:pt idx="2">
                  <c:v>0.44441798956480127</c:v>
                </c:pt>
              </c:numCache>
            </c:numRef>
          </c:val>
          <c:extLst xmlns:c16r2="http://schemas.microsoft.com/office/drawing/2015/06/chart">
            <c:ext xmlns:c16="http://schemas.microsoft.com/office/drawing/2014/chart" uri="{C3380CC4-5D6E-409C-BE32-E72D297353CC}">
              <c16:uniqueId val="{00000008-DFDD-4C01-8393-1BE532AE55F9}"/>
            </c:ext>
          </c:extLst>
        </c:ser>
        <c:dLbls>
          <c:showLegendKey val="0"/>
          <c:showVal val="0"/>
          <c:showCatName val="0"/>
          <c:showSerName val="0"/>
          <c:showPercent val="0"/>
          <c:showBubbleSize val="0"/>
        </c:dLbls>
        <c:gapWidth val="150"/>
        <c:overlap val="100"/>
        <c:axId val="709338240"/>
        <c:axId val="709339776"/>
      </c:barChart>
      <c:catAx>
        <c:axId val="709338240"/>
        <c:scaling>
          <c:orientation val="minMax"/>
        </c:scaling>
        <c:delete val="0"/>
        <c:axPos val="b"/>
        <c:numFmt formatCode="General" sourceLinked="0"/>
        <c:majorTickMark val="out"/>
        <c:minorTickMark val="none"/>
        <c:tickLblPos val="nextTo"/>
        <c:crossAx val="709339776"/>
        <c:crosses val="autoZero"/>
        <c:auto val="1"/>
        <c:lblAlgn val="ctr"/>
        <c:lblOffset val="100"/>
        <c:noMultiLvlLbl val="0"/>
      </c:catAx>
      <c:valAx>
        <c:axId val="709339776"/>
        <c:scaling>
          <c:orientation val="minMax"/>
          <c:max val="1"/>
          <c:min val="0"/>
        </c:scaling>
        <c:delete val="0"/>
        <c:axPos val="l"/>
        <c:majorGridlines/>
        <c:minorGridlines/>
        <c:numFmt formatCode="0%" sourceLinked="1"/>
        <c:majorTickMark val="out"/>
        <c:minorTickMark val="none"/>
        <c:tickLblPos val="nextTo"/>
        <c:crossAx val="709338240"/>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'Area VIIb-k trawlers 10-24m'!$H$162</c:f>
              <c:strCache>
                <c:ptCount val="1"/>
                <c:pt idx="0">
                  <c:v>Cuttlefish</c:v>
                </c:pt>
              </c:strCache>
            </c:strRef>
          </c:tx>
          <c:spPr>
            <a:solidFill>
              <a:srgbClr val="2273B9"/>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10-24m'!$I$162:$K$162</c:f>
              <c:numCache>
                <c:formatCode>0%</c:formatCode>
                <c:ptCount val="3"/>
                <c:pt idx="0">
                  <c:v>0.33528022555190762</c:v>
                </c:pt>
                <c:pt idx="1">
                  <c:v>0.47037365770248718</c:v>
                </c:pt>
                <c:pt idx="2">
                  <c:v>0.25036792412497516</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'Area VIIb-k trawlers 10-24m'!$H$163</c:f>
              <c:strCache>
                <c:ptCount val="1"/>
                <c:pt idx="0">
                  <c:v>Lemon Sole</c:v>
                </c:pt>
              </c:strCache>
            </c:strRef>
          </c:tx>
          <c:spPr>
            <a:solidFill>
              <a:srgbClr val="E87308"/>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10-24m'!$I$163:$K$163</c:f>
              <c:numCache>
                <c:formatCode>0%</c:formatCode>
                <c:ptCount val="3"/>
                <c:pt idx="0">
                  <c:v>9.9214340559841491E-2</c:v>
                </c:pt>
                <c:pt idx="1">
                  <c:v>0.16454235000689524</c:v>
                </c:pt>
                <c:pt idx="2">
                  <c:v>0.14343324805161164</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'Area VIIb-k trawlers 10-24m'!$H$164</c:f>
              <c:strCache>
                <c:ptCount val="1"/>
                <c:pt idx="0">
                  <c:v>Squid</c:v>
                </c:pt>
              </c:strCache>
            </c:strRef>
          </c:tx>
          <c:spPr>
            <a:solidFill>
              <a:srgbClr val="648C2E"/>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10-24m'!$I$164:$K$164</c:f>
              <c:numCache>
                <c:formatCode>0%</c:formatCode>
                <c:ptCount val="3"/>
                <c:pt idx="0">
                  <c:v>7.115517740787973E-2</c:v>
                </c:pt>
                <c:pt idx="1">
                  <c:v>8.0393110172097423E-2</c:v>
                </c:pt>
                <c:pt idx="2">
                  <c:v>0.10735706789034201</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'Area VIIb-k trawlers 10-24m'!$H$165</c:f>
              <c:strCache>
                <c:ptCount val="1"/>
                <c:pt idx="0">
                  <c:v>Anglerfish</c:v>
                </c:pt>
              </c:strCache>
            </c:strRef>
          </c:tx>
          <c:spPr>
            <a:solidFill>
              <a:srgbClr val="C1D119"/>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10-24m'!$I$165:$K$165</c:f>
              <c:numCache>
                <c:formatCode>0%</c:formatCode>
                <c:ptCount val="3"/>
                <c:pt idx="0">
                  <c:v>0</c:v>
                </c:pt>
                <c:pt idx="1">
                  <c:v>7.9371912544021331E-2</c:v>
                </c:pt>
                <c:pt idx="2">
                  <c:v>5.4692515313406138E-2</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'Area VIIb-k trawlers 10-24m'!$H$166</c:f>
              <c:strCache>
                <c:ptCount val="1"/>
                <c:pt idx="0">
                  <c:v>John Dory</c:v>
                </c:pt>
              </c:strCache>
            </c:strRef>
          </c:tx>
          <c:spPr>
            <a:solidFill>
              <a:srgbClr val="E84A38"/>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10-24m'!$I$166:$K$166</c:f>
              <c:numCache>
                <c:formatCode>0%</c:formatCode>
                <c:ptCount val="3"/>
                <c:pt idx="0">
                  <c:v>0</c:v>
                </c:pt>
                <c:pt idx="1">
                  <c:v>4.6716746147503055E-2</c:v>
                </c:pt>
                <c:pt idx="2">
                  <c:v>0</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'Area VIIb-k trawlers 10-24m'!$H$167</c:f>
              <c:strCache>
                <c:ptCount val="1"/>
                <c:pt idx="0">
                  <c:v>Plaice</c:v>
                </c:pt>
              </c:strCache>
            </c:strRef>
          </c:tx>
          <c:spPr>
            <a:solidFill>
              <a:srgbClr val="169FDB"/>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10-24m'!$I$167:$K$167</c:f>
              <c:numCache>
                <c:formatCode>0%</c:formatCode>
                <c:ptCount val="3"/>
                <c:pt idx="0">
                  <c:v>0</c:v>
                </c:pt>
                <c:pt idx="1">
                  <c:v>0</c:v>
                </c:pt>
                <c:pt idx="2">
                  <c:v>8.4905680148276194E-2</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'Area VIIb-k trawlers 10-24m'!$H$168</c:f>
              <c:strCache>
                <c:ptCount val="1"/>
                <c:pt idx="0">
                  <c:v>Sprats</c:v>
                </c:pt>
              </c:strCache>
            </c:strRef>
          </c:tx>
          <c:spPr>
            <a:solidFill>
              <a:srgbClr val="0F9AA9"/>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10-24m'!$I$168:$K$168</c:f>
              <c:numCache>
                <c:formatCode>0%</c:formatCode>
                <c:ptCount val="3"/>
                <c:pt idx="0">
                  <c:v>7.5430706252186966E-2</c:v>
                </c:pt>
                <c:pt idx="1">
                  <c:v>0</c:v>
                </c:pt>
                <c:pt idx="2">
                  <c:v>0</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'Area VIIb-k trawlers 10-24m'!$H$169</c:f>
              <c:strCache>
                <c:ptCount val="1"/>
                <c:pt idx="0">
                  <c:v>Haddock</c:v>
                </c:pt>
              </c:strCache>
            </c:strRef>
          </c:tx>
          <c:spPr>
            <a:solidFill>
              <a:srgbClr val="E40D2C"/>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10-24m'!$I$169:$K$169</c:f>
              <c:numCache>
                <c:formatCode>0%</c:formatCode>
                <c:ptCount val="3"/>
                <c:pt idx="0">
                  <c:v>5.3088468020913097E-2</c:v>
                </c:pt>
                <c:pt idx="1">
                  <c:v>0</c:v>
                </c:pt>
                <c:pt idx="2">
                  <c:v>0</c:v>
                </c:pt>
              </c:numCache>
            </c:numRef>
          </c:val>
          <c:extLst xmlns:c16r2="http://schemas.microsoft.com/office/drawing/2015/06/chart">
            <c:ext xmlns:c16="http://schemas.microsoft.com/office/drawing/2014/chart" uri="{C3380CC4-5D6E-409C-BE32-E72D297353CC}">
              <c16:uniqueId val="{00000007-DC58-4725-8A67-0BDC09FD93CD}"/>
            </c:ext>
          </c:extLst>
        </c:ser>
        <c:ser>
          <c:idx val="8"/>
          <c:order val="8"/>
          <c:tx>
            <c:strRef>
              <c:f>'Area VIIb-k trawlers 10-24m'!$H$170</c:f>
              <c:strCache>
                <c:ptCount val="1"/>
                <c:pt idx="0">
                  <c:v>Others</c:v>
                </c:pt>
              </c:strCache>
            </c:strRef>
          </c:tx>
          <c:spPr>
            <a:solidFill>
              <a:srgbClr val="55585A"/>
            </a:solidFill>
            <a:ln>
              <a:solidFill>
                <a:srgbClr val="FFFFFF"/>
              </a:solidFill>
            </a:ln>
          </c:spPr>
          <c:invertIfNegative val="0"/>
          <c:cat>
            <c:strRef>
              <c:f>'Area VIIb-k trawlers 10-24m'!$I$161:$K$161</c:f>
              <c:strCache>
                <c:ptCount val="3"/>
                <c:pt idx="0">
                  <c:v>Most
profitable
quartile</c:v>
                </c:pt>
                <c:pt idx="1">
                  <c:v>Middle 
two quartiles</c:v>
                </c:pt>
                <c:pt idx="2">
                  <c:v>Least
profitable
quartile</c:v>
                </c:pt>
              </c:strCache>
            </c:strRef>
          </c:cat>
          <c:val>
            <c:numRef>
              <c:f>'Area VIIb-k trawlers 10-24m'!$I$170:$K$170</c:f>
              <c:numCache>
                <c:formatCode>0%</c:formatCode>
                <c:ptCount val="3"/>
                <c:pt idx="0">
                  <c:v>0.36583108220727123</c:v>
                </c:pt>
                <c:pt idx="1">
                  <c:v>0.15860222342699581</c:v>
                </c:pt>
                <c:pt idx="2">
                  <c:v>0.35924356447138883</c:v>
                </c:pt>
              </c:numCache>
            </c:numRef>
          </c:val>
          <c:extLst xmlns:c16r2="http://schemas.microsoft.com/office/drawing/2015/06/chart">
            <c:ext xmlns:c16="http://schemas.microsoft.com/office/drawing/2014/chart" uri="{C3380CC4-5D6E-409C-BE32-E72D297353CC}">
              <c16:uniqueId val="{00000008-DC58-4725-8A67-0BDC09FD93CD}"/>
            </c:ext>
          </c:extLst>
        </c:ser>
        <c:dLbls>
          <c:showLegendKey val="0"/>
          <c:showVal val="0"/>
          <c:showCatName val="0"/>
          <c:showSerName val="0"/>
          <c:showPercent val="0"/>
          <c:showBubbleSize val="0"/>
        </c:dLbls>
        <c:gapWidth val="150"/>
        <c:overlap val="100"/>
        <c:axId val="709468928"/>
        <c:axId val="709470464"/>
      </c:barChart>
      <c:catAx>
        <c:axId val="709468928"/>
        <c:scaling>
          <c:orientation val="minMax"/>
        </c:scaling>
        <c:delete val="0"/>
        <c:axPos val="b"/>
        <c:numFmt formatCode="General" sourceLinked="0"/>
        <c:majorTickMark val="out"/>
        <c:minorTickMark val="none"/>
        <c:tickLblPos val="nextTo"/>
        <c:crossAx val="709470464"/>
        <c:crosses val="autoZero"/>
        <c:auto val="1"/>
        <c:lblAlgn val="ctr"/>
        <c:lblOffset val="100"/>
        <c:noMultiLvlLbl val="0"/>
      </c:catAx>
      <c:valAx>
        <c:axId val="709470464"/>
        <c:scaling>
          <c:orientation val="minMax"/>
          <c:max val="1"/>
          <c:min val="0"/>
        </c:scaling>
        <c:delete val="0"/>
        <c:axPos val="l"/>
        <c:majorGridlines/>
        <c:minorGridlines/>
        <c:numFmt formatCode="0%" sourceLinked="1"/>
        <c:majorTickMark val="out"/>
        <c:minorTickMark val="none"/>
        <c:tickLblPos val="nextTo"/>
        <c:crossAx val="70946892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VIIb-k trawlers 10-24m'!$K$143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'Area VIIb-k trawlers 10-24m'!$K$139</c:f>
              <c:strCache>
                <c:ptCount val="1"/>
                <c:pt idx="0">
                  <c:v>Total income</c:v>
                </c:pt>
              </c:strCache>
            </c:strRef>
          </c:tx>
          <c:spPr>
            <a:solidFill>
              <a:schemeClr val="accent1"/>
            </a:solidFill>
            <a:ln>
              <a:solidFill>
                <a:schemeClr val="accent1"/>
              </a:solidFill>
            </a:ln>
          </c:spPr>
          <c:invertIfNegative val="0"/>
          <c:cat>
            <c:strRef>
              <c:f>'Area VIIb-k trawlers 10-24m'!$L$138:$N$138</c:f>
              <c:strCache>
                <c:ptCount val="3"/>
                <c:pt idx="0">
                  <c:v>Most
profitable
quartile</c:v>
                </c:pt>
                <c:pt idx="1">
                  <c:v>Middle
two quartiles</c:v>
                </c:pt>
                <c:pt idx="2">
                  <c:v>Least
profitable
quartile</c:v>
                </c:pt>
              </c:strCache>
            </c:strRef>
          </c:cat>
          <c:val>
            <c:numRef>
              <c:f>'Area VIIb-k trawlers 10-24m'!$L$139:$N$139</c:f>
              <c:numCache>
                <c:formatCode>#,##0</c:formatCode>
                <c:ptCount val="3"/>
                <c:pt idx="0">
                  <c:v>490.72853125</c:v>
                </c:pt>
                <c:pt idx="1">
                  <c:v>250.32204233870999</c:v>
                </c:pt>
                <c:pt idx="2">
                  <c:v>103.140890625</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'Area VIIb-k trawlers 10-24m'!$K$140</c:f>
              <c:strCache>
                <c:ptCount val="1"/>
                <c:pt idx="0">
                  <c:v>Operating costs</c:v>
                </c:pt>
              </c:strCache>
            </c:strRef>
          </c:tx>
          <c:spPr>
            <a:solidFill>
              <a:schemeClr val="accent3"/>
            </a:solidFill>
          </c:spPr>
          <c:invertIfNegative val="0"/>
          <c:cat>
            <c:strRef>
              <c:f>'Area VIIb-k trawlers 10-24m'!$L$138:$N$138</c:f>
              <c:strCache>
                <c:ptCount val="3"/>
                <c:pt idx="0">
                  <c:v>Most
profitable
quartile</c:v>
                </c:pt>
                <c:pt idx="1">
                  <c:v>Middle
two quartiles</c:v>
                </c:pt>
                <c:pt idx="2">
                  <c:v>Least
profitable
quartile</c:v>
                </c:pt>
              </c:strCache>
            </c:strRef>
          </c:cat>
          <c:val>
            <c:numRef>
              <c:f>'Area VIIb-k trawlers 10-24m'!$L$140:$N$140</c:f>
              <c:numCache>
                <c:formatCode>#,##0</c:formatCode>
                <c:ptCount val="3"/>
                <c:pt idx="0">
                  <c:v>305.39387499999998</c:v>
                </c:pt>
                <c:pt idx="1">
                  <c:v>168.83341582661299</c:v>
                </c:pt>
                <c:pt idx="2">
                  <c:v>80.442156249999996</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'Area VIIb-k trawlers 10-24m'!$K$141</c:f>
              <c:strCache>
                <c:ptCount val="1"/>
                <c:pt idx="0">
                  <c:v>Operating profit</c:v>
                </c:pt>
              </c:strCache>
            </c:strRef>
          </c:tx>
          <c:spPr>
            <a:solidFill>
              <a:schemeClr val="accent2"/>
            </a:solidFill>
          </c:spPr>
          <c:invertIfNegative val="0"/>
          <c:cat>
            <c:strRef>
              <c:f>'Area VIIb-k trawlers 10-24m'!$L$138:$N$138</c:f>
              <c:strCache>
                <c:ptCount val="3"/>
                <c:pt idx="0">
                  <c:v>Most
profitable
quartile</c:v>
                </c:pt>
                <c:pt idx="1">
                  <c:v>Middle
two quartiles</c:v>
                </c:pt>
                <c:pt idx="2">
                  <c:v>Least
profitable
quartile</c:v>
                </c:pt>
              </c:strCache>
            </c:strRef>
          </c:cat>
          <c:val>
            <c:numRef>
              <c:f>'Area VIIb-k trawlers 10-24m'!$L$141:$N$141</c:f>
              <c:numCache>
                <c:formatCode>#,##0</c:formatCode>
                <c:ptCount val="3"/>
                <c:pt idx="0">
                  <c:v>185.33465624999999</c:v>
                </c:pt>
                <c:pt idx="1">
                  <c:v>81.488626512096801</c:v>
                </c:pt>
                <c:pt idx="2">
                  <c:v>22.698734375000001</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709837952"/>
        <c:axId val="709839488"/>
      </c:barChart>
      <c:catAx>
        <c:axId val="709837952"/>
        <c:scaling>
          <c:orientation val="minMax"/>
        </c:scaling>
        <c:delete val="0"/>
        <c:axPos val="b"/>
        <c:numFmt formatCode="General" sourceLinked="0"/>
        <c:majorTickMark val="out"/>
        <c:minorTickMark val="none"/>
        <c:tickLblPos val="nextTo"/>
        <c:crossAx val="709839488"/>
        <c:crosses val="autoZero"/>
        <c:auto val="1"/>
        <c:lblAlgn val="ctr"/>
        <c:lblOffset val="100"/>
        <c:noMultiLvlLbl val="0"/>
      </c:catAx>
      <c:valAx>
        <c:axId val="709839488"/>
        <c:scaling>
          <c:orientation val="minMax"/>
        </c:scaling>
        <c:delete val="0"/>
        <c:axPos val="l"/>
        <c:majorGridlines/>
        <c:title>
          <c:tx>
            <c:strRef>
              <c:f>'Area VIIb-k trawlers 10-24m'!$K$142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709837952"/>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netters'!$A$48</c:f>
          <c:strCache>
            <c:ptCount val="1"/>
            <c:pt idx="0">
              <c:v>Landings per kW day at sea (kg)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'Gill netters'!$D$2:$N$2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'Gill netters'!$D$21:$N$21</c:f>
              <c:numCache>
                <c:formatCode>#,##0.00</c:formatCode>
                <c:ptCount val="11"/>
                <c:pt idx="0">
                  <c:v>2.4555902803794019</c:v>
                </c:pt>
                <c:pt idx="1">
                  <c:v>2.9398712135040879</c:v>
                </c:pt>
                <c:pt idx="2">
                  <c:v>2.5220450884153487</c:v>
                </c:pt>
                <c:pt idx="3">
                  <c:v>3.1102348399390061</c:v>
                </c:pt>
                <c:pt idx="4">
                  <c:v>3.7437948670724865</c:v>
                </c:pt>
                <c:pt idx="5">
                  <c:v>3.8727697310053197</c:v>
                </c:pt>
                <c:pt idx="6">
                  <c:v>3.8573823137558154</c:v>
                </c:pt>
                <c:pt idx="7">
                  <c:v>3.5589268105200751</c:v>
                </c:pt>
                <c:pt idx="8">
                  <c:v>3.9992970144196924</c:v>
                </c:pt>
                <c:pt idx="9">
                  <c:v>4.6568665769742914</c:v>
                </c:pt>
                <c:pt idx="10">
                  <c:v>5.1277418713510778</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709679360"/>
        <c:axId val="709685248"/>
      </c:lineChart>
      <c:catAx>
        <c:axId val="709679360"/>
        <c:scaling>
          <c:orientation val="minMax"/>
        </c:scaling>
        <c:delete val="0"/>
        <c:axPos val="b"/>
        <c:numFmt formatCode="General" sourceLinked="1"/>
        <c:majorTickMark val="out"/>
        <c:minorTickMark val="none"/>
        <c:tickLblPos val="nextTo"/>
        <c:crossAx val="709685248"/>
        <c:crosses val="autoZero"/>
        <c:auto val="1"/>
        <c:lblAlgn val="ctr"/>
        <c:lblOffset val="100"/>
        <c:noMultiLvlLbl val="0"/>
      </c:catAx>
      <c:valAx>
        <c:axId val="709685248"/>
        <c:scaling>
          <c:orientation val="minMax"/>
        </c:scaling>
        <c:delete val="0"/>
        <c:axPos val="l"/>
        <c:majorGridlines>
          <c:spPr>
            <a:ln w="3175">
              <a:prstDash val="sysDot"/>
            </a:ln>
          </c:spPr>
        </c:majorGridlines>
        <c:numFmt formatCode="#,##0.00" sourceLinked="1"/>
        <c:majorTickMark val="out"/>
        <c:minorTickMark val="none"/>
        <c:tickLblPos val="nextTo"/>
        <c:crossAx val="709679360"/>
        <c:crosses val="autoZero"/>
        <c:crossBetween val="between"/>
      </c:valAx>
    </c:plotArea>
    <c:plotVisOnly val="0"/>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netters'!$A$49</c:f>
          <c:strCache>
            <c:ptCount val="1"/>
            <c:pt idx="0">
              <c:v>Fishing income per kW day at sea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'Gill netters'!$D$2:$N$2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'Gill netters'!$D$22:$N$22</c:f>
              <c:numCache>
                <c:formatCode>#,##0.00</c:formatCode>
                <c:ptCount val="11"/>
                <c:pt idx="0">
                  <c:v>6.7724392740814103</c:v>
                </c:pt>
                <c:pt idx="1">
                  <c:v>8.4391624698569494</c:v>
                </c:pt>
                <c:pt idx="2">
                  <c:v>8.2125595889197296</c:v>
                </c:pt>
                <c:pt idx="3">
                  <c:v>8.5432928091085696</c:v>
                </c:pt>
                <c:pt idx="4">
                  <c:v>8.8770773356204593</c:v>
                </c:pt>
                <c:pt idx="5">
                  <c:v>7.8818040046170799</c:v>
                </c:pt>
                <c:pt idx="6">
                  <c:v>8.8082031850231406</c:v>
                </c:pt>
                <c:pt idx="7">
                  <c:v>8.2130872254153804</c:v>
                </c:pt>
                <c:pt idx="8">
                  <c:v>9.3015891745697008</c:v>
                </c:pt>
                <c:pt idx="9">
                  <c:v>8.1747126912638901</c:v>
                </c:pt>
                <c:pt idx="10">
                  <c:v>8.4137453402932589</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709572096"/>
        <c:axId val="709573632"/>
      </c:lineChart>
      <c:catAx>
        <c:axId val="709572096"/>
        <c:scaling>
          <c:orientation val="minMax"/>
        </c:scaling>
        <c:delete val="0"/>
        <c:axPos val="b"/>
        <c:numFmt formatCode="General" sourceLinked="1"/>
        <c:majorTickMark val="out"/>
        <c:minorTickMark val="none"/>
        <c:tickLblPos val="nextTo"/>
        <c:crossAx val="709573632"/>
        <c:crosses val="autoZero"/>
        <c:auto val="1"/>
        <c:lblAlgn val="ctr"/>
        <c:lblOffset val="100"/>
        <c:noMultiLvlLbl val="0"/>
      </c:catAx>
      <c:valAx>
        <c:axId val="709573632"/>
        <c:scaling>
          <c:orientation val="minMax"/>
        </c:scaling>
        <c:delete val="0"/>
        <c:axPos val="l"/>
        <c:majorGridlines>
          <c:spPr>
            <a:ln w="3175">
              <a:prstDash val="sysDot"/>
            </a:ln>
          </c:spPr>
        </c:majorGridlines>
        <c:numFmt formatCode="#,##0.00" sourceLinked="1"/>
        <c:majorTickMark val="out"/>
        <c:minorTickMark val="none"/>
        <c:tickLblPos val="nextTo"/>
        <c:crossAx val="709572096"/>
        <c:crosses val="autoZero"/>
        <c:crossBetween val="between"/>
      </c:valAx>
    </c:plotArea>
    <c:plotVisOnly val="0"/>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netters'!$B$62</c:f>
          <c:strCache>
            <c:ptCount val="1"/>
            <c:pt idx="0">
              <c:v>Total cost per kW day at sea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'Gill netters'!$D$2:$N$2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'Gill netters'!$D$23:$N$23</c:f>
              <c:numCache>
                <c:formatCode>#,##0.00</c:formatCode>
                <c:ptCount val="11"/>
                <c:pt idx="0">
                  <c:v>7.4962223291492398</c:v>
                </c:pt>
                <c:pt idx="1">
                  <c:v>8.1769747999269793</c:v>
                </c:pt>
                <c:pt idx="2">
                  <c:v>5.8624992469196604</c:v>
                </c:pt>
                <c:pt idx="3">
                  <c:v>7.9609099935494596</c:v>
                </c:pt>
                <c:pt idx="4">
                  <c:v>6.77760534745999</c:v>
                </c:pt>
                <c:pt idx="5">
                  <c:v>6.9822374579428299</c:v>
                </c:pt>
                <c:pt idx="6">
                  <c:v>6.8165145834305596</c:v>
                </c:pt>
                <c:pt idx="7">
                  <c:v>6.1581652647554304</c:v>
                </c:pt>
                <c:pt idx="8">
                  <c:v>7.3954709771069398</c:v>
                </c:pt>
                <c:pt idx="9">
                  <c:v>7.1475691278942701</c:v>
                </c:pt>
                <c:pt idx="10">
                  <c:v>7.4111975356649218</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709616384"/>
        <c:axId val="709617920"/>
      </c:lineChart>
      <c:catAx>
        <c:axId val="709616384"/>
        <c:scaling>
          <c:orientation val="minMax"/>
        </c:scaling>
        <c:delete val="0"/>
        <c:axPos val="b"/>
        <c:numFmt formatCode="General" sourceLinked="1"/>
        <c:majorTickMark val="out"/>
        <c:minorTickMark val="none"/>
        <c:tickLblPos val="nextTo"/>
        <c:crossAx val="709617920"/>
        <c:crosses val="autoZero"/>
        <c:auto val="1"/>
        <c:lblAlgn val="ctr"/>
        <c:lblOffset val="100"/>
        <c:noMultiLvlLbl val="0"/>
      </c:catAx>
      <c:valAx>
        <c:axId val="709617920"/>
        <c:scaling>
          <c:orientation val="minMax"/>
        </c:scaling>
        <c:delete val="0"/>
        <c:axPos val="l"/>
        <c:majorGridlines>
          <c:spPr>
            <a:ln w="3175">
              <a:prstDash val="sysDot"/>
            </a:ln>
          </c:spPr>
        </c:majorGridlines>
        <c:numFmt formatCode="#,##0.00" sourceLinked="1"/>
        <c:majorTickMark val="out"/>
        <c:minorTickMark val="none"/>
        <c:tickLblPos val="nextTo"/>
        <c:crossAx val="709616384"/>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netters'!$K$48</c:f>
          <c:strCache>
            <c:ptCount val="1"/>
            <c:pt idx="0">
              <c:v>Operating profit per kW day at sea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'Gill netters'!$D$2:$N$2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'Gill netters'!$D$24:$N$24</c:f>
              <c:numCache>
                <c:formatCode>#,##0.00</c:formatCode>
                <c:ptCount val="11"/>
                <c:pt idx="0">
                  <c:v>0.89336073163563501</c:v>
                </c:pt>
                <c:pt idx="1">
                  <c:v>0.26218766992996201</c:v>
                </c:pt>
                <c:pt idx="2">
                  <c:v>2.3500603420000599</c:v>
                </c:pt>
                <c:pt idx="3">
                  <c:v>0.588899915844317</c:v>
                </c:pt>
                <c:pt idx="4">
                  <c:v>2.0994719881604702</c:v>
                </c:pt>
                <c:pt idx="5">
                  <c:v>0.89956654667424796</c:v>
                </c:pt>
                <c:pt idx="6">
                  <c:v>2.3544534550844101</c:v>
                </c:pt>
                <c:pt idx="7">
                  <c:v>2.8073468907247801</c:v>
                </c:pt>
                <c:pt idx="8">
                  <c:v>1.90635103204344</c:v>
                </c:pt>
                <c:pt idx="9">
                  <c:v>1.0760551332223101</c:v>
                </c:pt>
                <c:pt idx="10">
                  <c:v>1.0528895780582794</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709771264"/>
        <c:axId val="709772800"/>
      </c:lineChart>
      <c:catAx>
        <c:axId val="709771264"/>
        <c:scaling>
          <c:orientation val="minMax"/>
        </c:scaling>
        <c:delete val="0"/>
        <c:axPos val="b"/>
        <c:numFmt formatCode="General" sourceLinked="1"/>
        <c:majorTickMark val="out"/>
        <c:minorTickMark val="none"/>
        <c:tickLblPos val="nextTo"/>
        <c:crossAx val="709772800"/>
        <c:crosses val="autoZero"/>
        <c:auto val="1"/>
        <c:lblAlgn val="ctr"/>
        <c:lblOffset val="100"/>
        <c:noMultiLvlLbl val="0"/>
      </c:catAx>
      <c:valAx>
        <c:axId val="709772800"/>
        <c:scaling>
          <c:orientation val="minMax"/>
        </c:scaling>
        <c:delete val="0"/>
        <c:axPos val="l"/>
        <c:majorGridlines>
          <c:spPr>
            <a:ln w="3175">
              <a:prstDash val="sysDot"/>
            </a:ln>
          </c:spPr>
        </c:majorGridlines>
        <c:numFmt formatCode="#,##0.00" sourceLinked="1"/>
        <c:majorTickMark val="out"/>
        <c:minorTickMark val="none"/>
        <c:tickLblPos val="nextTo"/>
        <c:crossAx val="709771264"/>
        <c:crosses val="autoZero"/>
        <c:crossBetween val="between"/>
      </c:valAx>
    </c:plotArea>
    <c:plotVisOnly val="0"/>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netters'!$A$50</c:f>
          <c:strCache>
            <c:ptCount val="1"/>
            <c:pt idx="0">
              <c:v>Average price per tonne landed (£)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'Gill netters'!$D$2:$N$2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'Gill netters'!$D$20:$N$20</c:f>
              <c:numCache>
                <c:formatCode>#,##0</c:formatCode>
                <c:ptCount val="11"/>
                <c:pt idx="0">
                  <c:v>2758</c:v>
                </c:pt>
                <c:pt idx="1">
                  <c:v>2871</c:v>
                </c:pt>
                <c:pt idx="2">
                  <c:v>3256</c:v>
                </c:pt>
                <c:pt idx="3">
                  <c:v>2747</c:v>
                </c:pt>
                <c:pt idx="4">
                  <c:v>2371</c:v>
                </c:pt>
                <c:pt idx="5">
                  <c:v>2035</c:v>
                </c:pt>
                <c:pt idx="6">
                  <c:v>2283</c:v>
                </c:pt>
                <c:pt idx="7">
                  <c:v>2308</c:v>
                </c:pt>
                <c:pt idx="8">
                  <c:v>2326</c:v>
                </c:pt>
                <c:pt idx="9">
                  <c:v>1755</c:v>
                </c:pt>
                <c:pt idx="10">
                  <c:v>1641</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709803008"/>
        <c:axId val="709812992"/>
      </c:lineChart>
      <c:catAx>
        <c:axId val="709803008"/>
        <c:scaling>
          <c:orientation val="minMax"/>
        </c:scaling>
        <c:delete val="0"/>
        <c:axPos val="b"/>
        <c:numFmt formatCode="General" sourceLinked="1"/>
        <c:majorTickMark val="out"/>
        <c:minorTickMark val="none"/>
        <c:tickLblPos val="nextTo"/>
        <c:crossAx val="709812992"/>
        <c:crosses val="autoZero"/>
        <c:auto val="1"/>
        <c:lblAlgn val="ctr"/>
        <c:lblOffset val="100"/>
        <c:noMultiLvlLbl val="0"/>
      </c:catAx>
      <c:valAx>
        <c:axId val="709812992"/>
        <c:scaling>
          <c:orientation val="minMax"/>
        </c:scaling>
        <c:delete val="0"/>
        <c:axPos val="l"/>
        <c:majorGridlines>
          <c:spPr>
            <a:ln w="3175">
              <a:prstDash val="sysDot"/>
            </a:ln>
          </c:spPr>
        </c:majorGridlines>
        <c:numFmt formatCode="#,##0" sourceLinked="1"/>
        <c:majorTickMark val="out"/>
        <c:minorTickMark val="none"/>
        <c:tickLblPos val="nextTo"/>
        <c:crossAx val="709803008"/>
        <c:crosses val="autoZero"/>
        <c:crossBetween val="between"/>
      </c:valAx>
    </c:plotArea>
    <c:plotVisOnly val="0"/>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VIIa demersal trawl'!$K$62</c:f>
          <c:strCache>
            <c:ptCount val="1"/>
            <c:pt idx="0">
              <c:v>Average annual operating profit per vessel (£'000)
Area VIIA demersal trawl</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'Area VIIa demersal trawl'!$D$2:$N$2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'Area VIIa demersal trawl'!$D$37:$N$37</c:f>
              <c:numCache>
                <c:formatCode>#,##0.0</c:formatCode>
                <c:ptCount val="11"/>
                <c:pt idx="0">
                  <c:v>44.3</c:v>
                </c:pt>
                <c:pt idx="1">
                  <c:v>25.4</c:v>
                </c:pt>
                <c:pt idx="2">
                  <c:v>29.3</c:v>
                </c:pt>
                <c:pt idx="3">
                  <c:v>10.199999999999999</c:v>
                </c:pt>
                <c:pt idx="4">
                  <c:v>12.3</c:v>
                </c:pt>
                <c:pt idx="5">
                  <c:v>17.5</c:v>
                </c:pt>
                <c:pt idx="6">
                  <c:v>24.9</c:v>
                </c:pt>
                <c:pt idx="7">
                  <c:v>28.1</c:v>
                </c:pt>
                <c:pt idx="8">
                  <c:v>51.2</c:v>
                </c:pt>
                <c:pt idx="9">
                  <c:v>37.799999999999997</c:v>
                </c:pt>
                <c:pt idx="10">
                  <c:v>36.300000000000004</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615563264"/>
        <c:axId val="615564800"/>
      </c:lineChart>
      <c:catAx>
        <c:axId val="615563264"/>
        <c:scaling>
          <c:orientation val="minMax"/>
        </c:scaling>
        <c:delete val="0"/>
        <c:axPos val="b"/>
        <c:numFmt formatCode="General" sourceLinked="1"/>
        <c:majorTickMark val="out"/>
        <c:minorTickMark val="none"/>
        <c:tickLblPos val="nextTo"/>
        <c:crossAx val="615564800"/>
        <c:crosses val="autoZero"/>
        <c:auto val="1"/>
        <c:lblAlgn val="ctr"/>
        <c:lblOffset val="100"/>
        <c:noMultiLvlLbl val="0"/>
      </c:catAx>
      <c:valAx>
        <c:axId val="615564800"/>
        <c:scaling>
          <c:orientation val="minMax"/>
        </c:scaling>
        <c:delete val="0"/>
        <c:axPos val="l"/>
        <c:majorGridlines>
          <c:spPr>
            <a:ln w="3175">
              <a:prstDash val="sysDot"/>
            </a:ln>
          </c:spPr>
        </c:majorGridlines>
        <c:numFmt formatCode="#,##0.0" sourceLinked="1"/>
        <c:majorTickMark val="out"/>
        <c:minorTickMark val="none"/>
        <c:tickLblPos val="nextTo"/>
        <c:crossAx val="615563264"/>
        <c:crosses val="autoZero"/>
        <c:crossBetween val="between"/>
      </c:valAx>
    </c:plotArea>
    <c:plotVisOnly val="0"/>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netters'!$K$62</c:f>
          <c:strCache>
            <c:ptCount val="1"/>
            <c:pt idx="0">
              <c:v>Average annual operating profit per vessel (£'000)
Gill netters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'Gill netters'!$D$2:$N$2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'Gill netters'!$D$37:$N$37</c:f>
              <c:numCache>
                <c:formatCode>#,##0.0</c:formatCode>
                <c:ptCount val="11"/>
                <c:pt idx="0">
                  <c:v>43.8</c:v>
                </c:pt>
                <c:pt idx="1">
                  <c:v>13.3</c:v>
                </c:pt>
                <c:pt idx="2">
                  <c:v>129.69999999999999</c:v>
                </c:pt>
                <c:pt idx="3">
                  <c:v>35.200000000000003</c:v>
                </c:pt>
                <c:pt idx="4">
                  <c:v>125.1</c:v>
                </c:pt>
                <c:pt idx="5">
                  <c:v>59.5</c:v>
                </c:pt>
                <c:pt idx="6">
                  <c:v>151</c:v>
                </c:pt>
                <c:pt idx="7">
                  <c:v>196</c:v>
                </c:pt>
                <c:pt idx="8">
                  <c:v>127.5</c:v>
                </c:pt>
                <c:pt idx="9">
                  <c:v>62.5</c:v>
                </c:pt>
                <c:pt idx="10">
                  <c:v>65.900000000000006</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709900544"/>
        <c:axId val="709902336"/>
      </c:lineChart>
      <c:catAx>
        <c:axId val="709900544"/>
        <c:scaling>
          <c:orientation val="minMax"/>
        </c:scaling>
        <c:delete val="0"/>
        <c:axPos val="b"/>
        <c:numFmt formatCode="General" sourceLinked="1"/>
        <c:majorTickMark val="out"/>
        <c:minorTickMark val="none"/>
        <c:tickLblPos val="nextTo"/>
        <c:crossAx val="709902336"/>
        <c:crosses val="autoZero"/>
        <c:auto val="1"/>
        <c:lblAlgn val="ctr"/>
        <c:lblOffset val="100"/>
        <c:noMultiLvlLbl val="0"/>
      </c:catAx>
      <c:valAx>
        <c:axId val="709902336"/>
        <c:scaling>
          <c:orientation val="minMax"/>
        </c:scaling>
        <c:delete val="0"/>
        <c:axPos val="l"/>
        <c:majorGridlines>
          <c:spPr>
            <a:ln w="3175">
              <a:prstDash val="sysDot"/>
            </a:ln>
          </c:spPr>
        </c:majorGridlines>
        <c:numFmt formatCode="#,##0.0" sourceLinked="1"/>
        <c:majorTickMark val="out"/>
        <c:minorTickMark val="none"/>
        <c:tickLblPos val="nextTo"/>
        <c:crossAx val="709900544"/>
        <c:crosses val="autoZero"/>
        <c:crossBetween val="between"/>
      </c:valAx>
    </c:plotArea>
    <c:plotVisOnly val="0"/>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'Gill netters'!$A$76</c:f>
          <c:strCache>
            <c:ptCount val="1"/>
            <c:pt idx="0">
              <c:v>Top 5 landed species by volume in 2017
Gill netters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E84A38"/>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E87308"/>
              </a:solidFill>
              <a:ln>
                <a:solidFill>
                  <a:srgbClr val="FFFFFF"/>
                </a:solidFill>
              </a:ln>
            </c:spPr>
          </c:dPt>
          <c:dPt>
            <c:idx val="3"/>
            <c:bubble3D val="0"/>
            <c:spPr>
              <a:solidFill>
                <a:srgbClr val="648C2E"/>
              </a:solidFill>
              <a:ln>
                <a:solidFill>
                  <a:srgbClr val="FFFFFF"/>
                </a:solidFill>
              </a:ln>
            </c:spPr>
          </c:dPt>
          <c:dPt>
            <c:idx val="4"/>
            <c:bubble3D val="0"/>
            <c:spPr>
              <a:solidFill>
                <a:srgbClr val="0F9AA9"/>
              </a:solidFill>
              <a:ln>
                <a:solidFill>
                  <a:srgbClr val="FFFFFF"/>
                </a:solidFill>
              </a:ln>
            </c:spPr>
          </c:dPt>
          <c:dPt>
            <c:idx val="5"/>
            <c:bubble3D val="0"/>
            <c:spPr>
              <a:solidFill>
                <a:srgbClr val="55585A"/>
              </a:solidFill>
              <a:ln>
                <a:solidFill>
                  <a:srgbClr val="FFFFFF"/>
                </a:solidFill>
              </a:ln>
            </c:spPr>
          </c:dPt>
          <c:cat>
            <c:strRef>
              <c:f>'Gill netters'!$B$77:$B$82</c:f>
              <c:strCache>
                <c:ptCount val="6"/>
                <c:pt idx="0">
                  <c:v>Anglerfish - 40.3%</c:v>
                </c:pt>
                <c:pt idx="1">
                  <c:v>Pilchards - 21.3%</c:v>
                </c:pt>
                <c:pt idx="2">
                  <c:v>Hake - 19.3%</c:v>
                </c:pt>
                <c:pt idx="3">
                  <c:v>Pollack - 7.0%</c:v>
                </c:pt>
                <c:pt idx="4">
                  <c:v>Ling - 1.9%</c:v>
                </c:pt>
                <c:pt idx="5">
                  <c:v>Others - 10.3%</c:v>
                </c:pt>
              </c:strCache>
            </c:strRef>
          </c:cat>
          <c:val>
            <c:numRef>
              <c:f>'Gill netters'!$C$77:$C$82</c:f>
              <c:numCache>
                <c:formatCode>0.0%</c:formatCode>
                <c:ptCount val="6"/>
                <c:pt idx="0">
                  <c:v>0.40265404987857417</c:v>
                </c:pt>
                <c:pt idx="1">
                  <c:v>0.21303260824204298</c:v>
                </c:pt>
                <c:pt idx="2">
                  <c:v>0.19262216515234662</c:v>
                </c:pt>
                <c:pt idx="3">
                  <c:v>6.9839931747058576E-2</c:v>
                </c:pt>
                <c:pt idx="4">
                  <c:v>1.9115706742419351E-2</c:v>
                </c:pt>
                <c:pt idx="5">
                  <c:v>0.10273553823755821</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'Gill netters'!$F$76</c:f>
          <c:strCache>
            <c:ptCount val="1"/>
            <c:pt idx="0">
              <c:v>Top 5 landed species by value in 2017
Gill netters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'Gill netters'!$G$77:$G$82</c:f>
              <c:strCache>
                <c:ptCount val="6"/>
                <c:pt idx="0">
                  <c:v>Anglerfish - 41.4%</c:v>
                </c:pt>
                <c:pt idx="1">
                  <c:v>Hake - 27.5%</c:v>
                </c:pt>
                <c:pt idx="2">
                  <c:v>Pollack - 8.4%</c:v>
                </c:pt>
                <c:pt idx="3">
                  <c:v>Turbot - 8.1%</c:v>
                </c:pt>
                <c:pt idx="4">
                  <c:v>Pilchards - 3.6%</c:v>
                </c:pt>
                <c:pt idx="5">
                  <c:v>Others - 11.1%</c:v>
                </c:pt>
              </c:strCache>
            </c:strRef>
          </c:cat>
          <c:val>
            <c:numRef>
              <c:f>'Gill netters'!$H$77:$H$82</c:f>
              <c:numCache>
                <c:formatCode>0.0%</c:formatCode>
                <c:ptCount val="6"/>
                <c:pt idx="0">
                  <c:v>0.41364747874186542</c:v>
                </c:pt>
                <c:pt idx="1">
                  <c:v>0.27541529836844592</c:v>
                </c:pt>
                <c:pt idx="2">
                  <c:v>8.3808117155433584E-2</c:v>
                </c:pt>
                <c:pt idx="3">
                  <c:v>8.0779393003640329E-2</c:v>
                </c:pt>
                <c:pt idx="4">
                  <c:v>3.5705415759965893E-2</c:v>
                </c:pt>
                <c:pt idx="5">
                  <c:v>0.11064429697064893</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'Gill netters'!$C$92</c:f>
              <c:strCache>
                <c:ptCount val="1"/>
                <c:pt idx="0">
                  <c:v>Anglerfish</c:v>
                </c:pt>
              </c:strCache>
            </c:strRef>
          </c:tx>
          <c:spPr>
            <a:solidFill>
              <a:srgbClr val="2273B9"/>
            </a:solidFill>
            <a:ln>
              <a:solidFill>
                <a:srgbClr val="FFFFFF"/>
              </a:solidFill>
            </a:ln>
          </c:spPr>
          <c:invertIfNegative val="0"/>
          <c:cat>
            <c:numRef>
              <c:f>'Gill netters'!$D$91:$M$91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'Gill netters'!$D$92:$M$92</c:f>
              <c:numCache>
                <c:formatCode>0%</c:formatCode>
                <c:ptCount val="10"/>
                <c:pt idx="0">
                  <c:v>0.56001040961825888</c:v>
                </c:pt>
                <c:pt idx="1">
                  <c:v>0.56730068331598471</c:v>
                </c:pt>
                <c:pt idx="2">
                  <c:v>0.56190841882339349</c:v>
                </c:pt>
                <c:pt idx="3">
                  <c:v>0.57523119426590141</c:v>
                </c:pt>
                <c:pt idx="4">
                  <c:v>0.50053821622016859</c:v>
                </c:pt>
                <c:pt idx="5">
                  <c:v>0.5264204761957747</c:v>
                </c:pt>
                <c:pt idx="6">
                  <c:v>0.53102206261319262</c:v>
                </c:pt>
                <c:pt idx="7">
                  <c:v>0.50246725849183882</c:v>
                </c:pt>
                <c:pt idx="8">
                  <c:v>0.41364747874186542</c:v>
                </c:pt>
                <c:pt idx="9">
                  <c:v>0.3705692937523174</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'Gill netters'!$C$93</c:f>
              <c:strCache>
                <c:ptCount val="1"/>
                <c:pt idx="0">
                  <c:v>Hake</c:v>
                </c:pt>
              </c:strCache>
            </c:strRef>
          </c:tx>
          <c:spPr>
            <a:solidFill>
              <a:srgbClr val="E87308"/>
            </a:solidFill>
            <a:ln>
              <a:solidFill>
                <a:srgbClr val="FFFFFF"/>
              </a:solidFill>
            </a:ln>
          </c:spPr>
          <c:invertIfNegative val="0"/>
          <c:cat>
            <c:numRef>
              <c:f>'Gill netters'!$D$91:$M$91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'Gill netters'!$D$93:$M$93</c:f>
              <c:numCache>
                <c:formatCode>0%</c:formatCode>
                <c:ptCount val="10"/>
                <c:pt idx="0">
                  <c:v>8.3606859146253154E-2</c:v>
                </c:pt>
                <c:pt idx="1">
                  <c:v>4.2461333801720187E-2</c:v>
                </c:pt>
                <c:pt idx="2">
                  <c:v>3.7082954430391439E-2</c:v>
                </c:pt>
                <c:pt idx="3">
                  <c:v>6.5558195519216281E-2</c:v>
                </c:pt>
                <c:pt idx="4">
                  <c:v>0.13889152150558803</c:v>
                </c:pt>
                <c:pt idx="5">
                  <c:v>0.11614284088730938</c:v>
                </c:pt>
                <c:pt idx="6">
                  <c:v>0.17386423956225144</c:v>
                </c:pt>
                <c:pt idx="7">
                  <c:v>0.15024753196050067</c:v>
                </c:pt>
                <c:pt idx="8">
                  <c:v>0.27541529836844592</c:v>
                </c:pt>
                <c:pt idx="9">
                  <c:v>0.38965204363235623</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'Gill netters'!$C$94</c:f>
              <c:strCache>
                <c:ptCount val="1"/>
                <c:pt idx="0">
                  <c:v>Pollack</c:v>
                </c:pt>
              </c:strCache>
            </c:strRef>
          </c:tx>
          <c:spPr>
            <a:solidFill>
              <a:srgbClr val="648C2E"/>
            </a:solidFill>
            <a:ln>
              <a:solidFill>
                <a:srgbClr val="FFFFFF"/>
              </a:solidFill>
            </a:ln>
          </c:spPr>
          <c:invertIfNegative val="0"/>
          <c:cat>
            <c:numRef>
              <c:f>'Gill netters'!$D$91:$M$91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'Gill netters'!$D$94:$M$94</c:f>
              <c:numCache>
                <c:formatCode>0%</c:formatCode>
                <c:ptCount val="10"/>
                <c:pt idx="0">
                  <c:v>0.1233907116743671</c:v>
                </c:pt>
                <c:pt idx="1">
                  <c:v>0.13480998764818536</c:v>
                </c:pt>
                <c:pt idx="2">
                  <c:v>0.14415439600965138</c:v>
                </c:pt>
                <c:pt idx="3">
                  <c:v>0.12690829999696862</c:v>
                </c:pt>
                <c:pt idx="4">
                  <c:v>0.1263971882716223</c:v>
                </c:pt>
                <c:pt idx="5">
                  <c:v>8.9997113815497076E-2</c:v>
                </c:pt>
                <c:pt idx="6">
                  <c:v>0.10451047323682797</c:v>
                </c:pt>
                <c:pt idx="7">
                  <c:v>0.13816913933642477</c:v>
                </c:pt>
                <c:pt idx="8">
                  <c:v>8.3808117155433584E-2</c:v>
                </c:pt>
                <c:pt idx="9">
                  <c:v>4.7060228717925583E-2</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'Gill netters'!$C$95</c:f>
              <c:strCache>
                <c:ptCount val="1"/>
                <c:pt idx="0">
                  <c:v>Turbot</c:v>
                </c:pt>
              </c:strCache>
            </c:strRef>
          </c:tx>
          <c:spPr>
            <a:solidFill>
              <a:srgbClr val="C1D119"/>
            </a:solidFill>
            <a:ln>
              <a:solidFill>
                <a:srgbClr val="FFFFFF"/>
              </a:solidFill>
            </a:ln>
          </c:spPr>
          <c:invertIfNegative val="0"/>
          <c:cat>
            <c:numRef>
              <c:f>'Gill netters'!$D$91:$M$91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'Gill netters'!$D$95:$M$95</c:f>
              <c:numCache>
                <c:formatCode>0%</c:formatCode>
                <c:ptCount val="10"/>
                <c:pt idx="0">
                  <c:v>4.2622144621504432E-2</c:v>
                </c:pt>
                <c:pt idx="1">
                  <c:v>6.0372990806558925E-2</c:v>
                </c:pt>
                <c:pt idx="2">
                  <c:v>7.311266471607486E-2</c:v>
                </c:pt>
                <c:pt idx="3">
                  <c:v>4.9969454368988871E-2</c:v>
                </c:pt>
                <c:pt idx="4">
                  <c:v>4.583962700586644E-2</c:v>
                </c:pt>
                <c:pt idx="5">
                  <c:v>5.7566587462359937E-2</c:v>
                </c:pt>
                <c:pt idx="6">
                  <c:v>7.4084531282658544E-2</c:v>
                </c:pt>
                <c:pt idx="7">
                  <c:v>6.2957726183678231E-2</c:v>
                </c:pt>
                <c:pt idx="8">
                  <c:v>8.0779393003640329E-2</c:v>
                </c:pt>
                <c:pt idx="9">
                  <c:v>5.4483398455108974E-2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'Gill netters'!$C$96</c:f>
              <c:strCache>
                <c:ptCount val="1"/>
                <c:pt idx="0">
                  <c:v>Pilchards</c:v>
                </c:pt>
              </c:strCache>
            </c:strRef>
          </c:tx>
          <c:spPr>
            <a:solidFill>
              <a:srgbClr val="E84A38"/>
            </a:solidFill>
            <a:ln>
              <a:solidFill>
                <a:srgbClr val="FFFFFF"/>
              </a:solidFill>
            </a:ln>
          </c:spPr>
          <c:invertIfNegative val="0"/>
          <c:cat>
            <c:numRef>
              <c:f>'Gill netters'!$D$91:$M$91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'Gill netters'!$D$96:$M$96</c:f>
              <c:numCache>
                <c:formatCode>0%</c:formatCode>
                <c:ptCount val="10"/>
                <c:pt idx="4">
                  <c:v>4.9230613473122936E-2</c:v>
                </c:pt>
                <c:pt idx="6">
                  <c:v>2.1254795697274315E-2</c:v>
                </c:pt>
                <c:pt idx="8">
                  <c:v>3.5705415759965893E-2</c:v>
                </c:pt>
                <c:pt idx="9">
                  <c:v>4.6793336568798943E-2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'Gill netters'!$C$97</c:f>
              <c:strCache>
                <c:ptCount val="1"/>
                <c:pt idx="0">
                  <c:v>Cod</c:v>
                </c:pt>
              </c:strCache>
            </c:strRef>
          </c:tx>
          <c:spPr>
            <a:solidFill>
              <a:srgbClr val="0F9AA9"/>
            </a:solidFill>
            <a:ln>
              <a:solidFill>
                <a:srgbClr val="FFFFFF"/>
              </a:solidFill>
            </a:ln>
          </c:spPr>
          <c:invertIfNegative val="0"/>
          <c:cat>
            <c:numRef>
              <c:f>'Gill netters'!$D$91:$M$91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'Gill netters'!$D$97:$M$97</c:f>
              <c:numCache>
                <c:formatCode>0%</c:formatCode>
                <c:ptCount val="10"/>
                <c:pt idx="0">
                  <c:v>6.8168452816490685E-2</c:v>
                </c:pt>
                <c:pt idx="1">
                  <c:v>5.5413377031452611E-2</c:v>
                </c:pt>
                <c:pt idx="2">
                  <c:v>4.2064316781220717E-2</c:v>
                </c:pt>
                <c:pt idx="3">
                  <c:v>4.6678147111365233E-2</c:v>
                </c:pt>
                <c:pt idx="7">
                  <c:v>2.6820950027011702E-2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'Gill netters'!$C$98</c:f>
              <c:strCache>
                <c:ptCount val="1"/>
                <c:pt idx="0">
                  <c:v>Plaice</c:v>
                </c:pt>
              </c:strCache>
            </c:strRef>
          </c:tx>
          <c:spPr>
            <a:solidFill>
              <a:srgbClr val="FED825"/>
            </a:solidFill>
            <a:ln>
              <a:solidFill>
                <a:srgbClr val="FFFFFF"/>
              </a:solidFill>
            </a:ln>
          </c:spPr>
          <c:invertIfNegative val="0"/>
          <c:cat>
            <c:numRef>
              <c:f>'Gill netters'!$D$91:$M$91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'Gill netters'!$D$98:$M$98</c:f>
              <c:numCache>
                <c:formatCode>0%</c:formatCode>
                <c:ptCount val="10"/>
                <c:pt idx="5">
                  <c:v>3.5113066632180112E-2</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'Gill netters'!$C$99</c:f>
              <c:strCache>
                <c:ptCount val="1"/>
                <c:pt idx="0">
                  <c:v>Others</c:v>
                </c:pt>
              </c:strCache>
            </c:strRef>
          </c:tx>
          <c:spPr>
            <a:solidFill>
              <a:srgbClr val="55585A"/>
            </a:solidFill>
            <a:ln>
              <a:solidFill>
                <a:srgbClr val="FFFFFF"/>
              </a:solidFill>
            </a:ln>
          </c:spPr>
          <c:invertIfNegative val="0"/>
          <c:cat>
            <c:numRef>
              <c:f>'Gill netters'!$D$91:$M$91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'Gill netters'!$D$99:$M$99</c:f>
              <c:numCache>
                <c:formatCode>0%</c:formatCode>
                <c:ptCount val="10"/>
                <c:pt idx="0">
                  <c:v>0.12220142212312576</c:v>
                </c:pt>
                <c:pt idx="1">
                  <c:v>0.13964162739609826</c:v>
                </c:pt>
                <c:pt idx="2">
                  <c:v>0.14167724923926811</c:v>
                </c:pt>
                <c:pt idx="3">
                  <c:v>0.13565470873755961</c:v>
                </c:pt>
                <c:pt idx="4">
                  <c:v>0.13910283352363167</c:v>
                </c:pt>
                <c:pt idx="5">
                  <c:v>0.17475991500687876</c:v>
                </c:pt>
                <c:pt idx="6">
                  <c:v>9.526389760779512E-2</c:v>
                </c:pt>
                <c:pt idx="7">
                  <c:v>0.11933739400054581</c:v>
                </c:pt>
                <c:pt idx="8">
                  <c:v>0.11064429697064883</c:v>
                </c:pt>
                <c:pt idx="9">
                  <c:v>9.1441698873492933E-2</c:v>
                </c:pt>
              </c:numCache>
            </c:numRef>
          </c:val>
          <c:extLst xmlns:c16r2="http://schemas.microsoft.com/office/drawing/2015/06/chart">
            <c:ext xmlns:c16="http://schemas.microsoft.com/office/drawing/2014/chart" uri="{C3380CC4-5D6E-409C-BE32-E72D297353CC}">
              <c16:uniqueId val="{00000007-282A-42F3-A8CE-7B6B063B5E4F}"/>
            </c:ext>
          </c:extLst>
        </c:ser>
        <c:dLbls>
          <c:showLegendKey val="0"/>
          <c:showVal val="0"/>
          <c:showCatName val="0"/>
          <c:showSerName val="0"/>
          <c:showPercent val="0"/>
          <c:showBubbleSize val="0"/>
        </c:dLbls>
        <c:gapWidth val="150"/>
        <c:overlap val="100"/>
        <c:axId val="710098304"/>
        <c:axId val="710116480"/>
      </c:barChart>
      <c:catAx>
        <c:axId val="710098304"/>
        <c:scaling>
          <c:orientation val="minMax"/>
        </c:scaling>
        <c:delete val="0"/>
        <c:axPos val="b"/>
        <c:numFmt formatCode="General" sourceLinked="1"/>
        <c:majorTickMark val="out"/>
        <c:minorTickMark val="none"/>
        <c:tickLblPos val="nextTo"/>
        <c:crossAx val="710116480"/>
        <c:crosses val="autoZero"/>
        <c:auto val="1"/>
        <c:lblAlgn val="ctr"/>
        <c:lblOffset val="100"/>
        <c:noMultiLvlLbl val="0"/>
      </c:catAx>
      <c:valAx>
        <c:axId val="710116480"/>
        <c:scaling>
          <c:orientation val="minMax"/>
          <c:max val="1"/>
          <c:min val="0"/>
        </c:scaling>
        <c:delete val="0"/>
        <c:axPos val="l"/>
        <c:majorGridlines/>
        <c:numFmt formatCode="0%" sourceLinked="1"/>
        <c:majorTickMark val="out"/>
        <c:minorTickMark val="none"/>
        <c:tickLblPos val="nextTo"/>
        <c:crossAx val="710098304"/>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'Gill netters'!$B$162</c:f>
              <c:strCache>
                <c:ptCount val="1"/>
                <c:pt idx="0">
                  <c:v>Hake</c:v>
                </c:pt>
              </c:strCache>
            </c:strRef>
          </c:tx>
          <c:spPr>
            <a:solidFill>
              <a:srgbClr val="E87308"/>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netters'!$C$162:$E$162</c:f>
              <c:numCache>
                <c:formatCode>0%</c:formatCode>
                <c:ptCount val="3"/>
                <c:pt idx="0">
                  <c:v>0.27943944603745707</c:v>
                </c:pt>
                <c:pt idx="1">
                  <c:v>0.2830404222011344</c:v>
                </c:pt>
                <c:pt idx="2">
                  <c:v>2.0480076903394744E-2</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'Gill netters'!$B$163</c:f>
              <c:strCache>
                <c:ptCount val="1"/>
                <c:pt idx="0">
                  <c:v>Pilchards</c:v>
                </c:pt>
              </c:strCache>
            </c:strRef>
          </c:tx>
          <c:spPr>
            <a:solidFill>
              <a:srgbClr val="E84A38"/>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netters'!$C$163:$E$163</c:f>
              <c:numCache>
                <c:formatCode>0%</c:formatCode>
                <c:ptCount val="3"/>
                <c:pt idx="0">
                  <c:v>0.11103916956866587</c:v>
                </c:pt>
                <c:pt idx="1">
                  <c:v>0.23076187716775748</c:v>
                </c:pt>
                <c:pt idx="2">
                  <c:v>0</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'Gill netters'!$B$164</c:f>
              <c:strCache>
                <c:ptCount val="1"/>
                <c:pt idx="0">
                  <c:v>Anglerfish</c:v>
                </c:pt>
              </c:strCache>
            </c:strRef>
          </c:tx>
          <c:spPr>
            <a:solidFill>
              <a:srgbClr val="2273B9"/>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netters'!$C$164:$E$164</c:f>
              <c:numCache>
                <c:formatCode>0%</c:formatCode>
                <c:ptCount val="3"/>
                <c:pt idx="0">
                  <c:v>0.50040759689955794</c:v>
                </c:pt>
                <c:pt idx="1">
                  <c:v>0.17898357094345035</c:v>
                </c:pt>
                <c:pt idx="2">
                  <c:v>0.83161233814013369</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'Gill netters'!$B$165</c:f>
              <c:strCache>
                <c:ptCount val="1"/>
                <c:pt idx="0">
                  <c:v>Pollack</c:v>
                </c:pt>
              </c:strCache>
            </c:strRef>
          </c:tx>
          <c:spPr>
            <a:solidFill>
              <a:srgbClr val="648C2E"/>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netters'!$C$165:$E$165</c:f>
              <c:numCache>
                <c:formatCode>0%</c:formatCode>
                <c:ptCount val="3"/>
                <c:pt idx="0">
                  <c:v>1.8562928530804164E-2</c:v>
                </c:pt>
                <c:pt idx="1">
                  <c:v>0.12393425448951662</c:v>
                </c:pt>
                <c:pt idx="2">
                  <c:v>3.9255596230913188E-2</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'Gill netters'!$B$166</c:f>
              <c:strCache>
                <c:ptCount val="1"/>
                <c:pt idx="0">
                  <c:v>Cod</c:v>
                </c:pt>
              </c:strCache>
            </c:strRef>
          </c:tx>
          <c:spPr>
            <a:solidFill>
              <a:srgbClr val="FED825"/>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netters'!$C$166:$E$166</c:f>
              <c:numCache>
                <c:formatCode>0%</c:formatCode>
                <c:ptCount val="3"/>
                <c:pt idx="0">
                  <c:v>0</c:v>
                </c:pt>
                <c:pt idx="1">
                  <c:v>3.6434650064113609E-2</c:v>
                </c:pt>
                <c:pt idx="2">
                  <c:v>0</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'Gill netters'!$B$167</c:f>
              <c:strCache>
                <c:ptCount val="1"/>
                <c:pt idx="0">
                  <c:v>Ling</c:v>
                </c:pt>
              </c:strCache>
            </c:strRef>
          </c:tx>
          <c:spPr>
            <a:solidFill>
              <a:srgbClr val="0F9AA9"/>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netters'!$C$167:$E$167</c:f>
              <c:numCache>
                <c:formatCode>0%</c:formatCode>
                <c:ptCount val="3"/>
                <c:pt idx="0">
                  <c:v>1.8241738075701775E-2</c:v>
                </c:pt>
                <c:pt idx="1">
                  <c:v>0</c:v>
                </c:pt>
                <c:pt idx="2">
                  <c:v>1.836092197531964E-2</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'Gill netters'!$B$168</c:f>
              <c:strCache>
                <c:ptCount val="1"/>
                <c:pt idx="0">
                  <c:v>Turbot</c:v>
                </c:pt>
              </c:strCache>
            </c:strRef>
          </c:tx>
          <c:spPr>
            <a:solidFill>
              <a:srgbClr val="C1D119"/>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netters'!$C$168:$E$168</c:f>
              <c:numCache>
                <c:formatCode>0%</c:formatCode>
                <c:ptCount val="3"/>
                <c:pt idx="0">
                  <c:v>0</c:v>
                </c:pt>
                <c:pt idx="1">
                  <c:v>0</c:v>
                </c:pt>
                <c:pt idx="2">
                  <c:v>1.1097428400808152E-2</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'Gill netters'!$B$169</c:f>
              <c:strCache>
                <c:ptCount val="1"/>
                <c:pt idx="0">
                  <c:v>Others</c:v>
                </c:pt>
              </c:strCache>
            </c:strRef>
          </c:tx>
          <c:spPr>
            <a:solidFill>
              <a:srgbClr val="55585A"/>
            </a:solidFill>
            <a:ln>
              <a:solidFill>
                <a:srgbClr val="FFFFFF"/>
              </a:solidFill>
            </a:ln>
          </c:spPr>
          <c:invertIfNegative val="0"/>
          <c:cat>
            <c:strRef>
              <c:f>'Gill netters'!$C$161:$E$161</c:f>
              <c:strCache>
                <c:ptCount val="3"/>
                <c:pt idx="0">
                  <c:v>Most
profitable
quartile</c:v>
                </c:pt>
                <c:pt idx="1">
                  <c:v>Middle 
two quartiles</c:v>
                </c:pt>
                <c:pt idx="2">
                  <c:v>Least
profitable
quartile</c:v>
                </c:pt>
              </c:strCache>
            </c:strRef>
          </c:cat>
          <c:val>
            <c:numRef>
              <c:f>'Gill netters'!$C$169:$E$169</c:f>
              <c:numCache>
                <c:formatCode>0%</c:formatCode>
                <c:ptCount val="3"/>
                <c:pt idx="0">
                  <c:v>7.2309120887813161E-2</c:v>
                </c:pt>
                <c:pt idx="1">
                  <c:v>0.14684522513402765</c:v>
                </c:pt>
                <c:pt idx="2">
                  <c:v>7.9193638349430495E-2</c:v>
                </c:pt>
              </c:numCache>
            </c:numRef>
          </c:val>
          <c:extLst xmlns:c16r2="http://schemas.microsoft.com/office/drawing/2015/06/chart">
            <c:ext xmlns:c16="http://schemas.microsoft.com/office/drawing/2014/chart" uri="{C3380CC4-5D6E-409C-BE32-E72D297353CC}">
              <c16:uniqueId val="{00000007-DFDD-4C01-8393-1BE532AE55F9}"/>
            </c:ext>
          </c:extLst>
        </c:ser>
        <c:dLbls>
          <c:showLegendKey val="0"/>
          <c:showVal val="0"/>
          <c:showCatName val="0"/>
          <c:showSerName val="0"/>
          <c:showPercent val="0"/>
          <c:showBubbleSize val="0"/>
        </c:dLbls>
        <c:gapWidth val="150"/>
        <c:overlap val="100"/>
        <c:axId val="710170880"/>
        <c:axId val="710193152"/>
      </c:barChart>
      <c:catAx>
        <c:axId val="710170880"/>
        <c:scaling>
          <c:orientation val="minMax"/>
        </c:scaling>
        <c:delete val="0"/>
        <c:axPos val="b"/>
        <c:numFmt formatCode="General" sourceLinked="0"/>
        <c:majorTickMark val="out"/>
        <c:minorTickMark val="none"/>
        <c:tickLblPos val="nextTo"/>
        <c:crossAx val="710193152"/>
        <c:crosses val="autoZero"/>
        <c:auto val="1"/>
        <c:lblAlgn val="ctr"/>
        <c:lblOffset val="100"/>
        <c:noMultiLvlLbl val="0"/>
      </c:catAx>
      <c:valAx>
        <c:axId val="710193152"/>
        <c:scaling>
          <c:orientation val="minMax"/>
          <c:max val="1"/>
          <c:min val="0"/>
        </c:scaling>
        <c:delete val="0"/>
        <c:axPos val="l"/>
        <c:majorGridlines/>
        <c:minorGridlines/>
        <c:numFmt formatCode="0%" sourceLinked="1"/>
        <c:majorTickMark val="out"/>
        <c:minorTickMark val="none"/>
        <c:tickLblPos val="nextTo"/>
        <c:crossAx val="710170880"/>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'Gill netters'!$H$162</c:f>
              <c:strCache>
                <c:ptCount val="1"/>
                <c:pt idx="0">
                  <c:v>Hake</c:v>
                </c:pt>
              </c:strCache>
            </c:strRef>
          </c:tx>
          <c:spPr>
            <a:solidFill>
              <a:srgbClr val="E87308"/>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netters'!$I$162:$K$162</c:f>
              <c:numCache>
                <c:formatCode>0%</c:formatCode>
                <c:ptCount val="3"/>
                <c:pt idx="0">
                  <c:v>0.30556651755243447</c:v>
                </c:pt>
                <c:pt idx="1">
                  <c:v>0.29337855062498269</c:v>
                </c:pt>
                <c:pt idx="2">
                  <c:v>4.1331586313758092E-2</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'Gill netters'!$H$163</c:f>
              <c:strCache>
                <c:ptCount val="1"/>
                <c:pt idx="0">
                  <c:v>Anglerfish</c:v>
                </c:pt>
              </c:strCache>
            </c:strRef>
          </c:tx>
          <c:spPr>
            <a:solidFill>
              <a:srgbClr val="2273B9"/>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netters'!$I$163:$K$163</c:f>
              <c:numCache>
                <c:formatCode>0%</c:formatCode>
                <c:ptCount val="3"/>
                <c:pt idx="0">
                  <c:v>0.57146690015842683</c:v>
                </c:pt>
                <c:pt idx="1">
                  <c:v>0.20859538083891965</c:v>
                </c:pt>
                <c:pt idx="2">
                  <c:v>0.65401381689444016</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'Gill netters'!$H$164</c:f>
              <c:strCache>
                <c:ptCount val="1"/>
                <c:pt idx="0">
                  <c:v>Pollack</c:v>
                </c:pt>
              </c:strCache>
            </c:strRef>
          </c:tx>
          <c:spPr>
            <a:solidFill>
              <a:srgbClr val="648C2E"/>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netters'!$I$164:$K$164</c:f>
              <c:numCache>
                <c:formatCode>0%</c:formatCode>
                <c:ptCount val="3"/>
                <c:pt idx="0">
                  <c:v>1.802061822816612E-2</c:v>
                </c:pt>
                <c:pt idx="1">
                  <c:v>0.16320888274926768</c:v>
                </c:pt>
                <c:pt idx="2">
                  <c:v>8.2407171065620122E-2</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'Gill netters'!$H$165</c:f>
              <c:strCache>
                <c:ptCount val="1"/>
                <c:pt idx="0">
                  <c:v>Turbot</c:v>
                </c:pt>
              </c:strCache>
            </c:strRef>
          </c:tx>
          <c:spPr>
            <a:solidFill>
              <a:srgbClr val="C1D119"/>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netters'!$I$165:$K$165</c:f>
              <c:numCache>
                <c:formatCode>0%</c:formatCode>
                <c:ptCount val="3"/>
                <c:pt idx="0">
                  <c:v>1.9758453012089335E-2</c:v>
                </c:pt>
                <c:pt idx="1">
                  <c:v>0.15735026532744656</c:v>
                </c:pt>
                <c:pt idx="2">
                  <c:v>6.3411513918586709E-2</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'Gill netters'!$H$166</c:f>
              <c:strCache>
                <c:ptCount val="1"/>
                <c:pt idx="0">
                  <c:v>Pilchards</c:v>
                </c:pt>
              </c:strCache>
            </c:strRef>
          </c:tx>
          <c:spPr>
            <a:solidFill>
              <a:srgbClr val="E84A38"/>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netters'!$I$166:$K$166</c:f>
              <c:numCache>
                <c:formatCode>0%</c:formatCode>
                <c:ptCount val="3"/>
                <c:pt idx="0">
                  <c:v>0</c:v>
                </c:pt>
                <c:pt idx="1">
                  <c:v>7.0181604506893966E-2</c:v>
                </c:pt>
                <c:pt idx="2">
                  <c:v>0</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'Gill netters'!$H$167</c:f>
              <c:strCache>
                <c:ptCount val="1"/>
                <c:pt idx="0">
                  <c:v>Brill</c:v>
                </c:pt>
              </c:strCache>
            </c:strRef>
          </c:tx>
          <c:spPr>
            <a:solidFill>
              <a:srgbClr val="707271"/>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netters'!$I$167:$K$167</c:f>
              <c:numCache>
                <c:formatCode>0%</c:formatCode>
                <c:ptCount val="3"/>
                <c:pt idx="0">
                  <c:v>0</c:v>
                </c:pt>
                <c:pt idx="1">
                  <c:v>0</c:v>
                </c:pt>
                <c:pt idx="2">
                  <c:v>3.1238037097098704E-2</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'Gill netters'!$H$168</c:f>
              <c:strCache>
                <c:ptCount val="1"/>
                <c:pt idx="0">
                  <c:v>Haddock</c:v>
                </c:pt>
              </c:strCache>
            </c:strRef>
          </c:tx>
          <c:spPr>
            <a:solidFill>
              <a:srgbClr val="51AA81"/>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netters'!$I$168:$K$168</c:f>
              <c:numCache>
                <c:formatCode>0%</c:formatCode>
                <c:ptCount val="3"/>
                <c:pt idx="0">
                  <c:v>1.5155224666391803E-2</c:v>
                </c:pt>
                <c:pt idx="1">
                  <c:v>0</c:v>
                </c:pt>
                <c:pt idx="2">
                  <c:v>0</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'Gill netters'!$H$169</c:f>
              <c:strCache>
                <c:ptCount val="1"/>
                <c:pt idx="0">
                  <c:v>Others</c:v>
                </c:pt>
              </c:strCache>
            </c:strRef>
          </c:tx>
          <c:spPr>
            <a:solidFill>
              <a:srgbClr val="55585A"/>
            </a:solidFill>
            <a:ln>
              <a:solidFill>
                <a:srgbClr val="FFFFFF"/>
              </a:solidFill>
            </a:ln>
          </c:spPr>
          <c:invertIfNegative val="0"/>
          <c:cat>
            <c:strRef>
              <c:f>'Gill netters'!$I$161:$K$161</c:f>
              <c:strCache>
                <c:ptCount val="3"/>
                <c:pt idx="0">
                  <c:v>Most
profitable
quartile</c:v>
                </c:pt>
                <c:pt idx="1">
                  <c:v>Middle 
two quartiles</c:v>
                </c:pt>
                <c:pt idx="2">
                  <c:v>Least
profitable
quartile</c:v>
                </c:pt>
              </c:strCache>
            </c:strRef>
          </c:cat>
          <c:val>
            <c:numRef>
              <c:f>'Gill netters'!$I$169:$K$169</c:f>
              <c:numCache>
                <c:formatCode>0%</c:formatCode>
                <c:ptCount val="3"/>
                <c:pt idx="0">
                  <c:v>7.0032286382491371E-2</c:v>
                </c:pt>
                <c:pt idx="1">
                  <c:v>0.10728531595248947</c:v>
                </c:pt>
                <c:pt idx="2">
                  <c:v>0.12759787471049622</c:v>
                </c:pt>
              </c:numCache>
            </c:numRef>
          </c:val>
          <c:extLst xmlns:c16r2="http://schemas.microsoft.com/office/drawing/2015/06/chart">
            <c:ext xmlns:c16="http://schemas.microsoft.com/office/drawing/2014/chart" uri="{C3380CC4-5D6E-409C-BE32-E72D297353CC}">
              <c16:uniqueId val="{00000007-DC58-4725-8A67-0BDC09FD93CD}"/>
            </c:ext>
          </c:extLst>
        </c:ser>
        <c:dLbls>
          <c:showLegendKey val="0"/>
          <c:showVal val="0"/>
          <c:showCatName val="0"/>
          <c:showSerName val="0"/>
          <c:showPercent val="0"/>
          <c:showBubbleSize val="0"/>
        </c:dLbls>
        <c:gapWidth val="150"/>
        <c:overlap val="100"/>
        <c:axId val="710243072"/>
        <c:axId val="710244608"/>
      </c:barChart>
      <c:catAx>
        <c:axId val="710243072"/>
        <c:scaling>
          <c:orientation val="minMax"/>
        </c:scaling>
        <c:delete val="0"/>
        <c:axPos val="b"/>
        <c:numFmt formatCode="General" sourceLinked="0"/>
        <c:majorTickMark val="out"/>
        <c:minorTickMark val="none"/>
        <c:tickLblPos val="nextTo"/>
        <c:crossAx val="710244608"/>
        <c:crosses val="autoZero"/>
        <c:auto val="1"/>
        <c:lblAlgn val="ctr"/>
        <c:lblOffset val="100"/>
        <c:noMultiLvlLbl val="0"/>
      </c:catAx>
      <c:valAx>
        <c:axId val="710244608"/>
        <c:scaling>
          <c:orientation val="minMax"/>
          <c:max val="1"/>
          <c:min val="0"/>
        </c:scaling>
        <c:delete val="0"/>
        <c:axPos val="l"/>
        <c:majorGridlines/>
        <c:minorGridlines/>
        <c:numFmt formatCode="0%" sourceLinked="1"/>
        <c:majorTickMark val="out"/>
        <c:minorTickMark val="none"/>
        <c:tickLblPos val="nextTo"/>
        <c:crossAx val="710243072"/>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'Gill netters'!$K$143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'Gill netters'!$K$139</c:f>
              <c:strCache>
                <c:ptCount val="1"/>
                <c:pt idx="0">
                  <c:v>Total income</c:v>
                </c:pt>
              </c:strCache>
            </c:strRef>
          </c:tx>
          <c:spPr>
            <a:solidFill>
              <a:schemeClr val="accent1"/>
            </a:solidFill>
            <a:ln>
              <a:solidFill>
                <a:schemeClr val="accent1"/>
              </a:solidFill>
            </a:ln>
          </c:spPr>
          <c:invertIfNegative val="0"/>
          <c:cat>
            <c:strRef>
              <c:f>'Gill netters'!$L$138:$N$138</c:f>
              <c:strCache>
                <c:ptCount val="3"/>
                <c:pt idx="0">
                  <c:v>Most
profitable
quartile</c:v>
                </c:pt>
                <c:pt idx="1">
                  <c:v>Middle
two quartiles</c:v>
                </c:pt>
                <c:pt idx="2">
                  <c:v>Least
profitable
quartile</c:v>
                </c:pt>
              </c:strCache>
            </c:strRef>
          </c:cat>
          <c:val>
            <c:numRef>
              <c:f>'Gill netters'!$L$139:$N$139</c:f>
              <c:numCache>
                <c:formatCode>#,##0</c:formatCode>
                <c:ptCount val="3"/>
                <c:pt idx="0">
                  <c:v>870.11137499999995</c:v>
                </c:pt>
                <c:pt idx="1">
                  <c:v>451.80248437500001</c:v>
                </c:pt>
                <c:pt idx="2">
                  <c:v>131.65228124999999</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'Gill netters'!$K$140</c:f>
              <c:strCache>
                <c:ptCount val="1"/>
                <c:pt idx="0">
                  <c:v>Operating costs</c:v>
                </c:pt>
              </c:strCache>
            </c:strRef>
          </c:tx>
          <c:spPr>
            <a:solidFill>
              <a:schemeClr val="accent3"/>
            </a:solidFill>
          </c:spPr>
          <c:invertIfNegative val="0"/>
          <c:cat>
            <c:strRef>
              <c:f>'Gill netters'!$L$138:$N$138</c:f>
              <c:strCache>
                <c:ptCount val="3"/>
                <c:pt idx="0">
                  <c:v>Most
profitable
quartile</c:v>
                </c:pt>
                <c:pt idx="1">
                  <c:v>Middle
two quartiles</c:v>
                </c:pt>
                <c:pt idx="2">
                  <c:v>Least
profitable
quartile</c:v>
                </c:pt>
              </c:strCache>
            </c:strRef>
          </c:cat>
          <c:val>
            <c:numRef>
              <c:f>'Gill netters'!$L$140:$N$140</c:f>
              <c:numCache>
                <c:formatCode>#,##0</c:formatCode>
                <c:ptCount val="3"/>
                <c:pt idx="0">
                  <c:v>735.64462500000002</c:v>
                </c:pt>
                <c:pt idx="1">
                  <c:v>395.09270312500001</c:v>
                </c:pt>
                <c:pt idx="2">
                  <c:v>130.824625</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'Gill netters'!$K$141</c:f>
              <c:strCache>
                <c:ptCount val="1"/>
                <c:pt idx="0">
                  <c:v>Operating profit</c:v>
                </c:pt>
              </c:strCache>
            </c:strRef>
          </c:tx>
          <c:spPr>
            <a:solidFill>
              <a:schemeClr val="accent2"/>
            </a:solidFill>
          </c:spPr>
          <c:invertIfNegative val="0"/>
          <c:cat>
            <c:strRef>
              <c:f>'Gill netters'!$L$138:$N$138</c:f>
              <c:strCache>
                <c:ptCount val="3"/>
                <c:pt idx="0">
                  <c:v>Most
profitable
quartile</c:v>
                </c:pt>
                <c:pt idx="1">
                  <c:v>Middle
two quartiles</c:v>
                </c:pt>
                <c:pt idx="2">
                  <c:v>Least
profitable
quartile</c:v>
                </c:pt>
              </c:strCache>
            </c:strRef>
          </c:cat>
          <c:val>
            <c:numRef>
              <c:f>'Gill netters'!$L$141:$N$141</c:f>
              <c:numCache>
                <c:formatCode>#,##0</c:formatCode>
                <c:ptCount val="3"/>
                <c:pt idx="0">
                  <c:v>134.46674999999999</c:v>
                </c:pt>
                <c:pt idx="1">
                  <c:v>56.709781249999999</c:v>
                </c:pt>
                <c:pt idx="2">
                  <c:v>0.82765624999999998</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710268032"/>
        <c:axId val="710269568"/>
      </c:barChart>
      <c:catAx>
        <c:axId val="710268032"/>
        <c:scaling>
          <c:orientation val="minMax"/>
        </c:scaling>
        <c:delete val="0"/>
        <c:axPos val="b"/>
        <c:numFmt formatCode="General" sourceLinked="0"/>
        <c:majorTickMark val="out"/>
        <c:minorTickMark val="none"/>
        <c:tickLblPos val="nextTo"/>
        <c:crossAx val="710269568"/>
        <c:crosses val="autoZero"/>
        <c:auto val="1"/>
        <c:lblAlgn val="ctr"/>
        <c:lblOffset val="100"/>
        <c:noMultiLvlLbl val="0"/>
      </c:catAx>
      <c:valAx>
        <c:axId val="710269568"/>
        <c:scaling>
          <c:orientation val="minMax"/>
        </c:scaling>
        <c:delete val="0"/>
        <c:axPos val="l"/>
        <c:majorGridlines/>
        <c:title>
          <c:tx>
            <c:strRef>
              <c:f>'Gill netters'!$K$142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710268032"/>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Longliners!$A$48</c:f>
          <c:strCache>
            <c:ptCount val="1"/>
            <c:pt idx="0">
              <c:v>Landings per kW day at sea (kg)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Longliners!$D$2:$N$2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Longliners!$D$21:$N$21</c:f>
              <c:numCache>
                <c:formatCode>#,##0.00</c:formatCode>
                <c:ptCount val="11"/>
                <c:pt idx="0">
                  <c:v>2.1285547032794776</c:v>
                </c:pt>
                <c:pt idx="1">
                  <c:v>3.3053539203742934</c:v>
                </c:pt>
                <c:pt idx="2">
                  <c:v>3.6573433685267549</c:v>
                </c:pt>
                <c:pt idx="3">
                  <c:v>4.6829103530835816</c:v>
                </c:pt>
                <c:pt idx="4">
                  <c:v>4.7073414793428467</c:v>
                </c:pt>
                <c:pt idx="5">
                  <c:v>4.3782296591656538</c:v>
                </c:pt>
                <c:pt idx="6">
                  <c:v>5.0905592159617505</c:v>
                </c:pt>
                <c:pt idx="7">
                  <c:v>4.9638617154314337</c:v>
                </c:pt>
                <c:pt idx="8">
                  <c:v>4.9669919364076272</c:v>
                </c:pt>
                <c:pt idx="9">
                  <c:v>4.1538603410372001</c:v>
                </c:pt>
                <c:pt idx="10">
                  <c:v>2.9806552074558605</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710539904"/>
        <c:axId val="710414720"/>
      </c:lineChart>
      <c:catAx>
        <c:axId val="710539904"/>
        <c:scaling>
          <c:orientation val="minMax"/>
        </c:scaling>
        <c:delete val="0"/>
        <c:axPos val="b"/>
        <c:numFmt formatCode="General" sourceLinked="1"/>
        <c:majorTickMark val="out"/>
        <c:minorTickMark val="none"/>
        <c:tickLblPos val="nextTo"/>
        <c:crossAx val="710414720"/>
        <c:crosses val="autoZero"/>
        <c:auto val="1"/>
        <c:lblAlgn val="ctr"/>
        <c:lblOffset val="100"/>
        <c:noMultiLvlLbl val="0"/>
      </c:catAx>
      <c:valAx>
        <c:axId val="710414720"/>
        <c:scaling>
          <c:orientation val="minMax"/>
        </c:scaling>
        <c:delete val="0"/>
        <c:axPos val="l"/>
        <c:majorGridlines>
          <c:spPr>
            <a:ln w="3175">
              <a:prstDash val="sysDot"/>
            </a:ln>
          </c:spPr>
        </c:majorGridlines>
        <c:numFmt formatCode="#,##0.00" sourceLinked="1"/>
        <c:majorTickMark val="out"/>
        <c:minorTickMark val="none"/>
        <c:tickLblPos val="nextTo"/>
        <c:crossAx val="710539904"/>
        <c:crosses val="autoZero"/>
        <c:crossBetween val="between"/>
      </c:valAx>
    </c:plotArea>
    <c:plotVisOnly val="0"/>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Longliners!$A$49</c:f>
          <c:strCache>
            <c:ptCount val="1"/>
            <c:pt idx="0">
              <c:v>Fishing income per kW day at sea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Longliners!$D$2:$N$2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Longliners!$D$22:$N$22</c:f>
              <c:numCache>
                <c:formatCode>#,##0.00</c:formatCode>
                <c:ptCount val="11"/>
                <c:pt idx="0">
                  <c:v>4.65085843873974</c:v>
                </c:pt>
                <c:pt idx="1">
                  <c:v>8.6221332347664905</c:v>
                </c:pt>
                <c:pt idx="2">
                  <c:v>9.1429031364507498</c:v>
                </c:pt>
                <c:pt idx="3">
                  <c:v>11.663233372083599</c:v>
                </c:pt>
                <c:pt idx="4">
                  <c:v>13.363917161008199</c:v>
                </c:pt>
                <c:pt idx="5">
                  <c:v>14.7973198573539</c:v>
                </c:pt>
                <c:pt idx="6">
                  <c:v>14.5370472520887</c:v>
                </c:pt>
                <c:pt idx="7">
                  <c:v>15.6291713685233</c:v>
                </c:pt>
                <c:pt idx="8">
                  <c:v>14.1399664335701</c:v>
                </c:pt>
                <c:pt idx="9">
                  <c:v>9.4679479509058808</c:v>
                </c:pt>
                <c:pt idx="10">
                  <c:v>6.9038610955571214</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710440832"/>
        <c:axId val="710442368"/>
      </c:lineChart>
      <c:catAx>
        <c:axId val="710440832"/>
        <c:scaling>
          <c:orientation val="minMax"/>
        </c:scaling>
        <c:delete val="0"/>
        <c:axPos val="b"/>
        <c:numFmt formatCode="General" sourceLinked="1"/>
        <c:majorTickMark val="out"/>
        <c:minorTickMark val="none"/>
        <c:tickLblPos val="nextTo"/>
        <c:crossAx val="710442368"/>
        <c:crosses val="autoZero"/>
        <c:auto val="1"/>
        <c:lblAlgn val="ctr"/>
        <c:lblOffset val="100"/>
        <c:noMultiLvlLbl val="0"/>
      </c:catAx>
      <c:valAx>
        <c:axId val="710442368"/>
        <c:scaling>
          <c:orientation val="minMax"/>
        </c:scaling>
        <c:delete val="0"/>
        <c:axPos val="l"/>
        <c:majorGridlines>
          <c:spPr>
            <a:ln w="3175">
              <a:prstDash val="sysDot"/>
            </a:ln>
          </c:spPr>
        </c:majorGridlines>
        <c:numFmt formatCode="#,##0.00" sourceLinked="1"/>
        <c:majorTickMark val="out"/>
        <c:minorTickMark val="none"/>
        <c:tickLblPos val="nextTo"/>
        <c:crossAx val="710440832"/>
        <c:crosses val="autoZero"/>
        <c:crossBetween val="between"/>
      </c:valAx>
    </c:plotArea>
    <c:plotVisOnly val="0"/>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Longliners!$B$62</c:f>
          <c:strCache>
            <c:ptCount val="1"/>
            <c:pt idx="0">
              <c:v>Total cost per kW day at sea (£)
Longliners</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Longliners!$D$2:$N$2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Longliners!$D$23:$N$23</c:f>
              <c:numCache>
                <c:formatCode>#,##0.00</c:formatCode>
                <c:ptCount val="11"/>
                <c:pt idx="0">
                  <c:v>3.7533179629303199</c:v>
                </c:pt>
                <c:pt idx="1">
                  <c:v>6.7327760115784496</c:v>
                </c:pt>
                <c:pt idx="2">
                  <c:v>9.1572889273417797</c:v>
                </c:pt>
                <c:pt idx="3">
                  <c:v>10.5798337748296</c:v>
                </c:pt>
                <c:pt idx="4">
                  <c:v>15.071797432080499</c:v>
                </c:pt>
                <c:pt idx="5">
                  <c:v>12.9818265399692</c:v>
                </c:pt>
                <c:pt idx="6">
                  <c:v>12.7059118580034</c:v>
                </c:pt>
                <c:pt idx="7">
                  <c:v>11.0136577793204</c:v>
                </c:pt>
                <c:pt idx="8">
                  <c:v>9.9266236102120793</c:v>
                </c:pt>
                <c:pt idx="9">
                  <c:v>8.3562346680400506</c:v>
                </c:pt>
                <c:pt idx="10">
                  <c:v>6.5195166000935565</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710628480"/>
        <c:axId val="710630016"/>
      </c:lineChart>
      <c:catAx>
        <c:axId val="710628480"/>
        <c:scaling>
          <c:orientation val="minMax"/>
        </c:scaling>
        <c:delete val="0"/>
        <c:axPos val="b"/>
        <c:numFmt formatCode="General" sourceLinked="1"/>
        <c:majorTickMark val="out"/>
        <c:minorTickMark val="none"/>
        <c:tickLblPos val="nextTo"/>
        <c:crossAx val="710630016"/>
        <c:crosses val="autoZero"/>
        <c:auto val="1"/>
        <c:lblAlgn val="ctr"/>
        <c:lblOffset val="100"/>
        <c:noMultiLvlLbl val="0"/>
      </c:catAx>
      <c:valAx>
        <c:axId val="710630016"/>
        <c:scaling>
          <c:orientation val="minMax"/>
        </c:scaling>
        <c:delete val="0"/>
        <c:axPos val="l"/>
        <c:majorGridlines>
          <c:spPr>
            <a:ln w="3175">
              <a:prstDash val="sysDot"/>
            </a:ln>
          </c:spPr>
        </c:majorGridlines>
        <c:numFmt formatCode="#,##0.00" sourceLinked="1"/>
        <c:majorTickMark val="out"/>
        <c:minorTickMark val="none"/>
        <c:tickLblPos val="nextTo"/>
        <c:crossAx val="710628480"/>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demersal trawl'!$A$76</c:f>
          <c:strCache>
            <c:ptCount val="1"/>
            <c:pt idx="0">
              <c:v>Top 5 landed species by volume in 2017
Area VIIA demersal trawl</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0F9AA9"/>
              </a:solidFill>
              <a:ln>
                <a:solidFill>
                  <a:srgbClr val="FFFFFF"/>
                </a:solidFill>
              </a:ln>
            </c:spPr>
          </c:dPt>
          <c:dPt>
            <c:idx val="5"/>
            <c:bubble3D val="0"/>
            <c:spPr>
              <a:solidFill>
                <a:srgbClr val="55585A"/>
              </a:solidFill>
              <a:ln>
                <a:solidFill>
                  <a:srgbClr val="FFFFFF"/>
                </a:solidFill>
              </a:ln>
            </c:spPr>
          </c:dPt>
          <c:cat>
            <c:strRef>
              <c:f>'Area VIIa demersal trawl'!$B$77:$B$82</c:f>
              <c:strCache>
                <c:ptCount val="6"/>
                <c:pt idx="0">
                  <c:v>Haddock - 39.4%</c:v>
                </c:pt>
                <c:pt idx="1">
                  <c:v>Nephrops - 16.1%</c:v>
                </c:pt>
                <c:pt idx="2">
                  <c:v>Scallops - 8.9%</c:v>
                </c:pt>
                <c:pt idx="3">
                  <c:v>Hake - 8.4%</c:v>
                </c:pt>
                <c:pt idx="4">
                  <c:v>Brown Crab - 6.6%</c:v>
                </c:pt>
                <c:pt idx="5">
                  <c:v>Others - 20.6%</c:v>
                </c:pt>
              </c:strCache>
            </c:strRef>
          </c:cat>
          <c:val>
            <c:numRef>
              <c:f>'Area VIIa demersal trawl'!$C$77:$C$82</c:f>
              <c:numCache>
                <c:formatCode>0.0%</c:formatCode>
                <c:ptCount val="6"/>
                <c:pt idx="0">
                  <c:v>0.39449514603984215</c:v>
                </c:pt>
                <c:pt idx="1">
                  <c:v>0.16064339031373304</c:v>
                </c:pt>
                <c:pt idx="2">
                  <c:v>8.9089822322201903E-2</c:v>
                </c:pt>
                <c:pt idx="3">
                  <c:v>8.3879799826773169E-2</c:v>
                </c:pt>
                <c:pt idx="4">
                  <c:v>6.6206760959002978E-2</c:v>
                </c:pt>
                <c:pt idx="5">
                  <c:v>0.2056850805384467</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Longliners!$K$48</c:f>
          <c:strCache>
            <c:ptCount val="1"/>
            <c:pt idx="0">
              <c:v>Operating profit per kW day at sea (£)
Longliners</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Longliners!$D$2:$N$2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Longliners!$D$24:$N$24</c:f>
              <c:numCache>
                <c:formatCode>#,##0.00</c:formatCode>
                <c:ptCount val="11"/>
                <c:pt idx="0">
                  <c:v>0.98870983083575104</c:v>
                </c:pt>
                <c:pt idx="1">
                  <c:v>2.21667164017473</c:v>
                </c:pt>
                <c:pt idx="2">
                  <c:v>0.121938241623087</c:v>
                </c:pt>
                <c:pt idx="3">
                  <c:v>1.3122699081112299</c:v>
                </c:pt>
                <c:pt idx="4">
                  <c:v>-0.87029647739841998</c:v>
                </c:pt>
                <c:pt idx="5">
                  <c:v>2.3974451609724801</c:v>
                </c:pt>
                <c:pt idx="6">
                  <c:v>1.96740593193378</c:v>
                </c:pt>
                <c:pt idx="7">
                  <c:v>4.6487339303797102</c:v>
                </c:pt>
                <c:pt idx="8">
                  <c:v>4.2489279586923399</c:v>
                </c:pt>
                <c:pt idx="9">
                  <c:v>1.30833510093464</c:v>
                </c:pt>
                <c:pt idx="10">
                  <c:v>0.52771766765692574</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710644096"/>
        <c:axId val="710645632"/>
      </c:lineChart>
      <c:catAx>
        <c:axId val="710644096"/>
        <c:scaling>
          <c:orientation val="minMax"/>
        </c:scaling>
        <c:delete val="0"/>
        <c:axPos val="b"/>
        <c:numFmt formatCode="General" sourceLinked="1"/>
        <c:majorTickMark val="out"/>
        <c:minorTickMark val="none"/>
        <c:tickLblPos val="nextTo"/>
        <c:crossAx val="710645632"/>
        <c:crosses val="autoZero"/>
        <c:auto val="1"/>
        <c:lblAlgn val="ctr"/>
        <c:lblOffset val="100"/>
        <c:noMultiLvlLbl val="0"/>
      </c:catAx>
      <c:valAx>
        <c:axId val="710645632"/>
        <c:scaling>
          <c:orientation val="minMax"/>
        </c:scaling>
        <c:delete val="0"/>
        <c:axPos val="l"/>
        <c:majorGridlines>
          <c:spPr>
            <a:ln w="3175">
              <a:prstDash val="sysDot"/>
            </a:ln>
          </c:spPr>
        </c:majorGridlines>
        <c:numFmt formatCode="#,##0.00" sourceLinked="1"/>
        <c:majorTickMark val="out"/>
        <c:minorTickMark val="none"/>
        <c:tickLblPos val="nextTo"/>
        <c:crossAx val="710644096"/>
        <c:crosses val="autoZero"/>
        <c:crossBetween val="between"/>
      </c:valAx>
    </c:plotArea>
    <c:plotVisOnly val="0"/>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Longliners!$A$50</c:f>
          <c:strCache>
            <c:ptCount val="1"/>
            <c:pt idx="0">
              <c:v>Average price per tonne landed (£)
Longliners</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Longliners!$D$2:$N$2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Longliners!$D$20:$N$20</c:f>
              <c:numCache>
                <c:formatCode>#,##0</c:formatCode>
                <c:ptCount val="11"/>
                <c:pt idx="0">
                  <c:v>2185</c:v>
                </c:pt>
                <c:pt idx="1">
                  <c:v>2609</c:v>
                </c:pt>
                <c:pt idx="2">
                  <c:v>2500</c:v>
                </c:pt>
                <c:pt idx="3">
                  <c:v>2491</c:v>
                </c:pt>
                <c:pt idx="4">
                  <c:v>2839</c:v>
                </c:pt>
                <c:pt idx="5">
                  <c:v>3380</c:v>
                </c:pt>
                <c:pt idx="6">
                  <c:v>2856</c:v>
                </c:pt>
                <c:pt idx="7">
                  <c:v>3149</c:v>
                </c:pt>
                <c:pt idx="8">
                  <c:v>2847</c:v>
                </c:pt>
                <c:pt idx="9">
                  <c:v>2279</c:v>
                </c:pt>
                <c:pt idx="10">
                  <c:v>2316</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710749568"/>
        <c:axId val="710755456"/>
      </c:lineChart>
      <c:catAx>
        <c:axId val="710749568"/>
        <c:scaling>
          <c:orientation val="minMax"/>
        </c:scaling>
        <c:delete val="0"/>
        <c:axPos val="b"/>
        <c:numFmt formatCode="General" sourceLinked="1"/>
        <c:majorTickMark val="out"/>
        <c:minorTickMark val="none"/>
        <c:tickLblPos val="nextTo"/>
        <c:crossAx val="710755456"/>
        <c:crosses val="autoZero"/>
        <c:auto val="1"/>
        <c:lblAlgn val="ctr"/>
        <c:lblOffset val="100"/>
        <c:noMultiLvlLbl val="0"/>
      </c:catAx>
      <c:valAx>
        <c:axId val="710755456"/>
        <c:scaling>
          <c:orientation val="minMax"/>
        </c:scaling>
        <c:delete val="0"/>
        <c:axPos val="l"/>
        <c:majorGridlines>
          <c:spPr>
            <a:ln w="3175">
              <a:prstDash val="sysDot"/>
            </a:ln>
          </c:spPr>
        </c:majorGridlines>
        <c:numFmt formatCode="#,##0" sourceLinked="1"/>
        <c:majorTickMark val="out"/>
        <c:minorTickMark val="none"/>
        <c:tickLblPos val="nextTo"/>
        <c:crossAx val="710749568"/>
        <c:crosses val="autoZero"/>
        <c:crossBetween val="between"/>
      </c:valAx>
    </c:plotArea>
    <c:plotVisOnly val="0"/>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Longliners!$K$62</c:f>
          <c:strCache>
            <c:ptCount val="1"/>
            <c:pt idx="0">
              <c:v>Average annual operating profit per vessel (£'000)
Longliners</c:v>
            </c:pt>
          </c:strCache>
        </c:strRef>
      </c:tx>
      <c:layout/>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Longliners!$D$2:$N$2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Longliners!$D$37:$N$37</c:f>
              <c:numCache>
                <c:formatCode>#,##0.0</c:formatCode>
                <c:ptCount val="11"/>
                <c:pt idx="0">
                  <c:v>71.400000000000006</c:v>
                </c:pt>
                <c:pt idx="1">
                  <c:v>164.9</c:v>
                </c:pt>
                <c:pt idx="2">
                  <c:v>7.4</c:v>
                </c:pt>
                <c:pt idx="3">
                  <c:v>83.3</c:v>
                </c:pt>
                <c:pt idx="4">
                  <c:v>-42.7</c:v>
                </c:pt>
                <c:pt idx="5">
                  <c:v>127.7</c:v>
                </c:pt>
                <c:pt idx="6">
                  <c:v>112.2</c:v>
                </c:pt>
                <c:pt idx="7">
                  <c:v>319.89999999999998</c:v>
                </c:pt>
                <c:pt idx="8">
                  <c:v>302.3</c:v>
                </c:pt>
                <c:pt idx="9">
                  <c:v>92.4</c:v>
                </c:pt>
                <c:pt idx="10">
                  <c:v>36.1</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710781568"/>
        <c:axId val="710787456"/>
      </c:lineChart>
      <c:catAx>
        <c:axId val="710781568"/>
        <c:scaling>
          <c:orientation val="minMax"/>
        </c:scaling>
        <c:delete val="0"/>
        <c:axPos val="b"/>
        <c:numFmt formatCode="General" sourceLinked="1"/>
        <c:majorTickMark val="out"/>
        <c:minorTickMark val="none"/>
        <c:tickLblPos val="nextTo"/>
        <c:crossAx val="710787456"/>
        <c:crosses val="autoZero"/>
        <c:auto val="1"/>
        <c:lblAlgn val="ctr"/>
        <c:lblOffset val="100"/>
        <c:noMultiLvlLbl val="0"/>
      </c:catAx>
      <c:valAx>
        <c:axId val="710787456"/>
        <c:scaling>
          <c:orientation val="minMax"/>
        </c:scaling>
        <c:delete val="0"/>
        <c:axPos val="l"/>
        <c:majorGridlines>
          <c:spPr>
            <a:ln w="3175">
              <a:prstDash val="sysDot"/>
            </a:ln>
          </c:spPr>
        </c:majorGridlines>
        <c:numFmt formatCode="#,##0.0" sourceLinked="1"/>
        <c:majorTickMark val="out"/>
        <c:minorTickMark val="none"/>
        <c:tickLblPos val="nextTo"/>
        <c:crossAx val="710781568"/>
        <c:crosses val="autoZero"/>
        <c:crossBetween val="between"/>
      </c:valAx>
    </c:plotArea>
    <c:plotVisOnly val="0"/>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Longliners!$A$76</c:f>
          <c:strCache>
            <c:ptCount val="1"/>
            <c:pt idx="0">
              <c:v>Top 5 landed species by volume in 2017
Longliners</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2273B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E87308"/>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C1D119"/>
              </a:solidFill>
              <a:ln>
                <a:solidFill>
                  <a:srgbClr val="FFFFFF"/>
                </a:solidFill>
              </a:ln>
            </c:spPr>
          </c:dPt>
          <c:dPt>
            <c:idx val="3"/>
            <c:bubble3D val="0"/>
            <c:spPr>
              <a:solidFill>
                <a:srgbClr val="648C2E"/>
              </a:solidFill>
              <a:ln>
                <a:solidFill>
                  <a:srgbClr val="FFFFFF"/>
                </a:solidFill>
              </a:ln>
            </c:spPr>
          </c:dPt>
          <c:dPt>
            <c:idx val="4"/>
            <c:bubble3D val="0"/>
            <c:spPr>
              <a:solidFill>
                <a:srgbClr val="0F9AA9"/>
              </a:solidFill>
              <a:ln>
                <a:solidFill>
                  <a:srgbClr val="FFFFFF"/>
                </a:solidFill>
              </a:ln>
            </c:spPr>
          </c:dPt>
          <c:dPt>
            <c:idx val="5"/>
            <c:bubble3D val="0"/>
            <c:spPr>
              <a:solidFill>
                <a:srgbClr val="55585A"/>
              </a:solidFill>
              <a:ln>
                <a:solidFill>
                  <a:srgbClr val="FFFFFF"/>
                </a:solidFill>
              </a:ln>
            </c:spPr>
          </c:dPt>
          <c:cat>
            <c:strRef>
              <c:f>Longliners!$B$77:$B$82</c:f>
              <c:strCache>
                <c:ptCount val="6"/>
                <c:pt idx="0">
                  <c:v>Hake - 79.0%</c:v>
                </c:pt>
                <c:pt idx="1">
                  <c:v>Ling - 15.4%</c:v>
                </c:pt>
                <c:pt idx="2">
                  <c:v>Scallops - 2.6%</c:v>
                </c:pt>
                <c:pt idx="3">
                  <c:v>Razor Clam - 1.7%</c:v>
                </c:pt>
                <c:pt idx="4">
                  <c:v>Blue Mouth Redfish - 0.5%</c:v>
                </c:pt>
                <c:pt idx="5">
                  <c:v>Others - 0.8%</c:v>
                </c:pt>
              </c:strCache>
            </c:strRef>
          </c:cat>
          <c:val>
            <c:numRef>
              <c:f>Longliners!$C$77:$C$82</c:f>
              <c:numCache>
                <c:formatCode>0.0%</c:formatCode>
                <c:ptCount val="6"/>
                <c:pt idx="0">
                  <c:v>0.78954715217146099</c:v>
                </c:pt>
                <c:pt idx="1">
                  <c:v>0.15366078707372247</c:v>
                </c:pt>
                <c:pt idx="2">
                  <c:v>2.6365756714617879E-2</c:v>
                </c:pt>
                <c:pt idx="3">
                  <c:v>1.6687182011169744E-2</c:v>
                </c:pt>
                <c:pt idx="4">
                  <c:v>5.4712466955369153E-3</c:v>
                </c:pt>
                <c:pt idx="5">
                  <c:v>8.2678753334921584E-3</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layout>
        <c:manualLayout>
          <c:xMode val="edge"/>
          <c:yMode val="edge"/>
          <c:x val="1.8066363300340487E-2"/>
          <c:y val="0.23913476470398176"/>
          <c:w val="0.36628010497458025"/>
          <c:h val="0.60504141191925465"/>
        </c:manualLayout>
      </c:layout>
      <c:overlay val="0"/>
    </c:legend>
    <c:plotVisOnly val="1"/>
    <c:dispBlanksAs val="gap"/>
    <c:showDLblsOverMax val="0"/>
  </c:chart>
  <c:printSettings>
    <c:headerFooter/>
    <c:pageMargins b="1" l="0.75" r="0.75"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Longliners!$F$76</c:f>
          <c:strCache>
            <c:ptCount val="1"/>
            <c:pt idx="0">
              <c:v>Top 5 landed species by value in 2017
Longliners</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Longliners!$G$77:$G$82</c:f>
              <c:strCache>
                <c:ptCount val="6"/>
                <c:pt idx="0">
                  <c:v>Hake - 79.5%</c:v>
                </c:pt>
                <c:pt idx="1">
                  <c:v>Ling - 10.8%</c:v>
                </c:pt>
                <c:pt idx="2">
                  <c:v>Razor Clam - 4.4%</c:v>
                </c:pt>
                <c:pt idx="3">
                  <c:v>Scallops - 3.3%</c:v>
                </c:pt>
                <c:pt idx="4">
                  <c:v>Bass - 0.7%</c:v>
                </c:pt>
                <c:pt idx="5">
                  <c:v>Others - 1.2%</c:v>
                </c:pt>
              </c:strCache>
            </c:strRef>
          </c:cat>
          <c:val>
            <c:numRef>
              <c:f>Longliners!$H$77:$H$82</c:f>
              <c:numCache>
                <c:formatCode>0.0%</c:formatCode>
                <c:ptCount val="6"/>
                <c:pt idx="0">
                  <c:v>0.79520855774116039</c:v>
                </c:pt>
                <c:pt idx="1">
                  <c:v>0.10815900495788339</c:v>
                </c:pt>
                <c:pt idx="2">
                  <c:v>4.4421128283125264E-2</c:v>
                </c:pt>
                <c:pt idx="3">
                  <c:v>3.3397367403186613E-2</c:v>
                </c:pt>
                <c:pt idx="4">
                  <c:v>6.5070349984298927E-3</c:v>
                </c:pt>
                <c:pt idx="5">
                  <c:v>1.2306906616214364E-2</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layout/>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Longliners!$C$92</c:f>
              <c:strCache>
                <c:ptCount val="1"/>
                <c:pt idx="0">
                  <c:v>Hake</c:v>
                </c:pt>
              </c:strCache>
            </c:strRef>
          </c:tx>
          <c:spPr>
            <a:solidFill>
              <a:srgbClr val="2273B9"/>
            </a:solidFill>
            <a:ln>
              <a:solidFill>
                <a:srgbClr val="FFFFFF"/>
              </a:solidFill>
            </a:ln>
          </c:spPr>
          <c:invertIfNegative val="0"/>
          <c:cat>
            <c:numRef>
              <c:f>Longliners!$D$91:$M$91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Longliners!$D$92:$M$92</c:f>
              <c:numCache>
                <c:formatCode>0%</c:formatCode>
                <c:ptCount val="10"/>
                <c:pt idx="0">
                  <c:v>0.74913556142232041</c:v>
                </c:pt>
                <c:pt idx="1">
                  <c:v>0.59185631876729594</c:v>
                </c:pt>
                <c:pt idx="2">
                  <c:v>0.66826348968535121</c:v>
                </c:pt>
                <c:pt idx="3">
                  <c:v>0.72324822242587183</c:v>
                </c:pt>
                <c:pt idx="4">
                  <c:v>0.77083719682510177</c:v>
                </c:pt>
                <c:pt idx="5">
                  <c:v>0.82886590506460256</c:v>
                </c:pt>
                <c:pt idx="6">
                  <c:v>0.85433518841478073</c:v>
                </c:pt>
                <c:pt idx="7">
                  <c:v>0.85288649757478618</c:v>
                </c:pt>
                <c:pt idx="8">
                  <c:v>0.79520855774116039</c:v>
                </c:pt>
                <c:pt idx="9">
                  <c:v>0.63944282638797856</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Longliners!$C$93</c:f>
              <c:strCache>
                <c:ptCount val="1"/>
                <c:pt idx="0">
                  <c:v>Ling</c:v>
                </c:pt>
              </c:strCache>
            </c:strRef>
          </c:tx>
          <c:spPr>
            <a:solidFill>
              <a:srgbClr val="E87308"/>
            </a:solidFill>
            <a:ln>
              <a:solidFill>
                <a:srgbClr val="FFFFFF"/>
              </a:solidFill>
            </a:ln>
          </c:spPr>
          <c:invertIfNegative val="0"/>
          <c:cat>
            <c:numRef>
              <c:f>Longliners!$D$91:$M$91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Longliners!$D$93:$M$93</c:f>
              <c:numCache>
                <c:formatCode>0%</c:formatCode>
                <c:ptCount val="10"/>
                <c:pt idx="0">
                  <c:v>8.0735296315744817E-2</c:v>
                </c:pt>
                <c:pt idx="1">
                  <c:v>0.13804346756875924</c:v>
                </c:pt>
                <c:pt idx="2">
                  <c:v>0.14525582782405183</c:v>
                </c:pt>
                <c:pt idx="3">
                  <c:v>0.14176881494495555</c:v>
                </c:pt>
                <c:pt idx="4">
                  <c:v>9.2171382769582894E-2</c:v>
                </c:pt>
                <c:pt idx="5">
                  <c:v>8.4828384703029266E-2</c:v>
                </c:pt>
                <c:pt idx="6">
                  <c:v>8.6959471584404952E-2</c:v>
                </c:pt>
                <c:pt idx="7">
                  <c:v>8.5779842221989241E-2</c:v>
                </c:pt>
                <c:pt idx="8">
                  <c:v>0.10815900495788339</c:v>
                </c:pt>
                <c:pt idx="9">
                  <c:v>0.13881777625924269</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Longliners!$C$94</c:f>
              <c:strCache>
                <c:ptCount val="1"/>
                <c:pt idx="0">
                  <c:v>Razor Clam</c:v>
                </c:pt>
              </c:strCache>
            </c:strRef>
          </c:tx>
          <c:spPr>
            <a:solidFill>
              <a:srgbClr val="648C2E"/>
            </a:solidFill>
            <a:ln>
              <a:solidFill>
                <a:srgbClr val="FFFFFF"/>
              </a:solidFill>
            </a:ln>
          </c:spPr>
          <c:invertIfNegative val="0"/>
          <c:cat>
            <c:numRef>
              <c:f>Longliners!$D$91:$M$91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Longliners!$D$94:$M$94</c:f>
              <c:numCache>
                <c:formatCode>0%</c:formatCode>
                <c:ptCount val="10"/>
                <c:pt idx="0">
                  <c:v>4.8951750271085399E-2</c:v>
                </c:pt>
                <c:pt idx="1">
                  <c:v>7.0347777169204026E-2</c:v>
                </c:pt>
                <c:pt idx="2">
                  <c:v>7.4363218867657691E-2</c:v>
                </c:pt>
                <c:pt idx="3">
                  <c:v>7.0829168923970634E-2</c:v>
                </c:pt>
                <c:pt idx="4">
                  <c:v>6.053643307610003E-2</c:v>
                </c:pt>
                <c:pt idx="5">
                  <c:v>2.773072738886798E-2</c:v>
                </c:pt>
                <c:pt idx="6">
                  <c:v>1.0827484286813585E-2</c:v>
                </c:pt>
                <c:pt idx="7">
                  <c:v>6.1800891198100748E-3</c:v>
                </c:pt>
                <c:pt idx="8">
                  <c:v>4.4421128283125264E-2</c:v>
                </c:pt>
                <c:pt idx="9">
                  <c:v>0.15470657155486178</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Longliners!$C$95</c:f>
              <c:strCache>
                <c:ptCount val="1"/>
                <c:pt idx="0">
                  <c:v>Scallops</c:v>
                </c:pt>
              </c:strCache>
            </c:strRef>
          </c:tx>
          <c:spPr>
            <a:solidFill>
              <a:srgbClr val="C1D119"/>
            </a:solidFill>
            <a:ln>
              <a:solidFill>
                <a:srgbClr val="FFFFFF"/>
              </a:solidFill>
            </a:ln>
          </c:spPr>
          <c:invertIfNegative val="0"/>
          <c:cat>
            <c:numRef>
              <c:f>Longliners!$D$91:$M$91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Longliners!$D$95:$M$95</c:f>
              <c:numCache>
                <c:formatCode>0%</c:formatCode>
                <c:ptCount val="10"/>
                <c:pt idx="0">
                  <c:v>1.6574257744240321E-2</c:v>
                </c:pt>
                <c:pt idx="2">
                  <c:v>2.0019532263236842E-2</c:v>
                </c:pt>
                <c:pt idx="3">
                  <c:v>2.3349201969212904E-2</c:v>
                </c:pt>
                <c:pt idx="4">
                  <c:v>2.3429478207263467E-2</c:v>
                </c:pt>
                <c:pt idx="5">
                  <c:v>2.3096498326687028E-2</c:v>
                </c:pt>
                <c:pt idx="6">
                  <c:v>2.8381553718189002E-2</c:v>
                </c:pt>
                <c:pt idx="7">
                  <c:v>3.6748776407222246E-2</c:v>
                </c:pt>
                <c:pt idx="8">
                  <c:v>3.3397367403186613E-2</c:v>
                </c:pt>
                <c:pt idx="9">
                  <c:v>3.0550739467312179E-2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Longliners!$C$96</c:f>
              <c:strCache>
                <c:ptCount val="1"/>
                <c:pt idx="0">
                  <c:v>Bass</c:v>
                </c:pt>
              </c:strCache>
            </c:strRef>
          </c:tx>
          <c:spPr>
            <a:solidFill>
              <a:srgbClr val="E84A38"/>
            </a:solidFill>
            <a:ln>
              <a:solidFill>
                <a:srgbClr val="FFFFFF"/>
              </a:solidFill>
            </a:ln>
          </c:spPr>
          <c:invertIfNegative val="0"/>
          <c:cat>
            <c:numRef>
              <c:f>Longliners!$D$91:$M$91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Longliners!$D$96:$M$96</c:f>
              <c:numCache>
                <c:formatCode>0%</c:formatCode>
                <c:ptCount val="10"/>
                <c:pt idx="8">
                  <c:v>6.5070349984298927E-3</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Longliners!$C$97</c:f>
              <c:strCache>
                <c:ptCount val="1"/>
                <c:pt idx="0">
                  <c:v>Anglerfish</c:v>
                </c:pt>
              </c:strCache>
            </c:strRef>
          </c:tx>
          <c:spPr>
            <a:solidFill>
              <a:srgbClr val="0F9AA9"/>
            </a:solidFill>
            <a:ln>
              <a:solidFill>
                <a:srgbClr val="FFFFFF"/>
              </a:solidFill>
            </a:ln>
          </c:spPr>
          <c:invertIfNegative val="0"/>
          <c:cat>
            <c:numRef>
              <c:f>Longliners!$D$91:$M$91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Longliners!$D$97:$M$97</c:f>
              <c:numCache>
                <c:formatCode>0%</c:formatCode>
                <c:ptCount val="10"/>
                <c:pt idx="5">
                  <c:v>9.9895653939406012E-3</c:v>
                </c:pt>
                <c:pt idx="9">
                  <c:v>1.4833196741729332E-2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Longliners!$C$98</c:f>
              <c:strCache>
                <c:ptCount val="1"/>
                <c:pt idx="0">
                  <c:v>Blue Mouth Redfish</c:v>
                </c:pt>
              </c:strCache>
            </c:strRef>
          </c:tx>
          <c:spPr>
            <a:solidFill>
              <a:srgbClr val="FED825"/>
            </a:solidFill>
            <a:ln>
              <a:solidFill>
                <a:srgbClr val="FFFFFF"/>
              </a:solidFill>
            </a:ln>
          </c:spPr>
          <c:invertIfNegative val="0"/>
          <c:cat>
            <c:numRef>
              <c:f>Longliners!$D$91:$M$91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Longliners!$D$98:$M$98</c:f>
              <c:numCache>
                <c:formatCode>0%</c:formatCode>
                <c:ptCount val="10"/>
                <c:pt idx="6">
                  <c:v>4.866216476330832E-3</c:v>
                </c:pt>
                <c:pt idx="7">
                  <c:v>5.9369859819705705E-3</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Longliners!$C$99</c:f>
              <c:strCache>
                <c:ptCount val="1"/>
                <c:pt idx="0">
                  <c:v>Albacore</c:v>
                </c:pt>
              </c:strCache>
            </c:strRef>
          </c:tx>
          <c:spPr>
            <a:solidFill>
              <a:srgbClr val="707271"/>
            </a:solidFill>
            <a:ln>
              <a:solidFill>
                <a:srgbClr val="FFFFFF"/>
              </a:solidFill>
            </a:ln>
          </c:spPr>
          <c:invertIfNegative val="0"/>
          <c:cat>
            <c:numRef>
              <c:f>Longliners!$D$91:$M$91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Longliners!$D$99:$M$99</c:f>
              <c:numCache>
                <c:formatCode>0%</c:formatCode>
                <c:ptCount val="10"/>
                <c:pt idx="1">
                  <c:v>1.9863371121988656E-2</c:v>
                </c:pt>
                <c:pt idx="4">
                  <c:v>1.8312510489242498E-2</c:v>
                </c:pt>
              </c:numCache>
            </c:numRef>
          </c:val>
          <c:extLst xmlns:c16r2="http://schemas.microsoft.com/office/drawing/2015/06/chart">
            <c:ext xmlns:c16="http://schemas.microsoft.com/office/drawing/2014/chart" uri="{C3380CC4-5D6E-409C-BE32-E72D297353CC}">
              <c16:uniqueId val="{00000007-282A-42F3-A8CE-7B6B063B5E4F}"/>
            </c:ext>
          </c:extLst>
        </c:ser>
        <c:ser>
          <c:idx val="8"/>
          <c:order val="8"/>
          <c:tx>
            <c:strRef>
              <c:f>Longliners!$C$100</c:f>
              <c:strCache>
                <c:ptCount val="1"/>
                <c:pt idx="0">
                  <c:v>Greater Forked Beard</c:v>
                </c:pt>
              </c:strCache>
            </c:strRef>
          </c:tx>
          <c:spPr>
            <a:solidFill>
              <a:srgbClr val="51AA81"/>
            </a:solidFill>
            <a:ln>
              <a:solidFill>
                <a:srgbClr val="FFFFFF"/>
              </a:solidFill>
            </a:ln>
          </c:spPr>
          <c:invertIfNegative val="0"/>
          <c:cat>
            <c:numRef>
              <c:f>Longliners!$D$91:$M$91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Longliners!$D$100:$M$100</c:f>
              <c:numCache>
                <c:formatCode>0%</c:formatCode>
                <c:ptCount val="10"/>
                <c:pt idx="2">
                  <c:v>2.3261835284707356E-2</c:v>
                </c:pt>
                <c:pt idx="3">
                  <c:v>1.6739410923832236E-2</c:v>
                </c:pt>
              </c:numCache>
            </c:numRef>
          </c:val>
          <c:extLst xmlns:c16r2="http://schemas.microsoft.com/office/drawing/2015/06/chart">
            <c:ext xmlns:c16="http://schemas.microsoft.com/office/drawing/2014/chart" uri="{C3380CC4-5D6E-409C-BE32-E72D297353CC}">
              <c16:uniqueId val="{00000008-282A-42F3-A8CE-7B6B063B5E4F}"/>
            </c:ext>
          </c:extLst>
        </c:ser>
        <c:ser>
          <c:idx val="9"/>
          <c:order val="9"/>
          <c:tx>
            <c:strRef>
              <c:f>Longliners!$C$101</c:f>
              <c:strCache>
                <c:ptCount val="1"/>
                <c:pt idx="0">
                  <c:v>Bream - Ray's</c:v>
                </c:pt>
              </c:strCache>
            </c:strRef>
          </c:tx>
          <c:spPr>
            <a:solidFill>
              <a:srgbClr val="169FDB"/>
            </a:solidFill>
            <a:ln>
              <a:solidFill>
                <a:srgbClr val="FFFFFF"/>
              </a:solidFill>
            </a:ln>
          </c:spPr>
          <c:invertIfNegative val="0"/>
          <c:cat>
            <c:numRef>
              <c:f>Longliners!$D$91:$M$91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Longliners!$D$101:$M$101</c:f>
              <c:numCache>
                <c:formatCode>0%</c:formatCode>
                <c:ptCount val="10"/>
                <c:pt idx="0">
                  <c:v>6.9581922106467187E-2</c:v>
                </c:pt>
                <c:pt idx="1">
                  <c:v>8.6877646310783832E-2</c:v>
                </c:pt>
              </c:numCache>
            </c:numRef>
          </c:val>
          <c:extLst xmlns:c16r2="http://schemas.microsoft.com/office/drawing/2015/06/chart">
            <c:ext xmlns:c16="http://schemas.microsoft.com/office/drawing/2014/chart" uri="{C3380CC4-5D6E-409C-BE32-E72D297353CC}">
              <c16:uniqueId val="{00000009-282A-42F3-A8CE-7B6B063B5E4F}"/>
            </c:ext>
          </c:extLst>
        </c:ser>
        <c:ser>
          <c:idx val="10"/>
          <c:order val="10"/>
          <c:tx>
            <c:strRef>
              <c:f>Longliners!$C$102</c:f>
              <c:strCache>
                <c:ptCount val="1"/>
                <c:pt idx="0">
                  <c:v>Others</c:v>
                </c:pt>
              </c:strCache>
            </c:strRef>
          </c:tx>
          <c:spPr>
            <a:solidFill>
              <a:srgbClr val="55585A"/>
            </a:solidFill>
            <a:ln>
              <a:solidFill>
                <a:srgbClr val="FFFFFF"/>
              </a:solidFill>
            </a:ln>
          </c:spPr>
          <c:invertIfNegative val="0"/>
          <c:cat>
            <c:numRef>
              <c:f>Longliners!$D$91:$M$91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Longliners!$D$102:$M$102</c:f>
              <c:numCache>
                <c:formatCode>0%</c:formatCode>
                <c:ptCount val="10"/>
                <c:pt idx="0">
                  <c:v>3.5021212140141866E-2</c:v>
                </c:pt>
                <c:pt idx="1">
                  <c:v>9.3011419061968331E-2</c:v>
                </c:pt>
                <c:pt idx="2">
                  <c:v>6.8836096074995079E-2</c:v>
                </c:pt>
                <c:pt idx="3">
                  <c:v>2.4065180812156868E-2</c:v>
                </c:pt>
                <c:pt idx="4">
                  <c:v>3.4712998632709345E-2</c:v>
                </c:pt>
                <c:pt idx="5">
                  <c:v>2.5488919122872579E-2</c:v>
                </c:pt>
                <c:pt idx="6">
                  <c:v>1.4630085519480931E-2</c:v>
                </c:pt>
                <c:pt idx="7">
                  <c:v>1.2467808694221654E-2</c:v>
                </c:pt>
                <c:pt idx="8">
                  <c:v>1.2306906616214404E-2</c:v>
                </c:pt>
                <c:pt idx="9">
                  <c:v>2.1648889588875467E-2</c:v>
                </c:pt>
              </c:numCache>
            </c:numRef>
          </c:val>
          <c:extLst xmlns:c16r2="http://schemas.microsoft.com/office/drawing/2015/06/chart">
            <c:ext xmlns:c16="http://schemas.microsoft.com/office/drawing/2014/chart" uri="{C3380CC4-5D6E-409C-BE32-E72D297353CC}">
              <c16:uniqueId val="{0000000A-282A-42F3-A8CE-7B6B063B5E4F}"/>
            </c:ext>
          </c:extLst>
        </c:ser>
        <c:dLbls>
          <c:showLegendKey val="0"/>
          <c:showVal val="0"/>
          <c:showCatName val="0"/>
          <c:showSerName val="0"/>
          <c:showPercent val="0"/>
          <c:showBubbleSize val="0"/>
        </c:dLbls>
        <c:gapWidth val="150"/>
        <c:overlap val="100"/>
        <c:axId val="711302528"/>
        <c:axId val="711308416"/>
      </c:barChart>
      <c:catAx>
        <c:axId val="711302528"/>
        <c:scaling>
          <c:orientation val="minMax"/>
        </c:scaling>
        <c:delete val="0"/>
        <c:axPos val="b"/>
        <c:numFmt formatCode="General" sourceLinked="1"/>
        <c:majorTickMark val="out"/>
        <c:minorTickMark val="none"/>
        <c:tickLblPos val="nextTo"/>
        <c:crossAx val="711308416"/>
        <c:crosses val="autoZero"/>
        <c:auto val="1"/>
        <c:lblAlgn val="ctr"/>
        <c:lblOffset val="100"/>
        <c:noMultiLvlLbl val="0"/>
      </c:catAx>
      <c:valAx>
        <c:axId val="711308416"/>
        <c:scaling>
          <c:orientation val="minMax"/>
          <c:max val="1"/>
          <c:min val="0"/>
        </c:scaling>
        <c:delete val="0"/>
        <c:axPos val="l"/>
        <c:majorGridlines/>
        <c:numFmt formatCode="0%" sourceLinked="1"/>
        <c:majorTickMark val="out"/>
        <c:minorTickMark val="none"/>
        <c:tickLblPos val="nextTo"/>
        <c:crossAx val="711302528"/>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Longliners!$B$162</c:f>
              <c:strCache>
                <c:ptCount val="1"/>
                <c:pt idx="0">
                  <c:v>Hake</c:v>
                </c:pt>
              </c:strCache>
            </c:strRef>
          </c:tx>
          <c:spPr>
            <a:solidFill>
              <a:srgbClr val="2273B9"/>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Longliners!$C$162:$E$162</c:f>
              <c:numCache>
                <c:formatCode>0%</c:formatCode>
                <c:ptCount val="3"/>
                <c:pt idx="0">
                  <c:v>0.81650677982538722</c:v>
                </c:pt>
                <c:pt idx="1">
                  <c:v>0.77459607851322942</c:v>
                </c:pt>
                <c:pt idx="2">
                  <c:v>0</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Longliners!$B$163</c:f>
              <c:strCache>
                <c:ptCount val="1"/>
                <c:pt idx="0">
                  <c:v>Ling</c:v>
                </c:pt>
              </c:strCache>
            </c:strRef>
          </c:tx>
          <c:spPr>
            <a:solidFill>
              <a:srgbClr val="E87308"/>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Longliners!$C$163:$E$163</c:f>
              <c:numCache>
                <c:formatCode>0%</c:formatCode>
                <c:ptCount val="3"/>
                <c:pt idx="0">
                  <c:v>0.16657851813417324</c:v>
                </c:pt>
                <c:pt idx="1">
                  <c:v>0.16396331467566741</c:v>
                </c:pt>
                <c:pt idx="2">
                  <c:v>3.063661460809667E-3</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Longliners!$B$164</c:f>
              <c:strCache>
                <c:ptCount val="1"/>
                <c:pt idx="0">
                  <c:v>Scallops</c:v>
                </c:pt>
              </c:strCache>
            </c:strRef>
          </c:tx>
          <c:spPr>
            <a:solidFill>
              <a:srgbClr val="C1D119"/>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Longliners!$C$164:$E$164</c:f>
              <c:numCache>
                <c:formatCode>0%</c:formatCode>
                <c:ptCount val="3"/>
                <c:pt idx="0">
                  <c:v>0</c:v>
                </c:pt>
                <c:pt idx="1">
                  <c:v>4.0401659866896644E-2</c:v>
                </c:pt>
                <c:pt idx="2">
                  <c:v>0.94905291477740539</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Longliners!$B$165</c:f>
              <c:strCache>
                <c:ptCount val="1"/>
                <c:pt idx="0">
                  <c:v>Blue Mouth Redfish</c:v>
                </c:pt>
              </c:strCache>
            </c:strRef>
          </c:tx>
          <c:spPr>
            <a:solidFill>
              <a:srgbClr val="0F9AA9"/>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Longliners!$C$165:$E$165</c:f>
              <c:numCache>
                <c:formatCode>0%</c:formatCode>
                <c:ptCount val="3"/>
                <c:pt idx="0">
                  <c:v>4.5965893201294098E-3</c:v>
                </c:pt>
                <c:pt idx="1">
                  <c:v>1.0483376589719481E-2</c:v>
                </c:pt>
                <c:pt idx="2">
                  <c:v>0</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Longliners!$B$166</c:f>
              <c:strCache>
                <c:ptCount val="1"/>
                <c:pt idx="0">
                  <c:v>Greater Forked Beard</c:v>
                </c:pt>
              </c:strCache>
            </c:strRef>
          </c:tx>
          <c:spPr>
            <a:solidFill>
              <a:srgbClr val="FED825"/>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Longliners!$C$166:$E$166</c:f>
              <c:numCache>
                <c:formatCode>0%</c:formatCode>
                <c:ptCount val="3"/>
                <c:pt idx="0">
                  <c:v>0</c:v>
                </c:pt>
                <c:pt idx="1">
                  <c:v>6.868783132324253E-3</c:v>
                </c:pt>
                <c:pt idx="2">
                  <c:v>0</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Longliners!$B$167</c:f>
              <c:strCache>
                <c:ptCount val="1"/>
                <c:pt idx="0">
                  <c:v>Pollack</c:v>
                </c:pt>
              </c:strCache>
            </c:strRef>
          </c:tx>
          <c:spPr>
            <a:solidFill>
              <a:srgbClr val="707271"/>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Longliners!$C$167:$E$167</c:f>
              <c:numCache>
                <c:formatCode>0%</c:formatCode>
                <c:ptCount val="3"/>
                <c:pt idx="0">
                  <c:v>1.0096842148151774E-3</c:v>
                </c:pt>
                <c:pt idx="1">
                  <c:v>0</c:v>
                </c:pt>
                <c:pt idx="2">
                  <c:v>4.2480259877309148E-2</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Longliners!$B$168</c:f>
              <c:strCache>
                <c:ptCount val="1"/>
                <c:pt idx="0">
                  <c:v>Nephrops</c:v>
                </c:pt>
              </c:strCache>
            </c:strRef>
          </c:tx>
          <c:spPr>
            <a:solidFill>
              <a:srgbClr val="51AA81"/>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Longliners!$C$168:$E$168</c:f>
              <c:numCache>
                <c:formatCode>0%</c:formatCode>
                <c:ptCount val="3"/>
                <c:pt idx="0">
                  <c:v>0</c:v>
                </c:pt>
                <c:pt idx="1">
                  <c:v>0</c:v>
                </c:pt>
                <c:pt idx="2">
                  <c:v>4.2680897974093444E-3</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Longliners!$B$169</c:f>
              <c:strCache>
                <c:ptCount val="1"/>
                <c:pt idx="0">
                  <c:v>Smoothhound</c:v>
                </c:pt>
              </c:strCache>
            </c:strRef>
          </c:tx>
          <c:spPr>
            <a:solidFill>
              <a:srgbClr val="169FDB"/>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Longliners!$C$169:$E$169</c:f>
              <c:numCache>
                <c:formatCode>0%</c:formatCode>
                <c:ptCount val="3"/>
                <c:pt idx="0">
                  <c:v>0</c:v>
                </c:pt>
                <c:pt idx="1">
                  <c:v>0</c:v>
                </c:pt>
                <c:pt idx="2">
                  <c:v>4.8031210680655898E-4</c:v>
                </c:pt>
              </c:numCache>
            </c:numRef>
          </c:val>
          <c:extLst xmlns:c16r2="http://schemas.microsoft.com/office/drawing/2015/06/chart">
            <c:ext xmlns:c16="http://schemas.microsoft.com/office/drawing/2014/chart" uri="{C3380CC4-5D6E-409C-BE32-E72D297353CC}">
              <c16:uniqueId val="{00000007-DFDD-4C01-8393-1BE532AE55F9}"/>
            </c:ext>
          </c:extLst>
        </c:ser>
        <c:ser>
          <c:idx val="8"/>
          <c:order val="8"/>
          <c:tx>
            <c:strRef>
              <c:f>Longliners!$B$170</c:f>
              <c:strCache>
                <c:ptCount val="1"/>
                <c:pt idx="0">
                  <c:v>Razor Clam</c:v>
                </c:pt>
              </c:strCache>
            </c:strRef>
          </c:tx>
          <c:spPr>
            <a:solidFill>
              <a:srgbClr val="648C2E"/>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Longliners!$C$170:$E$170</c:f>
              <c:numCache>
                <c:formatCode>0%</c:formatCode>
                <c:ptCount val="3"/>
                <c:pt idx="0">
                  <c:v>1.0069751877487161E-2</c:v>
                </c:pt>
                <c:pt idx="1">
                  <c:v>0</c:v>
                </c:pt>
                <c:pt idx="2">
                  <c:v>0</c:v>
                </c:pt>
              </c:numCache>
            </c:numRef>
          </c:val>
          <c:extLst xmlns:c16r2="http://schemas.microsoft.com/office/drawing/2015/06/chart">
            <c:ext xmlns:c16="http://schemas.microsoft.com/office/drawing/2014/chart" uri="{C3380CC4-5D6E-409C-BE32-E72D297353CC}">
              <c16:uniqueId val="{00000008-DFDD-4C01-8393-1BE532AE55F9}"/>
            </c:ext>
          </c:extLst>
        </c:ser>
        <c:ser>
          <c:idx val="9"/>
          <c:order val="9"/>
          <c:tx>
            <c:strRef>
              <c:f>Longliners!$B$171</c:f>
              <c:strCache>
                <c:ptCount val="1"/>
                <c:pt idx="0">
                  <c:v>Others</c:v>
                </c:pt>
              </c:strCache>
            </c:strRef>
          </c:tx>
          <c:spPr>
            <a:solidFill>
              <a:srgbClr val="55585A"/>
            </a:solidFill>
            <a:ln>
              <a:solidFill>
                <a:srgbClr val="FFFFFF"/>
              </a:solidFill>
            </a:ln>
          </c:spPr>
          <c:invertIfNegative val="0"/>
          <c:cat>
            <c:strRef>
              <c:f>Longliners!$C$161:$E$161</c:f>
              <c:strCache>
                <c:ptCount val="3"/>
                <c:pt idx="0">
                  <c:v>Most
profitable
quartile</c:v>
                </c:pt>
                <c:pt idx="1">
                  <c:v>Middle 
two quartiles</c:v>
                </c:pt>
                <c:pt idx="2">
                  <c:v>Least
profitable
quartile</c:v>
                </c:pt>
              </c:strCache>
            </c:strRef>
          </c:cat>
          <c:val>
            <c:numRef>
              <c:f>Longliners!$C$171:$E$171</c:f>
              <c:numCache>
                <c:formatCode>0%</c:formatCode>
                <c:ptCount val="3"/>
                <c:pt idx="0">
                  <c:v>1.2386766280078065E-3</c:v>
                </c:pt>
                <c:pt idx="1">
                  <c:v>3.6867872221627573E-3</c:v>
                </c:pt>
                <c:pt idx="2">
                  <c:v>6.5476198025982146E-4</c:v>
                </c:pt>
              </c:numCache>
            </c:numRef>
          </c:val>
          <c:extLst xmlns:c16r2="http://schemas.microsoft.com/office/drawing/2015/06/chart">
            <c:ext xmlns:c16="http://schemas.microsoft.com/office/drawing/2014/chart" uri="{C3380CC4-5D6E-409C-BE32-E72D297353CC}">
              <c16:uniqueId val="{00000009-DFDD-4C01-8393-1BE532AE55F9}"/>
            </c:ext>
          </c:extLst>
        </c:ser>
        <c:dLbls>
          <c:showLegendKey val="0"/>
          <c:showVal val="0"/>
          <c:showCatName val="0"/>
          <c:showSerName val="0"/>
          <c:showPercent val="0"/>
          <c:showBubbleSize val="0"/>
        </c:dLbls>
        <c:gapWidth val="150"/>
        <c:overlap val="100"/>
        <c:axId val="711054080"/>
        <c:axId val="711055616"/>
      </c:barChart>
      <c:catAx>
        <c:axId val="711054080"/>
        <c:scaling>
          <c:orientation val="minMax"/>
        </c:scaling>
        <c:delete val="0"/>
        <c:axPos val="b"/>
        <c:numFmt formatCode="General" sourceLinked="0"/>
        <c:majorTickMark val="out"/>
        <c:minorTickMark val="none"/>
        <c:tickLblPos val="nextTo"/>
        <c:crossAx val="711055616"/>
        <c:crosses val="autoZero"/>
        <c:auto val="1"/>
        <c:lblAlgn val="ctr"/>
        <c:lblOffset val="100"/>
        <c:noMultiLvlLbl val="0"/>
      </c:catAx>
      <c:valAx>
        <c:axId val="711055616"/>
        <c:scaling>
          <c:orientation val="minMax"/>
          <c:max val="1"/>
          <c:min val="0"/>
        </c:scaling>
        <c:delete val="0"/>
        <c:axPos val="l"/>
        <c:majorGridlines/>
        <c:minorGridlines/>
        <c:numFmt formatCode="0%" sourceLinked="1"/>
        <c:majorTickMark val="out"/>
        <c:minorTickMark val="none"/>
        <c:tickLblPos val="nextTo"/>
        <c:crossAx val="711054080"/>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Longliners!$H$162</c:f>
              <c:strCache>
                <c:ptCount val="1"/>
                <c:pt idx="0">
                  <c:v>Hake</c:v>
                </c:pt>
              </c:strCache>
            </c:strRef>
          </c:tx>
          <c:spPr>
            <a:solidFill>
              <a:srgbClr val="2273B9"/>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Longliners!$I$162:$K$162</c:f>
              <c:numCache>
                <c:formatCode>0%</c:formatCode>
                <c:ptCount val="3"/>
                <c:pt idx="0">
                  <c:v>0.84540239480264057</c:v>
                </c:pt>
                <c:pt idx="1">
                  <c:v>0.79490214058220598</c:v>
                </c:pt>
                <c:pt idx="2">
                  <c:v>0</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Longliners!$H$163</c:f>
              <c:strCache>
                <c:ptCount val="1"/>
                <c:pt idx="0">
                  <c:v>Ling</c:v>
                </c:pt>
              </c:strCache>
            </c:strRef>
          </c:tx>
          <c:spPr>
            <a:solidFill>
              <a:srgbClr val="E87308"/>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Longliners!$I$163:$K$163</c:f>
              <c:numCache>
                <c:formatCode>0%</c:formatCode>
                <c:ptCount val="3"/>
                <c:pt idx="0">
                  <c:v>0.11613184484063725</c:v>
                </c:pt>
                <c:pt idx="1">
                  <c:v>0.10715574935566603</c:v>
                </c:pt>
                <c:pt idx="2">
                  <c:v>1.9478089378726473E-3</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Longliners!$H$164</c:f>
              <c:strCache>
                <c:ptCount val="1"/>
                <c:pt idx="0">
                  <c:v>Razor Clam</c:v>
                </c:pt>
              </c:strCache>
            </c:strRef>
          </c:tx>
          <c:spPr>
            <a:solidFill>
              <a:srgbClr val="648C2E"/>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Longliners!$I$164:$K$164</c:f>
              <c:numCache>
                <c:formatCode>0%</c:formatCode>
                <c:ptCount val="3"/>
                <c:pt idx="0">
                  <c:v>3.1494645867481706E-2</c:v>
                </c:pt>
                <c:pt idx="1">
                  <c:v>5.6371977325286655E-2</c:v>
                </c:pt>
                <c:pt idx="2">
                  <c:v>0</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Longliners!$H$165</c:f>
              <c:strCache>
                <c:ptCount val="1"/>
                <c:pt idx="0">
                  <c:v>Scallops</c:v>
                </c:pt>
              </c:strCache>
            </c:strRef>
          </c:tx>
          <c:spPr>
            <a:solidFill>
              <a:srgbClr val="C1D119"/>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Longliners!$I$165:$K$165</c:f>
              <c:numCache>
                <c:formatCode>0%</c:formatCode>
                <c:ptCount val="3"/>
                <c:pt idx="0">
                  <c:v>0</c:v>
                </c:pt>
                <c:pt idx="1">
                  <c:v>1.6247108517841686E-2</c:v>
                </c:pt>
                <c:pt idx="2">
                  <c:v>0.94368706802833602</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Longliners!$H$166</c:f>
              <c:strCache>
                <c:ptCount val="1"/>
                <c:pt idx="0">
                  <c:v>Bass</c:v>
                </c:pt>
              </c:strCache>
            </c:strRef>
          </c:tx>
          <c:spPr>
            <a:solidFill>
              <a:srgbClr val="E84A38"/>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Longliners!$I$166:$K$166</c:f>
              <c:numCache>
                <c:formatCode>0%</c:formatCode>
                <c:ptCount val="3"/>
                <c:pt idx="0">
                  <c:v>0</c:v>
                </c:pt>
                <c:pt idx="1">
                  <c:v>1.1767694602658149E-2</c:v>
                </c:pt>
                <c:pt idx="2">
                  <c:v>0</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Longliners!$H$167</c:f>
              <c:strCache>
                <c:ptCount val="1"/>
                <c:pt idx="0">
                  <c:v>Pollack</c:v>
                </c:pt>
              </c:strCache>
            </c:strRef>
          </c:tx>
          <c:spPr>
            <a:solidFill>
              <a:srgbClr val="707271"/>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Longliners!$I$167:$K$167</c:f>
              <c:numCache>
                <c:formatCode>0%</c:formatCode>
                <c:ptCount val="3"/>
                <c:pt idx="0">
                  <c:v>1.3834553831770192E-3</c:v>
                </c:pt>
                <c:pt idx="1">
                  <c:v>0</c:v>
                </c:pt>
                <c:pt idx="2">
                  <c:v>4.503314800897372E-2</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Longliners!$H$168</c:f>
              <c:strCache>
                <c:ptCount val="1"/>
                <c:pt idx="0">
                  <c:v>Nephrops</c:v>
                </c:pt>
              </c:strCache>
            </c:strRef>
          </c:tx>
          <c:spPr>
            <a:solidFill>
              <a:srgbClr val="51AA81"/>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Longliners!$I$168:$K$168</c:f>
              <c:numCache>
                <c:formatCode>0%</c:formatCode>
                <c:ptCount val="3"/>
                <c:pt idx="0">
                  <c:v>0</c:v>
                </c:pt>
                <c:pt idx="1">
                  <c:v>0</c:v>
                </c:pt>
                <c:pt idx="2">
                  <c:v>8.9545096245742337E-3</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Longliners!$H$169</c:f>
              <c:strCache>
                <c:ptCount val="1"/>
                <c:pt idx="0">
                  <c:v>Saithe</c:v>
                </c:pt>
              </c:strCache>
            </c:strRef>
          </c:tx>
          <c:spPr>
            <a:solidFill>
              <a:srgbClr val="E40D2C"/>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Longliners!$I$169:$K$169</c:f>
              <c:numCache>
                <c:formatCode>0%</c:formatCode>
                <c:ptCount val="3"/>
                <c:pt idx="0">
                  <c:v>0</c:v>
                </c:pt>
                <c:pt idx="1">
                  <c:v>0</c:v>
                </c:pt>
                <c:pt idx="2">
                  <c:v>1.0572498328347377E-4</c:v>
                </c:pt>
              </c:numCache>
            </c:numRef>
          </c:val>
          <c:extLst xmlns:c16r2="http://schemas.microsoft.com/office/drawing/2015/06/chart">
            <c:ext xmlns:c16="http://schemas.microsoft.com/office/drawing/2014/chart" uri="{C3380CC4-5D6E-409C-BE32-E72D297353CC}">
              <c16:uniqueId val="{00000007-DC58-4725-8A67-0BDC09FD93CD}"/>
            </c:ext>
          </c:extLst>
        </c:ser>
        <c:ser>
          <c:idx val="8"/>
          <c:order val="8"/>
          <c:tx>
            <c:strRef>
              <c:f>Longliners!$H$170</c:f>
              <c:strCache>
                <c:ptCount val="1"/>
                <c:pt idx="0">
                  <c:v>Blue Mouth Redfish</c:v>
                </c:pt>
              </c:strCache>
            </c:strRef>
          </c:tx>
          <c:spPr>
            <a:solidFill>
              <a:srgbClr val="0F9AA9"/>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Longliners!$I$170:$K$170</c:f>
              <c:numCache>
                <c:formatCode>0%</c:formatCode>
                <c:ptCount val="3"/>
                <c:pt idx="0">
                  <c:v>4.1732270896673255E-3</c:v>
                </c:pt>
                <c:pt idx="1">
                  <c:v>0</c:v>
                </c:pt>
                <c:pt idx="2">
                  <c:v>0</c:v>
                </c:pt>
              </c:numCache>
            </c:numRef>
          </c:val>
          <c:extLst xmlns:c16r2="http://schemas.microsoft.com/office/drawing/2015/06/chart">
            <c:ext xmlns:c16="http://schemas.microsoft.com/office/drawing/2014/chart" uri="{C3380CC4-5D6E-409C-BE32-E72D297353CC}">
              <c16:uniqueId val="{00000008-DC58-4725-8A67-0BDC09FD93CD}"/>
            </c:ext>
          </c:extLst>
        </c:ser>
        <c:ser>
          <c:idx val="9"/>
          <c:order val="9"/>
          <c:tx>
            <c:strRef>
              <c:f>Longliners!$H$171</c:f>
              <c:strCache>
                <c:ptCount val="1"/>
                <c:pt idx="0">
                  <c:v>Others</c:v>
                </c:pt>
              </c:strCache>
            </c:strRef>
          </c:tx>
          <c:spPr>
            <a:solidFill>
              <a:srgbClr val="55585A"/>
            </a:solidFill>
            <a:ln>
              <a:solidFill>
                <a:srgbClr val="FFFFFF"/>
              </a:solidFill>
            </a:ln>
          </c:spPr>
          <c:invertIfNegative val="0"/>
          <c:cat>
            <c:strRef>
              <c:f>Longliners!$I$161:$K$161</c:f>
              <c:strCache>
                <c:ptCount val="3"/>
                <c:pt idx="0">
                  <c:v>Most
profitable
quartile</c:v>
                </c:pt>
                <c:pt idx="1">
                  <c:v>Middle 
two quartiles</c:v>
                </c:pt>
                <c:pt idx="2">
                  <c:v>Least
profitable
quartile</c:v>
                </c:pt>
              </c:strCache>
            </c:strRef>
          </c:cat>
          <c:val>
            <c:numRef>
              <c:f>Longliners!$I$171:$K$171</c:f>
              <c:numCache>
                <c:formatCode>0%</c:formatCode>
                <c:ptCount val="3"/>
                <c:pt idx="0">
                  <c:v>1.4144320163962387E-3</c:v>
                </c:pt>
                <c:pt idx="1">
                  <c:v>1.3555329616341427E-2</c:v>
                </c:pt>
                <c:pt idx="2">
                  <c:v>2.7174041695998685E-4</c:v>
                </c:pt>
              </c:numCache>
            </c:numRef>
          </c:val>
          <c:extLst xmlns:c16r2="http://schemas.microsoft.com/office/drawing/2015/06/chart">
            <c:ext xmlns:c16="http://schemas.microsoft.com/office/drawing/2014/chart" uri="{C3380CC4-5D6E-409C-BE32-E72D297353CC}">
              <c16:uniqueId val="{00000009-DC58-4725-8A67-0BDC09FD93CD}"/>
            </c:ext>
          </c:extLst>
        </c:ser>
        <c:dLbls>
          <c:showLegendKey val="0"/>
          <c:showVal val="0"/>
          <c:showCatName val="0"/>
          <c:showSerName val="0"/>
          <c:showPercent val="0"/>
          <c:showBubbleSize val="0"/>
        </c:dLbls>
        <c:gapWidth val="150"/>
        <c:overlap val="100"/>
        <c:axId val="711120384"/>
        <c:axId val="711121920"/>
      </c:barChart>
      <c:catAx>
        <c:axId val="711120384"/>
        <c:scaling>
          <c:orientation val="minMax"/>
        </c:scaling>
        <c:delete val="0"/>
        <c:axPos val="b"/>
        <c:numFmt formatCode="General" sourceLinked="0"/>
        <c:majorTickMark val="out"/>
        <c:minorTickMark val="none"/>
        <c:tickLblPos val="nextTo"/>
        <c:crossAx val="711121920"/>
        <c:crosses val="autoZero"/>
        <c:auto val="1"/>
        <c:lblAlgn val="ctr"/>
        <c:lblOffset val="100"/>
        <c:noMultiLvlLbl val="0"/>
      </c:catAx>
      <c:valAx>
        <c:axId val="711121920"/>
        <c:scaling>
          <c:orientation val="minMax"/>
          <c:max val="1"/>
          <c:min val="0"/>
        </c:scaling>
        <c:delete val="0"/>
        <c:axPos val="l"/>
        <c:majorGridlines/>
        <c:minorGridlines/>
        <c:numFmt formatCode="0%" sourceLinked="1"/>
        <c:majorTickMark val="out"/>
        <c:minorTickMark val="none"/>
        <c:tickLblPos val="nextTo"/>
        <c:crossAx val="711120384"/>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Longliners!$K$143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Longliners!$K$139</c:f>
              <c:strCache>
                <c:ptCount val="1"/>
                <c:pt idx="0">
                  <c:v>Total income</c:v>
                </c:pt>
              </c:strCache>
            </c:strRef>
          </c:tx>
          <c:spPr>
            <a:solidFill>
              <a:schemeClr val="accent1"/>
            </a:solidFill>
            <a:ln>
              <a:solidFill>
                <a:schemeClr val="accent1"/>
              </a:solidFill>
            </a:ln>
          </c:spPr>
          <c:invertIfNegative val="0"/>
          <c:cat>
            <c:strRef>
              <c:f>Longliners!$L$138:$N$138</c:f>
              <c:strCache>
                <c:ptCount val="3"/>
                <c:pt idx="0">
                  <c:v>Most
profitable
quartile</c:v>
                </c:pt>
                <c:pt idx="1">
                  <c:v>Middle
two quartiles</c:v>
                </c:pt>
                <c:pt idx="2">
                  <c:v>Least
profitable
quartile</c:v>
                </c:pt>
              </c:strCache>
            </c:strRef>
          </c:cat>
          <c:val>
            <c:numRef>
              <c:f>Longliners!$L$139:$N$139</c:f>
              <c:numCache>
                <c:formatCode>#,##0</c:formatCode>
                <c:ptCount val="3"/>
                <c:pt idx="0">
                  <c:v>1148.917625</c:v>
                </c:pt>
                <c:pt idx="1">
                  <c:v>756.19650000000001</c:v>
                </c:pt>
                <c:pt idx="2">
                  <c:v>69.650937499999998</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Longliners!$K$140</c:f>
              <c:strCache>
                <c:ptCount val="1"/>
                <c:pt idx="0">
                  <c:v>Operating costs</c:v>
                </c:pt>
              </c:strCache>
            </c:strRef>
          </c:tx>
          <c:spPr>
            <a:solidFill>
              <a:schemeClr val="accent3"/>
            </a:solidFill>
          </c:spPr>
          <c:invertIfNegative val="0"/>
          <c:cat>
            <c:strRef>
              <c:f>Longliners!$L$138:$N$138</c:f>
              <c:strCache>
                <c:ptCount val="3"/>
                <c:pt idx="0">
                  <c:v>Most
profitable
quartile</c:v>
                </c:pt>
                <c:pt idx="1">
                  <c:v>Middle
two quartiles</c:v>
                </c:pt>
                <c:pt idx="2">
                  <c:v>Least
profitable
quartile</c:v>
                </c:pt>
              </c:strCache>
            </c:strRef>
          </c:cat>
          <c:val>
            <c:numRef>
              <c:f>Longliners!$L$140:$N$140</c:f>
              <c:numCache>
                <c:formatCode>#,##0</c:formatCode>
                <c:ptCount val="3"/>
                <c:pt idx="0">
                  <c:v>939.6473125</c:v>
                </c:pt>
                <c:pt idx="1">
                  <c:v>663.78584375000003</c:v>
                </c:pt>
                <c:pt idx="2">
                  <c:v>94.040398437500002</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Longliners!$K$141</c:f>
              <c:strCache>
                <c:ptCount val="1"/>
                <c:pt idx="0">
                  <c:v>Operating profit</c:v>
                </c:pt>
              </c:strCache>
            </c:strRef>
          </c:tx>
          <c:spPr>
            <a:solidFill>
              <a:schemeClr val="accent2"/>
            </a:solidFill>
          </c:spPr>
          <c:invertIfNegative val="0"/>
          <c:cat>
            <c:strRef>
              <c:f>Longliners!$L$138:$N$138</c:f>
              <c:strCache>
                <c:ptCount val="3"/>
                <c:pt idx="0">
                  <c:v>Most
profitable
quartile</c:v>
                </c:pt>
                <c:pt idx="1">
                  <c:v>Middle
two quartiles</c:v>
                </c:pt>
                <c:pt idx="2">
                  <c:v>Least
profitable
quartile</c:v>
                </c:pt>
              </c:strCache>
            </c:strRef>
          </c:cat>
          <c:val>
            <c:numRef>
              <c:f>Longliners!$L$141:$N$141</c:f>
              <c:numCache>
                <c:formatCode>#,##0</c:formatCode>
                <c:ptCount val="3"/>
                <c:pt idx="0">
                  <c:v>209.27031249999999</c:v>
                </c:pt>
                <c:pt idx="1">
                  <c:v>92.410656250000002</c:v>
                </c:pt>
                <c:pt idx="2">
                  <c:v>-24.389460937500001</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711157632"/>
        <c:axId val="711159168"/>
      </c:barChart>
      <c:catAx>
        <c:axId val="711157632"/>
        <c:scaling>
          <c:orientation val="minMax"/>
        </c:scaling>
        <c:delete val="0"/>
        <c:axPos val="b"/>
        <c:numFmt formatCode="General" sourceLinked="0"/>
        <c:majorTickMark val="out"/>
        <c:minorTickMark val="none"/>
        <c:tickLblPos val="nextTo"/>
        <c:crossAx val="711159168"/>
        <c:crosses val="autoZero"/>
        <c:auto val="1"/>
        <c:lblAlgn val="ctr"/>
        <c:lblOffset val="100"/>
        <c:noMultiLvlLbl val="0"/>
      </c:catAx>
      <c:valAx>
        <c:axId val="711159168"/>
        <c:scaling>
          <c:orientation val="minMax"/>
        </c:scaling>
        <c:delete val="0"/>
        <c:axPos val="l"/>
        <c:majorGridlines/>
        <c:title>
          <c:tx>
            <c:strRef>
              <c:f>Longliners!$K$142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711157632"/>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10m'!$A$48</c:f>
          <c:strCache>
            <c:ptCount val="1"/>
            <c:pt idx="0">
              <c:v>Landings per kW day at sea (kg)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'Low activity over 10m'!$D$2:$N$2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'Low activity over 10m'!$D$21:$N$21</c:f>
              <c:numCache>
                <c:formatCode>#,##0.00</c:formatCode>
                <c:ptCount val="11"/>
                <c:pt idx="0">
                  <c:v>27.352601170980211</c:v>
                </c:pt>
                <c:pt idx="1">
                  <c:v>1.3336009058567515</c:v>
                </c:pt>
                <c:pt idx="2">
                  <c:v>21.167968395243708</c:v>
                </c:pt>
                <c:pt idx="3">
                  <c:v>35.681089353289018</c:v>
                </c:pt>
                <c:pt idx="4">
                  <c:v>6.3104517300768848</c:v>
                </c:pt>
                <c:pt idx="5">
                  <c:v>1.2256286323442354</c:v>
                </c:pt>
                <c:pt idx="6">
                  <c:v>8.8651780236320974</c:v>
                </c:pt>
                <c:pt idx="7">
                  <c:v>0.98949288710142169</c:v>
                </c:pt>
                <c:pt idx="8">
                  <c:v>10.325150948921557</c:v>
                </c:pt>
                <c:pt idx="9">
                  <c:v>3.1263875391613536</c:v>
                </c:pt>
                <c:pt idx="10">
                  <c:v>1.2457404002241685</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711388160"/>
        <c:axId val="711389952"/>
      </c:lineChart>
      <c:catAx>
        <c:axId val="711388160"/>
        <c:scaling>
          <c:orientation val="minMax"/>
        </c:scaling>
        <c:delete val="0"/>
        <c:axPos val="b"/>
        <c:numFmt formatCode="General" sourceLinked="1"/>
        <c:majorTickMark val="out"/>
        <c:minorTickMark val="none"/>
        <c:tickLblPos val="nextTo"/>
        <c:crossAx val="711389952"/>
        <c:crosses val="autoZero"/>
        <c:auto val="1"/>
        <c:lblAlgn val="ctr"/>
        <c:lblOffset val="100"/>
        <c:noMultiLvlLbl val="0"/>
      </c:catAx>
      <c:valAx>
        <c:axId val="711389952"/>
        <c:scaling>
          <c:orientation val="minMax"/>
        </c:scaling>
        <c:delete val="0"/>
        <c:axPos val="l"/>
        <c:majorGridlines>
          <c:spPr>
            <a:ln w="3175">
              <a:prstDash val="sysDot"/>
            </a:ln>
          </c:spPr>
        </c:majorGridlines>
        <c:numFmt formatCode="#,##0.00" sourceLinked="1"/>
        <c:majorTickMark val="out"/>
        <c:minorTickMark val="none"/>
        <c:tickLblPos val="nextTo"/>
        <c:crossAx val="711388160"/>
        <c:crosses val="autoZero"/>
        <c:crossBetween val="between"/>
      </c:valAx>
    </c:plotArea>
    <c:plotVisOnly val="0"/>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'Area VIIa demersal trawl'!$F$76</c:f>
          <c:strCache>
            <c:ptCount val="1"/>
            <c:pt idx="0">
              <c:v>Top 5 landed species by value in 2017
Area VIIA demersal trawl</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'Area VIIa demersal trawl'!$G$77:$G$82</c:f>
              <c:strCache>
                <c:ptCount val="6"/>
                <c:pt idx="0">
                  <c:v>Haddock - 31.6%</c:v>
                </c:pt>
                <c:pt idx="1">
                  <c:v>Nephrops - 22.1%</c:v>
                </c:pt>
                <c:pt idx="2">
                  <c:v>Scallops - 13.1%</c:v>
                </c:pt>
                <c:pt idx="3">
                  <c:v>Hake - 8.9%</c:v>
                </c:pt>
                <c:pt idx="4">
                  <c:v>Cuttlefish - 8.8%</c:v>
                </c:pt>
                <c:pt idx="5">
                  <c:v>Others - 15.4%</c:v>
                </c:pt>
              </c:strCache>
            </c:strRef>
          </c:cat>
          <c:val>
            <c:numRef>
              <c:f>'Area VIIa demersal trawl'!$H$77:$H$82</c:f>
              <c:numCache>
                <c:formatCode>0.0%</c:formatCode>
                <c:ptCount val="6"/>
                <c:pt idx="0">
                  <c:v>0.31586459267303152</c:v>
                </c:pt>
                <c:pt idx="1">
                  <c:v>0.22109582312811285</c:v>
                </c:pt>
                <c:pt idx="2">
                  <c:v>0.13104482830188879</c:v>
                </c:pt>
                <c:pt idx="3">
                  <c:v>8.946225715107381E-2</c:v>
                </c:pt>
                <c:pt idx="4">
                  <c:v>8.8322772037622857E-2</c:v>
                </c:pt>
                <c:pt idx="5">
                  <c:v>0.15420972670827016</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10m'!$A$49</c:f>
          <c:strCache>
            <c:ptCount val="1"/>
            <c:pt idx="0">
              <c:v>Fishing income per kW day at sea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'Low activity over 10m'!$D$2:$N$2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'Low activity over 10m'!$D$22:$N$22</c:f>
              <c:numCache>
                <c:formatCode>#,##0.00</c:formatCode>
                <c:ptCount val="11"/>
                <c:pt idx="0">
                  <c:v>2.2277961378093201</c:v>
                </c:pt>
                <c:pt idx="1">
                  <c:v>1.8483058501527201</c:v>
                </c:pt>
                <c:pt idx="2">
                  <c:v>2.3674366740633301</c:v>
                </c:pt>
                <c:pt idx="3">
                  <c:v>2.2226898696504702</c:v>
                </c:pt>
                <c:pt idx="4">
                  <c:v>1.77944199536862</c:v>
                </c:pt>
                <c:pt idx="5">
                  <c:v>2.3398037166427401</c:v>
                </c:pt>
                <c:pt idx="6">
                  <c:v>1.2076824992948501</c:v>
                </c:pt>
                <c:pt idx="7">
                  <c:v>2.3384838756742599</c:v>
                </c:pt>
                <c:pt idx="8">
                  <c:v>1.7815126504251599</c:v>
                </c:pt>
                <c:pt idx="9">
                  <c:v>1.7856553665713399</c:v>
                </c:pt>
                <c:pt idx="10">
                  <c:v>1.6709273720359794</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711612672"/>
        <c:axId val="711618560"/>
      </c:lineChart>
      <c:catAx>
        <c:axId val="711612672"/>
        <c:scaling>
          <c:orientation val="minMax"/>
        </c:scaling>
        <c:delete val="0"/>
        <c:axPos val="b"/>
        <c:numFmt formatCode="General" sourceLinked="1"/>
        <c:majorTickMark val="out"/>
        <c:minorTickMark val="none"/>
        <c:tickLblPos val="nextTo"/>
        <c:crossAx val="711618560"/>
        <c:crosses val="autoZero"/>
        <c:auto val="1"/>
        <c:lblAlgn val="ctr"/>
        <c:lblOffset val="100"/>
        <c:noMultiLvlLbl val="0"/>
      </c:catAx>
      <c:valAx>
        <c:axId val="711618560"/>
        <c:scaling>
          <c:orientation val="minMax"/>
        </c:scaling>
        <c:delete val="0"/>
        <c:axPos val="l"/>
        <c:majorGridlines>
          <c:spPr>
            <a:ln w="3175">
              <a:prstDash val="sysDot"/>
            </a:ln>
          </c:spPr>
        </c:majorGridlines>
        <c:numFmt formatCode="#,##0.00" sourceLinked="1"/>
        <c:majorTickMark val="out"/>
        <c:minorTickMark val="none"/>
        <c:tickLblPos val="nextTo"/>
        <c:crossAx val="711612672"/>
        <c:crosses val="autoZero"/>
        <c:crossBetween val="between"/>
      </c:valAx>
    </c:plotArea>
    <c:plotVisOnly val="0"/>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10m'!$B$62</c:f>
          <c:strCache>
            <c:ptCount val="1"/>
            <c:pt idx="0">
              <c:v>Total cost per kW day at sea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'Low activity over 10m'!$D$2:$N$2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'Low activity over 10m'!$D$23:$N$23</c:f>
              <c:numCache>
                <c:formatCode>#,##0.00</c:formatCode>
                <c:ptCount val="11"/>
                <c:pt idx="0">
                  <c:v>17.864442473115901</c:v>
                </c:pt>
                <c:pt idx="1">
                  <c:v>2.2227849217872899</c:v>
                </c:pt>
                <c:pt idx="2">
                  <c:v>3.0611007664926699</c:v>
                </c:pt>
                <c:pt idx="3">
                  <c:v>2.9433273639735802</c:v>
                </c:pt>
                <c:pt idx="4">
                  <c:v>2.83606613104239</c:v>
                </c:pt>
                <c:pt idx="5">
                  <c:v>3.92924036414496</c:v>
                </c:pt>
                <c:pt idx="6">
                  <c:v>2.8393491679770602</c:v>
                </c:pt>
                <c:pt idx="7">
                  <c:v>4.2651269788769204</c:v>
                </c:pt>
                <c:pt idx="8">
                  <c:v>2.3065660860407702</c:v>
                </c:pt>
                <c:pt idx="9">
                  <c:v>3.9785649416092799</c:v>
                </c:pt>
                <c:pt idx="10">
                  <c:v>3.4786902370464077</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711394816"/>
        <c:axId val="711396352"/>
      </c:lineChart>
      <c:catAx>
        <c:axId val="711394816"/>
        <c:scaling>
          <c:orientation val="minMax"/>
        </c:scaling>
        <c:delete val="0"/>
        <c:axPos val="b"/>
        <c:numFmt formatCode="General" sourceLinked="1"/>
        <c:majorTickMark val="out"/>
        <c:minorTickMark val="none"/>
        <c:tickLblPos val="nextTo"/>
        <c:crossAx val="711396352"/>
        <c:crosses val="autoZero"/>
        <c:auto val="1"/>
        <c:lblAlgn val="ctr"/>
        <c:lblOffset val="100"/>
        <c:noMultiLvlLbl val="0"/>
      </c:catAx>
      <c:valAx>
        <c:axId val="711396352"/>
        <c:scaling>
          <c:orientation val="minMax"/>
        </c:scaling>
        <c:delete val="0"/>
        <c:axPos val="l"/>
        <c:majorGridlines>
          <c:spPr>
            <a:ln w="3175">
              <a:prstDash val="sysDot"/>
            </a:ln>
          </c:spPr>
        </c:majorGridlines>
        <c:numFmt formatCode="#,##0.00" sourceLinked="1"/>
        <c:majorTickMark val="out"/>
        <c:minorTickMark val="none"/>
        <c:tickLblPos val="nextTo"/>
        <c:crossAx val="711394816"/>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10m'!$K$48</c:f>
          <c:strCache>
            <c:ptCount val="1"/>
            <c:pt idx="0">
              <c:v>Operating profit per kW day at sea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'Low activity over 10m'!$D$2:$N$2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'Low activity over 10m'!$D$24:$N$24</c:f>
              <c:numCache>
                <c:formatCode>#,##0.00</c:formatCode>
                <c:ptCount val="11"/>
                <c:pt idx="0">
                  <c:v>-15.6038651387714</c:v>
                </c:pt>
                <c:pt idx="1">
                  <c:v>-0.31610796079328901</c:v>
                </c:pt>
                <c:pt idx="2">
                  <c:v>-0.65029637496611403</c:v>
                </c:pt>
                <c:pt idx="3">
                  <c:v>-0.66556778840741504</c:v>
                </c:pt>
                <c:pt idx="4">
                  <c:v>-0.96883638416518503</c:v>
                </c:pt>
                <c:pt idx="5">
                  <c:v>-1.52247998718933</c:v>
                </c:pt>
                <c:pt idx="6">
                  <c:v>-1.60123457344665</c:v>
                </c:pt>
                <c:pt idx="7">
                  <c:v>-1.7521561435727599</c:v>
                </c:pt>
                <c:pt idx="8">
                  <c:v>-0.458846731150997</c:v>
                </c:pt>
                <c:pt idx="9">
                  <c:v>-2.1040846270841298</c:v>
                </c:pt>
                <c:pt idx="10">
                  <c:v>-1.6830859222246166</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711422720"/>
        <c:axId val="711424256"/>
      </c:lineChart>
      <c:catAx>
        <c:axId val="711422720"/>
        <c:scaling>
          <c:orientation val="minMax"/>
        </c:scaling>
        <c:delete val="0"/>
        <c:axPos val="b"/>
        <c:numFmt formatCode="General" sourceLinked="1"/>
        <c:majorTickMark val="out"/>
        <c:minorTickMark val="none"/>
        <c:tickLblPos val="nextTo"/>
        <c:crossAx val="711424256"/>
        <c:crosses val="autoZero"/>
        <c:auto val="1"/>
        <c:lblAlgn val="ctr"/>
        <c:lblOffset val="100"/>
        <c:noMultiLvlLbl val="0"/>
      </c:catAx>
      <c:valAx>
        <c:axId val="711424256"/>
        <c:scaling>
          <c:orientation val="minMax"/>
        </c:scaling>
        <c:delete val="0"/>
        <c:axPos val="l"/>
        <c:majorGridlines>
          <c:spPr>
            <a:ln w="3175">
              <a:prstDash val="sysDot"/>
            </a:ln>
          </c:spPr>
        </c:majorGridlines>
        <c:numFmt formatCode="#,##0.00" sourceLinked="1"/>
        <c:majorTickMark val="out"/>
        <c:minorTickMark val="none"/>
        <c:tickLblPos val="nextTo"/>
        <c:crossAx val="711422720"/>
        <c:crosses val="autoZero"/>
        <c:crossBetween val="between"/>
      </c:valAx>
    </c:plotArea>
    <c:plotVisOnly val="0"/>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10m'!$A$50</c:f>
          <c:strCache>
            <c:ptCount val="1"/>
            <c:pt idx="0">
              <c:v>Average price per tonne landed (£)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'Low activity over 10m'!$D$2:$N$2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'Low activity over 10m'!$D$20:$N$20</c:f>
              <c:numCache>
                <c:formatCode>#,##0</c:formatCode>
                <c:ptCount val="11"/>
                <c:pt idx="0">
                  <c:v>81</c:v>
                </c:pt>
                <c:pt idx="1">
                  <c:v>1386</c:v>
                </c:pt>
                <c:pt idx="2">
                  <c:v>112</c:v>
                </c:pt>
                <c:pt idx="3">
                  <c:v>62</c:v>
                </c:pt>
                <c:pt idx="4">
                  <c:v>282</c:v>
                </c:pt>
                <c:pt idx="5">
                  <c:v>1909</c:v>
                </c:pt>
                <c:pt idx="6">
                  <c:v>136</c:v>
                </c:pt>
                <c:pt idx="7">
                  <c:v>2363</c:v>
                </c:pt>
                <c:pt idx="8">
                  <c:v>173</c:v>
                </c:pt>
                <c:pt idx="9">
                  <c:v>571</c:v>
                </c:pt>
                <c:pt idx="10">
                  <c:v>1341</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711454720"/>
        <c:axId val="711456256"/>
      </c:lineChart>
      <c:catAx>
        <c:axId val="711454720"/>
        <c:scaling>
          <c:orientation val="minMax"/>
        </c:scaling>
        <c:delete val="0"/>
        <c:axPos val="b"/>
        <c:numFmt formatCode="General" sourceLinked="1"/>
        <c:majorTickMark val="out"/>
        <c:minorTickMark val="none"/>
        <c:tickLblPos val="nextTo"/>
        <c:crossAx val="711456256"/>
        <c:crosses val="autoZero"/>
        <c:auto val="1"/>
        <c:lblAlgn val="ctr"/>
        <c:lblOffset val="100"/>
        <c:noMultiLvlLbl val="0"/>
      </c:catAx>
      <c:valAx>
        <c:axId val="711456256"/>
        <c:scaling>
          <c:orientation val="minMax"/>
        </c:scaling>
        <c:delete val="0"/>
        <c:axPos val="l"/>
        <c:majorGridlines>
          <c:spPr>
            <a:ln w="3175">
              <a:prstDash val="sysDot"/>
            </a:ln>
          </c:spPr>
        </c:majorGridlines>
        <c:numFmt formatCode="#,##0" sourceLinked="1"/>
        <c:majorTickMark val="out"/>
        <c:minorTickMark val="none"/>
        <c:tickLblPos val="nextTo"/>
        <c:crossAx val="711454720"/>
        <c:crosses val="autoZero"/>
        <c:crossBetween val="between"/>
      </c:valAx>
    </c:plotArea>
    <c:plotVisOnly val="0"/>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10m'!$K$62</c:f>
          <c:strCache>
            <c:ptCount val="1"/>
            <c:pt idx="0">
              <c:v>Average annual operating profit per vessel (£'000)
Low activity over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'Low activity over 10m'!$D$2:$N$2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'Low activity over 10m'!$D$37:$N$37</c:f>
              <c:numCache>
                <c:formatCode>#,##0.0</c:formatCode>
                <c:ptCount val="11"/>
                <c:pt idx="0">
                  <c:v>-38.799999999999997</c:v>
                </c:pt>
                <c:pt idx="1">
                  <c:v>-0.8</c:v>
                </c:pt>
                <c:pt idx="2">
                  <c:v>-1.4</c:v>
                </c:pt>
                <c:pt idx="3">
                  <c:v>-1.6</c:v>
                </c:pt>
                <c:pt idx="4">
                  <c:v>-2.6</c:v>
                </c:pt>
                <c:pt idx="5">
                  <c:v>-3.8</c:v>
                </c:pt>
                <c:pt idx="6">
                  <c:v>-6.8</c:v>
                </c:pt>
                <c:pt idx="7">
                  <c:v>-4</c:v>
                </c:pt>
                <c:pt idx="8">
                  <c:v>-1.2</c:v>
                </c:pt>
                <c:pt idx="9">
                  <c:v>-5.2</c:v>
                </c:pt>
                <c:pt idx="10">
                  <c:v>-4.6000000000000005</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711498752"/>
        <c:axId val="711504640"/>
      </c:lineChart>
      <c:catAx>
        <c:axId val="711498752"/>
        <c:scaling>
          <c:orientation val="minMax"/>
        </c:scaling>
        <c:delete val="0"/>
        <c:axPos val="b"/>
        <c:numFmt formatCode="General" sourceLinked="1"/>
        <c:majorTickMark val="out"/>
        <c:minorTickMark val="none"/>
        <c:tickLblPos val="nextTo"/>
        <c:crossAx val="711504640"/>
        <c:crosses val="autoZero"/>
        <c:auto val="1"/>
        <c:lblAlgn val="ctr"/>
        <c:lblOffset val="100"/>
        <c:noMultiLvlLbl val="0"/>
      </c:catAx>
      <c:valAx>
        <c:axId val="711504640"/>
        <c:scaling>
          <c:orientation val="minMax"/>
        </c:scaling>
        <c:delete val="0"/>
        <c:axPos val="l"/>
        <c:majorGridlines>
          <c:spPr>
            <a:ln w="3175">
              <a:prstDash val="sysDot"/>
            </a:ln>
          </c:spPr>
        </c:majorGridlines>
        <c:numFmt formatCode="#,##0.0" sourceLinked="1"/>
        <c:majorTickMark val="out"/>
        <c:minorTickMark val="none"/>
        <c:tickLblPos val="nextTo"/>
        <c:crossAx val="711498752"/>
        <c:crosses val="autoZero"/>
        <c:crossBetween val="between"/>
      </c:valAx>
    </c:plotArea>
    <c:plotVisOnly val="0"/>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over 10m'!$A$76</c:f>
          <c:strCache>
            <c:ptCount val="1"/>
            <c:pt idx="0">
              <c:v>Top 5 landed species by volume in 2017
Low activity over 10m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0F9AA9"/>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C1D119"/>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FED825"/>
              </a:solidFill>
              <a:ln>
                <a:solidFill>
                  <a:srgbClr val="FFFFFF"/>
                </a:solidFill>
              </a:ln>
            </c:spPr>
          </c:dPt>
          <c:dPt>
            <c:idx val="3"/>
            <c:bubble3D val="0"/>
            <c:spPr>
              <a:solidFill>
                <a:srgbClr val="648C2E"/>
              </a:solidFill>
              <a:ln>
                <a:solidFill>
                  <a:srgbClr val="FFFFFF"/>
                </a:solidFill>
              </a:ln>
            </c:spPr>
          </c:dPt>
          <c:dPt>
            <c:idx val="4"/>
            <c:bubble3D val="0"/>
            <c:spPr>
              <a:solidFill>
                <a:srgbClr val="2273B9"/>
              </a:solidFill>
              <a:ln>
                <a:solidFill>
                  <a:srgbClr val="FFFFFF"/>
                </a:solidFill>
              </a:ln>
            </c:spPr>
          </c:dPt>
          <c:dPt>
            <c:idx val="5"/>
            <c:bubble3D val="0"/>
            <c:spPr>
              <a:solidFill>
                <a:srgbClr val="55585A"/>
              </a:solidFill>
              <a:ln>
                <a:solidFill>
                  <a:srgbClr val="FFFFFF"/>
                </a:solidFill>
              </a:ln>
            </c:spPr>
          </c:dPt>
          <c:cat>
            <c:strRef>
              <c:f>'Low activity over 10m'!$B$77:$B$82</c:f>
              <c:strCache>
                <c:ptCount val="6"/>
                <c:pt idx="0">
                  <c:v>Pilchards - 58.8%</c:v>
                </c:pt>
                <c:pt idx="1">
                  <c:v>Cockles - 8.0%</c:v>
                </c:pt>
                <c:pt idx="2">
                  <c:v>Herring - 6.6%</c:v>
                </c:pt>
                <c:pt idx="3">
                  <c:v>Whelks - 4.3%</c:v>
                </c:pt>
                <c:pt idx="4">
                  <c:v>Nephrops - 3.8%</c:v>
                </c:pt>
                <c:pt idx="5">
                  <c:v>Others - 18.5%</c:v>
                </c:pt>
              </c:strCache>
            </c:strRef>
          </c:cat>
          <c:val>
            <c:numRef>
              <c:f>'Low activity over 10m'!$C$77:$C$82</c:f>
              <c:numCache>
                <c:formatCode>0.0%</c:formatCode>
                <c:ptCount val="6"/>
                <c:pt idx="0">
                  <c:v>0.58799457642204489</c:v>
                </c:pt>
                <c:pt idx="1">
                  <c:v>8.0338481584166316E-2</c:v>
                </c:pt>
                <c:pt idx="2">
                  <c:v>6.6074245199289769E-2</c:v>
                </c:pt>
                <c:pt idx="3">
                  <c:v>4.2766389981226463E-2</c:v>
                </c:pt>
                <c:pt idx="4">
                  <c:v>3.8256353124027233E-2</c:v>
                </c:pt>
                <c:pt idx="5">
                  <c:v>0.18456995368924534</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over 10m'!$F$76</c:f>
          <c:strCache>
            <c:ptCount val="1"/>
            <c:pt idx="0">
              <c:v>Top 5 landed species by value in 2017
Low activity over 10m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'Low activity over 10m'!$G$77:$G$82</c:f>
              <c:strCache>
                <c:ptCount val="6"/>
                <c:pt idx="0">
                  <c:v>Nephrops - 27.2%</c:v>
                </c:pt>
                <c:pt idx="1">
                  <c:v>Lobsters - 16.2%</c:v>
                </c:pt>
                <c:pt idx="2">
                  <c:v>Whelks - 8.1%</c:v>
                </c:pt>
                <c:pt idx="3">
                  <c:v>Cockles - 6.9%</c:v>
                </c:pt>
                <c:pt idx="4">
                  <c:v>Brown Shrimps - 6.5%</c:v>
                </c:pt>
                <c:pt idx="5">
                  <c:v>Others - 35.2%</c:v>
                </c:pt>
              </c:strCache>
            </c:strRef>
          </c:cat>
          <c:val>
            <c:numRef>
              <c:f>'Low activity over 10m'!$H$77:$H$82</c:f>
              <c:numCache>
                <c:formatCode>0.0%</c:formatCode>
                <c:ptCount val="6"/>
                <c:pt idx="0">
                  <c:v>0.27163936590076315</c:v>
                </c:pt>
                <c:pt idx="1">
                  <c:v>0.16165492544617668</c:v>
                </c:pt>
                <c:pt idx="2">
                  <c:v>8.0805352653439924E-2</c:v>
                </c:pt>
                <c:pt idx="3">
                  <c:v>6.9211513330302343E-2</c:v>
                </c:pt>
                <c:pt idx="4">
                  <c:v>6.4743195135186463E-2</c:v>
                </c:pt>
                <c:pt idx="5">
                  <c:v>0.35194564753413138</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'Low activity over 10m'!$C$92</c:f>
              <c:strCache>
                <c:ptCount val="1"/>
                <c:pt idx="0">
                  <c:v>Nephrops</c:v>
                </c:pt>
              </c:strCache>
            </c:strRef>
          </c:tx>
          <c:spPr>
            <a:solidFill>
              <a:srgbClr val="2273B9"/>
            </a:solidFill>
            <a:ln>
              <a:solidFill>
                <a:srgbClr val="FFFFFF"/>
              </a:solidFill>
            </a:ln>
          </c:spPr>
          <c:invertIfNegative val="0"/>
          <c:cat>
            <c:numRef>
              <c:f>'Low activity over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over 10m'!$D$92:$M$92</c:f>
              <c:numCache>
                <c:formatCode>0%</c:formatCode>
                <c:ptCount val="10"/>
                <c:pt idx="0">
                  <c:v>0.22730000339288323</c:v>
                </c:pt>
                <c:pt idx="1">
                  <c:v>0.14977138604316118</c:v>
                </c:pt>
                <c:pt idx="2">
                  <c:v>0.16696679083874869</c:v>
                </c:pt>
                <c:pt idx="3">
                  <c:v>0.19721751151913863</c:v>
                </c:pt>
                <c:pt idx="4">
                  <c:v>0.18477450972490228</c:v>
                </c:pt>
                <c:pt idx="5">
                  <c:v>0.18791105648816606</c:v>
                </c:pt>
                <c:pt idx="6">
                  <c:v>0.14709077892440503</c:v>
                </c:pt>
                <c:pt idx="7">
                  <c:v>0.16419322315770943</c:v>
                </c:pt>
                <c:pt idx="8">
                  <c:v>0.27163936590076315</c:v>
                </c:pt>
                <c:pt idx="9">
                  <c:v>0.15012893971339905</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'Low activity over 10m'!$C$93</c:f>
              <c:strCache>
                <c:ptCount val="1"/>
                <c:pt idx="0">
                  <c:v>Lobsters</c:v>
                </c:pt>
              </c:strCache>
            </c:strRef>
          </c:tx>
          <c:spPr>
            <a:solidFill>
              <a:srgbClr val="E87308"/>
            </a:solidFill>
            <a:ln>
              <a:solidFill>
                <a:srgbClr val="FFFFFF"/>
              </a:solidFill>
            </a:ln>
          </c:spPr>
          <c:invertIfNegative val="0"/>
          <c:cat>
            <c:numRef>
              <c:f>'Low activity over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over 10m'!$D$93:$M$93</c:f>
              <c:numCache>
                <c:formatCode>0%</c:formatCode>
                <c:ptCount val="10"/>
                <c:pt idx="0">
                  <c:v>0.11076027139961313</c:v>
                </c:pt>
                <c:pt idx="1">
                  <c:v>0.10591678701064845</c:v>
                </c:pt>
                <c:pt idx="2">
                  <c:v>0.11870107997616111</c:v>
                </c:pt>
                <c:pt idx="3">
                  <c:v>7.8535344920795627E-2</c:v>
                </c:pt>
                <c:pt idx="4">
                  <c:v>0.12892830924304874</c:v>
                </c:pt>
                <c:pt idx="5">
                  <c:v>0.11935368911297346</c:v>
                </c:pt>
                <c:pt idx="6">
                  <c:v>0.1720271283107114</c:v>
                </c:pt>
                <c:pt idx="7">
                  <c:v>0.18220910433646845</c:v>
                </c:pt>
                <c:pt idx="8">
                  <c:v>0.16165492544617668</c:v>
                </c:pt>
                <c:pt idx="9">
                  <c:v>0.15637272327258195</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'Low activity over 10m'!$C$94</c:f>
              <c:strCache>
                <c:ptCount val="1"/>
                <c:pt idx="0">
                  <c:v>Whelks</c:v>
                </c:pt>
              </c:strCache>
            </c:strRef>
          </c:tx>
          <c:spPr>
            <a:solidFill>
              <a:srgbClr val="648C2E"/>
            </a:solidFill>
            <a:ln>
              <a:solidFill>
                <a:srgbClr val="FFFFFF"/>
              </a:solidFill>
            </a:ln>
          </c:spPr>
          <c:invertIfNegative val="0"/>
          <c:cat>
            <c:numRef>
              <c:f>'Low activity over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over 10m'!$D$94:$M$94</c:f>
              <c:numCache>
                <c:formatCode>0%</c:formatCode>
                <c:ptCount val="10"/>
                <c:pt idx="1">
                  <c:v>9.7803393361413152E-2</c:v>
                </c:pt>
                <c:pt idx="6">
                  <c:v>4.832598662521468E-2</c:v>
                </c:pt>
                <c:pt idx="8">
                  <c:v>8.0805352653439924E-2</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'Low activity over 10m'!$C$95</c:f>
              <c:strCache>
                <c:ptCount val="1"/>
                <c:pt idx="0">
                  <c:v>Cockles</c:v>
                </c:pt>
              </c:strCache>
            </c:strRef>
          </c:tx>
          <c:spPr>
            <a:solidFill>
              <a:srgbClr val="C1D119"/>
            </a:solidFill>
            <a:ln>
              <a:solidFill>
                <a:srgbClr val="FFFFFF"/>
              </a:solidFill>
            </a:ln>
          </c:spPr>
          <c:invertIfNegative val="0"/>
          <c:cat>
            <c:numRef>
              <c:f>'Low activity over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over 10m'!$D$95:$M$95</c:f>
              <c:numCache>
                <c:formatCode>0%</c:formatCode>
                <c:ptCount val="10"/>
                <c:pt idx="2">
                  <c:v>8.0102872466757874E-2</c:v>
                </c:pt>
                <c:pt idx="3">
                  <c:v>7.3369533793617048E-2</c:v>
                </c:pt>
                <c:pt idx="5">
                  <c:v>9.0349804918228582E-2</c:v>
                </c:pt>
                <c:pt idx="8">
                  <c:v>6.9211513330302343E-2</c:v>
                </c:pt>
                <c:pt idx="9">
                  <c:v>9.5725673924057994E-2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'Low activity over 10m'!$C$96</c:f>
              <c:strCache>
                <c:ptCount val="1"/>
                <c:pt idx="0">
                  <c:v>Brown Shrimps</c:v>
                </c:pt>
              </c:strCache>
            </c:strRef>
          </c:tx>
          <c:spPr>
            <a:solidFill>
              <a:srgbClr val="E84A38"/>
            </a:solidFill>
            <a:ln>
              <a:solidFill>
                <a:srgbClr val="FFFFFF"/>
              </a:solidFill>
            </a:ln>
          </c:spPr>
          <c:invertIfNegative val="0"/>
          <c:cat>
            <c:numRef>
              <c:f>'Low activity over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over 10m'!$D$96:$M$96</c:f>
              <c:numCache>
                <c:formatCode>0%</c:formatCode>
                <c:ptCount val="10"/>
                <c:pt idx="0">
                  <c:v>0.14666838269682769</c:v>
                </c:pt>
                <c:pt idx="1">
                  <c:v>0.17943275581424928</c:v>
                </c:pt>
                <c:pt idx="4">
                  <c:v>6.4133275032905085E-2</c:v>
                </c:pt>
                <c:pt idx="7">
                  <c:v>0.17535289806685919</c:v>
                </c:pt>
                <c:pt idx="8">
                  <c:v>6.4743195135186463E-2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'Low activity over 10m'!$C$97</c:f>
              <c:strCache>
                <c:ptCount val="1"/>
                <c:pt idx="0">
                  <c:v>Brown Crab</c:v>
                </c:pt>
              </c:strCache>
            </c:strRef>
          </c:tx>
          <c:spPr>
            <a:solidFill>
              <a:srgbClr val="0F9AA9"/>
            </a:solidFill>
            <a:ln>
              <a:solidFill>
                <a:srgbClr val="FFFFFF"/>
              </a:solidFill>
            </a:ln>
          </c:spPr>
          <c:invertIfNegative val="0"/>
          <c:cat>
            <c:numRef>
              <c:f>'Low activity over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over 10m'!$D$97:$M$97</c:f>
              <c:numCache>
                <c:formatCode>0%</c:formatCode>
                <c:ptCount val="10"/>
                <c:pt idx="9">
                  <c:v>0.15358415156676158</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'Low activity over 10m'!$C$98</c:f>
              <c:strCache>
                <c:ptCount val="1"/>
                <c:pt idx="0">
                  <c:v>Scallops</c:v>
                </c:pt>
              </c:strCache>
            </c:strRef>
          </c:tx>
          <c:spPr>
            <a:solidFill>
              <a:srgbClr val="FED825"/>
            </a:solidFill>
            <a:ln>
              <a:solidFill>
                <a:srgbClr val="FFFFFF"/>
              </a:solidFill>
            </a:ln>
          </c:spPr>
          <c:invertIfNegative val="0"/>
          <c:cat>
            <c:numRef>
              <c:f>'Low activity over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over 10m'!$D$98:$M$98</c:f>
              <c:numCache>
                <c:formatCode>0%</c:formatCode>
                <c:ptCount val="10"/>
                <c:pt idx="2">
                  <c:v>0.17958023407619411</c:v>
                </c:pt>
                <c:pt idx="4">
                  <c:v>0.10849311159885566</c:v>
                </c:pt>
                <c:pt idx="5">
                  <c:v>0.11077788842554562</c:v>
                </c:pt>
                <c:pt idx="6">
                  <c:v>0.25236445980346506</c:v>
                </c:pt>
                <c:pt idx="7">
                  <c:v>4.2140834064960782E-2</c:v>
                </c:pt>
                <c:pt idx="9">
                  <c:v>6.1566323976411486E-2</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'Low activity over 10m'!$C$99</c:f>
              <c:strCache>
                <c:ptCount val="1"/>
                <c:pt idx="0">
                  <c:v>Sole</c:v>
                </c:pt>
              </c:strCache>
            </c:strRef>
          </c:tx>
          <c:spPr>
            <a:solidFill>
              <a:srgbClr val="707271"/>
            </a:solidFill>
            <a:ln>
              <a:solidFill>
                <a:srgbClr val="FFFFFF"/>
              </a:solidFill>
            </a:ln>
          </c:spPr>
          <c:invertIfNegative val="0"/>
          <c:cat>
            <c:numRef>
              <c:f>'Low activity over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over 10m'!$D$99:$M$99</c:f>
              <c:numCache>
                <c:formatCode>0%</c:formatCode>
                <c:ptCount val="10"/>
                <c:pt idx="0">
                  <c:v>6.1930742660007157E-2</c:v>
                </c:pt>
                <c:pt idx="1">
                  <c:v>8.2579857660949565E-2</c:v>
                </c:pt>
                <c:pt idx="2">
                  <c:v>6.4245869611049833E-2</c:v>
                </c:pt>
                <c:pt idx="3">
                  <c:v>8.2953857530992825E-2</c:v>
                </c:pt>
                <c:pt idx="4">
                  <c:v>7.666156220489341E-2</c:v>
                </c:pt>
                <c:pt idx="5">
                  <c:v>6.9236043148250881E-2</c:v>
                </c:pt>
                <c:pt idx="6">
                  <c:v>5.1892385083643008E-2</c:v>
                </c:pt>
                <c:pt idx="7">
                  <c:v>8.7964016504096521E-2</c:v>
                </c:pt>
              </c:numCache>
            </c:numRef>
          </c:val>
          <c:extLst xmlns:c16r2="http://schemas.microsoft.com/office/drawing/2015/06/chart">
            <c:ext xmlns:c16="http://schemas.microsoft.com/office/drawing/2014/chart" uri="{C3380CC4-5D6E-409C-BE32-E72D297353CC}">
              <c16:uniqueId val="{00000007-282A-42F3-A8CE-7B6B063B5E4F}"/>
            </c:ext>
          </c:extLst>
        </c:ser>
        <c:ser>
          <c:idx val="8"/>
          <c:order val="8"/>
          <c:tx>
            <c:strRef>
              <c:f>'Low activity over 10m'!$C$100</c:f>
              <c:strCache>
                <c:ptCount val="1"/>
                <c:pt idx="0">
                  <c:v>Velvet Crab</c:v>
                </c:pt>
              </c:strCache>
            </c:strRef>
          </c:tx>
          <c:spPr>
            <a:solidFill>
              <a:srgbClr val="51AA81"/>
            </a:solidFill>
            <a:ln>
              <a:solidFill>
                <a:srgbClr val="FFFFFF"/>
              </a:solidFill>
            </a:ln>
          </c:spPr>
          <c:invertIfNegative val="0"/>
          <c:cat>
            <c:numRef>
              <c:f>'Low activity over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over 10m'!$D$100:$M$100</c:f>
              <c:numCache>
                <c:formatCode>0%</c:formatCode>
                <c:ptCount val="10"/>
                <c:pt idx="3">
                  <c:v>6.9513282062638446E-2</c:v>
                </c:pt>
              </c:numCache>
            </c:numRef>
          </c:val>
          <c:extLst xmlns:c16r2="http://schemas.microsoft.com/office/drawing/2015/06/chart">
            <c:ext xmlns:c16="http://schemas.microsoft.com/office/drawing/2014/chart" uri="{C3380CC4-5D6E-409C-BE32-E72D297353CC}">
              <c16:uniqueId val="{00000008-282A-42F3-A8CE-7B6B063B5E4F}"/>
            </c:ext>
          </c:extLst>
        </c:ser>
        <c:ser>
          <c:idx val="9"/>
          <c:order val="9"/>
          <c:tx>
            <c:strRef>
              <c:f>'Low activity over 10m'!$C$101</c:f>
              <c:strCache>
                <c:ptCount val="1"/>
                <c:pt idx="0">
                  <c:v>Pollack</c:v>
                </c:pt>
              </c:strCache>
            </c:strRef>
          </c:tx>
          <c:spPr>
            <a:solidFill>
              <a:srgbClr val="169FDB"/>
            </a:solidFill>
            <a:ln>
              <a:solidFill>
                <a:srgbClr val="FFFFFF"/>
              </a:solidFill>
            </a:ln>
          </c:spPr>
          <c:invertIfNegative val="0"/>
          <c:cat>
            <c:numRef>
              <c:f>'Low activity over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over 10m'!$D$101:$M$101</c:f>
              <c:numCache>
                <c:formatCode>0%</c:formatCode>
                <c:ptCount val="10"/>
                <c:pt idx="0">
                  <c:v>4.7253165111003831E-2</c:v>
                </c:pt>
              </c:numCache>
            </c:numRef>
          </c:val>
          <c:extLst xmlns:c16r2="http://schemas.microsoft.com/office/drawing/2015/06/chart">
            <c:ext xmlns:c16="http://schemas.microsoft.com/office/drawing/2014/chart" uri="{C3380CC4-5D6E-409C-BE32-E72D297353CC}">
              <c16:uniqueId val="{00000009-282A-42F3-A8CE-7B6B063B5E4F}"/>
            </c:ext>
          </c:extLst>
        </c:ser>
        <c:ser>
          <c:idx val="10"/>
          <c:order val="10"/>
          <c:tx>
            <c:strRef>
              <c:f>'Low activity over 10m'!$C$102</c:f>
              <c:strCache>
                <c:ptCount val="1"/>
                <c:pt idx="0">
                  <c:v>Others</c:v>
                </c:pt>
              </c:strCache>
            </c:strRef>
          </c:tx>
          <c:spPr>
            <a:solidFill>
              <a:srgbClr val="55585A"/>
            </a:solidFill>
            <a:ln>
              <a:solidFill>
                <a:srgbClr val="FFFFFF"/>
              </a:solidFill>
            </a:ln>
          </c:spPr>
          <c:invertIfNegative val="0"/>
          <c:cat>
            <c:numRef>
              <c:f>'Low activity over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over 10m'!$D$102:$M$102</c:f>
              <c:numCache>
                <c:formatCode>0%</c:formatCode>
                <c:ptCount val="10"/>
                <c:pt idx="0">
                  <c:v>0.40608743473966497</c:v>
                </c:pt>
                <c:pt idx="1">
                  <c:v>0.38449582010957839</c:v>
                </c:pt>
                <c:pt idx="2">
                  <c:v>0.39040315303108836</c:v>
                </c:pt>
                <c:pt idx="3">
                  <c:v>0.49841047017281742</c:v>
                </c:pt>
                <c:pt idx="4">
                  <c:v>0.43700923219539478</c:v>
                </c:pt>
                <c:pt idx="5">
                  <c:v>0.42237151790683541</c:v>
                </c:pt>
                <c:pt idx="6">
                  <c:v>0.32829926125256081</c:v>
                </c:pt>
                <c:pt idx="7">
                  <c:v>0.34813992386990561</c:v>
                </c:pt>
                <c:pt idx="8">
                  <c:v>0.35194564753413143</c:v>
                </c:pt>
                <c:pt idx="9">
                  <c:v>0.38262218754678795</c:v>
                </c:pt>
              </c:numCache>
            </c:numRef>
          </c:val>
          <c:extLst xmlns:c16r2="http://schemas.microsoft.com/office/drawing/2015/06/chart">
            <c:ext xmlns:c16="http://schemas.microsoft.com/office/drawing/2014/chart" uri="{C3380CC4-5D6E-409C-BE32-E72D297353CC}">
              <c16:uniqueId val="{0000000A-282A-42F3-A8CE-7B6B063B5E4F}"/>
            </c:ext>
          </c:extLst>
        </c:ser>
        <c:dLbls>
          <c:showLegendKey val="0"/>
          <c:showVal val="0"/>
          <c:showCatName val="0"/>
          <c:showSerName val="0"/>
          <c:showPercent val="0"/>
          <c:showBubbleSize val="0"/>
        </c:dLbls>
        <c:gapWidth val="150"/>
        <c:overlap val="100"/>
        <c:axId val="711725056"/>
        <c:axId val="711726592"/>
      </c:barChart>
      <c:catAx>
        <c:axId val="711725056"/>
        <c:scaling>
          <c:orientation val="minMax"/>
        </c:scaling>
        <c:delete val="0"/>
        <c:axPos val="b"/>
        <c:numFmt formatCode="General" sourceLinked="1"/>
        <c:majorTickMark val="out"/>
        <c:minorTickMark val="none"/>
        <c:tickLblPos val="nextTo"/>
        <c:crossAx val="711726592"/>
        <c:crosses val="autoZero"/>
        <c:auto val="1"/>
        <c:lblAlgn val="ctr"/>
        <c:lblOffset val="100"/>
        <c:noMultiLvlLbl val="0"/>
      </c:catAx>
      <c:valAx>
        <c:axId val="711726592"/>
        <c:scaling>
          <c:orientation val="minMax"/>
          <c:max val="1"/>
          <c:min val="0"/>
        </c:scaling>
        <c:delete val="0"/>
        <c:axPos val="l"/>
        <c:majorGridlines/>
        <c:numFmt formatCode="0%" sourceLinked="1"/>
        <c:majorTickMark val="out"/>
        <c:minorTickMark val="none"/>
        <c:tickLblPos val="nextTo"/>
        <c:crossAx val="711725056"/>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10m'!$N$163</c:f>
          <c:strCache>
            <c:ptCount val="1"/>
            <c:pt idx="0">
              <c:v>Top 5 landed species by volume in 2017</c:v>
            </c:pt>
          </c:strCache>
        </c:strRef>
      </c:tx>
      <c:layout>
        <c:manualLayout>
          <c:xMode val="edge"/>
          <c:yMode val="edge"/>
          <c:x val="9.7432813362449494E-2"/>
          <c:y val="3.04557409413269E-2"/>
        </c:manualLayout>
      </c:layout>
      <c:overlay val="0"/>
      <c:txPr>
        <a:bodyPr/>
        <a:lstStyle/>
        <a:p>
          <a:pPr algn="l">
            <a:defRPr sz="1200"/>
          </a:pPr>
          <a:endParaRPr lang="en-US"/>
        </a:p>
      </c:txPr>
    </c:title>
    <c:autoTitleDeleted val="0"/>
    <c:plotArea>
      <c:layout/>
      <c:barChart>
        <c:barDir val="col"/>
        <c:grouping val="stacked"/>
        <c:varyColors val="0"/>
        <c:ser>
          <c:idx val="0"/>
          <c:order val="0"/>
          <c:tx>
            <c:strRef>
              <c:f>'Low activity over 10m'!$B$162</c:f>
              <c:strCache>
                <c:ptCount val="1"/>
                <c:pt idx="0">
                  <c:v>Whelks</c:v>
                </c:pt>
              </c:strCache>
            </c:strRef>
          </c:tx>
          <c:spPr>
            <a:solidFill>
              <a:srgbClr val="648C2E"/>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10m'!$C$162:$E$162</c:f>
              <c:numCache>
                <c:formatCode>0%</c:formatCode>
                <c:ptCount val="3"/>
                <c:pt idx="0">
                  <c:v>0.17284389208684076</c:v>
                </c:pt>
                <c:pt idx="1">
                  <c:v>0.16653413815857171</c:v>
                </c:pt>
                <c:pt idx="2">
                  <c:v>0</c:v>
                </c:pt>
              </c:numCache>
            </c:numRef>
          </c:val>
          <c:extLst xmlns:c16r2="http://schemas.microsoft.com/office/drawing/2015/06/chart">
            <c:ext xmlns:c16="http://schemas.microsoft.com/office/drawing/2014/chart" uri="{C3380CC4-5D6E-409C-BE32-E72D297353CC}">
              <c16:uniqueId val="{00000000-DFDD-4C01-8393-1BE532AE55F9}"/>
            </c:ext>
          </c:extLst>
        </c:ser>
        <c:ser>
          <c:idx val="1"/>
          <c:order val="1"/>
          <c:tx>
            <c:strRef>
              <c:f>'Low activity over 10m'!$B$163</c:f>
              <c:strCache>
                <c:ptCount val="1"/>
                <c:pt idx="0">
                  <c:v>Nephrops</c:v>
                </c:pt>
              </c:strCache>
            </c:strRef>
          </c:tx>
          <c:spPr>
            <a:solidFill>
              <a:srgbClr val="2273B9"/>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10m'!$C$163:$E$163</c:f>
              <c:numCache>
                <c:formatCode>0%</c:formatCode>
                <c:ptCount val="3"/>
                <c:pt idx="0">
                  <c:v>4.4157381492861129E-2</c:v>
                </c:pt>
                <c:pt idx="1">
                  <c:v>0.16257394324637781</c:v>
                </c:pt>
                <c:pt idx="2">
                  <c:v>0</c:v>
                </c:pt>
              </c:numCache>
            </c:numRef>
          </c:val>
          <c:extLst xmlns:c16r2="http://schemas.microsoft.com/office/drawing/2015/06/chart">
            <c:ext xmlns:c16="http://schemas.microsoft.com/office/drawing/2014/chart" uri="{C3380CC4-5D6E-409C-BE32-E72D297353CC}">
              <c16:uniqueId val="{00000001-DFDD-4C01-8393-1BE532AE55F9}"/>
            </c:ext>
          </c:extLst>
        </c:ser>
        <c:ser>
          <c:idx val="2"/>
          <c:order val="2"/>
          <c:tx>
            <c:strRef>
              <c:f>'Low activity over 10m'!$B$164</c:f>
              <c:strCache>
                <c:ptCount val="1"/>
                <c:pt idx="0">
                  <c:v>Les. Spot. Dog</c:v>
                </c:pt>
              </c:strCache>
            </c:strRef>
          </c:tx>
          <c:spPr>
            <a:solidFill>
              <a:srgbClr val="707271"/>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10m'!$C$164:$E$164</c:f>
              <c:numCache>
                <c:formatCode>0%</c:formatCode>
                <c:ptCount val="3"/>
                <c:pt idx="0">
                  <c:v>0</c:v>
                </c:pt>
                <c:pt idx="1">
                  <c:v>0.14130354292198</c:v>
                </c:pt>
                <c:pt idx="2">
                  <c:v>0</c:v>
                </c:pt>
              </c:numCache>
            </c:numRef>
          </c:val>
          <c:extLst xmlns:c16r2="http://schemas.microsoft.com/office/drawing/2015/06/chart">
            <c:ext xmlns:c16="http://schemas.microsoft.com/office/drawing/2014/chart" uri="{C3380CC4-5D6E-409C-BE32-E72D297353CC}">
              <c16:uniqueId val="{00000002-DFDD-4C01-8393-1BE532AE55F9}"/>
            </c:ext>
          </c:extLst>
        </c:ser>
        <c:ser>
          <c:idx val="3"/>
          <c:order val="3"/>
          <c:tx>
            <c:strRef>
              <c:f>'Low activity over 10m'!$B$165</c:f>
              <c:strCache>
                <c:ptCount val="1"/>
                <c:pt idx="0">
                  <c:v>Brown Shrimps</c:v>
                </c:pt>
              </c:strCache>
            </c:strRef>
          </c:tx>
          <c:spPr>
            <a:solidFill>
              <a:srgbClr val="E84A38"/>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10m'!$C$165:$E$165</c:f>
              <c:numCache>
                <c:formatCode>0%</c:formatCode>
                <c:ptCount val="3"/>
                <c:pt idx="0">
                  <c:v>0</c:v>
                </c:pt>
                <c:pt idx="1">
                  <c:v>0.12905413842735872</c:v>
                </c:pt>
                <c:pt idx="2">
                  <c:v>0</c:v>
                </c:pt>
              </c:numCache>
            </c:numRef>
          </c:val>
          <c:extLst xmlns:c16r2="http://schemas.microsoft.com/office/drawing/2015/06/chart">
            <c:ext xmlns:c16="http://schemas.microsoft.com/office/drawing/2014/chart" uri="{C3380CC4-5D6E-409C-BE32-E72D297353CC}">
              <c16:uniqueId val="{00000003-DFDD-4C01-8393-1BE532AE55F9}"/>
            </c:ext>
          </c:extLst>
        </c:ser>
        <c:ser>
          <c:idx val="4"/>
          <c:order val="4"/>
          <c:tx>
            <c:strRef>
              <c:f>'Low activity over 10m'!$B$166</c:f>
              <c:strCache>
                <c:ptCount val="1"/>
                <c:pt idx="0">
                  <c:v>Thornback Ray</c:v>
                </c:pt>
              </c:strCache>
            </c:strRef>
          </c:tx>
          <c:spPr>
            <a:solidFill>
              <a:srgbClr val="51AA81"/>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10m'!$C$166:$E$166</c:f>
              <c:numCache>
                <c:formatCode>0%</c:formatCode>
                <c:ptCount val="3"/>
                <c:pt idx="0">
                  <c:v>0</c:v>
                </c:pt>
                <c:pt idx="1">
                  <c:v>9.9222831416977839E-2</c:v>
                </c:pt>
                <c:pt idx="2">
                  <c:v>0</c:v>
                </c:pt>
              </c:numCache>
            </c:numRef>
          </c:val>
          <c:extLst xmlns:c16r2="http://schemas.microsoft.com/office/drawing/2015/06/chart">
            <c:ext xmlns:c16="http://schemas.microsoft.com/office/drawing/2014/chart" uri="{C3380CC4-5D6E-409C-BE32-E72D297353CC}">
              <c16:uniqueId val="{00000004-DFDD-4C01-8393-1BE532AE55F9}"/>
            </c:ext>
          </c:extLst>
        </c:ser>
        <c:ser>
          <c:idx val="5"/>
          <c:order val="5"/>
          <c:tx>
            <c:strRef>
              <c:f>'Low activity over 10m'!$B$167</c:f>
              <c:strCache>
                <c:ptCount val="1"/>
                <c:pt idx="0">
                  <c:v>Pilchards</c:v>
                </c:pt>
              </c:strCache>
            </c:strRef>
          </c:tx>
          <c:spPr>
            <a:solidFill>
              <a:srgbClr val="0F9AA9"/>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10m'!$C$167:$E$167</c:f>
              <c:numCache>
                <c:formatCode>0%</c:formatCode>
                <c:ptCount val="3"/>
                <c:pt idx="0">
                  <c:v>0</c:v>
                </c:pt>
                <c:pt idx="1">
                  <c:v>0</c:v>
                </c:pt>
                <c:pt idx="2">
                  <c:v>0.81523396836333206</c:v>
                </c:pt>
              </c:numCache>
            </c:numRef>
          </c:val>
          <c:extLst xmlns:c16r2="http://schemas.microsoft.com/office/drawing/2015/06/chart">
            <c:ext xmlns:c16="http://schemas.microsoft.com/office/drawing/2014/chart" uri="{C3380CC4-5D6E-409C-BE32-E72D297353CC}">
              <c16:uniqueId val="{00000005-DFDD-4C01-8393-1BE532AE55F9}"/>
            </c:ext>
          </c:extLst>
        </c:ser>
        <c:ser>
          <c:idx val="6"/>
          <c:order val="6"/>
          <c:tx>
            <c:strRef>
              <c:f>'Low activity over 10m'!$B$168</c:f>
              <c:strCache>
                <c:ptCount val="1"/>
                <c:pt idx="0">
                  <c:v>Herring</c:v>
                </c:pt>
              </c:strCache>
            </c:strRef>
          </c:tx>
          <c:spPr>
            <a:solidFill>
              <a:srgbClr val="FED825"/>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10m'!$C$168:$E$168</c:f>
              <c:numCache>
                <c:formatCode>0%</c:formatCode>
                <c:ptCount val="3"/>
                <c:pt idx="0">
                  <c:v>0</c:v>
                </c:pt>
                <c:pt idx="1">
                  <c:v>0</c:v>
                </c:pt>
                <c:pt idx="2">
                  <c:v>9.1605797203545572E-2</c:v>
                </c:pt>
              </c:numCache>
            </c:numRef>
          </c:val>
          <c:extLst xmlns:c16r2="http://schemas.microsoft.com/office/drawing/2015/06/chart">
            <c:ext xmlns:c16="http://schemas.microsoft.com/office/drawing/2014/chart" uri="{C3380CC4-5D6E-409C-BE32-E72D297353CC}">
              <c16:uniqueId val="{00000006-DFDD-4C01-8393-1BE532AE55F9}"/>
            </c:ext>
          </c:extLst>
        </c:ser>
        <c:ser>
          <c:idx val="7"/>
          <c:order val="7"/>
          <c:tx>
            <c:strRef>
              <c:f>'Low activity over 10m'!$B$169</c:f>
              <c:strCache>
                <c:ptCount val="1"/>
                <c:pt idx="0">
                  <c:v>Anchovy</c:v>
                </c:pt>
              </c:strCache>
            </c:strRef>
          </c:tx>
          <c:spPr>
            <a:solidFill>
              <a:srgbClr val="E40D2C"/>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10m'!$C$169:$E$169</c:f>
              <c:numCache>
                <c:formatCode>0%</c:formatCode>
                <c:ptCount val="3"/>
                <c:pt idx="0">
                  <c:v>0</c:v>
                </c:pt>
                <c:pt idx="1">
                  <c:v>0</c:v>
                </c:pt>
                <c:pt idx="2">
                  <c:v>3.8140275875795292E-2</c:v>
                </c:pt>
              </c:numCache>
            </c:numRef>
          </c:val>
          <c:extLst xmlns:c16r2="http://schemas.microsoft.com/office/drawing/2015/06/chart">
            <c:ext xmlns:c16="http://schemas.microsoft.com/office/drawing/2014/chart" uri="{C3380CC4-5D6E-409C-BE32-E72D297353CC}">
              <c16:uniqueId val="{00000007-DFDD-4C01-8393-1BE532AE55F9}"/>
            </c:ext>
          </c:extLst>
        </c:ser>
        <c:ser>
          <c:idx val="8"/>
          <c:order val="8"/>
          <c:tx>
            <c:strRef>
              <c:f>'Low activity over 10m'!$B$170</c:f>
              <c:strCache>
                <c:ptCount val="1"/>
                <c:pt idx="0">
                  <c:v>Scallops</c:v>
                </c:pt>
              </c:strCache>
            </c:strRef>
          </c:tx>
          <c:spPr>
            <a:solidFill>
              <a:srgbClr val="B4C3E5"/>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10m'!$C$170:$E$170</c:f>
              <c:numCache>
                <c:formatCode>0%</c:formatCode>
                <c:ptCount val="3"/>
                <c:pt idx="0">
                  <c:v>0</c:v>
                </c:pt>
                <c:pt idx="1">
                  <c:v>0</c:v>
                </c:pt>
                <c:pt idx="2">
                  <c:v>1.0910115371590952E-2</c:v>
                </c:pt>
              </c:numCache>
            </c:numRef>
          </c:val>
          <c:extLst xmlns:c16r2="http://schemas.microsoft.com/office/drawing/2015/06/chart">
            <c:ext xmlns:c16="http://schemas.microsoft.com/office/drawing/2014/chart" uri="{C3380CC4-5D6E-409C-BE32-E72D297353CC}">
              <c16:uniqueId val="{00000008-DFDD-4C01-8393-1BE532AE55F9}"/>
            </c:ext>
          </c:extLst>
        </c:ser>
        <c:ser>
          <c:idx val="9"/>
          <c:order val="9"/>
          <c:tx>
            <c:strRef>
              <c:f>'Low activity over 10m'!$B$171</c:f>
              <c:strCache>
                <c:ptCount val="1"/>
                <c:pt idx="0">
                  <c:v>Brown Crab</c:v>
                </c:pt>
              </c:strCache>
            </c:strRef>
          </c:tx>
          <c:spPr>
            <a:solidFill>
              <a:srgbClr val="F8CBA1"/>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10m'!$C$171:$E$171</c:f>
              <c:numCache>
                <c:formatCode>0%</c:formatCode>
                <c:ptCount val="3"/>
                <c:pt idx="0">
                  <c:v>7.2141718761775026E-2</c:v>
                </c:pt>
                <c:pt idx="1">
                  <c:v>0</c:v>
                </c:pt>
                <c:pt idx="2">
                  <c:v>8.1008718348768056E-3</c:v>
                </c:pt>
              </c:numCache>
            </c:numRef>
          </c:val>
          <c:extLst xmlns:c16r2="http://schemas.microsoft.com/office/drawing/2015/06/chart">
            <c:ext xmlns:c16="http://schemas.microsoft.com/office/drawing/2014/chart" uri="{C3380CC4-5D6E-409C-BE32-E72D297353CC}">
              <c16:uniqueId val="{00000009-DFDD-4C01-8393-1BE532AE55F9}"/>
            </c:ext>
          </c:extLst>
        </c:ser>
        <c:ser>
          <c:idx val="10"/>
          <c:order val="10"/>
          <c:tx>
            <c:strRef>
              <c:f>'Low activity over 10m'!$B$172</c:f>
              <c:strCache>
                <c:ptCount val="1"/>
                <c:pt idx="0">
                  <c:v>Cockles</c:v>
                </c:pt>
              </c:strCache>
            </c:strRef>
          </c:tx>
          <c:spPr>
            <a:solidFill>
              <a:srgbClr val="C1D119"/>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10m'!$C$172:$E$172</c:f>
              <c:numCache>
                <c:formatCode>0%</c:formatCode>
                <c:ptCount val="3"/>
                <c:pt idx="0">
                  <c:v>0.55139683601865308</c:v>
                </c:pt>
                <c:pt idx="1">
                  <c:v>0</c:v>
                </c:pt>
                <c:pt idx="2">
                  <c:v>0</c:v>
                </c:pt>
              </c:numCache>
            </c:numRef>
          </c:val>
          <c:extLst xmlns:c16r2="http://schemas.microsoft.com/office/drawing/2015/06/chart">
            <c:ext xmlns:c16="http://schemas.microsoft.com/office/drawing/2014/chart" uri="{C3380CC4-5D6E-409C-BE32-E72D297353CC}">
              <c16:uniqueId val="{0000000A-DFDD-4C01-8393-1BE532AE55F9}"/>
            </c:ext>
          </c:extLst>
        </c:ser>
        <c:ser>
          <c:idx val="11"/>
          <c:order val="11"/>
          <c:tx>
            <c:strRef>
              <c:f>'Low activity over 10m'!$B$173</c:f>
              <c:strCache>
                <c:ptCount val="1"/>
                <c:pt idx="0">
                  <c:v>Mullet</c:v>
                </c:pt>
              </c:strCache>
            </c:strRef>
          </c:tx>
          <c:spPr>
            <a:solidFill>
              <a:srgbClr val="E2E89F"/>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10m'!$C$173:$E$173</c:f>
              <c:numCache>
                <c:formatCode>0%</c:formatCode>
                <c:ptCount val="3"/>
                <c:pt idx="0">
                  <c:v>3.7418931146838974E-2</c:v>
                </c:pt>
                <c:pt idx="1">
                  <c:v>0</c:v>
                </c:pt>
                <c:pt idx="2">
                  <c:v>0</c:v>
                </c:pt>
              </c:numCache>
            </c:numRef>
          </c:val>
          <c:extLst xmlns:c16r2="http://schemas.microsoft.com/office/drawing/2015/06/chart">
            <c:ext xmlns:c16="http://schemas.microsoft.com/office/drawing/2014/chart" uri="{C3380CC4-5D6E-409C-BE32-E72D297353CC}">
              <c16:uniqueId val="{0000000B-DFDD-4C01-8393-1BE532AE55F9}"/>
            </c:ext>
          </c:extLst>
        </c:ser>
        <c:ser>
          <c:idx val="12"/>
          <c:order val="12"/>
          <c:tx>
            <c:strRef>
              <c:f>'Low activity over 10m'!$B$174</c:f>
              <c:strCache>
                <c:ptCount val="1"/>
                <c:pt idx="0">
                  <c:v>Others</c:v>
                </c:pt>
              </c:strCache>
            </c:strRef>
          </c:tx>
          <c:spPr>
            <a:solidFill>
              <a:srgbClr val="55585A"/>
            </a:solidFill>
            <a:ln>
              <a:solidFill>
                <a:srgbClr val="FFFFFF"/>
              </a:solidFill>
            </a:ln>
          </c:spPr>
          <c:invertIfNegative val="0"/>
          <c:cat>
            <c:strRef>
              <c:f>'Low activity over 10m'!$C$161:$E$161</c:f>
              <c:strCache>
                <c:ptCount val="3"/>
                <c:pt idx="0">
                  <c:v>Most
profitable
quartile</c:v>
                </c:pt>
                <c:pt idx="1">
                  <c:v>Middle 
two quartiles</c:v>
                </c:pt>
                <c:pt idx="2">
                  <c:v>Least
profitable
quartile</c:v>
                </c:pt>
              </c:strCache>
            </c:strRef>
          </c:cat>
          <c:val>
            <c:numRef>
              <c:f>'Low activity over 10m'!$C$174:$E$174</c:f>
              <c:numCache>
                <c:formatCode>0%</c:formatCode>
                <c:ptCount val="3"/>
                <c:pt idx="0">
                  <c:v>0.12204124049303111</c:v>
                </c:pt>
                <c:pt idx="1">
                  <c:v>0.30131140582873395</c:v>
                </c:pt>
                <c:pt idx="2">
                  <c:v>3.6008971350859342E-2</c:v>
                </c:pt>
              </c:numCache>
            </c:numRef>
          </c:val>
          <c:extLst xmlns:c16r2="http://schemas.microsoft.com/office/drawing/2015/06/chart">
            <c:ext xmlns:c16="http://schemas.microsoft.com/office/drawing/2014/chart" uri="{C3380CC4-5D6E-409C-BE32-E72D297353CC}">
              <c16:uniqueId val="{0000000C-DFDD-4C01-8393-1BE532AE55F9}"/>
            </c:ext>
          </c:extLst>
        </c:ser>
        <c:dLbls>
          <c:showLegendKey val="0"/>
          <c:showVal val="0"/>
          <c:showCatName val="0"/>
          <c:showSerName val="0"/>
          <c:showPercent val="0"/>
          <c:showBubbleSize val="0"/>
        </c:dLbls>
        <c:gapWidth val="150"/>
        <c:overlap val="100"/>
        <c:axId val="711865088"/>
        <c:axId val="711866624"/>
      </c:barChart>
      <c:catAx>
        <c:axId val="711865088"/>
        <c:scaling>
          <c:orientation val="minMax"/>
        </c:scaling>
        <c:delete val="0"/>
        <c:axPos val="b"/>
        <c:numFmt formatCode="General" sourceLinked="0"/>
        <c:majorTickMark val="out"/>
        <c:minorTickMark val="none"/>
        <c:tickLblPos val="nextTo"/>
        <c:crossAx val="711866624"/>
        <c:crosses val="autoZero"/>
        <c:auto val="1"/>
        <c:lblAlgn val="ctr"/>
        <c:lblOffset val="100"/>
        <c:noMultiLvlLbl val="0"/>
      </c:catAx>
      <c:valAx>
        <c:axId val="711866624"/>
        <c:scaling>
          <c:orientation val="minMax"/>
          <c:max val="1"/>
          <c:min val="0"/>
        </c:scaling>
        <c:delete val="0"/>
        <c:axPos val="l"/>
        <c:majorGridlines/>
        <c:minorGridlines/>
        <c:numFmt formatCode="0%" sourceLinked="1"/>
        <c:majorTickMark val="out"/>
        <c:minorTickMark val="none"/>
        <c:tickLblPos val="nextTo"/>
        <c:crossAx val="711865088"/>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10m'!$N$164</c:f>
          <c:strCache>
            <c:ptCount val="1"/>
            <c:pt idx="0">
              <c:v>Top 5 landed species by value in 2017</c:v>
            </c:pt>
          </c:strCache>
        </c:strRef>
      </c:tx>
      <c:layout>
        <c:manualLayout>
          <c:xMode val="edge"/>
          <c:yMode val="edge"/>
          <c:x val="9.7432813362449494E-2"/>
          <c:y val="2.0171789374808902E-2"/>
        </c:manualLayout>
      </c:layout>
      <c:overlay val="0"/>
      <c:txPr>
        <a:bodyPr/>
        <a:lstStyle/>
        <a:p>
          <a:pPr algn="l">
            <a:defRPr sz="1200"/>
          </a:pPr>
          <a:endParaRPr lang="en-US"/>
        </a:p>
      </c:txPr>
    </c:title>
    <c:autoTitleDeleted val="0"/>
    <c:plotArea>
      <c:layout>
        <c:manualLayout>
          <c:layoutTarget val="inner"/>
          <c:xMode val="edge"/>
          <c:yMode val="edge"/>
          <c:x val="0.10053607133628099"/>
          <c:y val="0.13829463836042799"/>
          <c:w val="0.68947147206594706"/>
          <c:h val="0.60320641613206505"/>
        </c:manualLayout>
      </c:layout>
      <c:barChart>
        <c:barDir val="col"/>
        <c:grouping val="stacked"/>
        <c:varyColors val="0"/>
        <c:ser>
          <c:idx val="0"/>
          <c:order val="0"/>
          <c:tx>
            <c:strRef>
              <c:f>'Low activity over 10m'!$H$162</c:f>
              <c:strCache>
                <c:ptCount val="1"/>
                <c:pt idx="0">
                  <c:v>Nephrops</c:v>
                </c:pt>
              </c:strCache>
            </c:strRef>
          </c:tx>
          <c:spPr>
            <a:solidFill>
              <a:srgbClr val="2273B9"/>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10m'!$I$162:$K$162</c:f>
              <c:numCache>
                <c:formatCode>0%</c:formatCode>
                <c:ptCount val="3"/>
                <c:pt idx="0">
                  <c:v>0.11530255386527856</c:v>
                </c:pt>
                <c:pt idx="1">
                  <c:v>0.44279495285203413</c:v>
                </c:pt>
                <c:pt idx="2">
                  <c:v>0.16024273949077175</c:v>
                </c:pt>
              </c:numCache>
            </c:numRef>
          </c:val>
          <c:extLst xmlns:c16r2="http://schemas.microsoft.com/office/drawing/2015/06/chart">
            <c:ext xmlns:c16="http://schemas.microsoft.com/office/drawing/2014/chart" uri="{C3380CC4-5D6E-409C-BE32-E72D297353CC}">
              <c16:uniqueId val="{00000000-DC58-4725-8A67-0BDC09FD93CD}"/>
            </c:ext>
          </c:extLst>
        </c:ser>
        <c:ser>
          <c:idx val="1"/>
          <c:order val="1"/>
          <c:tx>
            <c:strRef>
              <c:f>'Low activity over 10m'!$H$163</c:f>
              <c:strCache>
                <c:ptCount val="1"/>
                <c:pt idx="0">
                  <c:v>Lobsters</c:v>
                </c:pt>
              </c:strCache>
            </c:strRef>
          </c:tx>
          <c:spPr>
            <a:solidFill>
              <a:srgbClr val="E87308"/>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10m'!$I$163:$K$163</c:f>
              <c:numCache>
                <c:formatCode>0%</c:formatCode>
                <c:ptCount val="3"/>
                <c:pt idx="0">
                  <c:v>0.18201133452058443</c:v>
                </c:pt>
                <c:pt idx="1">
                  <c:v>0.18702428936791515</c:v>
                </c:pt>
                <c:pt idx="2">
                  <c:v>0</c:v>
                </c:pt>
              </c:numCache>
            </c:numRef>
          </c:val>
          <c:extLst xmlns:c16r2="http://schemas.microsoft.com/office/drawing/2015/06/chart">
            <c:ext xmlns:c16="http://schemas.microsoft.com/office/drawing/2014/chart" uri="{C3380CC4-5D6E-409C-BE32-E72D297353CC}">
              <c16:uniqueId val="{00000001-DC58-4725-8A67-0BDC09FD93CD}"/>
            </c:ext>
          </c:extLst>
        </c:ser>
        <c:ser>
          <c:idx val="2"/>
          <c:order val="2"/>
          <c:tx>
            <c:strRef>
              <c:f>'Low activity over 10m'!$H$164</c:f>
              <c:strCache>
                <c:ptCount val="1"/>
                <c:pt idx="0">
                  <c:v>Whelks</c:v>
                </c:pt>
              </c:strCache>
            </c:strRef>
          </c:tx>
          <c:spPr>
            <a:solidFill>
              <a:srgbClr val="648C2E"/>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10m'!$I$164:$K$164</c:f>
              <c:numCache>
                <c:formatCode>0%</c:formatCode>
                <c:ptCount val="3"/>
                <c:pt idx="0">
                  <c:v>0.13025181037099781</c:v>
                </c:pt>
                <c:pt idx="1">
                  <c:v>7.5981878002404177E-2</c:v>
                </c:pt>
                <c:pt idx="2">
                  <c:v>0</c:v>
                </c:pt>
              </c:numCache>
            </c:numRef>
          </c:val>
          <c:extLst xmlns:c16r2="http://schemas.microsoft.com/office/drawing/2015/06/chart">
            <c:ext xmlns:c16="http://schemas.microsoft.com/office/drawing/2014/chart" uri="{C3380CC4-5D6E-409C-BE32-E72D297353CC}">
              <c16:uniqueId val="{00000002-DC58-4725-8A67-0BDC09FD93CD}"/>
            </c:ext>
          </c:extLst>
        </c:ser>
        <c:ser>
          <c:idx val="3"/>
          <c:order val="3"/>
          <c:tx>
            <c:strRef>
              <c:f>'Low activity over 10m'!$H$165</c:f>
              <c:strCache>
                <c:ptCount val="1"/>
                <c:pt idx="0">
                  <c:v>Thornback Ray</c:v>
                </c:pt>
              </c:strCache>
            </c:strRef>
          </c:tx>
          <c:spPr>
            <a:solidFill>
              <a:srgbClr val="51AA81"/>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10m'!$I$165:$K$165</c:f>
              <c:numCache>
                <c:formatCode>0%</c:formatCode>
                <c:ptCount val="3"/>
                <c:pt idx="0">
                  <c:v>0</c:v>
                </c:pt>
                <c:pt idx="1">
                  <c:v>6.5648112611453507E-2</c:v>
                </c:pt>
                <c:pt idx="2">
                  <c:v>0</c:v>
                </c:pt>
              </c:numCache>
            </c:numRef>
          </c:val>
          <c:extLst xmlns:c16r2="http://schemas.microsoft.com/office/drawing/2015/06/chart">
            <c:ext xmlns:c16="http://schemas.microsoft.com/office/drawing/2014/chart" uri="{C3380CC4-5D6E-409C-BE32-E72D297353CC}">
              <c16:uniqueId val="{00000003-DC58-4725-8A67-0BDC09FD93CD}"/>
            </c:ext>
          </c:extLst>
        </c:ser>
        <c:ser>
          <c:idx val="4"/>
          <c:order val="4"/>
          <c:tx>
            <c:strRef>
              <c:f>'Low activity over 10m'!$H$166</c:f>
              <c:strCache>
                <c:ptCount val="1"/>
                <c:pt idx="0">
                  <c:v>Plaice</c:v>
                </c:pt>
              </c:strCache>
            </c:strRef>
          </c:tx>
          <c:spPr>
            <a:solidFill>
              <a:srgbClr val="169FDB"/>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10m'!$I$166:$K$166</c:f>
              <c:numCache>
                <c:formatCode>0%</c:formatCode>
                <c:ptCount val="3"/>
                <c:pt idx="0">
                  <c:v>0</c:v>
                </c:pt>
                <c:pt idx="1">
                  <c:v>4.8326420485462949E-2</c:v>
                </c:pt>
                <c:pt idx="2">
                  <c:v>0</c:v>
                </c:pt>
              </c:numCache>
            </c:numRef>
          </c:val>
          <c:extLst xmlns:c16r2="http://schemas.microsoft.com/office/drawing/2015/06/chart">
            <c:ext xmlns:c16="http://schemas.microsoft.com/office/drawing/2014/chart" uri="{C3380CC4-5D6E-409C-BE32-E72D297353CC}">
              <c16:uniqueId val="{00000004-DC58-4725-8A67-0BDC09FD93CD}"/>
            </c:ext>
          </c:extLst>
        </c:ser>
        <c:ser>
          <c:idx val="5"/>
          <c:order val="5"/>
          <c:tx>
            <c:strRef>
              <c:f>'Low activity over 10m'!$H$167</c:f>
              <c:strCache>
                <c:ptCount val="1"/>
                <c:pt idx="0">
                  <c:v>Velvet Crab</c:v>
                </c:pt>
              </c:strCache>
            </c:strRef>
          </c:tx>
          <c:spPr>
            <a:solidFill>
              <a:srgbClr val="C5CDA6"/>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10m'!$I$167:$K$167</c:f>
              <c:numCache>
                <c:formatCode>0%</c:formatCode>
                <c:ptCount val="3"/>
                <c:pt idx="0">
                  <c:v>0</c:v>
                </c:pt>
                <c:pt idx="1">
                  <c:v>0</c:v>
                </c:pt>
                <c:pt idx="2">
                  <c:v>0.17638235700396956</c:v>
                </c:pt>
              </c:numCache>
            </c:numRef>
          </c:val>
          <c:extLst xmlns:c16r2="http://schemas.microsoft.com/office/drawing/2015/06/chart">
            <c:ext xmlns:c16="http://schemas.microsoft.com/office/drawing/2014/chart" uri="{C3380CC4-5D6E-409C-BE32-E72D297353CC}">
              <c16:uniqueId val="{00000005-DC58-4725-8A67-0BDC09FD93CD}"/>
            </c:ext>
          </c:extLst>
        </c:ser>
        <c:ser>
          <c:idx val="6"/>
          <c:order val="6"/>
          <c:tx>
            <c:strRef>
              <c:f>'Low activity over 10m'!$H$168</c:f>
              <c:strCache>
                <c:ptCount val="1"/>
                <c:pt idx="0">
                  <c:v>Scallops</c:v>
                </c:pt>
              </c:strCache>
            </c:strRef>
          </c:tx>
          <c:spPr>
            <a:solidFill>
              <a:srgbClr val="B4C3E5"/>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10m'!$I$168:$K$168</c:f>
              <c:numCache>
                <c:formatCode>0%</c:formatCode>
                <c:ptCount val="3"/>
                <c:pt idx="0">
                  <c:v>0</c:v>
                </c:pt>
                <c:pt idx="1">
                  <c:v>0</c:v>
                </c:pt>
                <c:pt idx="2">
                  <c:v>0.15823956539706391</c:v>
                </c:pt>
              </c:numCache>
            </c:numRef>
          </c:val>
          <c:extLst xmlns:c16r2="http://schemas.microsoft.com/office/drawing/2015/06/chart">
            <c:ext xmlns:c16="http://schemas.microsoft.com/office/drawing/2014/chart" uri="{C3380CC4-5D6E-409C-BE32-E72D297353CC}">
              <c16:uniqueId val="{00000006-DC58-4725-8A67-0BDC09FD93CD}"/>
            </c:ext>
          </c:extLst>
        </c:ser>
        <c:ser>
          <c:idx val="7"/>
          <c:order val="7"/>
          <c:tx>
            <c:strRef>
              <c:f>'Low activity over 10m'!$H$169</c:f>
              <c:strCache>
                <c:ptCount val="1"/>
                <c:pt idx="0">
                  <c:v>Brown Shrimps</c:v>
                </c:pt>
              </c:strCache>
            </c:strRef>
          </c:tx>
          <c:spPr>
            <a:solidFill>
              <a:srgbClr val="E84A38"/>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10m'!$I$169:$K$169</c:f>
              <c:numCache>
                <c:formatCode>0%</c:formatCode>
                <c:ptCount val="3"/>
                <c:pt idx="0">
                  <c:v>0</c:v>
                </c:pt>
                <c:pt idx="1">
                  <c:v>0</c:v>
                </c:pt>
                <c:pt idx="2">
                  <c:v>0.1036241279868502</c:v>
                </c:pt>
              </c:numCache>
            </c:numRef>
          </c:val>
          <c:extLst xmlns:c16r2="http://schemas.microsoft.com/office/drawing/2015/06/chart">
            <c:ext xmlns:c16="http://schemas.microsoft.com/office/drawing/2014/chart" uri="{C3380CC4-5D6E-409C-BE32-E72D297353CC}">
              <c16:uniqueId val="{00000007-DC58-4725-8A67-0BDC09FD93CD}"/>
            </c:ext>
          </c:extLst>
        </c:ser>
        <c:ser>
          <c:idx val="8"/>
          <c:order val="8"/>
          <c:tx>
            <c:strRef>
              <c:f>'Low activity over 10m'!$H$170</c:f>
              <c:strCache>
                <c:ptCount val="1"/>
                <c:pt idx="0">
                  <c:v>Brown Crab</c:v>
                </c:pt>
              </c:strCache>
            </c:strRef>
          </c:tx>
          <c:spPr>
            <a:solidFill>
              <a:srgbClr val="F8CBA1"/>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10m'!$I$170:$K$170</c:f>
              <c:numCache>
                <c:formatCode>0%</c:formatCode>
                <c:ptCount val="3"/>
                <c:pt idx="0">
                  <c:v>0</c:v>
                </c:pt>
                <c:pt idx="1">
                  <c:v>0</c:v>
                </c:pt>
                <c:pt idx="2">
                  <c:v>9.4872118632577315E-2</c:v>
                </c:pt>
              </c:numCache>
            </c:numRef>
          </c:val>
          <c:extLst xmlns:c16r2="http://schemas.microsoft.com/office/drawing/2015/06/chart">
            <c:ext xmlns:c16="http://schemas.microsoft.com/office/drawing/2014/chart" uri="{C3380CC4-5D6E-409C-BE32-E72D297353CC}">
              <c16:uniqueId val="{00000008-DC58-4725-8A67-0BDC09FD93CD}"/>
            </c:ext>
          </c:extLst>
        </c:ser>
        <c:ser>
          <c:idx val="9"/>
          <c:order val="9"/>
          <c:tx>
            <c:strRef>
              <c:f>'Low activity over 10m'!$H$171</c:f>
              <c:strCache>
                <c:ptCount val="1"/>
                <c:pt idx="0">
                  <c:v>Cockles</c:v>
                </c:pt>
              </c:strCache>
            </c:strRef>
          </c:tx>
          <c:spPr>
            <a:solidFill>
              <a:srgbClr val="C1D119"/>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10m'!$I$171:$K$171</c:f>
              <c:numCache>
                <c:formatCode>0%</c:formatCode>
                <c:ptCount val="3"/>
                <c:pt idx="0">
                  <c:v>0.19717296141741816</c:v>
                </c:pt>
                <c:pt idx="1">
                  <c:v>0</c:v>
                </c:pt>
                <c:pt idx="2">
                  <c:v>0</c:v>
                </c:pt>
              </c:numCache>
            </c:numRef>
          </c:val>
          <c:extLst xmlns:c16r2="http://schemas.microsoft.com/office/drawing/2015/06/chart">
            <c:ext xmlns:c16="http://schemas.microsoft.com/office/drawing/2014/chart" uri="{C3380CC4-5D6E-409C-BE32-E72D297353CC}">
              <c16:uniqueId val="{00000009-DC58-4725-8A67-0BDC09FD93CD}"/>
            </c:ext>
          </c:extLst>
        </c:ser>
        <c:ser>
          <c:idx val="10"/>
          <c:order val="10"/>
          <c:tx>
            <c:strRef>
              <c:f>'Low activity over 10m'!$H$172</c:f>
              <c:strCache>
                <c:ptCount val="1"/>
                <c:pt idx="0">
                  <c:v>Mullet</c:v>
                </c:pt>
              </c:strCache>
            </c:strRef>
          </c:tx>
          <c:spPr>
            <a:solidFill>
              <a:srgbClr val="E2E89F"/>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10m'!$I$172:$K$172</c:f>
              <c:numCache>
                <c:formatCode>0%</c:formatCode>
                <c:ptCount val="3"/>
                <c:pt idx="0">
                  <c:v>9.9155621537161412E-2</c:v>
                </c:pt>
                <c:pt idx="1">
                  <c:v>0</c:v>
                </c:pt>
                <c:pt idx="2">
                  <c:v>0</c:v>
                </c:pt>
              </c:numCache>
            </c:numRef>
          </c:val>
          <c:extLst xmlns:c16r2="http://schemas.microsoft.com/office/drawing/2015/06/chart">
            <c:ext xmlns:c16="http://schemas.microsoft.com/office/drawing/2014/chart" uri="{C3380CC4-5D6E-409C-BE32-E72D297353CC}">
              <c16:uniqueId val="{0000000A-DC58-4725-8A67-0BDC09FD93CD}"/>
            </c:ext>
          </c:extLst>
        </c:ser>
        <c:ser>
          <c:idx val="11"/>
          <c:order val="11"/>
          <c:tx>
            <c:strRef>
              <c:f>'Low activity over 10m'!$H$173</c:f>
              <c:strCache>
                <c:ptCount val="1"/>
                <c:pt idx="0">
                  <c:v>Others</c:v>
                </c:pt>
              </c:strCache>
            </c:strRef>
          </c:tx>
          <c:spPr>
            <a:solidFill>
              <a:srgbClr val="55585A"/>
            </a:solidFill>
            <a:ln>
              <a:solidFill>
                <a:srgbClr val="FFFFFF"/>
              </a:solidFill>
            </a:ln>
          </c:spPr>
          <c:invertIfNegative val="0"/>
          <c:cat>
            <c:strRef>
              <c:f>'Low activity over 10m'!$I$161:$K$161</c:f>
              <c:strCache>
                <c:ptCount val="3"/>
                <c:pt idx="0">
                  <c:v>Most
profitable
quartile</c:v>
                </c:pt>
                <c:pt idx="1">
                  <c:v>Middle 
two quartiles</c:v>
                </c:pt>
                <c:pt idx="2">
                  <c:v>Least
profitable
quartile</c:v>
                </c:pt>
              </c:strCache>
            </c:strRef>
          </c:cat>
          <c:val>
            <c:numRef>
              <c:f>'Low activity over 10m'!$I$173:$K$173</c:f>
              <c:numCache>
                <c:formatCode>0%</c:formatCode>
                <c:ptCount val="3"/>
                <c:pt idx="0">
                  <c:v>0.27610571828855957</c:v>
                </c:pt>
                <c:pt idx="1">
                  <c:v>0.18022434668072995</c:v>
                </c:pt>
                <c:pt idx="2">
                  <c:v>0.30663909148876733</c:v>
                </c:pt>
              </c:numCache>
            </c:numRef>
          </c:val>
          <c:extLst xmlns:c16r2="http://schemas.microsoft.com/office/drawing/2015/06/chart">
            <c:ext xmlns:c16="http://schemas.microsoft.com/office/drawing/2014/chart" uri="{C3380CC4-5D6E-409C-BE32-E72D297353CC}">
              <c16:uniqueId val="{0000000B-DC58-4725-8A67-0BDC09FD93CD}"/>
            </c:ext>
          </c:extLst>
        </c:ser>
        <c:dLbls>
          <c:showLegendKey val="0"/>
          <c:showVal val="0"/>
          <c:showCatName val="0"/>
          <c:showSerName val="0"/>
          <c:showPercent val="0"/>
          <c:showBubbleSize val="0"/>
        </c:dLbls>
        <c:gapWidth val="150"/>
        <c:overlap val="100"/>
        <c:axId val="711958912"/>
        <c:axId val="711960448"/>
      </c:barChart>
      <c:catAx>
        <c:axId val="711958912"/>
        <c:scaling>
          <c:orientation val="minMax"/>
        </c:scaling>
        <c:delete val="0"/>
        <c:axPos val="b"/>
        <c:numFmt formatCode="General" sourceLinked="0"/>
        <c:majorTickMark val="out"/>
        <c:minorTickMark val="none"/>
        <c:tickLblPos val="nextTo"/>
        <c:crossAx val="711960448"/>
        <c:crosses val="autoZero"/>
        <c:auto val="1"/>
        <c:lblAlgn val="ctr"/>
        <c:lblOffset val="100"/>
        <c:noMultiLvlLbl val="0"/>
      </c:catAx>
      <c:valAx>
        <c:axId val="711960448"/>
        <c:scaling>
          <c:orientation val="minMax"/>
          <c:max val="1"/>
          <c:min val="0"/>
        </c:scaling>
        <c:delete val="0"/>
        <c:axPos val="l"/>
        <c:majorGridlines/>
        <c:minorGridlines/>
        <c:numFmt formatCode="0%" sourceLinked="1"/>
        <c:majorTickMark val="out"/>
        <c:minorTickMark val="none"/>
        <c:tickLblPos val="nextTo"/>
        <c:crossAx val="711958912"/>
        <c:crosses val="autoZero"/>
        <c:crossBetween val="between"/>
        <c:majorUnit val="0.2"/>
        <c:minorUnit val="0.1"/>
      </c:valAx>
    </c:plotArea>
    <c:legend>
      <c:legendPos val="r"/>
      <c:layout>
        <c:manualLayout>
          <c:xMode val="edge"/>
          <c:yMode val="edge"/>
          <c:x val="0.81179499812312295"/>
          <c:y val="4.0768185451638697E-2"/>
          <c:w val="0.17032774962462499"/>
          <c:h val="0.93191446842526005"/>
        </c:manualLayout>
      </c:layout>
      <c:overlay val="0"/>
      <c:txPr>
        <a:bodyPr/>
        <a:lstStyle/>
        <a:p>
          <a:pPr>
            <a:defRPr sz="700"/>
          </a:pPr>
          <a:endParaRPr lang="en-US"/>
        </a:p>
      </c:txPr>
    </c:legend>
    <c:plotVisOnly val="0"/>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'Area VIIa demersal trawl'!$C$92</c:f>
              <c:strCache>
                <c:ptCount val="1"/>
                <c:pt idx="0">
                  <c:v>Haddock</c:v>
                </c:pt>
              </c:strCache>
            </c:strRef>
          </c:tx>
          <c:spPr>
            <a:solidFill>
              <a:srgbClr val="2273B9"/>
            </a:solidFill>
            <a:ln>
              <a:solidFill>
                <a:srgbClr val="FFFFFF"/>
              </a:solidFill>
            </a:ln>
          </c:spPr>
          <c:invertIfNegative val="0"/>
          <c:cat>
            <c:numRef>
              <c:f>'Area VIIa demersal trawl'!$D$91:$M$91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demersal trawl'!$D$92:$M$92</c:f>
              <c:numCache>
                <c:formatCode>0%</c:formatCode>
                <c:ptCount val="10"/>
                <c:pt idx="0">
                  <c:v>9.8756877280083172E-2</c:v>
                </c:pt>
                <c:pt idx="1">
                  <c:v>0.31221882511995847</c:v>
                </c:pt>
                <c:pt idx="5">
                  <c:v>0.18475703770282353</c:v>
                </c:pt>
                <c:pt idx="6">
                  <c:v>0.18509473775805435</c:v>
                </c:pt>
                <c:pt idx="7">
                  <c:v>0.14096411023913055</c:v>
                </c:pt>
                <c:pt idx="8">
                  <c:v>0.31586459267303152</c:v>
                </c:pt>
                <c:pt idx="9">
                  <c:v>0.52825770881591316</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'Area VIIa demersal trawl'!$C$93</c:f>
              <c:strCache>
                <c:ptCount val="1"/>
                <c:pt idx="0">
                  <c:v>Nephrops</c:v>
                </c:pt>
              </c:strCache>
            </c:strRef>
          </c:tx>
          <c:spPr>
            <a:solidFill>
              <a:srgbClr val="E87308"/>
            </a:solidFill>
            <a:ln>
              <a:solidFill>
                <a:srgbClr val="FFFFFF"/>
              </a:solidFill>
            </a:ln>
          </c:spPr>
          <c:invertIfNegative val="0"/>
          <c:cat>
            <c:numRef>
              <c:f>'Area VIIa demersal trawl'!$D$91:$M$91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demersal trawl'!$D$93:$M$93</c:f>
              <c:numCache>
                <c:formatCode>0%</c:formatCode>
                <c:ptCount val="10"/>
                <c:pt idx="0">
                  <c:v>0.10139742616221589</c:v>
                </c:pt>
                <c:pt idx="1">
                  <c:v>0.12857653165756111</c:v>
                </c:pt>
                <c:pt idx="2">
                  <c:v>0.31698444740984727</c:v>
                </c:pt>
                <c:pt idx="3">
                  <c:v>0.18041106413695093</c:v>
                </c:pt>
                <c:pt idx="4">
                  <c:v>0.26683026421136907</c:v>
                </c:pt>
                <c:pt idx="5">
                  <c:v>0.35806069120247969</c:v>
                </c:pt>
                <c:pt idx="6">
                  <c:v>0.29548537650867479</c:v>
                </c:pt>
                <c:pt idx="7">
                  <c:v>0.32708743049233968</c:v>
                </c:pt>
                <c:pt idx="8">
                  <c:v>0.22109582312811285</c:v>
                </c:pt>
                <c:pt idx="9">
                  <c:v>0.11175042677741058</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'Area VIIa demersal trawl'!$C$94</c:f>
              <c:strCache>
                <c:ptCount val="1"/>
                <c:pt idx="0">
                  <c:v>Scallops</c:v>
                </c:pt>
              </c:strCache>
            </c:strRef>
          </c:tx>
          <c:spPr>
            <a:solidFill>
              <a:srgbClr val="648C2E"/>
            </a:solidFill>
            <a:ln>
              <a:solidFill>
                <a:srgbClr val="FFFFFF"/>
              </a:solidFill>
            </a:ln>
          </c:spPr>
          <c:invertIfNegative val="0"/>
          <c:cat>
            <c:numRef>
              <c:f>'Area VIIa demersal trawl'!$D$91:$M$91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demersal trawl'!$D$94:$M$94</c:f>
              <c:numCache>
                <c:formatCode>0%</c:formatCode>
                <c:ptCount val="10"/>
                <c:pt idx="0">
                  <c:v>7.9198371519004981E-2</c:v>
                </c:pt>
                <c:pt idx="2">
                  <c:v>0.12887967677125889</c:v>
                </c:pt>
                <c:pt idx="3">
                  <c:v>0.20185654856393814</c:v>
                </c:pt>
                <c:pt idx="4">
                  <c:v>0.38733149278043122</c:v>
                </c:pt>
                <c:pt idx="5">
                  <c:v>0.3340953238772762</c:v>
                </c:pt>
                <c:pt idx="6">
                  <c:v>0.33304159522524074</c:v>
                </c:pt>
                <c:pt idx="7">
                  <c:v>0.34433358385336416</c:v>
                </c:pt>
                <c:pt idx="8">
                  <c:v>0.13104482830188879</c:v>
                </c:pt>
                <c:pt idx="9">
                  <c:v>0.10933146225108337</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'Area VIIa demersal trawl'!$C$95</c:f>
              <c:strCache>
                <c:ptCount val="1"/>
                <c:pt idx="0">
                  <c:v>Hake</c:v>
                </c:pt>
              </c:strCache>
            </c:strRef>
          </c:tx>
          <c:spPr>
            <a:solidFill>
              <a:srgbClr val="C1D119"/>
            </a:solidFill>
            <a:ln>
              <a:solidFill>
                <a:srgbClr val="FFFFFF"/>
              </a:solidFill>
            </a:ln>
          </c:spPr>
          <c:invertIfNegative val="0"/>
          <c:cat>
            <c:numRef>
              <c:f>'Area VIIa demersal trawl'!$D$91:$M$91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demersal trawl'!$D$95:$M$95</c:f>
              <c:numCache>
                <c:formatCode>0%</c:formatCode>
                <c:ptCount val="10"/>
                <c:pt idx="0">
                  <c:v>0.17883522358786569</c:v>
                </c:pt>
                <c:pt idx="1">
                  <c:v>0.13584458933064747</c:v>
                </c:pt>
                <c:pt idx="2">
                  <c:v>9.8317645784987556E-2</c:v>
                </c:pt>
                <c:pt idx="7">
                  <c:v>4.5681294881545459E-2</c:v>
                </c:pt>
                <c:pt idx="8">
                  <c:v>8.946225715107381E-2</c:v>
                </c:pt>
                <c:pt idx="9">
                  <c:v>5.0830930109008104E-2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'Area VIIa demersal trawl'!$C$96</c:f>
              <c:strCache>
                <c:ptCount val="1"/>
                <c:pt idx="0">
                  <c:v>Cuttlefish</c:v>
                </c:pt>
              </c:strCache>
            </c:strRef>
          </c:tx>
          <c:spPr>
            <a:solidFill>
              <a:srgbClr val="E84A38"/>
            </a:solidFill>
            <a:ln>
              <a:solidFill>
                <a:srgbClr val="FFFFFF"/>
              </a:solidFill>
            </a:ln>
          </c:spPr>
          <c:invertIfNegative val="0"/>
          <c:cat>
            <c:numRef>
              <c:f>'Area VIIa demersal trawl'!$D$91:$M$91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demersal trawl'!$D$96:$M$96</c:f>
              <c:numCache>
                <c:formatCode>0%</c:formatCode>
                <c:ptCount val="10"/>
                <c:pt idx="8">
                  <c:v>8.8322772037622857E-2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'Area VIIa demersal trawl'!$C$97</c:f>
              <c:strCache>
                <c:ptCount val="1"/>
                <c:pt idx="0">
                  <c:v>Cod</c:v>
                </c:pt>
              </c:strCache>
            </c:strRef>
          </c:tx>
          <c:spPr>
            <a:solidFill>
              <a:srgbClr val="0F9AA9"/>
            </a:solidFill>
            <a:ln>
              <a:solidFill>
                <a:srgbClr val="FFFFFF"/>
              </a:solidFill>
            </a:ln>
          </c:spPr>
          <c:invertIfNegative val="0"/>
          <c:cat>
            <c:numRef>
              <c:f>'Area VIIa demersal trawl'!$D$91:$M$91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demersal trawl'!$D$97:$M$97</c:f>
              <c:numCache>
                <c:formatCode>0%</c:formatCode>
                <c:ptCount val="10"/>
                <c:pt idx="0">
                  <c:v>0.33124407710816517</c:v>
                </c:pt>
                <c:pt idx="1">
                  <c:v>0.16601758002710154</c:v>
                </c:pt>
                <c:pt idx="2">
                  <c:v>0.11620648281551894</c:v>
                </c:pt>
                <c:pt idx="3">
                  <c:v>4.1360483793281194E-2</c:v>
                </c:pt>
                <c:pt idx="5">
                  <c:v>1.5140846160567881E-2</c:v>
                </c:pt>
                <c:pt idx="9">
                  <c:v>6.522706609489004E-2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'Area VIIa demersal trawl'!$C$98</c:f>
              <c:strCache>
                <c:ptCount val="1"/>
                <c:pt idx="0">
                  <c:v>Brown Crab</c:v>
                </c:pt>
              </c:strCache>
            </c:strRef>
          </c:tx>
          <c:spPr>
            <a:solidFill>
              <a:srgbClr val="FED825"/>
            </a:solidFill>
            <a:ln>
              <a:solidFill>
                <a:srgbClr val="FFFFFF"/>
              </a:solidFill>
            </a:ln>
          </c:spPr>
          <c:invertIfNegative val="0"/>
          <c:cat>
            <c:numRef>
              <c:f>'Area VIIa demersal trawl'!$D$91:$M$91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demersal trawl'!$D$98:$M$98</c:f>
              <c:numCache>
                <c:formatCode>0%</c:formatCode>
                <c:ptCount val="10"/>
                <c:pt idx="3">
                  <c:v>0.16311241534622906</c:v>
                </c:pt>
                <c:pt idx="4">
                  <c:v>0.17533832583308026</c:v>
                </c:pt>
                <c:pt idx="5">
                  <c:v>6.188177921772104E-2</c:v>
                </c:pt>
                <c:pt idx="6">
                  <c:v>5.4731063819688765E-2</c:v>
                </c:pt>
                <c:pt idx="7">
                  <c:v>5.6474940217567202E-2</c:v>
                </c:pt>
              </c:numCache>
            </c:numRef>
          </c:val>
          <c:extLst xmlns:c16r2="http://schemas.microsoft.com/office/drawing/2015/06/chart">
            <c:ext xmlns:c16="http://schemas.microsoft.com/office/drawing/2014/chart" uri="{C3380CC4-5D6E-409C-BE32-E72D297353CC}">
              <c16:uniqueId val="{00000006-282A-42F3-A8CE-7B6B063B5E4F}"/>
            </c:ext>
          </c:extLst>
        </c:ser>
        <c:ser>
          <c:idx val="7"/>
          <c:order val="7"/>
          <c:tx>
            <c:strRef>
              <c:f>'Area VIIa demersal trawl'!$C$99</c:f>
              <c:strCache>
                <c:ptCount val="1"/>
                <c:pt idx="0">
                  <c:v>Queen Scallops</c:v>
                </c:pt>
              </c:strCache>
            </c:strRef>
          </c:tx>
          <c:spPr>
            <a:solidFill>
              <a:srgbClr val="707271"/>
            </a:solidFill>
            <a:ln>
              <a:solidFill>
                <a:srgbClr val="FFFFFF"/>
              </a:solidFill>
            </a:ln>
          </c:spPr>
          <c:invertIfNegative val="0"/>
          <c:cat>
            <c:numRef>
              <c:f>'Area VIIa demersal trawl'!$D$91:$M$91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demersal trawl'!$D$99:$M$99</c:f>
              <c:numCache>
                <c:formatCode>0%</c:formatCode>
                <c:ptCount val="10"/>
                <c:pt idx="1">
                  <c:v>8.2446400201696149E-2</c:v>
                </c:pt>
                <c:pt idx="2">
                  <c:v>8.4856268026821613E-2</c:v>
                </c:pt>
                <c:pt idx="3">
                  <c:v>0.32255858879721799</c:v>
                </c:pt>
                <c:pt idx="4">
                  <c:v>0.11232416277849866</c:v>
                </c:pt>
                <c:pt idx="6">
                  <c:v>4.8271957979587034E-2</c:v>
                </c:pt>
              </c:numCache>
            </c:numRef>
          </c:val>
          <c:extLst xmlns:c16r2="http://schemas.microsoft.com/office/drawing/2015/06/chart">
            <c:ext xmlns:c16="http://schemas.microsoft.com/office/drawing/2014/chart" uri="{C3380CC4-5D6E-409C-BE32-E72D297353CC}">
              <c16:uniqueId val="{00000007-282A-42F3-A8CE-7B6B063B5E4F}"/>
            </c:ext>
          </c:extLst>
        </c:ser>
        <c:ser>
          <c:idx val="8"/>
          <c:order val="8"/>
          <c:tx>
            <c:strRef>
              <c:f>'Area VIIa demersal trawl'!$C$100</c:f>
              <c:strCache>
                <c:ptCount val="1"/>
                <c:pt idx="0">
                  <c:v>Thornback Ray</c:v>
                </c:pt>
              </c:strCache>
            </c:strRef>
          </c:tx>
          <c:spPr>
            <a:solidFill>
              <a:srgbClr val="51AA81"/>
            </a:solidFill>
            <a:ln>
              <a:solidFill>
                <a:srgbClr val="FFFFFF"/>
              </a:solidFill>
            </a:ln>
          </c:spPr>
          <c:invertIfNegative val="0"/>
          <c:cat>
            <c:numRef>
              <c:f>'Area VIIa demersal trawl'!$D$91:$M$91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demersal trawl'!$D$100:$M$100</c:f>
              <c:numCache>
                <c:formatCode>0%</c:formatCode>
                <c:ptCount val="10"/>
                <c:pt idx="4">
                  <c:v>2.8402387427183127E-2</c:v>
                </c:pt>
              </c:numCache>
            </c:numRef>
          </c:val>
          <c:extLst xmlns:c16r2="http://schemas.microsoft.com/office/drawing/2015/06/chart">
            <c:ext xmlns:c16="http://schemas.microsoft.com/office/drawing/2014/chart" uri="{C3380CC4-5D6E-409C-BE32-E72D297353CC}">
              <c16:uniqueId val="{00000008-282A-42F3-A8CE-7B6B063B5E4F}"/>
            </c:ext>
          </c:extLst>
        </c:ser>
        <c:ser>
          <c:idx val="9"/>
          <c:order val="9"/>
          <c:tx>
            <c:strRef>
              <c:f>'Area VIIa demersal trawl'!$C$101</c:f>
              <c:strCache>
                <c:ptCount val="1"/>
                <c:pt idx="0">
                  <c:v>Others</c:v>
                </c:pt>
              </c:strCache>
            </c:strRef>
          </c:tx>
          <c:spPr>
            <a:solidFill>
              <a:srgbClr val="55585A"/>
            </a:solidFill>
            <a:ln>
              <a:solidFill>
                <a:srgbClr val="FFFFFF"/>
              </a:solidFill>
            </a:ln>
          </c:spPr>
          <c:invertIfNegative val="0"/>
          <c:cat>
            <c:numRef>
              <c:f>'Area VIIa demersal trawl'!$D$91:$M$91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'Area VIIa demersal trawl'!$D$101:$M$101</c:f>
              <c:numCache>
                <c:formatCode>0%</c:formatCode>
                <c:ptCount val="10"/>
                <c:pt idx="0">
                  <c:v>0.21056802434266508</c:v>
                </c:pt>
                <c:pt idx="1">
                  <c:v>0.17489607366303525</c:v>
                </c:pt>
                <c:pt idx="2">
                  <c:v>0.25475547919156571</c:v>
                </c:pt>
                <c:pt idx="3">
                  <c:v>9.0700899362382709E-2</c:v>
                </c:pt>
                <c:pt idx="4">
                  <c:v>2.9773366969437619E-2</c:v>
                </c:pt>
                <c:pt idx="5">
                  <c:v>4.6064321839131686E-2</c:v>
                </c:pt>
                <c:pt idx="6">
                  <c:v>8.3375268708754322E-2</c:v>
                </c:pt>
                <c:pt idx="7">
                  <c:v>8.5458640316052936E-2</c:v>
                </c:pt>
                <c:pt idx="8">
                  <c:v>0.15420972670827016</c:v>
                </c:pt>
                <c:pt idx="9">
                  <c:v>0.13460240595169476</c:v>
                </c:pt>
              </c:numCache>
            </c:numRef>
          </c:val>
          <c:extLst xmlns:c16r2="http://schemas.microsoft.com/office/drawing/2015/06/chart">
            <c:ext xmlns:c16="http://schemas.microsoft.com/office/drawing/2014/chart" uri="{C3380CC4-5D6E-409C-BE32-E72D297353CC}">
              <c16:uniqueId val="{00000009-282A-42F3-A8CE-7B6B063B5E4F}"/>
            </c:ext>
          </c:extLst>
        </c:ser>
        <c:dLbls>
          <c:showLegendKey val="0"/>
          <c:showVal val="0"/>
          <c:showCatName val="0"/>
          <c:showSerName val="0"/>
          <c:showPercent val="0"/>
          <c:showBubbleSize val="0"/>
        </c:dLbls>
        <c:gapWidth val="150"/>
        <c:overlap val="100"/>
        <c:axId val="615899136"/>
        <c:axId val="615900672"/>
      </c:barChart>
      <c:catAx>
        <c:axId val="615899136"/>
        <c:scaling>
          <c:orientation val="minMax"/>
        </c:scaling>
        <c:delete val="0"/>
        <c:axPos val="b"/>
        <c:numFmt formatCode="General" sourceLinked="1"/>
        <c:majorTickMark val="out"/>
        <c:minorTickMark val="none"/>
        <c:tickLblPos val="nextTo"/>
        <c:crossAx val="615900672"/>
        <c:crosses val="autoZero"/>
        <c:auto val="1"/>
        <c:lblAlgn val="ctr"/>
        <c:lblOffset val="100"/>
        <c:noMultiLvlLbl val="0"/>
      </c:catAx>
      <c:valAx>
        <c:axId val="615900672"/>
        <c:scaling>
          <c:orientation val="minMax"/>
          <c:max val="1"/>
          <c:min val="0"/>
        </c:scaling>
        <c:delete val="0"/>
        <c:axPos val="l"/>
        <c:majorGridlines/>
        <c:numFmt formatCode="0%" sourceLinked="1"/>
        <c:majorTickMark val="out"/>
        <c:minorTickMark val="none"/>
        <c:tickLblPos val="nextTo"/>
        <c:crossAx val="615899136"/>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over 10m'!$K$143</c:f>
          <c:strCache>
            <c:ptCount val="1"/>
            <c:pt idx="0">
              <c:v>Total income, operating costs and operating profit  in 2017</c:v>
            </c:pt>
          </c:strCache>
        </c:strRef>
      </c:tx>
      <c:layout>
        <c:manualLayout>
          <c:xMode val="edge"/>
          <c:yMode val="edge"/>
          <c:x val="0.15522222222222201"/>
          <c:y val="8.0780890421676306E-3"/>
        </c:manualLayout>
      </c:layout>
      <c:overlay val="0"/>
      <c:txPr>
        <a:bodyPr/>
        <a:lstStyle/>
        <a:p>
          <a:pPr>
            <a:defRPr sz="1100"/>
          </a:pPr>
          <a:endParaRPr lang="en-US"/>
        </a:p>
      </c:txPr>
    </c:title>
    <c:autoTitleDeleted val="0"/>
    <c:plotArea>
      <c:layout>
        <c:manualLayout>
          <c:layoutTarget val="inner"/>
          <c:xMode val="edge"/>
          <c:yMode val="edge"/>
          <c:x val="0.14497462817147899"/>
          <c:y val="0.15009280261348401"/>
          <c:w val="0.82446981627296601"/>
          <c:h val="0.65012905860367398"/>
        </c:manualLayout>
      </c:layout>
      <c:barChart>
        <c:barDir val="col"/>
        <c:grouping val="clustered"/>
        <c:varyColors val="0"/>
        <c:ser>
          <c:idx val="0"/>
          <c:order val="0"/>
          <c:tx>
            <c:strRef>
              <c:f>'Low activity over 10m'!$K$139</c:f>
              <c:strCache>
                <c:ptCount val="1"/>
                <c:pt idx="0">
                  <c:v>Total income</c:v>
                </c:pt>
              </c:strCache>
            </c:strRef>
          </c:tx>
          <c:spPr>
            <a:solidFill>
              <a:schemeClr val="accent1"/>
            </a:solidFill>
            <a:ln>
              <a:solidFill>
                <a:schemeClr val="accent1"/>
              </a:solidFill>
            </a:ln>
          </c:spPr>
          <c:invertIfNegative val="0"/>
          <c:cat>
            <c:strRef>
              <c:f>'Low activity over 10m'!$L$138:$N$138</c:f>
              <c:strCache>
                <c:ptCount val="3"/>
                <c:pt idx="0">
                  <c:v>Most
profitable
quartile</c:v>
                </c:pt>
                <c:pt idx="1">
                  <c:v>Middle
two quartiles</c:v>
                </c:pt>
                <c:pt idx="2">
                  <c:v>Least
profitable
quartile</c:v>
                </c:pt>
              </c:strCache>
            </c:strRef>
          </c:cat>
          <c:val>
            <c:numRef>
              <c:f>'Low activity over 10m'!$L$139:$N$139</c:f>
              <c:numCache>
                <c:formatCode>#,##0</c:formatCode>
                <c:ptCount val="3"/>
                <c:pt idx="0">
                  <c:v>6.3308525390624997</c:v>
                </c:pt>
                <c:pt idx="1">
                  <c:v>4.5385646866508198</c:v>
                </c:pt>
                <c:pt idx="2">
                  <c:v>3.00585668945312</c:v>
                </c:pt>
              </c:numCache>
            </c:numRef>
          </c:val>
          <c:extLst xmlns:c16r2="http://schemas.microsoft.com/office/drawing/2015/06/chart">
            <c:ext xmlns:c16="http://schemas.microsoft.com/office/drawing/2014/chart" uri="{C3380CC4-5D6E-409C-BE32-E72D297353CC}">
              <c16:uniqueId val="{00000000-8072-46F5-8D1D-67B167B6A7C8}"/>
            </c:ext>
          </c:extLst>
        </c:ser>
        <c:ser>
          <c:idx val="1"/>
          <c:order val="1"/>
          <c:tx>
            <c:strRef>
              <c:f>'Low activity over 10m'!$K$140</c:f>
              <c:strCache>
                <c:ptCount val="1"/>
                <c:pt idx="0">
                  <c:v>Operating costs</c:v>
                </c:pt>
              </c:strCache>
            </c:strRef>
          </c:tx>
          <c:spPr>
            <a:solidFill>
              <a:schemeClr val="accent3"/>
            </a:solidFill>
          </c:spPr>
          <c:invertIfNegative val="0"/>
          <c:cat>
            <c:strRef>
              <c:f>'Low activity over 10m'!$L$138:$N$138</c:f>
              <c:strCache>
                <c:ptCount val="3"/>
                <c:pt idx="0">
                  <c:v>Most
profitable
quartile</c:v>
                </c:pt>
                <c:pt idx="1">
                  <c:v>Middle
two quartiles</c:v>
                </c:pt>
                <c:pt idx="2">
                  <c:v>Least
profitable
quartile</c:v>
                </c:pt>
              </c:strCache>
            </c:strRef>
          </c:cat>
          <c:val>
            <c:numRef>
              <c:f>'Low activity over 10m'!$L$140:$N$140</c:f>
              <c:numCache>
                <c:formatCode>#,##0</c:formatCode>
                <c:ptCount val="3"/>
                <c:pt idx="0">
                  <c:v>10.0174130859375</c:v>
                </c:pt>
                <c:pt idx="1">
                  <c:v>8.8517103006114102</c:v>
                </c:pt>
                <c:pt idx="2">
                  <c:v>11.297235351562501</c:v>
                </c:pt>
              </c:numCache>
            </c:numRef>
          </c:val>
          <c:extLst xmlns:c16r2="http://schemas.microsoft.com/office/drawing/2015/06/chart">
            <c:ext xmlns:c16="http://schemas.microsoft.com/office/drawing/2014/chart" uri="{C3380CC4-5D6E-409C-BE32-E72D297353CC}">
              <c16:uniqueId val="{00000001-8072-46F5-8D1D-67B167B6A7C8}"/>
            </c:ext>
          </c:extLst>
        </c:ser>
        <c:ser>
          <c:idx val="2"/>
          <c:order val="2"/>
          <c:tx>
            <c:strRef>
              <c:f>'Low activity over 10m'!$K$141</c:f>
              <c:strCache>
                <c:ptCount val="1"/>
                <c:pt idx="0">
                  <c:v>Operating profit</c:v>
                </c:pt>
              </c:strCache>
            </c:strRef>
          </c:tx>
          <c:spPr>
            <a:solidFill>
              <a:schemeClr val="accent2"/>
            </a:solidFill>
          </c:spPr>
          <c:invertIfNegative val="0"/>
          <c:cat>
            <c:strRef>
              <c:f>'Low activity over 10m'!$L$138:$N$138</c:f>
              <c:strCache>
                <c:ptCount val="3"/>
                <c:pt idx="0">
                  <c:v>Most
profitable
quartile</c:v>
                </c:pt>
                <c:pt idx="1">
                  <c:v>Middle
two quartiles</c:v>
                </c:pt>
                <c:pt idx="2">
                  <c:v>Least
profitable
quartile</c:v>
                </c:pt>
              </c:strCache>
            </c:strRef>
          </c:cat>
          <c:val>
            <c:numRef>
              <c:f>'Low activity over 10m'!$L$141:$N$141</c:f>
              <c:numCache>
                <c:formatCode>#,##0</c:formatCode>
                <c:ptCount val="3"/>
                <c:pt idx="0">
                  <c:v>-3.686560546875</c:v>
                </c:pt>
                <c:pt idx="1">
                  <c:v>-4.3131456139606001</c:v>
                </c:pt>
                <c:pt idx="2">
                  <c:v>-8.2913786621093806</c:v>
                </c:pt>
              </c:numCache>
            </c:numRef>
          </c:val>
          <c:extLst xmlns:c16r2="http://schemas.microsoft.com/office/drawing/2015/06/chart">
            <c:ext xmlns:c16="http://schemas.microsoft.com/office/drawing/2014/chart" uri="{C3380CC4-5D6E-409C-BE32-E72D297353CC}">
              <c16:uniqueId val="{00000002-8072-46F5-8D1D-67B167B6A7C8}"/>
            </c:ext>
          </c:extLst>
        </c:ser>
        <c:dLbls>
          <c:showLegendKey val="0"/>
          <c:showVal val="0"/>
          <c:showCatName val="0"/>
          <c:showSerName val="0"/>
          <c:showPercent val="0"/>
          <c:showBubbleSize val="0"/>
        </c:dLbls>
        <c:gapWidth val="150"/>
        <c:axId val="711988736"/>
        <c:axId val="711990272"/>
      </c:barChart>
      <c:catAx>
        <c:axId val="711988736"/>
        <c:scaling>
          <c:orientation val="minMax"/>
        </c:scaling>
        <c:delete val="0"/>
        <c:axPos val="b"/>
        <c:numFmt formatCode="General" sourceLinked="0"/>
        <c:majorTickMark val="out"/>
        <c:minorTickMark val="none"/>
        <c:tickLblPos val="nextTo"/>
        <c:crossAx val="711990272"/>
        <c:crosses val="autoZero"/>
        <c:auto val="1"/>
        <c:lblAlgn val="ctr"/>
        <c:lblOffset val="100"/>
        <c:noMultiLvlLbl val="0"/>
      </c:catAx>
      <c:valAx>
        <c:axId val="711990272"/>
        <c:scaling>
          <c:orientation val="minMax"/>
        </c:scaling>
        <c:delete val="0"/>
        <c:axPos val="l"/>
        <c:majorGridlines/>
        <c:title>
          <c:tx>
            <c:strRef>
              <c:f>'Low activity over 10m'!$K$142</c:f>
              <c:strCache>
                <c:ptCount val="1"/>
                <c:pt idx="0">
                  <c:v>Value in £'000</c:v>
                </c:pt>
              </c:strCache>
            </c:strRef>
          </c:tx>
          <c:overlay val="0"/>
          <c:txPr>
            <a:bodyPr rot="-5400000" vert="horz"/>
            <a:lstStyle/>
            <a:p>
              <a:pPr>
                <a:defRPr/>
              </a:pPr>
              <a:endParaRPr lang="en-US"/>
            </a:p>
          </c:txPr>
        </c:title>
        <c:numFmt formatCode="#,##0" sourceLinked="1"/>
        <c:majorTickMark val="out"/>
        <c:minorTickMark val="none"/>
        <c:tickLblPos val="nextTo"/>
        <c:crossAx val="711988736"/>
        <c:crosses val="autoZero"/>
        <c:crossBetween val="between"/>
      </c:valAx>
    </c:plotArea>
    <c:legend>
      <c:legendPos val="t"/>
      <c:layout>
        <c:manualLayout>
          <c:xMode val="edge"/>
          <c:yMode val="edge"/>
          <c:x val="0.14135942402124099"/>
          <c:y val="7.9154549716684897E-2"/>
          <c:w val="0.71728127734033198"/>
          <c:h val="7.3037692236256793E-2"/>
        </c:manualLayout>
      </c:layout>
      <c:overlay val="0"/>
    </c:legend>
    <c:plotVisOnly val="0"/>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10m'!$A$48</c:f>
          <c:strCache>
            <c:ptCount val="1"/>
            <c:pt idx="0">
              <c:v>Landings per kW day at sea (kg)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bg2"/>
              </a:solidFill>
            </a:ln>
          </c:spPr>
          <c:marker>
            <c:symbol val="none"/>
          </c:marker>
          <c:dPt>
            <c:idx val="9"/>
            <c:bubble3D val="0"/>
            <c:spPr>
              <a:ln w="57150">
                <a:solidFill>
                  <a:schemeClr val="bg2"/>
                </a:solidFill>
                <a:prstDash val="solid"/>
              </a:ln>
            </c:spPr>
            <c:extLst xmlns:c16r2="http://schemas.microsoft.com/office/drawing/2015/06/chart">
              <c:ext xmlns:c16="http://schemas.microsoft.com/office/drawing/2014/chart" uri="{C3380CC4-5D6E-409C-BE32-E72D297353CC}">
                <c16:uniqueId val="{00000001-91D5-4BBE-BE21-C67270C4D217}"/>
              </c:ext>
            </c:extLst>
          </c:dPt>
          <c:dPt>
            <c:idx val="10"/>
            <c:bubble3D val="0"/>
            <c:spPr>
              <a:ln w="57150">
                <a:solidFill>
                  <a:schemeClr val="bg2"/>
                </a:solidFill>
                <a:prstDash val="sysDot"/>
              </a:ln>
            </c:spPr>
            <c:extLst xmlns:c16r2="http://schemas.microsoft.com/office/drawing/2015/06/chart">
              <c:ext xmlns:c16="http://schemas.microsoft.com/office/drawing/2014/chart" uri="{C3380CC4-5D6E-409C-BE32-E72D297353CC}">
                <c16:uniqueId val="{00000003-91D5-4BBE-BE21-C67270C4D217}"/>
              </c:ext>
            </c:extLst>
          </c:dPt>
          <c:cat>
            <c:numRef>
              <c:f>'Low activity under 10m'!$D$2:$N$2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'Low activity under 10m'!$D$21:$N$21</c:f>
              <c:numCache>
                <c:formatCode>#,##0.00</c:formatCode>
                <c:ptCount val="11"/>
                <c:pt idx="0">
                  <c:v>1.5846812679636058</c:v>
                </c:pt>
                <c:pt idx="1">
                  <c:v>1.8036272448809043</c:v>
                </c:pt>
                <c:pt idx="2">
                  <c:v>1.8920472160945732</c:v>
                </c:pt>
                <c:pt idx="3">
                  <c:v>1.8179928335339672</c:v>
                </c:pt>
                <c:pt idx="4">
                  <c:v>1.686291108698645</c:v>
                </c:pt>
                <c:pt idx="5">
                  <c:v>1.578146415751422</c:v>
                </c:pt>
                <c:pt idx="6">
                  <c:v>1.4114384911024449</c:v>
                </c:pt>
                <c:pt idx="7">
                  <c:v>1.2774888671582787</c:v>
                </c:pt>
                <c:pt idx="8">
                  <c:v>1.4833753076686749</c:v>
                </c:pt>
                <c:pt idx="9">
                  <c:v>1.6343070694611188</c:v>
                </c:pt>
                <c:pt idx="10">
                  <c:v>1.6368120716572669</c:v>
                </c:pt>
              </c:numCache>
            </c:numRef>
          </c:val>
          <c:smooth val="0"/>
          <c:extLst xmlns:c16r2="http://schemas.microsoft.com/office/drawing/2015/06/chart">
            <c:ext xmlns:c16="http://schemas.microsoft.com/office/drawing/2014/chart" uri="{C3380CC4-5D6E-409C-BE32-E72D297353CC}">
              <c16:uniqueId val="{00000004-91D5-4BBE-BE21-C67270C4D217}"/>
            </c:ext>
          </c:extLst>
        </c:ser>
        <c:dLbls>
          <c:showLegendKey val="0"/>
          <c:showVal val="0"/>
          <c:showCatName val="0"/>
          <c:showSerName val="0"/>
          <c:showPercent val="0"/>
          <c:showBubbleSize val="0"/>
        </c:dLbls>
        <c:marker val="1"/>
        <c:smooth val="0"/>
        <c:axId val="712305280"/>
        <c:axId val="712184192"/>
      </c:lineChart>
      <c:catAx>
        <c:axId val="712305280"/>
        <c:scaling>
          <c:orientation val="minMax"/>
        </c:scaling>
        <c:delete val="0"/>
        <c:axPos val="b"/>
        <c:numFmt formatCode="General" sourceLinked="1"/>
        <c:majorTickMark val="out"/>
        <c:minorTickMark val="none"/>
        <c:tickLblPos val="nextTo"/>
        <c:crossAx val="712184192"/>
        <c:crosses val="autoZero"/>
        <c:auto val="1"/>
        <c:lblAlgn val="ctr"/>
        <c:lblOffset val="100"/>
        <c:noMultiLvlLbl val="0"/>
      </c:catAx>
      <c:valAx>
        <c:axId val="712184192"/>
        <c:scaling>
          <c:orientation val="minMax"/>
        </c:scaling>
        <c:delete val="0"/>
        <c:axPos val="l"/>
        <c:majorGridlines>
          <c:spPr>
            <a:ln w="3175">
              <a:prstDash val="sysDot"/>
            </a:ln>
          </c:spPr>
        </c:majorGridlines>
        <c:numFmt formatCode="#,##0.00" sourceLinked="1"/>
        <c:majorTickMark val="out"/>
        <c:minorTickMark val="none"/>
        <c:tickLblPos val="nextTo"/>
        <c:crossAx val="712305280"/>
        <c:crosses val="autoZero"/>
        <c:crossBetween val="between"/>
      </c:valAx>
    </c:plotArea>
    <c:plotVisOnly val="0"/>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10m'!$A$49</c:f>
          <c:strCache>
            <c:ptCount val="1"/>
            <c:pt idx="0">
              <c:v>Fishing income per kW day at sea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2"/>
              </a:solidFill>
            </a:ln>
          </c:spPr>
          <c:marker>
            <c:symbol val="none"/>
          </c:marker>
          <c:dPt>
            <c:idx val="9"/>
            <c:bubble3D val="0"/>
            <c:spPr>
              <a:ln w="57150">
                <a:solidFill>
                  <a:schemeClr val="accent2"/>
                </a:solidFill>
                <a:prstDash val="solid"/>
              </a:ln>
            </c:spPr>
            <c:extLst xmlns:c16r2="http://schemas.microsoft.com/office/drawing/2015/06/chart">
              <c:ext xmlns:c16="http://schemas.microsoft.com/office/drawing/2014/chart" uri="{C3380CC4-5D6E-409C-BE32-E72D297353CC}">
                <c16:uniqueId val="{00000001-20FF-4EC3-BD95-B84703512281}"/>
              </c:ext>
            </c:extLst>
          </c:dPt>
          <c:dPt>
            <c:idx val="10"/>
            <c:bubble3D val="0"/>
            <c:spPr>
              <a:ln w="57150">
                <a:solidFill>
                  <a:schemeClr val="accent2"/>
                </a:solidFill>
                <a:prstDash val="sysDot"/>
              </a:ln>
            </c:spPr>
            <c:extLst xmlns:c16r2="http://schemas.microsoft.com/office/drawing/2015/06/chart">
              <c:ext xmlns:c16="http://schemas.microsoft.com/office/drawing/2014/chart" uri="{C3380CC4-5D6E-409C-BE32-E72D297353CC}">
                <c16:uniqueId val="{00000003-20FF-4EC3-BD95-B84703512281}"/>
              </c:ext>
            </c:extLst>
          </c:dPt>
          <c:cat>
            <c:numRef>
              <c:f>'Low activity under 10m'!$D$2:$N$2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'Low activity under 10m'!$D$22:$N$22</c:f>
              <c:numCache>
                <c:formatCode>#,##0.00</c:formatCode>
                <c:ptCount val="11"/>
                <c:pt idx="0">
                  <c:v>4.0390514553748202</c:v>
                </c:pt>
                <c:pt idx="1">
                  <c:v>4.3889127662515204</c:v>
                </c:pt>
                <c:pt idx="2">
                  <c:v>4.5548885932122696</c:v>
                </c:pt>
                <c:pt idx="3">
                  <c:v>4.79984319569391</c:v>
                </c:pt>
                <c:pt idx="4">
                  <c:v>4.6244302419796401</c:v>
                </c:pt>
                <c:pt idx="5">
                  <c:v>4.1879322548056397</c:v>
                </c:pt>
                <c:pt idx="6">
                  <c:v>3.3375180347592801</c:v>
                </c:pt>
                <c:pt idx="7">
                  <c:v>3.18454845726255</c:v>
                </c:pt>
                <c:pt idx="8">
                  <c:v>3.9684704769869401</c:v>
                </c:pt>
                <c:pt idx="9">
                  <c:v>4.83744356694495</c:v>
                </c:pt>
                <c:pt idx="10">
                  <c:v>4.9793885710971786</c:v>
                </c:pt>
              </c:numCache>
            </c:numRef>
          </c:val>
          <c:smooth val="0"/>
          <c:extLst xmlns:c16r2="http://schemas.microsoft.com/office/drawing/2015/06/chart">
            <c:ext xmlns:c16="http://schemas.microsoft.com/office/drawing/2014/chart" uri="{C3380CC4-5D6E-409C-BE32-E72D297353CC}">
              <c16:uniqueId val="{00000004-20FF-4EC3-BD95-B84703512281}"/>
            </c:ext>
          </c:extLst>
        </c:ser>
        <c:dLbls>
          <c:showLegendKey val="0"/>
          <c:showVal val="0"/>
          <c:showCatName val="0"/>
          <c:showSerName val="0"/>
          <c:showPercent val="0"/>
          <c:showBubbleSize val="0"/>
        </c:dLbls>
        <c:marker val="1"/>
        <c:smooth val="0"/>
        <c:axId val="712214400"/>
        <c:axId val="712215936"/>
      </c:lineChart>
      <c:catAx>
        <c:axId val="712214400"/>
        <c:scaling>
          <c:orientation val="minMax"/>
        </c:scaling>
        <c:delete val="0"/>
        <c:axPos val="b"/>
        <c:numFmt formatCode="General" sourceLinked="1"/>
        <c:majorTickMark val="out"/>
        <c:minorTickMark val="none"/>
        <c:tickLblPos val="nextTo"/>
        <c:crossAx val="712215936"/>
        <c:crosses val="autoZero"/>
        <c:auto val="1"/>
        <c:lblAlgn val="ctr"/>
        <c:lblOffset val="100"/>
        <c:noMultiLvlLbl val="0"/>
      </c:catAx>
      <c:valAx>
        <c:axId val="712215936"/>
        <c:scaling>
          <c:orientation val="minMax"/>
        </c:scaling>
        <c:delete val="0"/>
        <c:axPos val="l"/>
        <c:majorGridlines>
          <c:spPr>
            <a:ln w="3175">
              <a:prstDash val="sysDot"/>
            </a:ln>
          </c:spPr>
        </c:majorGridlines>
        <c:numFmt formatCode="#,##0.00" sourceLinked="1"/>
        <c:majorTickMark val="out"/>
        <c:minorTickMark val="none"/>
        <c:tickLblPos val="nextTo"/>
        <c:crossAx val="712214400"/>
        <c:crosses val="autoZero"/>
        <c:crossBetween val="between"/>
      </c:valAx>
    </c:plotArea>
    <c:plotVisOnly val="0"/>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10m'!$B$62</c:f>
          <c:strCache>
            <c:ptCount val="1"/>
            <c:pt idx="0">
              <c:v>Total cost per kW day at sea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1"/>
              </a:solidFill>
              <a:prstDash val="solid"/>
            </a:ln>
          </c:spPr>
          <c:marker>
            <c:symbol val="none"/>
          </c:marker>
          <c:dPt>
            <c:idx val="9"/>
            <c:bubble3D val="0"/>
            <c:spPr>
              <a:ln w="57150">
                <a:solidFill>
                  <a:schemeClr val="accent1"/>
                </a:solidFill>
                <a:prstDash val="solid"/>
              </a:ln>
            </c:spPr>
            <c:extLst xmlns:c16r2="http://schemas.microsoft.com/office/drawing/2015/06/chart">
              <c:ext xmlns:c16="http://schemas.microsoft.com/office/drawing/2014/chart" uri="{C3380CC4-5D6E-409C-BE32-E72D297353CC}">
                <c16:uniqueId val="{00000001-E353-4B78-89D0-9CBAD3B2411C}"/>
              </c:ext>
            </c:extLst>
          </c:dPt>
          <c:dPt>
            <c:idx val="10"/>
            <c:bubble3D val="0"/>
            <c:spPr>
              <a:ln w="57150">
                <a:solidFill>
                  <a:schemeClr val="accent1"/>
                </a:solidFill>
                <a:prstDash val="sysDot"/>
              </a:ln>
            </c:spPr>
            <c:extLst xmlns:c16r2="http://schemas.microsoft.com/office/drawing/2015/06/chart">
              <c:ext xmlns:c16="http://schemas.microsoft.com/office/drawing/2014/chart" uri="{C3380CC4-5D6E-409C-BE32-E72D297353CC}">
                <c16:uniqueId val="{00000003-E353-4B78-89D0-9CBAD3B2411C}"/>
              </c:ext>
            </c:extLst>
          </c:dPt>
          <c:cat>
            <c:numRef>
              <c:f>'Low activity under 10m'!$D$2:$N$2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'Low activity under 10m'!$D$23:$N$23</c:f>
              <c:numCache>
                <c:formatCode>#,##0.00</c:formatCode>
                <c:ptCount val="11"/>
                <c:pt idx="0">
                  <c:v>4.0271986025839599</c:v>
                </c:pt>
                <c:pt idx="1">
                  <c:v>3.3746839305462899</c:v>
                </c:pt>
                <c:pt idx="2">
                  <c:v>4.2055299552880596</c:v>
                </c:pt>
                <c:pt idx="3">
                  <c:v>4.01720383782847</c:v>
                </c:pt>
                <c:pt idx="4">
                  <c:v>4.5798289173391398</c:v>
                </c:pt>
                <c:pt idx="5">
                  <c:v>4.7584970156556903</c:v>
                </c:pt>
                <c:pt idx="6">
                  <c:v>3.6909312120182798</c:v>
                </c:pt>
                <c:pt idx="7">
                  <c:v>3.8889658163676302</c:v>
                </c:pt>
                <c:pt idx="8">
                  <c:v>3.9592985636313198</c:v>
                </c:pt>
                <c:pt idx="9">
                  <c:v>4.0750925396805204</c:v>
                </c:pt>
                <c:pt idx="10">
                  <c:v>4.2993205664637131</c:v>
                </c:pt>
              </c:numCache>
            </c:numRef>
          </c:val>
          <c:smooth val="0"/>
          <c:extLst xmlns:c16r2="http://schemas.microsoft.com/office/drawing/2015/06/chart">
            <c:ext xmlns:c16="http://schemas.microsoft.com/office/drawing/2014/chart" uri="{C3380CC4-5D6E-409C-BE32-E72D297353CC}">
              <c16:uniqueId val="{00000004-E353-4B78-89D0-9CBAD3B2411C}"/>
            </c:ext>
          </c:extLst>
        </c:ser>
        <c:dLbls>
          <c:showLegendKey val="0"/>
          <c:showVal val="0"/>
          <c:showCatName val="0"/>
          <c:showSerName val="0"/>
          <c:showPercent val="0"/>
          <c:showBubbleSize val="0"/>
        </c:dLbls>
        <c:marker val="1"/>
        <c:smooth val="0"/>
        <c:axId val="712324224"/>
        <c:axId val="712325760"/>
      </c:lineChart>
      <c:catAx>
        <c:axId val="712324224"/>
        <c:scaling>
          <c:orientation val="minMax"/>
        </c:scaling>
        <c:delete val="0"/>
        <c:axPos val="b"/>
        <c:numFmt formatCode="General" sourceLinked="1"/>
        <c:majorTickMark val="out"/>
        <c:minorTickMark val="none"/>
        <c:tickLblPos val="nextTo"/>
        <c:crossAx val="712325760"/>
        <c:crosses val="autoZero"/>
        <c:auto val="1"/>
        <c:lblAlgn val="ctr"/>
        <c:lblOffset val="100"/>
        <c:noMultiLvlLbl val="0"/>
      </c:catAx>
      <c:valAx>
        <c:axId val="712325760"/>
        <c:scaling>
          <c:orientation val="minMax"/>
        </c:scaling>
        <c:delete val="0"/>
        <c:axPos val="l"/>
        <c:majorGridlines>
          <c:spPr>
            <a:ln w="3175">
              <a:prstDash val="sysDot"/>
            </a:ln>
          </c:spPr>
        </c:majorGridlines>
        <c:numFmt formatCode="#,##0.00" sourceLinked="1"/>
        <c:majorTickMark val="out"/>
        <c:minorTickMark val="none"/>
        <c:tickLblPos val="nextTo"/>
        <c:crossAx val="712324224"/>
        <c:crosses val="autoZero"/>
        <c:crossBetween val="between"/>
      </c:valAx>
    </c:plotArea>
    <c:plotVisOnly val="0"/>
    <c:dispBlanksAs val="gap"/>
    <c:showDLblsOverMax val="0"/>
  </c:chart>
  <c:printSettings>
    <c:headerFooter/>
    <c:pageMargins b="0.75" l="0.7" r="0.7" t="0.75" header="0.3" footer="0.3"/>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10m'!$K$48</c:f>
          <c:strCache>
            <c:ptCount val="1"/>
            <c:pt idx="0">
              <c:v>Operating profit per kW day at sea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3"/>
              </a:solidFill>
              <a:prstDash val="solid"/>
            </a:ln>
          </c:spPr>
          <c:marker>
            <c:symbol val="none"/>
          </c:marker>
          <c:dPt>
            <c:idx val="9"/>
            <c:bubble3D val="0"/>
            <c:spPr>
              <a:ln w="57150">
                <a:solidFill>
                  <a:schemeClr val="accent3"/>
                </a:solidFill>
                <a:prstDash val="solid"/>
              </a:ln>
            </c:spPr>
            <c:extLst xmlns:c16r2="http://schemas.microsoft.com/office/drawing/2015/06/chart">
              <c:ext xmlns:c16="http://schemas.microsoft.com/office/drawing/2014/chart" uri="{C3380CC4-5D6E-409C-BE32-E72D297353CC}">
                <c16:uniqueId val="{00000001-21A5-4BAE-BE34-EE7DCD367D33}"/>
              </c:ext>
            </c:extLst>
          </c:dPt>
          <c:dPt>
            <c:idx val="10"/>
            <c:bubble3D val="0"/>
            <c:spPr>
              <a:ln w="57150">
                <a:solidFill>
                  <a:schemeClr val="accent3"/>
                </a:solidFill>
                <a:prstDash val="sysDot"/>
              </a:ln>
            </c:spPr>
            <c:extLst xmlns:c16r2="http://schemas.microsoft.com/office/drawing/2015/06/chart">
              <c:ext xmlns:c16="http://schemas.microsoft.com/office/drawing/2014/chart" uri="{C3380CC4-5D6E-409C-BE32-E72D297353CC}">
                <c16:uniqueId val="{00000003-21A5-4BAE-BE34-EE7DCD367D33}"/>
              </c:ext>
            </c:extLst>
          </c:dPt>
          <c:cat>
            <c:numRef>
              <c:f>'Low activity under 10m'!$D$2:$N$2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'Low activity under 10m'!$D$24:$N$24</c:f>
              <c:numCache>
                <c:formatCode>#,##0.00</c:formatCode>
                <c:ptCount val="11"/>
                <c:pt idx="0">
                  <c:v>1.2233917731516599</c:v>
                </c:pt>
                <c:pt idx="1">
                  <c:v>1.40807332366889</c:v>
                </c:pt>
                <c:pt idx="2">
                  <c:v>0.35673220037169401</c:v>
                </c:pt>
                <c:pt idx="3">
                  <c:v>0.89347969017302997</c:v>
                </c:pt>
                <c:pt idx="4">
                  <c:v>1.0139430698701799</c:v>
                </c:pt>
                <c:pt idx="5">
                  <c:v>3.1809954408741903E-2</c:v>
                </c:pt>
                <c:pt idx="6">
                  <c:v>0.66313821333768097</c:v>
                </c:pt>
                <c:pt idx="7">
                  <c:v>-0.50118757984141005</c:v>
                </c:pt>
                <c:pt idx="8">
                  <c:v>0.71950765242913495</c:v>
                </c:pt>
                <c:pt idx="9">
                  <c:v>1.66229727663164</c:v>
                </c:pt>
                <c:pt idx="10">
                  <c:v>1.6064212743701698</c:v>
                </c:pt>
              </c:numCache>
            </c:numRef>
          </c:val>
          <c:smooth val="0"/>
          <c:extLst xmlns:c16r2="http://schemas.microsoft.com/office/drawing/2015/06/chart">
            <c:ext xmlns:c16="http://schemas.microsoft.com/office/drawing/2014/chart" uri="{C3380CC4-5D6E-409C-BE32-E72D297353CC}">
              <c16:uniqueId val="{00000004-21A5-4BAE-BE34-EE7DCD367D33}"/>
            </c:ext>
          </c:extLst>
        </c:ser>
        <c:dLbls>
          <c:showLegendKey val="0"/>
          <c:showVal val="0"/>
          <c:showCatName val="0"/>
          <c:showSerName val="0"/>
          <c:showPercent val="0"/>
          <c:showBubbleSize val="0"/>
        </c:dLbls>
        <c:marker val="1"/>
        <c:smooth val="0"/>
        <c:axId val="712348032"/>
        <c:axId val="712349568"/>
      </c:lineChart>
      <c:catAx>
        <c:axId val="712348032"/>
        <c:scaling>
          <c:orientation val="minMax"/>
        </c:scaling>
        <c:delete val="0"/>
        <c:axPos val="b"/>
        <c:numFmt formatCode="General" sourceLinked="1"/>
        <c:majorTickMark val="out"/>
        <c:minorTickMark val="none"/>
        <c:tickLblPos val="nextTo"/>
        <c:crossAx val="712349568"/>
        <c:crosses val="autoZero"/>
        <c:auto val="1"/>
        <c:lblAlgn val="ctr"/>
        <c:lblOffset val="100"/>
        <c:noMultiLvlLbl val="0"/>
      </c:catAx>
      <c:valAx>
        <c:axId val="712349568"/>
        <c:scaling>
          <c:orientation val="minMax"/>
        </c:scaling>
        <c:delete val="0"/>
        <c:axPos val="l"/>
        <c:majorGridlines>
          <c:spPr>
            <a:ln w="3175">
              <a:prstDash val="sysDot"/>
            </a:ln>
          </c:spPr>
        </c:majorGridlines>
        <c:numFmt formatCode="#,##0.00" sourceLinked="1"/>
        <c:majorTickMark val="out"/>
        <c:minorTickMark val="none"/>
        <c:tickLblPos val="nextTo"/>
        <c:crossAx val="712348032"/>
        <c:crosses val="autoZero"/>
        <c:crossBetween val="between"/>
      </c:valAx>
    </c:plotArea>
    <c:plotVisOnly val="0"/>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10m'!$A$50</c:f>
          <c:strCache>
            <c:ptCount val="1"/>
            <c:pt idx="0">
              <c:v>Average price per tonne landed (£)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4"/>
              </a:solidFill>
              <a:prstDash val="solid"/>
            </a:ln>
          </c:spPr>
          <c:marker>
            <c:symbol val="none"/>
          </c:marker>
          <c:dPt>
            <c:idx val="9"/>
            <c:bubble3D val="0"/>
            <c:spPr>
              <a:ln w="57150">
                <a:solidFill>
                  <a:schemeClr val="accent4"/>
                </a:solidFill>
                <a:prstDash val="solid"/>
              </a:ln>
            </c:spPr>
            <c:extLst xmlns:c16r2="http://schemas.microsoft.com/office/drawing/2015/06/chart">
              <c:ext xmlns:c16="http://schemas.microsoft.com/office/drawing/2014/chart" uri="{C3380CC4-5D6E-409C-BE32-E72D297353CC}">
                <c16:uniqueId val="{00000001-6F44-41E6-BA99-530894EE2ACE}"/>
              </c:ext>
            </c:extLst>
          </c:dPt>
          <c:dPt>
            <c:idx val="10"/>
            <c:bubble3D val="0"/>
            <c:spPr>
              <a:ln w="57150">
                <a:solidFill>
                  <a:schemeClr val="accent4"/>
                </a:solidFill>
                <a:prstDash val="sysDot"/>
              </a:ln>
            </c:spPr>
            <c:extLst xmlns:c16r2="http://schemas.microsoft.com/office/drawing/2015/06/chart">
              <c:ext xmlns:c16="http://schemas.microsoft.com/office/drawing/2014/chart" uri="{C3380CC4-5D6E-409C-BE32-E72D297353CC}">
                <c16:uniqueId val="{00000003-6F44-41E6-BA99-530894EE2ACE}"/>
              </c:ext>
            </c:extLst>
          </c:dPt>
          <c:cat>
            <c:numRef>
              <c:f>'Low activity under 10m'!$D$2:$N$2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'Low activity under 10m'!$D$20:$N$20</c:f>
              <c:numCache>
                <c:formatCode>#,##0</c:formatCode>
                <c:ptCount val="11"/>
                <c:pt idx="0">
                  <c:v>2549</c:v>
                </c:pt>
                <c:pt idx="1">
                  <c:v>2433</c:v>
                </c:pt>
                <c:pt idx="2">
                  <c:v>2407</c:v>
                </c:pt>
                <c:pt idx="3">
                  <c:v>2640</c:v>
                </c:pt>
                <c:pt idx="4">
                  <c:v>2742</c:v>
                </c:pt>
                <c:pt idx="5">
                  <c:v>2654</c:v>
                </c:pt>
                <c:pt idx="6">
                  <c:v>2365</c:v>
                </c:pt>
                <c:pt idx="7">
                  <c:v>2493</c:v>
                </c:pt>
                <c:pt idx="8">
                  <c:v>2675</c:v>
                </c:pt>
                <c:pt idx="9">
                  <c:v>2960</c:v>
                </c:pt>
                <c:pt idx="10">
                  <c:v>3042</c:v>
                </c:pt>
              </c:numCache>
            </c:numRef>
          </c:val>
          <c:smooth val="0"/>
          <c:extLst xmlns:c16r2="http://schemas.microsoft.com/office/drawing/2015/06/chart">
            <c:ext xmlns:c16="http://schemas.microsoft.com/office/drawing/2014/chart" uri="{C3380CC4-5D6E-409C-BE32-E72D297353CC}">
              <c16:uniqueId val="{00000004-6F44-41E6-BA99-530894EE2ACE}"/>
            </c:ext>
          </c:extLst>
        </c:ser>
        <c:dLbls>
          <c:showLegendKey val="0"/>
          <c:showVal val="0"/>
          <c:showCatName val="0"/>
          <c:showSerName val="0"/>
          <c:showPercent val="0"/>
          <c:showBubbleSize val="0"/>
        </c:dLbls>
        <c:marker val="1"/>
        <c:smooth val="0"/>
        <c:axId val="712392064"/>
        <c:axId val="712393856"/>
      </c:lineChart>
      <c:catAx>
        <c:axId val="712392064"/>
        <c:scaling>
          <c:orientation val="minMax"/>
        </c:scaling>
        <c:delete val="0"/>
        <c:axPos val="b"/>
        <c:numFmt formatCode="General" sourceLinked="1"/>
        <c:majorTickMark val="out"/>
        <c:minorTickMark val="none"/>
        <c:tickLblPos val="nextTo"/>
        <c:crossAx val="712393856"/>
        <c:crosses val="autoZero"/>
        <c:auto val="1"/>
        <c:lblAlgn val="ctr"/>
        <c:lblOffset val="100"/>
        <c:noMultiLvlLbl val="0"/>
      </c:catAx>
      <c:valAx>
        <c:axId val="712393856"/>
        <c:scaling>
          <c:orientation val="minMax"/>
        </c:scaling>
        <c:delete val="0"/>
        <c:axPos val="l"/>
        <c:majorGridlines>
          <c:spPr>
            <a:ln w="3175">
              <a:prstDash val="sysDot"/>
            </a:ln>
          </c:spPr>
        </c:majorGridlines>
        <c:numFmt formatCode="#,##0" sourceLinked="1"/>
        <c:majorTickMark val="out"/>
        <c:minorTickMark val="none"/>
        <c:tickLblPos val="nextTo"/>
        <c:crossAx val="712392064"/>
        <c:crosses val="autoZero"/>
        <c:crossBetween val="between"/>
      </c:valAx>
    </c:plotArea>
    <c:plotVisOnly val="0"/>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activity under 10m'!$K$62</c:f>
          <c:strCache>
            <c:ptCount val="1"/>
            <c:pt idx="0">
              <c:v>Average annual operating profit per vessel (£'000)
Low activity under 10m</c:v>
            </c:pt>
          </c:strCache>
        </c:strRef>
      </c:tx>
      <c:overlay val="0"/>
      <c:txPr>
        <a:bodyPr/>
        <a:lstStyle/>
        <a:p>
          <a:pPr>
            <a:defRPr sz="1200"/>
          </a:pPr>
          <a:endParaRPr lang="en-US"/>
        </a:p>
      </c:txPr>
    </c:title>
    <c:autoTitleDeleted val="0"/>
    <c:plotArea>
      <c:layout/>
      <c:lineChart>
        <c:grouping val="standard"/>
        <c:varyColors val="0"/>
        <c:ser>
          <c:idx val="0"/>
          <c:order val="0"/>
          <c:spPr>
            <a:ln w="57150">
              <a:solidFill>
                <a:schemeClr val="accent5"/>
              </a:solidFill>
              <a:prstDash val="solid"/>
            </a:ln>
          </c:spPr>
          <c:marker>
            <c:symbol val="none"/>
          </c:marker>
          <c:dPt>
            <c:idx val="9"/>
            <c:bubble3D val="0"/>
            <c:spPr>
              <a:ln w="57150">
                <a:solidFill>
                  <a:schemeClr val="accent5"/>
                </a:solidFill>
                <a:prstDash val="solid"/>
              </a:ln>
            </c:spPr>
            <c:extLst xmlns:c16r2="http://schemas.microsoft.com/office/drawing/2015/06/chart">
              <c:ext xmlns:c16="http://schemas.microsoft.com/office/drawing/2014/chart" uri="{C3380CC4-5D6E-409C-BE32-E72D297353CC}">
                <c16:uniqueId val="{00000001-E731-470B-843C-F8556520FC0B}"/>
              </c:ext>
            </c:extLst>
          </c:dPt>
          <c:dPt>
            <c:idx val="10"/>
            <c:bubble3D val="0"/>
            <c:spPr>
              <a:ln w="57150">
                <a:solidFill>
                  <a:schemeClr val="accent5"/>
                </a:solidFill>
                <a:prstDash val="sysDot"/>
              </a:ln>
            </c:spPr>
            <c:extLst xmlns:c16r2="http://schemas.microsoft.com/office/drawing/2015/06/chart">
              <c:ext xmlns:c16="http://schemas.microsoft.com/office/drawing/2014/chart" uri="{C3380CC4-5D6E-409C-BE32-E72D297353CC}">
                <c16:uniqueId val="{00000003-E731-470B-843C-F8556520FC0B}"/>
              </c:ext>
            </c:extLst>
          </c:dPt>
          <c:cat>
            <c:numRef>
              <c:f>'Low activity under 10m'!$D$2:$N$2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'Low activity under 10m'!$D$37:$N$37</c:f>
              <c:numCache>
                <c:formatCode>#,##0.0</c:formatCode>
                <c:ptCount val="11"/>
                <c:pt idx="0">
                  <c:v>1.2</c:v>
                </c:pt>
                <c:pt idx="1">
                  <c:v>1.2</c:v>
                </c:pt>
                <c:pt idx="2">
                  <c:v>0.3</c:v>
                </c:pt>
                <c:pt idx="3">
                  <c:v>0.7</c:v>
                </c:pt>
                <c:pt idx="4">
                  <c:v>0.8</c:v>
                </c:pt>
                <c:pt idx="5">
                  <c:v>2.8000000000000001E-2</c:v>
                </c:pt>
                <c:pt idx="6">
                  <c:v>0.7</c:v>
                </c:pt>
                <c:pt idx="7">
                  <c:v>-0.5</c:v>
                </c:pt>
                <c:pt idx="8">
                  <c:v>0.6</c:v>
                </c:pt>
                <c:pt idx="9">
                  <c:v>1.1000000000000001</c:v>
                </c:pt>
                <c:pt idx="10">
                  <c:v>1.1000000000000001</c:v>
                </c:pt>
              </c:numCache>
            </c:numRef>
          </c:val>
          <c:smooth val="0"/>
          <c:extLst xmlns:c16r2="http://schemas.microsoft.com/office/drawing/2015/06/chart">
            <c:ext xmlns:c16="http://schemas.microsoft.com/office/drawing/2014/chart" uri="{C3380CC4-5D6E-409C-BE32-E72D297353CC}">
              <c16:uniqueId val="{00000004-E731-470B-843C-F8556520FC0B}"/>
            </c:ext>
          </c:extLst>
        </c:ser>
        <c:dLbls>
          <c:showLegendKey val="0"/>
          <c:showVal val="0"/>
          <c:showCatName val="0"/>
          <c:showSerName val="0"/>
          <c:showPercent val="0"/>
          <c:showBubbleSize val="0"/>
        </c:dLbls>
        <c:marker val="1"/>
        <c:smooth val="0"/>
        <c:axId val="712428160"/>
        <c:axId val="712429952"/>
      </c:lineChart>
      <c:catAx>
        <c:axId val="712428160"/>
        <c:scaling>
          <c:orientation val="minMax"/>
        </c:scaling>
        <c:delete val="0"/>
        <c:axPos val="b"/>
        <c:numFmt formatCode="General" sourceLinked="1"/>
        <c:majorTickMark val="out"/>
        <c:minorTickMark val="none"/>
        <c:tickLblPos val="nextTo"/>
        <c:crossAx val="712429952"/>
        <c:crosses val="autoZero"/>
        <c:auto val="1"/>
        <c:lblAlgn val="ctr"/>
        <c:lblOffset val="100"/>
        <c:noMultiLvlLbl val="0"/>
      </c:catAx>
      <c:valAx>
        <c:axId val="712429952"/>
        <c:scaling>
          <c:orientation val="minMax"/>
        </c:scaling>
        <c:delete val="0"/>
        <c:axPos val="l"/>
        <c:majorGridlines>
          <c:spPr>
            <a:ln w="3175">
              <a:prstDash val="sysDot"/>
            </a:ln>
          </c:spPr>
        </c:majorGridlines>
        <c:numFmt formatCode="#,##0.0" sourceLinked="1"/>
        <c:majorTickMark val="out"/>
        <c:minorTickMark val="none"/>
        <c:tickLblPos val="nextTo"/>
        <c:crossAx val="712428160"/>
        <c:crosses val="autoZero"/>
        <c:crossBetween val="between"/>
      </c:valAx>
    </c:plotArea>
    <c:plotVisOnly val="0"/>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under 10m'!$A$76</c:f>
          <c:strCache>
            <c:ptCount val="1"/>
            <c:pt idx="0">
              <c:v>Top 5 landed species by volume in 2017
Low activity under 10m</c:v>
            </c:pt>
          </c:strCache>
        </c:strRef>
      </c:tx>
      <c:layout>
        <c:manualLayout>
          <c:xMode val="edge"/>
          <c:yMode val="edge"/>
          <c:x val="2.66033496732026E-2"/>
          <c:y val="3.8585069444444398E-2"/>
        </c:manualLayout>
      </c:layout>
      <c:overlay val="0"/>
      <c:txPr>
        <a:bodyPr anchor="ctr" anchorCtr="1"/>
        <a:lstStyle/>
        <a:p>
          <a:pPr algn="l">
            <a:defRPr sz="1200"/>
          </a:pPr>
          <a:endParaRPr lang="en-US"/>
        </a:p>
      </c:txPr>
    </c:title>
    <c:autoTitleDeleted val="0"/>
    <c:plotArea>
      <c:layout>
        <c:manualLayout>
          <c:layoutTarget val="inner"/>
          <c:xMode val="edge"/>
          <c:yMode val="edge"/>
          <c:x val="0.53342854531704298"/>
          <c:y val="0.158156274980016"/>
          <c:w val="0.43738562091503302"/>
          <c:h val="0.92944444444444396"/>
        </c:manualLayout>
      </c:layout>
      <c:pieChart>
        <c:varyColors val="1"/>
        <c:ser>
          <c:idx val="0"/>
          <c:order val="0"/>
          <c:dPt>
            <c:idx val="0"/>
            <c:bubble3D val="0"/>
            <c:spPr>
              <a:solidFill>
                <a:srgbClr val="648C2E"/>
              </a:solidFill>
              <a:ln>
                <a:solidFill>
                  <a:srgbClr val="FFFFFF"/>
                </a:solidFill>
              </a:ln>
            </c:spPr>
            <c:extLst xmlns:c16r2="http://schemas.microsoft.com/office/drawing/2015/06/chart">
              <c:ext xmlns:c16="http://schemas.microsoft.com/office/drawing/2014/chart" uri="{C3380CC4-5D6E-409C-BE32-E72D297353CC}">
                <c16:uniqueId val="{00000001-6EB5-4061-A35B-3A6C017F5252}"/>
              </c:ext>
            </c:extLst>
          </c:dPt>
          <c:dPt>
            <c:idx val="1"/>
            <c:bubble3D val="0"/>
            <c:spPr>
              <a:solidFill>
                <a:srgbClr val="C1D119"/>
              </a:solidFill>
              <a:ln>
                <a:solidFill>
                  <a:srgbClr val="FFFFFF"/>
                </a:solidFill>
              </a:ln>
            </c:spPr>
            <c:extLst xmlns:c16r2="http://schemas.microsoft.com/office/drawing/2015/06/chart">
              <c:ext xmlns:c16="http://schemas.microsoft.com/office/drawing/2014/chart" uri="{C3380CC4-5D6E-409C-BE32-E72D297353CC}">
                <c16:uniqueId val="{00000003-6EB5-4061-A35B-3A6C017F5252}"/>
              </c:ext>
            </c:extLst>
          </c:dPt>
          <c:dPt>
            <c:idx val="2"/>
            <c:bubble3D val="0"/>
            <c:spPr>
              <a:solidFill>
                <a:srgbClr val="2273B9"/>
              </a:solidFill>
              <a:ln>
                <a:solidFill>
                  <a:srgbClr val="FFFFFF"/>
                </a:solidFill>
              </a:ln>
            </c:spPr>
          </c:dPt>
          <c:dPt>
            <c:idx val="3"/>
            <c:bubble3D val="0"/>
            <c:spPr>
              <a:solidFill>
                <a:srgbClr val="0F9AA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'Low activity under 10m'!$B$77:$B$82</c:f>
              <c:strCache>
                <c:ptCount val="6"/>
                <c:pt idx="0">
                  <c:v>Mackerel - 21.0%</c:v>
                </c:pt>
                <c:pt idx="1">
                  <c:v>Brown Crab - 12.5%</c:v>
                </c:pt>
                <c:pt idx="2">
                  <c:v>Lobsters - 7.5%</c:v>
                </c:pt>
                <c:pt idx="3">
                  <c:v>Whelks - 6.7%</c:v>
                </c:pt>
                <c:pt idx="4">
                  <c:v>Velvet Crab - 5.9%</c:v>
                </c:pt>
                <c:pt idx="5">
                  <c:v>Others - 46.5%</c:v>
                </c:pt>
              </c:strCache>
            </c:strRef>
          </c:cat>
          <c:val>
            <c:numRef>
              <c:f>'Low activity under 10m'!$C$77:$C$82</c:f>
              <c:numCache>
                <c:formatCode>0.0%</c:formatCode>
                <c:ptCount val="6"/>
                <c:pt idx="0">
                  <c:v>0.20980717084261405</c:v>
                </c:pt>
                <c:pt idx="1">
                  <c:v>0.12524402801022372</c:v>
                </c:pt>
                <c:pt idx="2">
                  <c:v>7.4524607765572765E-2</c:v>
                </c:pt>
                <c:pt idx="3">
                  <c:v>6.6506160489906554E-2</c:v>
                </c:pt>
                <c:pt idx="4">
                  <c:v>5.8964199192247893E-2</c:v>
                </c:pt>
                <c:pt idx="5">
                  <c:v>0.46495383369943499</c:v>
                </c:pt>
              </c:numCache>
            </c:numRef>
          </c:val>
          <c:extLst xmlns:c16r2="http://schemas.microsoft.com/office/drawing/2015/06/chart">
            <c:ext xmlns:c16="http://schemas.microsoft.com/office/drawing/2014/chart" uri="{C3380CC4-5D6E-409C-BE32-E72D297353CC}">
              <c16:uniqueId val="{00000004-6EB5-4061-A35B-3A6C017F5252}"/>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printSettings>
    <c:headerFooter/>
    <c:pageMargins b="1" l="0.75" r="0.7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'Low activity under 10m'!$F$76</c:f>
          <c:strCache>
            <c:ptCount val="1"/>
            <c:pt idx="0">
              <c:v>Top 5 landed species by value in 2017
Low activity under 10m</c:v>
            </c:pt>
          </c:strCache>
        </c:strRef>
      </c:tx>
      <c:layout>
        <c:manualLayout>
          <c:xMode val="edge"/>
          <c:yMode val="edge"/>
          <c:x val="2.4009395424836599E-2"/>
          <c:y val="3.8585069444444398E-2"/>
        </c:manualLayout>
      </c:layout>
      <c:overlay val="0"/>
      <c:txPr>
        <a:bodyPr/>
        <a:lstStyle/>
        <a:p>
          <a:pPr algn="l">
            <a:defRPr sz="1200"/>
          </a:pPr>
          <a:endParaRPr lang="en-US"/>
        </a:p>
      </c:txPr>
    </c:title>
    <c:autoTitleDeleted val="0"/>
    <c:plotArea>
      <c:layout>
        <c:manualLayout>
          <c:layoutTarget val="inner"/>
          <c:xMode val="edge"/>
          <c:yMode val="edge"/>
          <c:x val="0.53088681070622401"/>
          <c:y val="0.16406115107913699"/>
          <c:w val="0.43479166666666702"/>
          <c:h val="0.92393229166666702"/>
        </c:manualLayout>
      </c:layout>
      <c:pieChart>
        <c:varyColors val="1"/>
        <c:ser>
          <c:idx val="0"/>
          <c:order val="0"/>
          <c:dPt>
            <c:idx val="0"/>
            <c:bubble3D val="0"/>
            <c:spPr>
              <a:solidFill>
                <a:srgbClr val="2273B9"/>
              </a:solidFill>
              <a:ln>
                <a:solidFill>
                  <a:srgbClr val="FFFFFF"/>
                </a:solidFill>
              </a:ln>
            </c:spPr>
          </c:dPt>
          <c:dPt>
            <c:idx val="1"/>
            <c:bubble3D val="0"/>
            <c:spPr>
              <a:solidFill>
                <a:srgbClr val="E87308"/>
              </a:solidFill>
              <a:ln>
                <a:solidFill>
                  <a:srgbClr val="FFFFFF"/>
                </a:solidFill>
              </a:ln>
            </c:spPr>
          </c:dPt>
          <c:dPt>
            <c:idx val="2"/>
            <c:bubble3D val="0"/>
            <c:spPr>
              <a:solidFill>
                <a:srgbClr val="648C2E"/>
              </a:solidFill>
              <a:ln>
                <a:solidFill>
                  <a:srgbClr val="FFFFFF"/>
                </a:solidFill>
              </a:ln>
            </c:spPr>
          </c:dPt>
          <c:dPt>
            <c:idx val="3"/>
            <c:bubble3D val="0"/>
            <c:spPr>
              <a:solidFill>
                <a:srgbClr val="C1D119"/>
              </a:solidFill>
              <a:ln>
                <a:solidFill>
                  <a:srgbClr val="FFFFFF"/>
                </a:solidFill>
              </a:ln>
            </c:spPr>
          </c:dPt>
          <c:dPt>
            <c:idx val="4"/>
            <c:bubble3D val="0"/>
            <c:spPr>
              <a:solidFill>
                <a:srgbClr val="E84A38"/>
              </a:solidFill>
              <a:ln>
                <a:solidFill>
                  <a:srgbClr val="FFFFFF"/>
                </a:solidFill>
              </a:ln>
            </c:spPr>
          </c:dPt>
          <c:dPt>
            <c:idx val="5"/>
            <c:bubble3D val="0"/>
            <c:spPr>
              <a:solidFill>
                <a:srgbClr val="55585A"/>
              </a:solidFill>
              <a:ln>
                <a:solidFill>
                  <a:srgbClr val="FFFFFF"/>
                </a:solidFill>
              </a:ln>
            </c:spPr>
          </c:dPt>
          <c:cat>
            <c:strRef>
              <c:f>'Low activity under 10m'!$G$77:$G$82</c:f>
              <c:strCache>
                <c:ptCount val="6"/>
                <c:pt idx="0">
                  <c:v>Lobsters - 32.0%</c:v>
                </c:pt>
                <c:pt idx="1">
                  <c:v>Bass - 13.3%</c:v>
                </c:pt>
                <c:pt idx="2">
                  <c:v>Mackerel - 9.8%</c:v>
                </c:pt>
                <c:pt idx="3">
                  <c:v>Brown Crab - 6.0%</c:v>
                </c:pt>
                <c:pt idx="4">
                  <c:v>Velvet Crab - 5.5%</c:v>
                </c:pt>
                <c:pt idx="5">
                  <c:v>Others - 33.4%</c:v>
                </c:pt>
              </c:strCache>
            </c:strRef>
          </c:cat>
          <c:val>
            <c:numRef>
              <c:f>'Low activity under 10m'!$H$77:$H$82</c:f>
              <c:numCache>
                <c:formatCode>0.0%</c:formatCode>
                <c:ptCount val="6"/>
                <c:pt idx="0">
                  <c:v>0.31954819720092575</c:v>
                </c:pt>
                <c:pt idx="1">
                  <c:v>0.13342767165440123</c:v>
                </c:pt>
                <c:pt idx="2">
                  <c:v>9.7850010281811742E-2</c:v>
                </c:pt>
                <c:pt idx="3">
                  <c:v>6.0314581204585341E-2</c:v>
                </c:pt>
                <c:pt idx="4">
                  <c:v>5.5236434977231255E-2</c:v>
                </c:pt>
                <c:pt idx="5">
                  <c:v>0.33362310468104461</c:v>
                </c:pt>
              </c:numCache>
            </c:numRef>
          </c:val>
          <c:extLst xmlns:c16r2="http://schemas.microsoft.com/office/drawing/2015/06/chart">
            <c:ext xmlns:c16="http://schemas.microsoft.com/office/drawing/2014/chart" uri="{C3380CC4-5D6E-409C-BE32-E72D297353CC}">
              <c16:uniqueId val="{00000000-B764-422A-BE93-47D30FB06958}"/>
            </c:ext>
          </c:extLst>
        </c:ser>
        <c:dLbls>
          <c:showLegendKey val="0"/>
          <c:showVal val="0"/>
          <c:showCatName val="0"/>
          <c:showSerName val="0"/>
          <c:showPercent val="0"/>
          <c:showBubbleSize val="0"/>
          <c:showLeaderLines val="1"/>
        </c:dLbls>
        <c:firstSliceAng val="0"/>
      </c:pieChart>
    </c:plotArea>
    <c:legend>
      <c:legendPos val="l"/>
      <c:overlay val="0"/>
    </c:legend>
    <c:plotVisOnly val="1"/>
    <c:dispBlanksAs val="gap"/>
    <c:showDLblsOverMax val="0"/>
  </c:chart>
  <c:spPr>
    <a:solidFill>
      <a:schemeClr val="bg1"/>
    </a:solidFill>
  </c:spPr>
  <c:printSettings>
    <c:headerFooter/>
    <c:pageMargins b="1" l="0.75" r="0.75"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fr-FR" sz="1200" b="1" i="0" u="none" strike="noStrike" baseline="0">
                <a:effectLst/>
              </a:rPr>
              <a:t>Top 5 landed species by value 2009-2018 </a:t>
            </a:r>
            <a:endParaRPr lang="en-US" sz="1200"/>
          </a:p>
        </c:rich>
      </c:tx>
      <c:layout>
        <c:manualLayout>
          <c:xMode val="edge"/>
          <c:yMode val="edge"/>
          <c:x val="0.101929429986077"/>
          <c:y val="5.0759303725170903E-3"/>
        </c:manualLayout>
      </c:layout>
      <c:overlay val="0"/>
    </c:title>
    <c:autoTitleDeleted val="0"/>
    <c:plotArea>
      <c:layout>
        <c:manualLayout>
          <c:layoutTarget val="inner"/>
          <c:xMode val="edge"/>
          <c:yMode val="edge"/>
          <c:x val="9.9131183650887605E-2"/>
          <c:y val="0.10344791071875099"/>
          <c:w val="0.67046345695431897"/>
          <c:h val="0.76544937528051105"/>
        </c:manualLayout>
      </c:layout>
      <c:barChart>
        <c:barDir val="col"/>
        <c:grouping val="stacked"/>
        <c:varyColors val="0"/>
        <c:ser>
          <c:idx val="0"/>
          <c:order val="0"/>
          <c:tx>
            <c:strRef>
              <c:f>'Low activity under 10m'!$C$92</c:f>
              <c:strCache>
                <c:ptCount val="1"/>
                <c:pt idx="0">
                  <c:v>Lobsters</c:v>
                </c:pt>
              </c:strCache>
            </c:strRef>
          </c:tx>
          <c:spPr>
            <a:solidFill>
              <a:srgbClr val="2273B9"/>
            </a:solidFill>
            <a:ln>
              <a:solidFill>
                <a:srgbClr val="FFFFFF"/>
              </a:solidFill>
            </a:ln>
          </c:spPr>
          <c:invertIfNegative val="0"/>
          <c:cat>
            <c:numRef>
              <c:f>'Low activity under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under 10m'!$D$92:$M$92</c:f>
              <c:numCache>
                <c:formatCode>0%</c:formatCode>
                <c:ptCount val="10"/>
                <c:pt idx="0">
                  <c:v>0.29862858495251698</c:v>
                </c:pt>
                <c:pt idx="1">
                  <c:v>0.29924687184294307</c:v>
                </c:pt>
                <c:pt idx="2">
                  <c:v>0.29911999319149057</c:v>
                </c:pt>
                <c:pt idx="3">
                  <c:v>0.29392680593150605</c:v>
                </c:pt>
                <c:pt idx="4">
                  <c:v>0.29127752498544085</c:v>
                </c:pt>
                <c:pt idx="5">
                  <c:v>0.32215767914698457</c:v>
                </c:pt>
                <c:pt idx="6">
                  <c:v>0.31567737278454844</c:v>
                </c:pt>
                <c:pt idx="7">
                  <c:v>0.32309955935616591</c:v>
                </c:pt>
                <c:pt idx="8">
                  <c:v>0.31954819720092575</c:v>
                </c:pt>
                <c:pt idx="9">
                  <c:v>0.30914958878554122</c:v>
                </c:pt>
              </c:numCache>
            </c:numRef>
          </c:val>
          <c:extLst xmlns:c16r2="http://schemas.microsoft.com/office/drawing/2015/06/chart">
            <c:ext xmlns:c16="http://schemas.microsoft.com/office/drawing/2014/chart" uri="{C3380CC4-5D6E-409C-BE32-E72D297353CC}">
              <c16:uniqueId val="{00000000-282A-42F3-A8CE-7B6B063B5E4F}"/>
            </c:ext>
          </c:extLst>
        </c:ser>
        <c:ser>
          <c:idx val="1"/>
          <c:order val="1"/>
          <c:tx>
            <c:strRef>
              <c:f>'Low activity under 10m'!$C$93</c:f>
              <c:strCache>
                <c:ptCount val="1"/>
                <c:pt idx="0">
                  <c:v>Bass</c:v>
                </c:pt>
              </c:strCache>
            </c:strRef>
          </c:tx>
          <c:spPr>
            <a:solidFill>
              <a:srgbClr val="E87308"/>
            </a:solidFill>
            <a:ln>
              <a:solidFill>
                <a:srgbClr val="FFFFFF"/>
              </a:solidFill>
            </a:ln>
          </c:spPr>
          <c:invertIfNegative val="0"/>
          <c:cat>
            <c:numRef>
              <c:f>'Low activity under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under 10m'!$D$93:$M$93</c:f>
              <c:numCache>
                <c:formatCode>0%</c:formatCode>
                <c:ptCount val="10"/>
                <c:pt idx="0">
                  <c:v>0.11011282863373986</c:v>
                </c:pt>
                <c:pt idx="1">
                  <c:v>0.10823814745811657</c:v>
                </c:pt>
                <c:pt idx="2">
                  <c:v>0.11124423726332729</c:v>
                </c:pt>
                <c:pt idx="3">
                  <c:v>0.12724226594686294</c:v>
                </c:pt>
                <c:pt idx="4">
                  <c:v>0.13347699340446478</c:v>
                </c:pt>
                <c:pt idx="5">
                  <c:v>0.14574882516785168</c:v>
                </c:pt>
                <c:pt idx="6">
                  <c:v>0.11662315773244283</c:v>
                </c:pt>
                <c:pt idx="7">
                  <c:v>0.11982789633250505</c:v>
                </c:pt>
                <c:pt idx="8">
                  <c:v>0.13342767165440123</c:v>
                </c:pt>
                <c:pt idx="9">
                  <c:v>0.13385500410324802</c:v>
                </c:pt>
              </c:numCache>
            </c:numRef>
          </c:val>
          <c:extLst xmlns:c16r2="http://schemas.microsoft.com/office/drawing/2015/06/chart">
            <c:ext xmlns:c16="http://schemas.microsoft.com/office/drawing/2014/chart" uri="{C3380CC4-5D6E-409C-BE32-E72D297353CC}">
              <c16:uniqueId val="{00000001-282A-42F3-A8CE-7B6B063B5E4F}"/>
            </c:ext>
          </c:extLst>
        </c:ser>
        <c:ser>
          <c:idx val="2"/>
          <c:order val="2"/>
          <c:tx>
            <c:strRef>
              <c:f>'Low activity under 10m'!$C$94</c:f>
              <c:strCache>
                <c:ptCount val="1"/>
                <c:pt idx="0">
                  <c:v>Mackerel</c:v>
                </c:pt>
              </c:strCache>
            </c:strRef>
          </c:tx>
          <c:spPr>
            <a:solidFill>
              <a:srgbClr val="648C2E"/>
            </a:solidFill>
            <a:ln>
              <a:solidFill>
                <a:srgbClr val="FFFFFF"/>
              </a:solidFill>
            </a:ln>
          </c:spPr>
          <c:invertIfNegative val="0"/>
          <c:cat>
            <c:numRef>
              <c:f>'Low activity under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under 10m'!$D$94:$M$94</c:f>
              <c:numCache>
                <c:formatCode>0%</c:formatCode>
                <c:ptCount val="10"/>
                <c:pt idx="0">
                  <c:v>8.3858441000791997E-2</c:v>
                </c:pt>
                <c:pt idx="1">
                  <c:v>9.3610285472163018E-2</c:v>
                </c:pt>
                <c:pt idx="2">
                  <c:v>0.10968145199818091</c:v>
                </c:pt>
                <c:pt idx="3">
                  <c:v>9.8031245394875538E-2</c:v>
                </c:pt>
                <c:pt idx="4">
                  <c:v>9.1279294561127197E-2</c:v>
                </c:pt>
                <c:pt idx="5">
                  <c:v>8.0525123841482499E-2</c:v>
                </c:pt>
                <c:pt idx="6">
                  <c:v>0.11715140875504879</c:v>
                </c:pt>
                <c:pt idx="7">
                  <c:v>9.9322156655858224E-2</c:v>
                </c:pt>
                <c:pt idx="8">
                  <c:v>9.7850010281811742E-2</c:v>
                </c:pt>
                <c:pt idx="9">
                  <c:v>0.1150057761794708</c:v>
                </c:pt>
              </c:numCache>
            </c:numRef>
          </c:val>
          <c:extLst xmlns:c16r2="http://schemas.microsoft.com/office/drawing/2015/06/chart">
            <c:ext xmlns:c16="http://schemas.microsoft.com/office/drawing/2014/chart" uri="{C3380CC4-5D6E-409C-BE32-E72D297353CC}">
              <c16:uniqueId val="{00000002-282A-42F3-A8CE-7B6B063B5E4F}"/>
            </c:ext>
          </c:extLst>
        </c:ser>
        <c:ser>
          <c:idx val="3"/>
          <c:order val="3"/>
          <c:tx>
            <c:strRef>
              <c:f>'Low activity under 10m'!$C$95</c:f>
              <c:strCache>
                <c:ptCount val="1"/>
                <c:pt idx="0">
                  <c:v>Brown Crab</c:v>
                </c:pt>
              </c:strCache>
            </c:strRef>
          </c:tx>
          <c:spPr>
            <a:solidFill>
              <a:srgbClr val="C1D119"/>
            </a:solidFill>
            <a:ln>
              <a:solidFill>
                <a:srgbClr val="FFFFFF"/>
              </a:solidFill>
            </a:ln>
          </c:spPr>
          <c:invertIfNegative val="0"/>
          <c:cat>
            <c:numRef>
              <c:f>'Low activity under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under 10m'!$D$95:$M$95</c:f>
              <c:numCache>
                <c:formatCode>0%</c:formatCode>
                <c:ptCount val="10"/>
                <c:pt idx="3">
                  <c:v>6.3755265486086093E-2</c:v>
                </c:pt>
                <c:pt idx="4">
                  <c:v>8.3041639292683544E-2</c:v>
                </c:pt>
                <c:pt idx="5">
                  <c:v>6.9446674041986303E-2</c:v>
                </c:pt>
                <c:pt idx="6">
                  <c:v>6.8097806916110101E-2</c:v>
                </c:pt>
                <c:pt idx="8">
                  <c:v>6.0314581204585341E-2</c:v>
                </c:pt>
                <c:pt idx="9">
                  <c:v>7.1756502944387596E-2</c:v>
                </c:pt>
              </c:numCache>
            </c:numRef>
          </c:val>
          <c:extLst xmlns:c16r2="http://schemas.microsoft.com/office/drawing/2015/06/chart">
            <c:ext xmlns:c16="http://schemas.microsoft.com/office/drawing/2014/chart" uri="{C3380CC4-5D6E-409C-BE32-E72D297353CC}">
              <c16:uniqueId val="{00000003-282A-42F3-A8CE-7B6B063B5E4F}"/>
            </c:ext>
          </c:extLst>
        </c:ser>
        <c:ser>
          <c:idx val="4"/>
          <c:order val="4"/>
          <c:tx>
            <c:strRef>
              <c:f>'Low activity under 10m'!$C$96</c:f>
              <c:strCache>
                <c:ptCount val="1"/>
                <c:pt idx="0">
                  <c:v>Velvet Crab</c:v>
                </c:pt>
              </c:strCache>
            </c:strRef>
          </c:tx>
          <c:spPr>
            <a:solidFill>
              <a:srgbClr val="E84A38"/>
            </a:solidFill>
            <a:ln>
              <a:solidFill>
                <a:srgbClr val="FFFFFF"/>
              </a:solidFill>
            </a:ln>
          </c:spPr>
          <c:invertIfNegative val="0"/>
          <c:cat>
            <c:numRef>
              <c:f>'Low activity under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under 10m'!$D$96:$M$96</c:f>
              <c:numCache>
                <c:formatCode>0%</c:formatCode>
                <c:ptCount val="10"/>
                <c:pt idx="0">
                  <c:v>7.5347226111367668E-2</c:v>
                </c:pt>
                <c:pt idx="1">
                  <c:v>7.5577704869660492E-2</c:v>
                </c:pt>
                <c:pt idx="2">
                  <c:v>7.8633133640841735E-2</c:v>
                </c:pt>
                <c:pt idx="4">
                  <c:v>6.7225685414182779E-2</c:v>
                </c:pt>
                <c:pt idx="5">
                  <c:v>6.1977925029117517E-2</c:v>
                </c:pt>
                <c:pt idx="7">
                  <c:v>6.4357668370903898E-2</c:v>
                </c:pt>
                <c:pt idx="8">
                  <c:v>5.5236434977231255E-2</c:v>
                </c:pt>
                <c:pt idx="9">
                  <c:v>5.2228429187033451E-2</c:v>
                </c:pt>
              </c:numCache>
            </c:numRef>
          </c:val>
          <c:extLst xmlns:c16r2="http://schemas.microsoft.com/office/drawing/2015/06/chart">
            <c:ext xmlns:c16="http://schemas.microsoft.com/office/drawing/2014/chart" uri="{C3380CC4-5D6E-409C-BE32-E72D297353CC}">
              <c16:uniqueId val="{00000004-282A-42F3-A8CE-7B6B063B5E4F}"/>
            </c:ext>
          </c:extLst>
        </c:ser>
        <c:ser>
          <c:idx val="5"/>
          <c:order val="5"/>
          <c:tx>
            <c:strRef>
              <c:f>'Low activity under 10m'!$C$97</c:f>
              <c:strCache>
                <c:ptCount val="1"/>
                <c:pt idx="0">
                  <c:v>Sole</c:v>
                </c:pt>
              </c:strCache>
            </c:strRef>
          </c:tx>
          <c:spPr>
            <a:solidFill>
              <a:srgbClr val="0F9AA9"/>
            </a:solidFill>
            <a:ln>
              <a:solidFill>
                <a:srgbClr val="FFFFFF"/>
              </a:solidFill>
            </a:ln>
          </c:spPr>
          <c:invertIfNegative val="0"/>
          <c:cat>
            <c:numRef>
              <c:f>'Low activity under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under 10m'!$D$97:$M$97</c:f>
              <c:numCache>
                <c:formatCode>0%</c:formatCode>
                <c:ptCount val="10"/>
                <c:pt idx="0">
                  <c:v>6.7075074320322489E-2</c:v>
                </c:pt>
                <c:pt idx="1">
                  <c:v>7.007415907023859E-2</c:v>
                </c:pt>
                <c:pt idx="2">
                  <c:v>6.8594209877873236E-2</c:v>
                </c:pt>
                <c:pt idx="3">
                  <c:v>6.4012287617829497E-2</c:v>
                </c:pt>
                <c:pt idx="6">
                  <c:v>5.9667124532497964E-2</c:v>
                </c:pt>
                <c:pt idx="7">
                  <c:v>6.0117600138896853E-2</c:v>
                </c:pt>
              </c:numCache>
            </c:numRef>
          </c:val>
          <c:extLst xmlns:c16r2="http://schemas.microsoft.com/office/drawing/2015/06/chart">
            <c:ext xmlns:c16="http://schemas.microsoft.com/office/drawing/2014/chart" uri="{C3380CC4-5D6E-409C-BE32-E72D297353CC}">
              <c16:uniqueId val="{00000005-282A-42F3-A8CE-7B6B063B5E4F}"/>
            </c:ext>
          </c:extLst>
        </c:ser>
        <c:ser>
          <c:idx val="6"/>
          <c:order val="6"/>
          <c:tx>
            <c:strRef>
              <c:f>'Low activity under 10m'!$C$98</c:f>
              <c:strCache>
                <c:ptCount val="1"/>
                <c:pt idx="0">
                  <c:v>Others</c:v>
                </c:pt>
              </c:strCache>
            </c:strRef>
          </c:tx>
          <c:spPr>
            <a:solidFill>
              <a:srgbClr val="55585A"/>
            </a:solidFill>
            <a:ln>
              <a:solidFill>
                <a:srgbClr val="FFFFFF"/>
              </a:solidFill>
            </a:ln>
          </c:spPr>
          <c:invertIfNegative val="0"/>
          <c:cat>
            <c:numRef>
              <c:f>'Low activity under 10m'!$D$91:$M$91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'Low activity under 10m'!$D$98:$M$98</c:f>
              <c:numCache>
                <c:formatCode>0%</c:formatCode>
                <c:ptCount val="10"/>
                <c:pt idx="0">
                  <c:v>0.36497784498126101</c:v>
                </c:pt>
                <c:pt idx="1">
                  <c:v>0.35325283128687823</c:v>
                </c:pt>
                <c:pt idx="2">
                  <c:v>0.33272697402828627</c:v>
                </c:pt>
                <c:pt idx="3">
                  <c:v>0.35303212962283986</c:v>
                </c:pt>
                <c:pt idx="4">
                  <c:v>0.33369886234210083</c:v>
                </c:pt>
                <c:pt idx="5">
                  <c:v>0.32014377277257744</c:v>
                </c:pt>
                <c:pt idx="6">
                  <c:v>0.32278312927935188</c:v>
                </c:pt>
                <c:pt idx="7">
                  <c:v>0.33327511914567004</c:v>
                </c:pt>
                <c:pt idx="8">
                  <c:v>0.33362310468104467</c:v>
                </c:pt>
                <c:pt idx="9">
                  <c:v>0.3180046988003189</c:v>
                </c:pt>
              </c:numCache>
            </c:numRef>
          </c:val>
          <c:extLst xmlns:c16r2="http://schemas.microsoft.com/office/drawing/2015/06/chart">
            <c:ext xmlns:c16="http://schemas.microsoft.com/office/drawing/2014/chart" uri="{C3380CC4-5D6E-409C-BE32-E72D297353CC}">
              <c16:uniqueId val="{00000006-282A-42F3-A8CE-7B6B063B5E4F}"/>
            </c:ext>
          </c:extLst>
        </c:ser>
        <c:dLbls>
          <c:showLegendKey val="0"/>
          <c:showVal val="0"/>
          <c:showCatName val="0"/>
          <c:showSerName val="0"/>
          <c:showPercent val="0"/>
          <c:showBubbleSize val="0"/>
        </c:dLbls>
        <c:gapWidth val="150"/>
        <c:overlap val="100"/>
        <c:axId val="712485504"/>
        <c:axId val="712495488"/>
      </c:barChart>
      <c:catAx>
        <c:axId val="712485504"/>
        <c:scaling>
          <c:orientation val="minMax"/>
        </c:scaling>
        <c:delete val="0"/>
        <c:axPos val="b"/>
        <c:numFmt formatCode="General" sourceLinked="1"/>
        <c:majorTickMark val="out"/>
        <c:minorTickMark val="none"/>
        <c:tickLblPos val="nextTo"/>
        <c:crossAx val="712495488"/>
        <c:crosses val="autoZero"/>
        <c:auto val="1"/>
        <c:lblAlgn val="ctr"/>
        <c:lblOffset val="100"/>
        <c:noMultiLvlLbl val="0"/>
      </c:catAx>
      <c:valAx>
        <c:axId val="712495488"/>
        <c:scaling>
          <c:orientation val="minMax"/>
          <c:max val="1"/>
          <c:min val="0"/>
        </c:scaling>
        <c:delete val="0"/>
        <c:axPos val="l"/>
        <c:majorGridlines/>
        <c:numFmt formatCode="0%" sourceLinked="1"/>
        <c:majorTickMark val="out"/>
        <c:minorTickMark val="none"/>
        <c:tickLblPos val="nextTo"/>
        <c:crossAx val="712485504"/>
        <c:crosses val="autoZero"/>
        <c:crossBetween val="between"/>
      </c:valAx>
    </c:plotArea>
    <c:legend>
      <c:legendPos val="r"/>
      <c:layout>
        <c:manualLayout>
          <c:xMode val="edge"/>
          <c:yMode val="edge"/>
          <c:x val="0.80159774569943298"/>
          <c:y val="1.7925403204315099E-3"/>
          <c:w val="0.17727299477449099"/>
          <c:h val="0.99820745967956803"/>
        </c:manualLayout>
      </c:layout>
      <c:overlay val="0"/>
      <c:txPr>
        <a:bodyPr/>
        <a:lstStyle/>
        <a:p>
          <a:pPr>
            <a:defRPr sz="700" b="0" i="0" kern="900" spc="0" baseline="0"/>
          </a:pPr>
          <a:endParaRPr lang="en-US"/>
        </a:p>
      </c:txPr>
    </c:legend>
    <c:plotVisOnly val="0"/>
    <c:dispBlanksAs val="gap"/>
    <c:showDLblsOverMax val="0"/>
  </c:chart>
  <c:printSettings>
    <c:headerFooter/>
    <c:pageMargins b="0.98425196850393704" l="0.74803149606299202" r="0.74803149606299202" t="0.98425196850393704" header="0.511811023622047" footer="0.511811023622047"/>
    <c:pageSetup orientation="portrait"/>
  </c:printSettings>
</c:chartSpace>
</file>

<file path=xl/drawings/_rels/drawing10.xml.rels><?xml version="1.0" encoding="UTF-8" standalone="yes"?>
<Relationships xmlns="http://schemas.openxmlformats.org/package/2006/relationships"><Relationship Id="rId8" Type="http://schemas.openxmlformats.org/officeDocument/2006/relationships/chart" Target="../charts/chart98.xml"/><Relationship Id="rId3" Type="http://schemas.openxmlformats.org/officeDocument/2006/relationships/chart" Target="../charts/chart93.xml"/><Relationship Id="rId7" Type="http://schemas.openxmlformats.org/officeDocument/2006/relationships/chart" Target="../charts/chart97.xml"/><Relationship Id="rId12" Type="http://schemas.openxmlformats.org/officeDocument/2006/relationships/chart" Target="../charts/chart102.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5" Type="http://schemas.openxmlformats.org/officeDocument/2006/relationships/chart" Target="../charts/chart95.xml"/><Relationship Id="rId10" Type="http://schemas.openxmlformats.org/officeDocument/2006/relationships/chart" Target="../charts/chart100.xml"/><Relationship Id="rId4" Type="http://schemas.openxmlformats.org/officeDocument/2006/relationships/chart" Target="../charts/chart94.xml"/><Relationship Id="rId9" Type="http://schemas.openxmlformats.org/officeDocument/2006/relationships/chart" Target="../charts/chart99.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10.xml"/><Relationship Id="rId3" Type="http://schemas.openxmlformats.org/officeDocument/2006/relationships/chart" Target="../charts/chart105.xml"/><Relationship Id="rId7" Type="http://schemas.openxmlformats.org/officeDocument/2006/relationships/chart" Target="../charts/chart109.xml"/><Relationship Id="rId2" Type="http://schemas.openxmlformats.org/officeDocument/2006/relationships/chart" Target="../charts/chart104.xml"/><Relationship Id="rId1" Type="http://schemas.openxmlformats.org/officeDocument/2006/relationships/chart" Target="../charts/chart103.xml"/><Relationship Id="rId6" Type="http://schemas.openxmlformats.org/officeDocument/2006/relationships/chart" Target="../charts/chart108.xml"/><Relationship Id="rId5" Type="http://schemas.openxmlformats.org/officeDocument/2006/relationships/chart" Target="../charts/chart107.xml"/><Relationship Id="rId4" Type="http://schemas.openxmlformats.org/officeDocument/2006/relationships/chart" Target="../charts/chart106.xml"/><Relationship Id="rId9" Type="http://schemas.openxmlformats.org/officeDocument/2006/relationships/chart" Target="../charts/chart111.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19.xml"/><Relationship Id="rId3" Type="http://schemas.openxmlformats.org/officeDocument/2006/relationships/chart" Target="../charts/chart114.xml"/><Relationship Id="rId7" Type="http://schemas.openxmlformats.org/officeDocument/2006/relationships/chart" Target="../charts/chart118.xml"/><Relationship Id="rId12" Type="http://schemas.openxmlformats.org/officeDocument/2006/relationships/chart" Target="../charts/chart123.xml"/><Relationship Id="rId2" Type="http://schemas.openxmlformats.org/officeDocument/2006/relationships/chart" Target="../charts/chart113.xml"/><Relationship Id="rId1" Type="http://schemas.openxmlformats.org/officeDocument/2006/relationships/chart" Target="../charts/chart112.xml"/><Relationship Id="rId6" Type="http://schemas.openxmlformats.org/officeDocument/2006/relationships/chart" Target="../charts/chart117.xml"/><Relationship Id="rId11" Type="http://schemas.openxmlformats.org/officeDocument/2006/relationships/chart" Target="../charts/chart122.xml"/><Relationship Id="rId5" Type="http://schemas.openxmlformats.org/officeDocument/2006/relationships/chart" Target="../charts/chart116.xml"/><Relationship Id="rId10" Type="http://schemas.openxmlformats.org/officeDocument/2006/relationships/chart" Target="../charts/chart121.xml"/><Relationship Id="rId4" Type="http://schemas.openxmlformats.org/officeDocument/2006/relationships/chart" Target="../charts/chart115.xml"/><Relationship Id="rId9" Type="http://schemas.openxmlformats.org/officeDocument/2006/relationships/chart" Target="../charts/chart120.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31.xml"/><Relationship Id="rId3" Type="http://schemas.openxmlformats.org/officeDocument/2006/relationships/chart" Target="../charts/chart126.xml"/><Relationship Id="rId7" Type="http://schemas.openxmlformats.org/officeDocument/2006/relationships/chart" Target="../charts/chart130.xml"/><Relationship Id="rId12" Type="http://schemas.openxmlformats.org/officeDocument/2006/relationships/chart" Target="../charts/chart135.xml"/><Relationship Id="rId2" Type="http://schemas.openxmlformats.org/officeDocument/2006/relationships/chart" Target="../charts/chart125.xml"/><Relationship Id="rId1" Type="http://schemas.openxmlformats.org/officeDocument/2006/relationships/chart" Target="../charts/chart124.xml"/><Relationship Id="rId6" Type="http://schemas.openxmlformats.org/officeDocument/2006/relationships/chart" Target="../charts/chart129.xml"/><Relationship Id="rId11" Type="http://schemas.openxmlformats.org/officeDocument/2006/relationships/chart" Target="../charts/chart134.xml"/><Relationship Id="rId5" Type="http://schemas.openxmlformats.org/officeDocument/2006/relationships/chart" Target="../charts/chart128.xml"/><Relationship Id="rId10" Type="http://schemas.openxmlformats.org/officeDocument/2006/relationships/chart" Target="../charts/chart133.xml"/><Relationship Id="rId4" Type="http://schemas.openxmlformats.org/officeDocument/2006/relationships/chart" Target="../charts/chart127.xml"/><Relationship Id="rId9" Type="http://schemas.openxmlformats.org/officeDocument/2006/relationships/chart" Target="../charts/chart132.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43.xml"/><Relationship Id="rId3" Type="http://schemas.openxmlformats.org/officeDocument/2006/relationships/chart" Target="../charts/chart138.xml"/><Relationship Id="rId7" Type="http://schemas.openxmlformats.org/officeDocument/2006/relationships/chart" Target="../charts/chart142.xml"/><Relationship Id="rId12" Type="http://schemas.openxmlformats.org/officeDocument/2006/relationships/chart" Target="../charts/chart147.xml"/><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1.xml"/><Relationship Id="rId11" Type="http://schemas.openxmlformats.org/officeDocument/2006/relationships/chart" Target="../charts/chart146.xml"/><Relationship Id="rId5" Type="http://schemas.openxmlformats.org/officeDocument/2006/relationships/chart" Target="../charts/chart140.xml"/><Relationship Id="rId10" Type="http://schemas.openxmlformats.org/officeDocument/2006/relationships/chart" Target="../charts/chart145.xml"/><Relationship Id="rId4" Type="http://schemas.openxmlformats.org/officeDocument/2006/relationships/chart" Target="../charts/chart139.xml"/><Relationship Id="rId9" Type="http://schemas.openxmlformats.org/officeDocument/2006/relationships/chart" Target="../charts/chart144.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55.xml"/><Relationship Id="rId3" Type="http://schemas.openxmlformats.org/officeDocument/2006/relationships/chart" Target="../charts/chart150.xml"/><Relationship Id="rId7" Type="http://schemas.openxmlformats.org/officeDocument/2006/relationships/chart" Target="../charts/chart154.xml"/><Relationship Id="rId12" Type="http://schemas.openxmlformats.org/officeDocument/2006/relationships/chart" Target="../charts/chart159.xml"/><Relationship Id="rId2" Type="http://schemas.openxmlformats.org/officeDocument/2006/relationships/chart" Target="../charts/chart149.xml"/><Relationship Id="rId1" Type="http://schemas.openxmlformats.org/officeDocument/2006/relationships/chart" Target="../charts/chart148.xml"/><Relationship Id="rId6" Type="http://schemas.openxmlformats.org/officeDocument/2006/relationships/chart" Target="../charts/chart153.xml"/><Relationship Id="rId11" Type="http://schemas.openxmlformats.org/officeDocument/2006/relationships/chart" Target="../charts/chart158.xml"/><Relationship Id="rId5" Type="http://schemas.openxmlformats.org/officeDocument/2006/relationships/chart" Target="../charts/chart152.xml"/><Relationship Id="rId10" Type="http://schemas.openxmlformats.org/officeDocument/2006/relationships/chart" Target="../charts/chart157.xml"/><Relationship Id="rId4" Type="http://schemas.openxmlformats.org/officeDocument/2006/relationships/chart" Target="../charts/chart151.xml"/><Relationship Id="rId9" Type="http://schemas.openxmlformats.org/officeDocument/2006/relationships/chart" Target="../charts/chart156.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67.xml"/><Relationship Id="rId3" Type="http://schemas.openxmlformats.org/officeDocument/2006/relationships/chart" Target="../charts/chart162.xml"/><Relationship Id="rId7" Type="http://schemas.openxmlformats.org/officeDocument/2006/relationships/chart" Target="../charts/chart166.xml"/><Relationship Id="rId12" Type="http://schemas.openxmlformats.org/officeDocument/2006/relationships/chart" Target="../charts/chart171.xml"/><Relationship Id="rId2" Type="http://schemas.openxmlformats.org/officeDocument/2006/relationships/chart" Target="../charts/chart161.xml"/><Relationship Id="rId1" Type="http://schemas.openxmlformats.org/officeDocument/2006/relationships/chart" Target="../charts/chart160.xml"/><Relationship Id="rId6" Type="http://schemas.openxmlformats.org/officeDocument/2006/relationships/chart" Target="../charts/chart165.xml"/><Relationship Id="rId11" Type="http://schemas.openxmlformats.org/officeDocument/2006/relationships/chart" Target="../charts/chart170.xml"/><Relationship Id="rId5" Type="http://schemas.openxmlformats.org/officeDocument/2006/relationships/chart" Target="../charts/chart164.xml"/><Relationship Id="rId10" Type="http://schemas.openxmlformats.org/officeDocument/2006/relationships/chart" Target="../charts/chart169.xml"/><Relationship Id="rId4" Type="http://schemas.openxmlformats.org/officeDocument/2006/relationships/chart" Target="../charts/chart163.xml"/><Relationship Id="rId9" Type="http://schemas.openxmlformats.org/officeDocument/2006/relationships/chart" Target="../charts/chart168.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79.xml"/><Relationship Id="rId3" Type="http://schemas.openxmlformats.org/officeDocument/2006/relationships/chart" Target="../charts/chart174.xml"/><Relationship Id="rId7" Type="http://schemas.openxmlformats.org/officeDocument/2006/relationships/chart" Target="../charts/chart178.xml"/><Relationship Id="rId2" Type="http://schemas.openxmlformats.org/officeDocument/2006/relationships/chart" Target="../charts/chart173.xml"/><Relationship Id="rId1" Type="http://schemas.openxmlformats.org/officeDocument/2006/relationships/chart" Target="../charts/chart172.xml"/><Relationship Id="rId6" Type="http://schemas.openxmlformats.org/officeDocument/2006/relationships/chart" Target="../charts/chart177.xml"/><Relationship Id="rId5" Type="http://schemas.openxmlformats.org/officeDocument/2006/relationships/chart" Target="../charts/chart176.xml"/><Relationship Id="rId4" Type="http://schemas.openxmlformats.org/officeDocument/2006/relationships/chart" Target="../charts/chart175.xml"/><Relationship Id="rId9" Type="http://schemas.openxmlformats.org/officeDocument/2006/relationships/chart" Target="../charts/chart180.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88.xml"/><Relationship Id="rId3" Type="http://schemas.openxmlformats.org/officeDocument/2006/relationships/chart" Target="../charts/chart183.xml"/><Relationship Id="rId7" Type="http://schemas.openxmlformats.org/officeDocument/2006/relationships/chart" Target="../charts/chart187.xml"/><Relationship Id="rId12" Type="http://schemas.openxmlformats.org/officeDocument/2006/relationships/chart" Target="../charts/chart192.xml"/><Relationship Id="rId2" Type="http://schemas.openxmlformats.org/officeDocument/2006/relationships/chart" Target="../charts/chart182.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5" Type="http://schemas.openxmlformats.org/officeDocument/2006/relationships/chart" Target="../charts/chart185.xml"/><Relationship Id="rId10" Type="http://schemas.openxmlformats.org/officeDocument/2006/relationships/chart" Target="../charts/chart190.xml"/><Relationship Id="rId4" Type="http://schemas.openxmlformats.org/officeDocument/2006/relationships/chart" Target="../charts/chart184.xml"/><Relationship Id="rId9" Type="http://schemas.openxmlformats.org/officeDocument/2006/relationships/chart" Target="../charts/chart189.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00.xml"/><Relationship Id="rId3" Type="http://schemas.openxmlformats.org/officeDocument/2006/relationships/chart" Target="../charts/chart195.xml"/><Relationship Id="rId7" Type="http://schemas.openxmlformats.org/officeDocument/2006/relationships/chart" Target="../charts/chart199.xml"/><Relationship Id="rId2" Type="http://schemas.openxmlformats.org/officeDocument/2006/relationships/chart" Target="../charts/chart194.xml"/><Relationship Id="rId1" Type="http://schemas.openxmlformats.org/officeDocument/2006/relationships/chart" Target="../charts/chart193.xml"/><Relationship Id="rId6" Type="http://schemas.openxmlformats.org/officeDocument/2006/relationships/chart" Target="../charts/chart198.xml"/><Relationship Id="rId5" Type="http://schemas.openxmlformats.org/officeDocument/2006/relationships/chart" Target="../charts/chart197.xml"/><Relationship Id="rId4" Type="http://schemas.openxmlformats.org/officeDocument/2006/relationships/chart" Target="../charts/chart196.xml"/><Relationship Id="rId9" Type="http://schemas.openxmlformats.org/officeDocument/2006/relationships/chart" Target="../charts/chart20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09.xml"/><Relationship Id="rId3" Type="http://schemas.openxmlformats.org/officeDocument/2006/relationships/chart" Target="../charts/chart204.xml"/><Relationship Id="rId7" Type="http://schemas.openxmlformats.org/officeDocument/2006/relationships/chart" Target="../charts/chart208.xml"/><Relationship Id="rId12" Type="http://schemas.openxmlformats.org/officeDocument/2006/relationships/chart" Target="../charts/chart213.xml"/><Relationship Id="rId2" Type="http://schemas.openxmlformats.org/officeDocument/2006/relationships/chart" Target="../charts/chart203.xml"/><Relationship Id="rId1" Type="http://schemas.openxmlformats.org/officeDocument/2006/relationships/chart" Target="../charts/chart202.xml"/><Relationship Id="rId6" Type="http://schemas.openxmlformats.org/officeDocument/2006/relationships/chart" Target="../charts/chart207.xml"/><Relationship Id="rId11" Type="http://schemas.openxmlformats.org/officeDocument/2006/relationships/chart" Target="../charts/chart212.xml"/><Relationship Id="rId5" Type="http://schemas.openxmlformats.org/officeDocument/2006/relationships/chart" Target="../charts/chart206.xml"/><Relationship Id="rId10" Type="http://schemas.openxmlformats.org/officeDocument/2006/relationships/chart" Target="../charts/chart211.xml"/><Relationship Id="rId4" Type="http://schemas.openxmlformats.org/officeDocument/2006/relationships/chart" Target="../charts/chart205.xml"/><Relationship Id="rId9" Type="http://schemas.openxmlformats.org/officeDocument/2006/relationships/chart" Target="../charts/chart210.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21.xml"/><Relationship Id="rId3" Type="http://schemas.openxmlformats.org/officeDocument/2006/relationships/chart" Target="../charts/chart216.xml"/><Relationship Id="rId7" Type="http://schemas.openxmlformats.org/officeDocument/2006/relationships/chart" Target="../charts/chart220.xml"/><Relationship Id="rId12" Type="http://schemas.openxmlformats.org/officeDocument/2006/relationships/chart" Target="../charts/chart225.xml"/><Relationship Id="rId2" Type="http://schemas.openxmlformats.org/officeDocument/2006/relationships/chart" Target="../charts/chart215.xml"/><Relationship Id="rId1" Type="http://schemas.openxmlformats.org/officeDocument/2006/relationships/chart" Target="../charts/chart214.xml"/><Relationship Id="rId6" Type="http://schemas.openxmlformats.org/officeDocument/2006/relationships/chart" Target="../charts/chart219.xml"/><Relationship Id="rId11" Type="http://schemas.openxmlformats.org/officeDocument/2006/relationships/chart" Target="../charts/chart224.xml"/><Relationship Id="rId5" Type="http://schemas.openxmlformats.org/officeDocument/2006/relationships/chart" Target="../charts/chart218.xml"/><Relationship Id="rId10" Type="http://schemas.openxmlformats.org/officeDocument/2006/relationships/chart" Target="../charts/chart223.xml"/><Relationship Id="rId4" Type="http://schemas.openxmlformats.org/officeDocument/2006/relationships/chart" Target="../charts/chart217.xml"/><Relationship Id="rId9" Type="http://schemas.openxmlformats.org/officeDocument/2006/relationships/chart" Target="../charts/chart222.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233.xml"/><Relationship Id="rId3" Type="http://schemas.openxmlformats.org/officeDocument/2006/relationships/chart" Target="../charts/chart228.xml"/><Relationship Id="rId7" Type="http://schemas.openxmlformats.org/officeDocument/2006/relationships/chart" Target="../charts/chart232.xml"/><Relationship Id="rId12" Type="http://schemas.openxmlformats.org/officeDocument/2006/relationships/chart" Target="../charts/chart237.xml"/><Relationship Id="rId2" Type="http://schemas.openxmlformats.org/officeDocument/2006/relationships/chart" Target="../charts/chart227.xml"/><Relationship Id="rId1" Type="http://schemas.openxmlformats.org/officeDocument/2006/relationships/chart" Target="../charts/chart226.xml"/><Relationship Id="rId6" Type="http://schemas.openxmlformats.org/officeDocument/2006/relationships/chart" Target="../charts/chart231.xml"/><Relationship Id="rId11" Type="http://schemas.openxmlformats.org/officeDocument/2006/relationships/chart" Target="../charts/chart236.xml"/><Relationship Id="rId5" Type="http://schemas.openxmlformats.org/officeDocument/2006/relationships/chart" Target="../charts/chart230.xml"/><Relationship Id="rId10" Type="http://schemas.openxmlformats.org/officeDocument/2006/relationships/chart" Target="../charts/chart235.xml"/><Relationship Id="rId4" Type="http://schemas.openxmlformats.org/officeDocument/2006/relationships/chart" Target="../charts/chart229.xml"/><Relationship Id="rId9" Type="http://schemas.openxmlformats.org/officeDocument/2006/relationships/chart" Target="../charts/chart234.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245.xml"/><Relationship Id="rId3" Type="http://schemas.openxmlformats.org/officeDocument/2006/relationships/chart" Target="../charts/chart240.xml"/><Relationship Id="rId7" Type="http://schemas.openxmlformats.org/officeDocument/2006/relationships/chart" Target="../charts/chart244.xml"/><Relationship Id="rId12" Type="http://schemas.openxmlformats.org/officeDocument/2006/relationships/chart" Target="../charts/chart249.xml"/><Relationship Id="rId2" Type="http://schemas.openxmlformats.org/officeDocument/2006/relationships/chart" Target="../charts/chart239.xml"/><Relationship Id="rId1" Type="http://schemas.openxmlformats.org/officeDocument/2006/relationships/chart" Target="../charts/chart238.xml"/><Relationship Id="rId6" Type="http://schemas.openxmlformats.org/officeDocument/2006/relationships/chart" Target="../charts/chart243.xml"/><Relationship Id="rId11" Type="http://schemas.openxmlformats.org/officeDocument/2006/relationships/chart" Target="../charts/chart248.xml"/><Relationship Id="rId5" Type="http://schemas.openxmlformats.org/officeDocument/2006/relationships/chart" Target="../charts/chart242.xml"/><Relationship Id="rId10" Type="http://schemas.openxmlformats.org/officeDocument/2006/relationships/chart" Target="../charts/chart247.xml"/><Relationship Id="rId4" Type="http://schemas.openxmlformats.org/officeDocument/2006/relationships/chart" Target="../charts/chart241.xml"/><Relationship Id="rId9" Type="http://schemas.openxmlformats.org/officeDocument/2006/relationships/chart" Target="../charts/chart246.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257.xml"/><Relationship Id="rId3" Type="http://schemas.openxmlformats.org/officeDocument/2006/relationships/chart" Target="../charts/chart252.xml"/><Relationship Id="rId7" Type="http://schemas.openxmlformats.org/officeDocument/2006/relationships/chart" Target="../charts/chart256.xml"/><Relationship Id="rId12" Type="http://schemas.openxmlformats.org/officeDocument/2006/relationships/chart" Target="../charts/chart261.xml"/><Relationship Id="rId2" Type="http://schemas.openxmlformats.org/officeDocument/2006/relationships/chart" Target="../charts/chart251.xml"/><Relationship Id="rId1" Type="http://schemas.openxmlformats.org/officeDocument/2006/relationships/chart" Target="../charts/chart250.xml"/><Relationship Id="rId6" Type="http://schemas.openxmlformats.org/officeDocument/2006/relationships/chart" Target="../charts/chart255.xml"/><Relationship Id="rId11" Type="http://schemas.openxmlformats.org/officeDocument/2006/relationships/chart" Target="../charts/chart260.xml"/><Relationship Id="rId5" Type="http://schemas.openxmlformats.org/officeDocument/2006/relationships/chart" Target="../charts/chart254.xml"/><Relationship Id="rId10" Type="http://schemas.openxmlformats.org/officeDocument/2006/relationships/chart" Target="../charts/chart259.xml"/><Relationship Id="rId4" Type="http://schemas.openxmlformats.org/officeDocument/2006/relationships/chart" Target="../charts/chart253.xml"/><Relationship Id="rId9" Type="http://schemas.openxmlformats.org/officeDocument/2006/relationships/chart" Target="../charts/chart258.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269.xml"/><Relationship Id="rId3" Type="http://schemas.openxmlformats.org/officeDocument/2006/relationships/chart" Target="../charts/chart264.xml"/><Relationship Id="rId7" Type="http://schemas.openxmlformats.org/officeDocument/2006/relationships/chart" Target="../charts/chart268.xml"/><Relationship Id="rId12" Type="http://schemas.openxmlformats.org/officeDocument/2006/relationships/chart" Target="../charts/chart273.xml"/><Relationship Id="rId2" Type="http://schemas.openxmlformats.org/officeDocument/2006/relationships/chart" Target="../charts/chart263.xml"/><Relationship Id="rId1" Type="http://schemas.openxmlformats.org/officeDocument/2006/relationships/chart" Target="../charts/chart262.xml"/><Relationship Id="rId6" Type="http://schemas.openxmlformats.org/officeDocument/2006/relationships/chart" Target="../charts/chart267.xml"/><Relationship Id="rId11" Type="http://schemas.openxmlformats.org/officeDocument/2006/relationships/chart" Target="../charts/chart272.xml"/><Relationship Id="rId5" Type="http://schemas.openxmlformats.org/officeDocument/2006/relationships/chart" Target="../charts/chart266.xml"/><Relationship Id="rId10" Type="http://schemas.openxmlformats.org/officeDocument/2006/relationships/chart" Target="../charts/chart271.xml"/><Relationship Id="rId4" Type="http://schemas.openxmlformats.org/officeDocument/2006/relationships/chart" Target="../charts/chart265.xml"/><Relationship Id="rId9" Type="http://schemas.openxmlformats.org/officeDocument/2006/relationships/chart" Target="../charts/chart270.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281.xml"/><Relationship Id="rId3" Type="http://schemas.openxmlformats.org/officeDocument/2006/relationships/chart" Target="../charts/chart276.xml"/><Relationship Id="rId7" Type="http://schemas.openxmlformats.org/officeDocument/2006/relationships/chart" Target="../charts/chart280.xml"/><Relationship Id="rId12" Type="http://schemas.openxmlformats.org/officeDocument/2006/relationships/chart" Target="../charts/chart285.xml"/><Relationship Id="rId2" Type="http://schemas.openxmlformats.org/officeDocument/2006/relationships/chart" Target="../charts/chart275.xml"/><Relationship Id="rId1" Type="http://schemas.openxmlformats.org/officeDocument/2006/relationships/chart" Target="../charts/chart274.xml"/><Relationship Id="rId6" Type="http://schemas.openxmlformats.org/officeDocument/2006/relationships/chart" Target="../charts/chart279.xml"/><Relationship Id="rId11" Type="http://schemas.openxmlformats.org/officeDocument/2006/relationships/chart" Target="../charts/chart284.xml"/><Relationship Id="rId5" Type="http://schemas.openxmlformats.org/officeDocument/2006/relationships/chart" Target="../charts/chart278.xml"/><Relationship Id="rId10" Type="http://schemas.openxmlformats.org/officeDocument/2006/relationships/chart" Target="../charts/chart283.xml"/><Relationship Id="rId4" Type="http://schemas.openxmlformats.org/officeDocument/2006/relationships/chart" Target="../charts/chart277.xml"/><Relationship Id="rId9" Type="http://schemas.openxmlformats.org/officeDocument/2006/relationships/chart" Target="../charts/chart282.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293.xml"/><Relationship Id="rId3" Type="http://schemas.openxmlformats.org/officeDocument/2006/relationships/chart" Target="../charts/chart288.xml"/><Relationship Id="rId7" Type="http://schemas.openxmlformats.org/officeDocument/2006/relationships/chart" Target="../charts/chart292.xml"/><Relationship Id="rId12" Type="http://schemas.openxmlformats.org/officeDocument/2006/relationships/chart" Target="../charts/chart297.xml"/><Relationship Id="rId2" Type="http://schemas.openxmlformats.org/officeDocument/2006/relationships/chart" Target="../charts/chart287.xml"/><Relationship Id="rId1" Type="http://schemas.openxmlformats.org/officeDocument/2006/relationships/chart" Target="../charts/chart286.xml"/><Relationship Id="rId6" Type="http://schemas.openxmlformats.org/officeDocument/2006/relationships/chart" Target="../charts/chart291.xml"/><Relationship Id="rId11" Type="http://schemas.openxmlformats.org/officeDocument/2006/relationships/chart" Target="../charts/chart296.xml"/><Relationship Id="rId5" Type="http://schemas.openxmlformats.org/officeDocument/2006/relationships/chart" Target="../charts/chart290.xml"/><Relationship Id="rId10" Type="http://schemas.openxmlformats.org/officeDocument/2006/relationships/chart" Target="../charts/chart295.xml"/><Relationship Id="rId4" Type="http://schemas.openxmlformats.org/officeDocument/2006/relationships/chart" Target="../charts/chart289.xml"/><Relationship Id="rId9" Type="http://schemas.openxmlformats.org/officeDocument/2006/relationships/chart" Target="../charts/chart294.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305.xml"/><Relationship Id="rId3" Type="http://schemas.openxmlformats.org/officeDocument/2006/relationships/chart" Target="../charts/chart300.xml"/><Relationship Id="rId7" Type="http://schemas.openxmlformats.org/officeDocument/2006/relationships/chart" Target="../charts/chart304.xml"/><Relationship Id="rId12" Type="http://schemas.openxmlformats.org/officeDocument/2006/relationships/chart" Target="../charts/chart309.xml"/><Relationship Id="rId2" Type="http://schemas.openxmlformats.org/officeDocument/2006/relationships/chart" Target="../charts/chart299.xml"/><Relationship Id="rId1" Type="http://schemas.openxmlformats.org/officeDocument/2006/relationships/chart" Target="../charts/chart298.xml"/><Relationship Id="rId6" Type="http://schemas.openxmlformats.org/officeDocument/2006/relationships/chart" Target="../charts/chart303.xml"/><Relationship Id="rId11" Type="http://schemas.openxmlformats.org/officeDocument/2006/relationships/chart" Target="../charts/chart308.xml"/><Relationship Id="rId5" Type="http://schemas.openxmlformats.org/officeDocument/2006/relationships/chart" Target="../charts/chart302.xml"/><Relationship Id="rId10" Type="http://schemas.openxmlformats.org/officeDocument/2006/relationships/chart" Target="../charts/chart307.xml"/><Relationship Id="rId4" Type="http://schemas.openxmlformats.org/officeDocument/2006/relationships/chart" Target="../charts/chart301.xml"/><Relationship Id="rId9" Type="http://schemas.openxmlformats.org/officeDocument/2006/relationships/chart" Target="../charts/chart306.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317.xml"/><Relationship Id="rId3" Type="http://schemas.openxmlformats.org/officeDocument/2006/relationships/chart" Target="../charts/chart312.xml"/><Relationship Id="rId7" Type="http://schemas.openxmlformats.org/officeDocument/2006/relationships/chart" Target="../charts/chart316.xml"/><Relationship Id="rId12" Type="http://schemas.openxmlformats.org/officeDocument/2006/relationships/chart" Target="../charts/chart321.xml"/><Relationship Id="rId2" Type="http://schemas.openxmlformats.org/officeDocument/2006/relationships/chart" Target="../charts/chart311.xml"/><Relationship Id="rId1" Type="http://schemas.openxmlformats.org/officeDocument/2006/relationships/chart" Target="../charts/chart310.xml"/><Relationship Id="rId6" Type="http://schemas.openxmlformats.org/officeDocument/2006/relationships/chart" Target="../charts/chart315.xml"/><Relationship Id="rId11" Type="http://schemas.openxmlformats.org/officeDocument/2006/relationships/chart" Target="../charts/chart320.xml"/><Relationship Id="rId5" Type="http://schemas.openxmlformats.org/officeDocument/2006/relationships/chart" Target="../charts/chart314.xml"/><Relationship Id="rId10" Type="http://schemas.openxmlformats.org/officeDocument/2006/relationships/chart" Target="../charts/chart319.xml"/><Relationship Id="rId4" Type="http://schemas.openxmlformats.org/officeDocument/2006/relationships/chart" Target="../charts/chart313.xml"/><Relationship Id="rId9" Type="http://schemas.openxmlformats.org/officeDocument/2006/relationships/chart" Target="../charts/chart31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30.xml.rels><?xml version="1.0" encoding="UTF-8" standalone="yes"?>
<Relationships xmlns="http://schemas.openxmlformats.org/package/2006/relationships"><Relationship Id="rId8" Type="http://schemas.openxmlformats.org/officeDocument/2006/relationships/chart" Target="../charts/chart329.xml"/><Relationship Id="rId3" Type="http://schemas.openxmlformats.org/officeDocument/2006/relationships/chart" Target="../charts/chart324.xml"/><Relationship Id="rId7" Type="http://schemas.openxmlformats.org/officeDocument/2006/relationships/chart" Target="../charts/chart328.xml"/><Relationship Id="rId12" Type="http://schemas.openxmlformats.org/officeDocument/2006/relationships/chart" Target="../charts/chart333.xml"/><Relationship Id="rId2" Type="http://schemas.openxmlformats.org/officeDocument/2006/relationships/chart" Target="../charts/chart323.xml"/><Relationship Id="rId1" Type="http://schemas.openxmlformats.org/officeDocument/2006/relationships/chart" Target="../charts/chart322.xml"/><Relationship Id="rId6" Type="http://schemas.openxmlformats.org/officeDocument/2006/relationships/chart" Target="../charts/chart327.xml"/><Relationship Id="rId11" Type="http://schemas.openxmlformats.org/officeDocument/2006/relationships/chart" Target="../charts/chart332.xml"/><Relationship Id="rId5" Type="http://schemas.openxmlformats.org/officeDocument/2006/relationships/chart" Target="../charts/chart326.xml"/><Relationship Id="rId10" Type="http://schemas.openxmlformats.org/officeDocument/2006/relationships/chart" Target="../charts/chart331.xml"/><Relationship Id="rId4" Type="http://schemas.openxmlformats.org/officeDocument/2006/relationships/chart" Target="../charts/chart325.xml"/><Relationship Id="rId9" Type="http://schemas.openxmlformats.org/officeDocument/2006/relationships/chart" Target="../charts/chart330.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341.xml"/><Relationship Id="rId3" Type="http://schemas.openxmlformats.org/officeDocument/2006/relationships/chart" Target="../charts/chart336.xml"/><Relationship Id="rId7" Type="http://schemas.openxmlformats.org/officeDocument/2006/relationships/chart" Target="../charts/chart340.xml"/><Relationship Id="rId12" Type="http://schemas.openxmlformats.org/officeDocument/2006/relationships/chart" Target="../charts/chart345.xml"/><Relationship Id="rId2" Type="http://schemas.openxmlformats.org/officeDocument/2006/relationships/chart" Target="../charts/chart335.xml"/><Relationship Id="rId1" Type="http://schemas.openxmlformats.org/officeDocument/2006/relationships/chart" Target="../charts/chart334.xml"/><Relationship Id="rId6" Type="http://schemas.openxmlformats.org/officeDocument/2006/relationships/chart" Target="../charts/chart339.xml"/><Relationship Id="rId11" Type="http://schemas.openxmlformats.org/officeDocument/2006/relationships/chart" Target="../charts/chart344.xml"/><Relationship Id="rId5" Type="http://schemas.openxmlformats.org/officeDocument/2006/relationships/chart" Target="../charts/chart338.xml"/><Relationship Id="rId10" Type="http://schemas.openxmlformats.org/officeDocument/2006/relationships/chart" Target="../charts/chart343.xml"/><Relationship Id="rId4" Type="http://schemas.openxmlformats.org/officeDocument/2006/relationships/chart" Target="../charts/chart337.xml"/><Relationship Id="rId9" Type="http://schemas.openxmlformats.org/officeDocument/2006/relationships/chart" Target="../charts/chart34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chart" Target="../charts/chart33.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41.xml"/><Relationship Id="rId3" Type="http://schemas.openxmlformats.org/officeDocument/2006/relationships/chart" Target="../charts/chart36.xml"/><Relationship Id="rId7" Type="http://schemas.openxmlformats.org/officeDocument/2006/relationships/chart" Target="../charts/chart40.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 Id="rId9"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8" Type="http://schemas.openxmlformats.org/officeDocument/2006/relationships/chart" Target="../charts/chart50.xml"/><Relationship Id="rId3" Type="http://schemas.openxmlformats.org/officeDocument/2006/relationships/chart" Target="../charts/chart45.xml"/><Relationship Id="rId7" Type="http://schemas.openxmlformats.org/officeDocument/2006/relationships/chart" Target="../charts/chart49.xml"/><Relationship Id="rId12" Type="http://schemas.openxmlformats.org/officeDocument/2006/relationships/chart" Target="../charts/chart54.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11" Type="http://schemas.openxmlformats.org/officeDocument/2006/relationships/chart" Target="../charts/chart53.xml"/><Relationship Id="rId5" Type="http://schemas.openxmlformats.org/officeDocument/2006/relationships/chart" Target="../charts/chart47.xml"/><Relationship Id="rId10" Type="http://schemas.openxmlformats.org/officeDocument/2006/relationships/chart" Target="../charts/chart52.xml"/><Relationship Id="rId4" Type="http://schemas.openxmlformats.org/officeDocument/2006/relationships/chart" Target="../charts/chart46.xml"/><Relationship Id="rId9" Type="http://schemas.openxmlformats.org/officeDocument/2006/relationships/chart" Target="../charts/chart51.xml"/></Relationships>
</file>

<file path=xl/drawings/_rels/drawing7.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s>
</file>

<file path=xl/drawings/_rels/drawing8.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12" Type="http://schemas.openxmlformats.org/officeDocument/2006/relationships/chart" Target="../charts/chart78.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11" Type="http://schemas.openxmlformats.org/officeDocument/2006/relationships/chart" Target="../charts/chart77.xml"/><Relationship Id="rId5" Type="http://schemas.openxmlformats.org/officeDocument/2006/relationships/chart" Target="../charts/chart71.xml"/><Relationship Id="rId10" Type="http://schemas.openxmlformats.org/officeDocument/2006/relationships/chart" Target="../charts/chart76.xml"/><Relationship Id="rId4" Type="http://schemas.openxmlformats.org/officeDocument/2006/relationships/chart" Target="../charts/chart70.xml"/><Relationship Id="rId9" Type="http://schemas.openxmlformats.org/officeDocument/2006/relationships/chart" Target="../charts/chart75.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6.xml"/><Relationship Id="rId3" Type="http://schemas.openxmlformats.org/officeDocument/2006/relationships/chart" Target="../charts/chart81.xml"/><Relationship Id="rId7" Type="http://schemas.openxmlformats.org/officeDocument/2006/relationships/chart" Target="../charts/chart85.xml"/><Relationship Id="rId12" Type="http://schemas.openxmlformats.org/officeDocument/2006/relationships/chart" Target="../charts/chart90.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4.xml"/><Relationship Id="rId11" Type="http://schemas.openxmlformats.org/officeDocument/2006/relationships/chart" Target="../charts/chart89.xml"/><Relationship Id="rId5" Type="http://schemas.openxmlformats.org/officeDocument/2006/relationships/chart" Target="../charts/chart83.xml"/><Relationship Id="rId10" Type="http://schemas.openxmlformats.org/officeDocument/2006/relationships/chart" Target="../charts/chart88.xml"/><Relationship Id="rId4" Type="http://schemas.openxmlformats.org/officeDocument/2006/relationships/chart" Target="../charts/chart82.xml"/><Relationship Id="rId9" Type="http://schemas.openxmlformats.org/officeDocument/2006/relationships/chart" Target="../charts/chart87.xml"/></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57147</xdr:rowOff>
    </xdr:from>
    <xdr:to>
      <xdr:col>3</xdr:col>
      <xdr:colOff>66675</xdr:colOff>
      <xdr:row>24</xdr:row>
      <xdr:rowOff>314325</xdr:rowOff>
    </xdr:to>
    <xdr:sp macro="" textlink="">
      <xdr:nvSpPr>
        <xdr:cNvPr id="2" name="TextBox 1"/>
        <xdr:cNvSpPr txBox="1"/>
      </xdr:nvSpPr>
      <xdr:spPr>
        <a:xfrm>
          <a:off x="47625" y="1171572"/>
          <a:ext cx="6867525" cy="72580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u="sng"/>
            <a:t>UK Fleet Highlights</a:t>
          </a:r>
        </a:p>
        <a:p>
          <a:endParaRPr lang="en-GB" sz="1200" u="sng"/>
        </a:p>
        <a:p>
          <a:endParaRPr lang="en-GB" sz="1200" u="sng"/>
        </a:p>
        <a:p>
          <a:r>
            <a:rPr lang="en-GB" sz="1200" u="sng"/>
            <a:t>The</a:t>
          </a:r>
          <a:r>
            <a:rPr lang="en-GB" sz="1200" u="sng" baseline="0"/>
            <a:t> Fleet</a:t>
          </a:r>
          <a:endParaRPr lang="en-GB" sz="1200" u="sng"/>
        </a:p>
        <a:p>
          <a:r>
            <a:rPr lang="en-GB" sz="1200" b="0" i="0" u="none" strike="noStrike">
              <a:solidFill>
                <a:schemeClr val="dk1"/>
              </a:solidFill>
              <a:effectLst/>
              <a:latin typeface="+mn-lt"/>
              <a:ea typeface="+mn-ea"/>
              <a:cs typeface="+mn-cs"/>
            </a:rPr>
            <a:t>- The number of active fishing vessels decreased from 4,709 in 2017 to 4,512 in 2018. </a:t>
          </a:r>
        </a:p>
        <a:p>
          <a:r>
            <a:rPr lang="en-GB" sz="1200" b="0" i="0" u="none" strike="noStrike">
              <a:solidFill>
                <a:schemeClr val="dk1"/>
              </a:solidFill>
              <a:effectLst/>
              <a:latin typeface="+mn-lt"/>
              <a:ea typeface="+mn-ea"/>
              <a:cs typeface="+mn-cs"/>
            </a:rPr>
            <a:t>- Of these vessels around 1,600 were deemed as low activity vessels with fishing income of less than £10,000 in the calendar year 2018. </a:t>
          </a:r>
        </a:p>
        <a:p>
          <a:r>
            <a:rPr lang="en-GB" sz="1200" b="0" i="0" u="none" strike="noStrike">
              <a:solidFill>
                <a:schemeClr val="dk1"/>
              </a:solidFill>
              <a:effectLst/>
              <a:latin typeface="+mn-lt"/>
              <a:ea typeface="+mn-ea"/>
              <a:cs typeface="+mn-cs"/>
            </a:rPr>
            <a:t>- Around 1,700 vessels were inactive in 2017. These vessels had an average length of 7.3m.</a:t>
          </a:r>
        </a:p>
        <a:p>
          <a:endParaRPr lang="en-GB" sz="1200" b="0" i="0" u="none" strike="noStrike">
            <a:solidFill>
              <a:schemeClr val="dk1"/>
            </a:solidFill>
            <a:effectLst/>
            <a:latin typeface="+mn-lt"/>
            <a:ea typeface="+mn-ea"/>
            <a:cs typeface="+mn-cs"/>
          </a:endParaRPr>
        </a:p>
        <a:p>
          <a:endParaRPr lang="en-GB" sz="1200" b="0" i="0" u="none" strike="noStrike">
            <a:solidFill>
              <a:schemeClr val="dk1"/>
            </a:solidFill>
            <a:effectLst/>
            <a:latin typeface="+mn-lt"/>
            <a:ea typeface="+mn-ea"/>
            <a:cs typeface="+mn-cs"/>
          </a:endParaRPr>
        </a:p>
        <a:p>
          <a:r>
            <a:rPr lang="en-GB" sz="1200" b="0" i="0" u="sng" strike="noStrike">
              <a:solidFill>
                <a:schemeClr val="dk1"/>
              </a:solidFill>
              <a:effectLst/>
              <a:latin typeface="+mn-lt"/>
              <a:ea typeface="+mn-ea"/>
              <a:cs typeface="+mn-cs"/>
            </a:rPr>
            <a:t>Landings</a:t>
          </a:r>
        </a:p>
        <a:p>
          <a:r>
            <a:rPr lang="en-GB" sz="1200" b="0" i="0" u="none" strike="noStrike">
              <a:solidFill>
                <a:schemeClr val="dk1"/>
              </a:solidFill>
              <a:effectLst/>
              <a:latin typeface="+mn-lt"/>
              <a:ea typeface="+mn-ea"/>
              <a:cs typeface="+mn-cs"/>
            </a:rPr>
            <a:t>- The UK fleet as a whole saw an increase in fishing revenues from £975 million in 2017 (nominal value) to around £978 million in 2018 (nominal figures). </a:t>
          </a:r>
        </a:p>
        <a:p>
          <a:r>
            <a:rPr lang="en-GB" sz="1200" b="0" i="0" u="none" strike="noStrike">
              <a:solidFill>
                <a:schemeClr val="dk1"/>
              </a:solidFill>
              <a:effectLst/>
              <a:latin typeface="+mn-lt"/>
              <a:ea typeface="+mn-ea"/>
              <a:cs typeface="+mn-cs"/>
            </a:rPr>
            <a:t>- This is despite the volume landed decreasing 5% from 720,000 tonnes to 690,000 tonnes.   </a:t>
          </a:r>
        </a:p>
        <a:p>
          <a:r>
            <a:rPr lang="en-GB" sz="1200" b="0" i="0" u="none" strike="noStrike">
              <a:solidFill>
                <a:schemeClr val="dk1"/>
              </a:solidFill>
              <a:effectLst/>
              <a:latin typeface="+mn-lt"/>
              <a:ea typeface="+mn-ea"/>
              <a:cs typeface="+mn-cs"/>
            </a:rPr>
            <a:t>- The average price per tonne landed was £1,422, a 5% increase on 2017. This was in nominal values the highest average price during the time series.</a:t>
          </a:r>
        </a:p>
        <a:p>
          <a:r>
            <a:rPr lang="en-GB" sz="1200" b="0" i="0" u="none" strike="noStrike">
              <a:solidFill>
                <a:schemeClr val="dk1"/>
              </a:solidFill>
              <a:effectLst/>
              <a:latin typeface="+mn-lt"/>
              <a:ea typeface="+mn-ea"/>
              <a:cs typeface="+mn-cs"/>
            </a:rPr>
            <a:t>- Differences in fishing revenues varied across Seafish defined segments with the revenues of 22 of the 32 segments decreasing in 2018 compared to 2017.  The overall increase in fishing revenues was largely driven by a relatively small number of vessels in a limited number of segments. </a:t>
          </a:r>
        </a:p>
        <a:p>
          <a:endParaRPr lang="en-GB" sz="1200" u="none"/>
        </a:p>
        <a:p>
          <a:endParaRPr lang="en-GB" sz="1200" u="none"/>
        </a:p>
        <a:p>
          <a:r>
            <a:rPr lang="en-GB" sz="1200" u="sng"/>
            <a:t>Fuel Cost</a:t>
          </a:r>
        </a:p>
        <a:p>
          <a:r>
            <a:rPr lang="en-GB" sz="1200" b="0" i="0" u="none" strike="noStrike">
              <a:solidFill>
                <a:schemeClr val="dk1"/>
              </a:solidFill>
              <a:effectLst/>
              <a:latin typeface="+mn-lt"/>
              <a:ea typeface="+mn-ea"/>
              <a:cs typeface="+mn-cs"/>
            </a:rPr>
            <a:t>- Total spend on marine fuel in 2018 was an estimated £136 million (21% increase from 2017).  </a:t>
          </a:r>
        </a:p>
        <a:p>
          <a:r>
            <a:rPr lang="en-GB" sz="1200" b="0" i="0" u="none" strike="noStrike">
              <a:solidFill>
                <a:schemeClr val="dk1"/>
              </a:solidFill>
              <a:effectLst/>
              <a:latin typeface="+mn-lt"/>
              <a:ea typeface="+mn-ea"/>
              <a:cs typeface="+mn-cs"/>
            </a:rPr>
            <a:t>- Fuel cost as a proportion of total income has increased from 11% in 2017 to 13% in 2018.  </a:t>
          </a:r>
        </a:p>
        <a:p>
          <a:r>
            <a:rPr lang="en-GB" sz="1200" b="0" i="0" u="none" strike="noStrike">
              <a:solidFill>
                <a:schemeClr val="dk1"/>
              </a:solidFill>
              <a:effectLst/>
              <a:latin typeface="+mn-lt"/>
              <a:ea typeface="+mn-ea"/>
              <a:cs typeface="+mn-cs"/>
            </a:rPr>
            <a:t>- In nominal terms, the average price of fuel increased by 12% between January 2017 and December 2018.</a:t>
          </a:r>
        </a:p>
        <a:p>
          <a:r>
            <a:rPr lang="en-GB" sz="1200" b="0" i="0" u="none" strike="noStrike">
              <a:solidFill>
                <a:schemeClr val="dk1"/>
              </a:solidFill>
              <a:effectLst/>
              <a:latin typeface="+mn-lt"/>
              <a:ea typeface="+mn-ea"/>
              <a:cs typeface="+mn-cs"/>
            </a:rPr>
            <a:t>- For the first time since 2014 the average annual fuel price was over 50p per litre, 20% higher than the average annual fuel price for 2017. </a:t>
          </a:r>
        </a:p>
        <a:p>
          <a:endParaRPr lang="en-GB" sz="1200" b="0" i="0" u="none" strike="noStrike">
            <a:solidFill>
              <a:schemeClr val="dk1"/>
            </a:solidFill>
            <a:effectLst/>
            <a:latin typeface="+mn-lt"/>
            <a:ea typeface="+mn-ea"/>
            <a:cs typeface="+mn-cs"/>
          </a:endParaRPr>
        </a:p>
        <a:p>
          <a:endParaRPr lang="en-GB" sz="1200" b="0" i="0" u="none" strike="noStrike">
            <a:solidFill>
              <a:schemeClr val="dk1"/>
            </a:solidFill>
            <a:effectLst/>
            <a:latin typeface="+mn-lt"/>
            <a:ea typeface="+mn-ea"/>
            <a:cs typeface="+mn-cs"/>
          </a:endParaRPr>
        </a:p>
        <a:p>
          <a:r>
            <a:rPr lang="en-GB" sz="1200" b="0" i="0" u="sng" strike="noStrike">
              <a:solidFill>
                <a:schemeClr val="dk1"/>
              </a:solidFill>
              <a:effectLst/>
              <a:latin typeface="+mn-lt"/>
              <a:ea typeface="+mn-ea"/>
              <a:cs typeface="+mn-cs"/>
            </a:rPr>
            <a:t>Profit</a:t>
          </a:r>
        </a:p>
        <a:p>
          <a:r>
            <a:rPr lang="en-GB" sz="1200" b="0" i="0" u="none" strike="noStrike">
              <a:solidFill>
                <a:schemeClr val="dk1"/>
              </a:solidFill>
              <a:effectLst/>
              <a:latin typeface="+mn-lt"/>
              <a:ea typeface="+mn-ea"/>
              <a:cs typeface="+mn-cs"/>
            </a:rPr>
            <a:t>- Total fleet operating profit was an estimated £268 million in 2018, a 4% decrease on the £280 million profit realised in 2017. </a:t>
          </a:r>
        </a:p>
        <a:p>
          <a:r>
            <a:rPr lang="en-GB" sz="1200" b="0" i="0" u="none" strike="noStrike">
              <a:solidFill>
                <a:schemeClr val="dk1"/>
              </a:solidFill>
              <a:effectLst/>
              <a:latin typeface="+mn-lt"/>
              <a:ea typeface="+mn-ea"/>
              <a:cs typeface="+mn-cs"/>
            </a:rPr>
            <a:t>- Operating profit as a % of total income was largely static across the two years at 26% in 2018 compared to 27% in 2017.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23812</xdr:colOff>
      <xdr:row>47</xdr:row>
      <xdr:rowOff>31749</xdr:rowOff>
    </xdr:from>
    <xdr:to>
      <xdr:col>4</xdr:col>
      <xdr:colOff>4612</xdr:colOff>
      <xdr:row>60</xdr:row>
      <xdr:rowOff>57249</xdr:rowOff>
    </xdr:to>
    <xdr:graphicFrame macro="">
      <xdr:nvGraphicFramePr>
        <xdr:cNvPr id="2" name="Chart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86916</xdr:colOff>
      <xdr:row>47</xdr:row>
      <xdr:rowOff>31749</xdr:rowOff>
    </xdr:from>
    <xdr:to>
      <xdr:col>9</xdr:col>
      <xdr:colOff>382041</xdr:colOff>
      <xdr:row>60</xdr:row>
      <xdr:rowOff>57249</xdr:rowOff>
    </xdr:to>
    <xdr:graphicFrame macro="">
      <xdr:nvGraphicFramePr>
        <xdr:cNvPr id="3" name="Chart 2">
          <a:extLst>
            <a:ext uri="{FF2B5EF4-FFF2-40B4-BE49-F238E27FC236}">
              <a16:creationId xmlns:a16="http://schemas.microsoft.com/office/drawing/2014/main" xmlns=""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464345</xdr:colOff>
      <xdr:row>47</xdr:row>
      <xdr:rowOff>31749</xdr:rowOff>
    </xdr:from>
    <xdr:to>
      <xdr:col>14</xdr:col>
      <xdr:colOff>759470</xdr:colOff>
      <xdr:row>60</xdr:row>
      <xdr:rowOff>57249</xdr:rowOff>
    </xdr:to>
    <xdr:graphicFrame macro="">
      <xdr:nvGraphicFramePr>
        <xdr:cNvPr id="4" name="Chart 3">
          <a:extLst>
            <a:ext uri="{FF2B5EF4-FFF2-40B4-BE49-F238E27FC236}">
              <a16:creationId xmlns:a16="http://schemas.microsoft.com/office/drawing/2014/main" xmlns=""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60</xdr:row>
      <xdr:rowOff>113108</xdr:rowOff>
    </xdr:from>
    <xdr:to>
      <xdr:col>4</xdr:col>
      <xdr:colOff>4612</xdr:colOff>
      <xdr:row>73</xdr:row>
      <xdr:rowOff>138608</xdr:rowOff>
    </xdr:to>
    <xdr:graphicFrame macro="">
      <xdr:nvGraphicFramePr>
        <xdr:cNvPr id="5" name="Chart 4">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86916</xdr:colOff>
      <xdr:row>60</xdr:row>
      <xdr:rowOff>113108</xdr:rowOff>
    </xdr:from>
    <xdr:to>
      <xdr:col>9</xdr:col>
      <xdr:colOff>382041</xdr:colOff>
      <xdr:row>73</xdr:row>
      <xdr:rowOff>138608</xdr:rowOff>
    </xdr:to>
    <xdr:graphicFrame macro="">
      <xdr:nvGraphicFramePr>
        <xdr:cNvPr id="6" name="Chart 5">
          <a:extLst>
            <a:ext uri="{FF2B5EF4-FFF2-40B4-BE49-F238E27FC236}">
              <a16:creationId xmlns:a16="http://schemas.microsoft.com/office/drawing/2014/main" xmlns=""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464345</xdr:colOff>
      <xdr:row>60</xdr:row>
      <xdr:rowOff>113108</xdr:rowOff>
    </xdr:from>
    <xdr:to>
      <xdr:col>14</xdr:col>
      <xdr:colOff>759470</xdr:colOff>
      <xdr:row>73</xdr:row>
      <xdr:rowOff>138608</xdr:rowOff>
    </xdr:to>
    <xdr:graphicFrame macro="">
      <xdr:nvGraphicFramePr>
        <xdr:cNvPr id="7" name="Chart 6">
          <a:extLst>
            <a:ext uri="{FF2B5EF4-FFF2-40B4-BE49-F238E27FC236}">
              <a16:creationId xmlns:a16="http://schemas.microsoft.com/office/drawing/2014/main" xmlns=""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23812</xdr:colOff>
      <xdr:row>74</xdr:row>
      <xdr:rowOff>22225</xdr:rowOff>
    </xdr:from>
    <xdr:to>
      <xdr:col>4</xdr:col>
      <xdr:colOff>4612</xdr:colOff>
      <xdr:row>87</xdr:row>
      <xdr:rowOff>47725</xdr:rowOff>
    </xdr:to>
    <xdr:graphicFrame macro="">
      <xdr:nvGraphicFramePr>
        <xdr:cNvPr id="8" name="PieChart_Volume">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86916</xdr:colOff>
      <xdr:row>74</xdr:row>
      <xdr:rowOff>22225</xdr:rowOff>
    </xdr:from>
    <xdr:to>
      <xdr:col>9</xdr:col>
      <xdr:colOff>382041</xdr:colOff>
      <xdr:row>87</xdr:row>
      <xdr:rowOff>47725</xdr:rowOff>
    </xdr:to>
    <xdr:graphicFrame macro="">
      <xdr:nvGraphicFramePr>
        <xdr:cNvPr id="9" name="PieChart_Value" title="Pie_value">
          <a:extLst>
            <a:ext uri="{FF2B5EF4-FFF2-40B4-BE49-F238E27FC236}">
              <a16:creationId xmlns:a16="http://schemas.microsoft.com/office/drawing/2014/main" xmlns=""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464345</xdr:colOff>
      <xdr:row>74</xdr:row>
      <xdr:rowOff>22225</xdr:rowOff>
    </xdr:from>
    <xdr:to>
      <xdr:col>14</xdr:col>
      <xdr:colOff>759470</xdr:colOff>
      <xdr:row>87</xdr:row>
      <xdr:rowOff>47725</xdr:rowOff>
    </xdr:to>
    <xdr:graphicFrame macro="">
      <xdr:nvGraphicFramePr>
        <xdr:cNvPr id="10" name="Hist_top5" title="Hist_top5">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740833</xdr:colOff>
      <xdr:row>115</xdr:row>
      <xdr:rowOff>83607</xdr:rowOff>
    </xdr:from>
    <xdr:to>
      <xdr:col>14</xdr:col>
      <xdr:colOff>613833</xdr:colOff>
      <xdr:row>125</xdr:row>
      <xdr:rowOff>24441</xdr:rowOff>
    </xdr:to>
    <xdr:graphicFrame macro="">
      <xdr:nvGraphicFramePr>
        <xdr:cNvPr id="11" name="Top5_qvol">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740833</xdr:colOff>
      <xdr:row>125</xdr:row>
      <xdr:rowOff>140824</xdr:rowOff>
    </xdr:from>
    <xdr:to>
      <xdr:col>14</xdr:col>
      <xdr:colOff>613833</xdr:colOff>
      <xdr:row>136</xdr:row>
      <xdr:rowOff>81657</xdr:rowOff>
    </xdr:to>
    <xdr:graphicFrame macro="">
      <xdr:nvGraphicFramePr>
        <xdr:cNvPr id="12" name="Top5_qval">
          <a:extLst>
            <a:ext uri="{FF2B5EF4-FFF2-40B4-BE49-F238E27FC236}">
              <a16:creationId xmlns:a16="http://schemas.microsoft.com/office/drawing/2014/main" xmlns=""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740833</xdr:colOff>
      <xdr:row>136</xdr:row>
      <xdr:rowOff>227237</xdr:rowOff>
    </xdr:from>
    <xdr:to>
      <xdr:col>14</xdr:col>
      <xdr:colOff>613833</xdr:colOff>
      <xdr:row>150</xdr:row>
      <xdr:rowOff>111879</xdr:rowOff>
    </xdr:to>
    <xdr:graphicFrame macro="">
      <xdr:nvGraphicFramePr>
        <xdr:cNvPr id="13" name="Graphique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 Theme">
  <a:themeElements>
    <a:clrScheme name="Office">
      <a:dk1>
        <a:srgbClr val="000000"/>
      </a:dk1>
      <a:lt1>
        <a:srgbClr val="FFFFFF"/>
      </a:lt1>
      <a:dk2>
        <a:srgbClr val="707271"/>
      </a:dk2>
      <a:lt2>
        <a:srgbClr val="169FDB"/>
      </a:lt2>
      <a:accent1>
        <a:srgbClr val="2273B9"/>
      </a:accent1>
      <a:accent2>
        <a:srgbClr val="648C2E"/>
      </a:accent2>
      <a:accent3>
        <a:srgbClr val="E87308"/>
      </a:accent3>
      <a:accent4>
        <a:srgbClr val="55585A"/>
      </a:accent4>
      <a:accent5>
        <a:srgbClr val="51AA81"/>
      </a:accent5>
      <a:accent6>
        <a:srgbClr val="E40D2C"/>
      </a:accent6>
      <a:hlink>
        <a:srgbClr val="E84A38"/>
      </a:hlink>
      <a:folHlink>
        <a:srgbClr val="087CB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D42"/>
  <sheetViews>
    <sheetView tabSelected="1" workbookViewId="0"/>
  </sheetViews>
  <sheetFormatPr defaultColWidth="8.875" defaultRowHeight="12.75" x14ac:dyDescent="0.2"/>
  <cols>
    <col min="1" max="1" width="4.125" style="2" customWidth="1"/>
    <col min="2" max="2" width="33.875" style="2" bestFit="1" customWidth="1"/>
    <col min="3" max="3" width="8.875" style="2"/>
    <col min="4" max="4" width="9.625" style="2" customWidth="1"/>
    <col min="5" max="16384" width="8.875" style="2"/>
  </cols>
  <sheetData>
    <row r="1" spans="1:4" ht="18.75" thickBot="1" x14ac:dyDescent="0.3">
      <c r="A1" s="1" t="s">
        <v>0</v>
      </c>
      <c r="B1" s="248"/>
      <c r="C1" s="84"/>
      <c r="D1" s="85" t="s">
        <v>48</v>
      </c>
    </row>
    <row r="3" spans="1:4" x14ac:dyDescent="0.2">
      <c r="B3" s="12" t="s">
        <v>645</v>
      </c>
    </row>
    <row r="4" spans="1:4" x14ac:dyDescent="0.2">
      <c r="B4" s="12" t="s">
        <v>614</v>
      </c>
    </row>
    <row r="5" spans="1:4" x14ac:dyDescent="0.2">
      <c r="B5" s="12" t="s">
        <v>654</v>
      </c>
    </row>
    <row r="6" spans="1:4" x14ac:dyDescent="0.2">
      <c r="B6" s="12" t="s">
        <v>612</v>
      </c>
    </row>
    <row r="7" spans="1:4" x14ac:dyDescent="0.2">
      <c r="B7" s="12" t="s">
        <v>543</v>
      </c>
    </row>
    <row r="8" spans="1:4" x14ac:dyDescent="0.2">
      <c r="B8" s="123" t="s">
        <v>538</v>
      </c>
    </row>
    <row r="9" spans="1:4" x14ac:dyDescent="0.2">
      <c r="B9" s="12" t="s">
        <v>536</v>
      </c>
    </row>
    <row r="10" spans="1:4" x14ac:dyDescent="0.2">
      <c r="B10" s="3"/>
    </row>
    <row r="11" spans="1:4" x14ac:dyDescent="0.2">
      <c r="B11" s="4" t="s">
        <v>1</v>
      </c>
    </row>
    <row r="12" spans="1:4" x14ac:dyDescent="0.2">
      <c r="B12" s="107" t="s">
        <v>15</v>
      </c>
    </row>
    <row r="13" spans="1:4" x14ac:dyDescent="0.2">
      <c r="B13" s="107" t="s">
        <v>122</v>
      </c>
    </row>
    <row r="14" spans="1:4" x14ac:dyDescent="0.2">
      <c r="B14" s="107" t="s">
        <v>140</v>
      </c>
    </row>
    <row r="15" spans="1:4" x14ac:dyDescent="0.2">
      <c r="B15" s="107" t="s">
        <v>155</v>
      </c>
    </row>
    <row r="16" spans="1:4" x14ac:dyDescent="0.2">
      <c r="B16" s="107" t="s">
        <v>173</v>
      </c>
    </row>
    <row r="17" spans="2:2" x14ac:dyDescent="0.2">
      <c r="B17" s="107" t="s">
        <v>193</v>
      </c>
    </row>
    <row r="18" spans="2:2" x14ac:dyDescent="0.2">
      <c r="B18" s="107" t="s">
        <v>207</v>
      </c>
    </row>
    <row r="19" spans="2:2" x14ac:dyDescent="0.2">
      <c r="B19" s="107" t="s">
        <v>211</v>
      </c>
    </row>
    <row r="20" spans="2:2" x14ac:dyDescent="0.2">
      <c r="B20" s="107" t="s">
        <v>229</v>
      </c>
    </row>
    <row r="21" spans="2:2" x14ac:dyDescent="0.2">
      <c r="B21" s="107" t="s">
        <v>250</v>
      </c>
    </row>
    <row r="22" spans="2:2" x14ac:dyDescent="0.2">
      <c r="B22" s="107" t="s">
        <v>265</v>
      </c>
    </row>
    <row r="23" spans="2:2" x14ac:dyDescent="0.2">
      <c r="B23" s="107" t="s">
        <v>279</v>
      </c>
    </row>
    <row r="24" spans="2:2" x14ac:dyDescent="0.2">
      <c r="B24" s="107" t="s">
        <v>288</v>
      </c>
    </row>
    <row r="25" spans="2:2" x14ac:dyDescent="0.2">
      <c r="B25" s="107" t="s">
        <v>300</v>
      </c>
    </row>
    <row r="26" spans="2:2" x14ac:dyDescent="0.2">
      <c r="B26" s="107" t="s">
        <v>313</v>
      </c>
    </row>
    <row r="27" spans="2:2" x14ac:dyDescent="0.2">
      <c r="B27" s="107" t="s">
        <v>326</v>
      </c>
    </row>
    <row r="28" spans="2:2" x14ac:dyDescent="0.2">
      <c r="B28" s="107" t="s">
        <v>339</v>
      </c>
    </row>
    <row r="29" spans="2:2" x14ac:dyDescent="0.2">
      <c r="B29" s="107" t="s">
        <v>352</v>
      </c>
    </row>
    <row r="30" spans="2:2" x14ac:dyDescent="0.2">
      <c r="B30" s="107" t="s">
        <v>365</v>
      </c>
    </row>
    <row r="31" spans="2:2" x14ac:dyDescent="0.2">
      <c r="B31" s="107" t="s">
        <v>380</v>
      </c>
    </row>
    <row r="32" spans="2:2" x14ac:dyDescent="0.2">
      <c r="B32" s="107" t="s">
        <v>392</v>
      </c>
    </row>
    <row r="33" spans="2:2" x14ac:dyDescent="0.2">
      <c r="B33" s="107" t="s">
        <v>405</v>
      </c>
    </row>
    <row r="34" spans="2:2" x14ac:dyDescent="0.2">
      <c r="B34" s="107" t="s">
        <v>419</v>
      </c>
    </row>
    <row r="35" spans="2:2" x14ac:dyDescent="0.2">
      <c r="B35" s="107" t="s">
        <v>432</v>
      </c>
    </row>
    <row r="36" spans="2:2" x14ac:dyDescent="0.2">
      <c r="B36" s="107" t="s">
        <v>443</v>
      </c>
    </row>
    <row r="37" spans="2:2" x14ac:dyDescent="0.2">
      <c r="B37" s="107" t="s">
        <v>457</v>
      </c>
    </row>
    <row r="38" spans="2:2" x14ac:dyDescent="0.2">
      <c r="B38" s="107" t="s">
        <v>470</v>
      </c>
    </row>
    <row r="39" spans="2:2" x14ac:dyDescent="0.2">
      <c r="B39" s="107" t="s">
        <v>483</v>
      </c>
    </row>
    <row r="40" spans="2:2" x14ac:dyDescent="0.2">
      <c r="B40" s="107" t="s">
        <v>496</v>
      </c>
    </row>
    <row r="41" spans="2:2" x14ac:dyDescent="0.2">
      <c r="B41" s="107" t="s">
        <v>509</v>
      </c>
    </row>
    <row r="42" spans="2:2" x14ac:dyDescent="0.2">
      <c r="B42" s="107" t="s">
        <v>522</v>
      </c>
    </row>
  </sheetData>
  <hyperlinks>
    <hyperlink ref="B5" location="Summary!A1" display="Summary 2017"/>
    <hyperlink ref="B12" location="Area_VIIa_demersal_trawl" display="Area VIIA demersal trawl"/>
    <hyperlink ref="B13" location="Area_VIIa_nephrops_o250kW" display="Area VIIA nephrops over 250kW"/>
    <hyperlink ref="B14" location="Area_VIIa_nephrops_u250kW" display="Area VIIA nephrops under 250kW"/>
    <hyperlink ref="B15" location="Area_VIIb_k_trawlers_24_40m" display="Area VIIBCDEFGHK 24-40m"/>
    <hyperlink ref="B16" location="Area_VIIb_k_trawlers_10_24m" display="Area VIIBCDEFGHK trawlers 10-24m"/>
    <hyperlink ref="B17" location="Gill_netters" display="Gill netters"/>
    <hyperlink ref="B18" location="Inactive!A1" display="Inactive!A1"/>
    <hyperlink ref="B19" location="Longliners" display="Longliners"/>
    <hyperlink ref="B20" location="Low_activity_over_10m" display="Low activity over 10m"/>
    <hyperlink ref="B21" location="Low_activity_under_10m" display="Low activity under 10m"/>
    <hyperlink ref="B22" location="NS_beam_trawl_over_300kW" display="North Sea beam trawl over 300kW"/>
    <hyperlink ref="B23" location="NS_beam_trawl_under_300kW" display="North Sea beam trawl under 300kW"/>
    <hyperlink ref="B24" location="NS_nephrops_over_300kW" display="North Sea nephrops over 300kW"/>
    <hyperlink ref="B25" location="NS_nephrops_under_300kW" display="North Sea nephrops under 300kW"/>
    <hyperlink ref="B26" location="NSWOS_demersal_over_24m" display="NSWOS demersal over 24m"/>
    <hyperlink ref="B27" location="NSWOS_dem_pair_trawl_seine" display="NSWOS demersal pair trawl seine"/>
    <hyperlink ref="B28" location="NSWOS_demersal_seiners" display="NSWOS demersal seiners"/>
    <hyperlink ref="B29" location="NSWOS_demersal_u24m_o300kW" display="NSWOS demersal under 24m over 300kW"/>
    <hyperlink ref="B30" location="NSWOS_demersal_u24m_u300kW" display="NSWOS demersal under 24m under 300kW"/>
    <hyperlink ref="B31" location="Pots_and_traps_10_12m" display="Pots and traps 10-12m"/>
    <hyperlink ref="B32" location="Pots_and_traps_over_12m" display="Pots and traps over 12m"/>
    <hyperlink ref="B33" location="South_West_beamers_o250kW" display="South West beamers over 250kW"/>
    <hyperlink ref="B34" location="South_West_beamers_u250kW" display="South West beamers under 250kW"/>
    <hyperlink ref="B35" location="UK_scallop_dredge_over_15m" display="UK scallop dredge over 15m"/>
    <hyperlink ref="B36" location="UK_scallop_dredge_under_15m" display="UK scallop dredge under 15m"/>
    <hyperlink ref="B37" location="U10m_demersal_trawl_seine" display="Under 10m demersal trawl/seine"/>
    <hyperlink ref="B38" location="U10m_drift_fixed_nets" display="Under 10m drift and/or fixed nets"/>
    <hyperlink ref="B39" location="U10m_pots_and_traps" display="Under 10m pots and traps"/>
    <hyperlink ref="B40" location="U10m_using_hooks" display="Under 10m using hooks"/>
    <hyperlink ref="B41" location="WOS_nephrops_over_250kW" display="WOS nephrops over 250kW"/>
    <hyperlink ref="B42" location="WOS_nephrops_under_250kW" display="WOS nephrops under 250kW"/>
    <hyperlink ref="B9" location="Net_profit_margin" display="Net profit margin"/>
    <hyperlink ref="B8" location="Operating_profit_margin" display="Operating profit margin"/>
    <hyperlink ref="B7" location="Sample_rates" display="Sample rates"/>
    <hyperlink ref="B6" location="Segmentation_Criteria" display="Segmentation Criteria"/>
    <hyperlink ref="B4" location="Highlights!A1" display="Highlights!A1"/>
    <hyperlink ref="B3" location="Notes" display="Note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173</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66</v>
      </c>
      <c r="E3" s="22">
        <v>59</v>
      </c>
      <c r="F3" s="22">
        <v>63</v>
      </c>
      <c r="G3" s="22">
        <v>62</v>
      </c>
      <c r="H3" s="22">
        <v>61</v>
      </c>
      <c r="I3" s="22">
        <v>61</v>
      </c>
      <c r="J3" s="22">
        <v>65</v>
      </c>
      <c r="K3" s="22">
        <v>68</v>
      </c>
      <c r="L3" s="22">
        <v>63</v>
      </c>
      <c r="M3" s="22">
        <v>61</v>
      </c>
      <c r="N3" s="22">
        <v>58</v>
      </c>
      <c r="O3" s="23">
        <f t="shared" ref="O3:O41" si="0">IF(N3=0,"",IFERROR(IF(AND(N3&gt;0,D3&lt;0),"na",IF(AND(N3&lt;0,D3&lt;0),-1,1)*(N3-D3)/D3),""))</f>
        <v>-0.12121212121212122</v>
      </c>
      <c r="P3" s="23">
        <f>IF(N3=0,"",IFERROR(IF(AND(N3&gt;0,J3&lt;0),"na",IF(AND(N3&lt;0,J3&lt;0),-1,1)*(N3-J3)/J3),""))</f>
        <v>-0.1076923076923077</v>
      </c>
    </row>
    <row r="4" spans="1:17" ht="18" customHeight="1" x14ac:dyDescent="0.2">
      <c r="A4" s="224"/>
      <c r="B4" s="24" t="s">
        <v>51</v>
      </c>
      <c r="C4" s="25"/>
      <c r="D4" s="26">
        <v>12201</v>
      </c>
      <c r="E4" s="26">
        <v>11185</v>
      </c>
      <c r="F4" s="26">
        <v>12064</v>
      </c>
      <c r="G4" s="26">
        <v>11832</v>
      </c>
      <c r="H4" s="26">
        <v>12143</v>
      </c>
      <c r="I4" s="26">
        <v>11811</v>
      </c>
      <c r="J4" s="26">
        <v>12482</v>
      </c>
      <c r="K4" s="26">
        <v>13197</v>
      </c>
      <c r="L4" s="26">
        <v>12870</v>
      </c>
      <c r="M4" s="26">
        <v>11775</v>
      </c>
      <c r="N4" s="26">
        <v>11635</v>
      </c>
      <c r="O4" s="23">
        <f t="shared" si="0"/>
        <v>-4.638964019342677E-2</v>
      </c>
      <c r="P4" s="23">
        <f t="shared" ref="P4:P41" si="1">IF(N4=0,"",IFERROR(IF(AND(N4&gt;0,J4&lt;0),"na",IF(AND(N4&lt;0,J4&lt;0),-1,1)*(N4-J4)/J4),""))</f>
        <v>-6.7857715109758049E-2</v>
      </c>
    </row>
    <row r="5" spans="1:17" ht="18" customHeight="1" x14ac:dyDescent="0.2">
      <c r="A5" s="224"/>
      <c r="B5" s="24" t="s">
        <v>52</v>
      </c>
      <c r="C5" s="25"/>
      <c r="D5" s="26">
        <v>2116</v>
      </c>
      <c r="E5" s="26">
        <v>2034</v>
      </c>
      <c r="F5" s="26">
        <v>2231</v>
      </c>
      <c r="G5" s="26">
        <v>2162</v>
      </c>
      <c r="H5" s="26">
        <v>2323</v>
      </c>
      <c r="I5" s="26">
        <v>2332</v>
      </c>
      <c r="J5" s="26">
        <v>2182</v>
      </c>
      <c r="K5" s="26">
        <v>2224</v>
      </c>
      <c r="L5" s="26">
        <v>2265</v>
      </c>
      <c r="M5" s="26">
        <v>1922</v>
      </c>
      <c r="N5" s="26">
        <v>2101</v>
      </c>
      <c r="O5" s="23">
        <f t="shared" si="0"/>
        <v>-7.0888468809073724E-3</v>
      </c>
      <c r="P5" s="23">
        <f t="shared" si="1"/>
        <v>-3.7121906507791021E-2</v>
      </c>
      <c r="Q5" s="27"/>
    </row>
    <row r="6" spans="1:17" ht="18" customHeight="1" x14ac:dyDescent="0.2">
      <c r="A6" s="224"/>
      <c r="B6" s="24" t="s">
        <v>53</v>
      </c>
      <c r="C6" s="25"/>
      <c r="D6" s="26">
        <v>9858.2421875</v>
      </c>
      <c r="E6" s="26">
        <v>9050.0087890625</v>
      </c>
      <c r="F6" s="26">
        <v>9784.4755859375</v>
      </c>
      <c r="G6" s="26">
        <v>9585.5888671875</v>
      </c>
      <c r="H6" s="26">
        <v>9775.6845703125</v>
      </c>
      <c r="I6" s="26">
        <v>9665.8505859375</v>
      </c>
      <c r="J6" s="26">
        <v>10027.037109375</v>
      </c>
      <c r="K6" s="26">
        <v>10425.2734375</v>
      </c>
      <c r="L6" s="26">
        <v>10011.2509765625</v>
      </c>
      <c r="M6" s="26">
        <v>9263.6513671875</v>
      </c>
      <c r="N6" s="26">
        <v>9140.1826171875</v>
      </c>
      <c r="O6" s="23">
        <f t="shared" si="0"/>
        <v>-7.2838499669137899E-2</v>
      </c>
      <c r="P6" s="23">
        <f t="shared" si="1"/>
        <v>-8.8446315946942675E-2</v>
      </c>
    </row>
    <row r="7" spans="1:17" ht="18" customHeight="1" x14ac:dyDescent="0.2">
      <c r="A7" s="224"/>
      <c r="B7" s="24" t="s">
        <v>54</v>
      </c>
      <c r="C7" s="25"/>
      <c r="D7" s="26">
        <v>7730.30322265625</v>
      </c>
      <c r="E7" s="26">
        <v>7341.5185546875</v>
      </c>
      <c r="F7" s="26">
        <v>10409.5087890625</v>
      </c>
      <c r="G7" s="26">
        <v>9483.28515625</v>
      </c>
      <c r="H7" s="26">
        <v>11325.4580078125</v>
      </c>
      <c r="I7" s="26">
        <v>10007.3603515625</v>
      </c>
      <c r="J7" s="26">
        <v>9938.84375</v>
      </c>
      <c r="K7" s="26">
        <v>8740.4736328125</v>
      </c>
      <c r="L7" s="26">
        <v>9578.2529296875</v>
      </c>
      <c r="M7" s="26">
        <v>8428.7255859375</v>
      </c>
      <c r="N7" s="26">
        <v>6687.255859375</v>
      </c>
      <c r="O7" s="23">
        <f t="shared" si="0"/>
        <v>-0.13492968299409644</v>
      </c>
      <c r="P7" s="23">
        <f t="shared" si="1"/>
        <v>-0.32715957433428811</v>
      </c>
    </row>
    <row r="8" spans="1:17" ht="18" customHeight="1" x14ac:dyDescent="0.2">
      <c r="A8" s="224"/>
      <c r="B8" s="24" t="s">
        <v>55</v>
      </c>
      <c r="C8" s="27"/>
      <c r="D8" s="28">
        <f ca="1">11.098865*OFFSET(D$112,MATCH($N$1,$C$112:$C$113,0)-1,0)</f>
        <v>11.098865</v>
      </c>
      <c r="E8" s="28">
        <f ca="1">11.545612*OFFSET(E$112,MATCH($N$1,$C$112:$C$113,0)-1,0)</f>
        <v>11.545612</v>
      </c>
      <c r="F8" s="28">
        <f ca="1">14.912252*OFFSET(F$112,MATCH($N$1,$C$112:$C$113,0)-1,0)</f>
        <v>14.912252000000001</v>
      </c>
      <c r="G8" s="28">
        <f ca="1">16.102685*OFFSET(G$112,MATCH($N$1,$C$112:$C$113,0)-1,0)</f>
        <v>16.102685000000001</v>
      </c>
      <c r="H8" s="28">
        <f ca="1">16.552127*OFFSET(H$112,MATCH($N$1,$C$112:$C$113,0)-1,0)</f>
        <v>16.552126999999999</v>
      </c>
      <c r="I8" s="28">
        <f ca="1">15.725479*OFFSET(I$112,MATCH($N$1,$C$112:$C$113,0)-1,0)</f>
        <v>15.725479</v>
      </c>
      <c r="J8" s="28">
        <f ca="1">16.497709*OFFSET(J$112,MATCH($N$1,$C$112:$C$113,0)-1,0)</f>
        <v>16.497709</v>
      </c>
      <c r="K8" s="28">
        <f ca="1">15.103076*OFFSET(K$112,MATCH($N$1,$C$112:$C$113,0)-1,0)</f>
        <v>15.103076</v>
      </c>
      <c r="L8" s="28">
        <f ca="1">16.3902*OFFSET(L$112,MATCH($N$1,$C$112:$C$113,0)-1,0)</f>
        <v>16.3902</v>
      </c>
      <c r="M8" s="28">
        <f ca="1">16.362466*OFFSET(M$112,MATCH($N$1,$C$112:$C$113,0)-1,0)</f>
        <v>16.362466000000001</v>
      </c>
      <c r="N8" s="28">
        <v>11.248071999999999</v>
      </c>
      <c r="O8" s="23">
        <f t="shared" ca="1" si="0"/>
        <v>1.3443446694774534E-2</v>
      </c>
      <c r="P8" s="23">
        <f t="shared" ca="1" si="1"/>
        <v>-0.31820400032513613</v>
      </c>
    </row>
    <row r="9" spans="1:17" ht="18" customHeight="1" x14ac:dyDescent="0.2">
      <c r="A9" s="224"/>
      <c r="B9" s="24" t="s">
        <v>56</v>
      </c>
      <c r="C9" s="27"/>
      <c r="D9" s="26">
        <v>10418</v>
      </c>
      <c r="E9" s="26">
        <v>10267</v>
      </c>
      <c r="F9" s="26">
        <v>11208</v>
      </c>
      <c r="G9" s="26">
        <v>10458</v>
      </c>
      <c r="H9" s="26">
        <v>9870</v>
      </c>
      <c r="I9" s="26">
        <v>10085</v>
      </c>
      <c r="J9" s="26">
        <v>10615</v>
      </c>
      <c r="K9" s="26">
        <v>10163</v>
      </c>
      <c r="L9" s="26">
        <v>10701</v>
      </c>
      <c r="M9" s="26">
        <v>9854</v>
      </c>
      <c r="N9" s="26">
        <v>8537</v>
      </c>
      <c r="O9" s="23">
        <f t="shared" si="0"/>
        <v>-0.18055288923017854</v>
      </c>
      <c r="P9" s="23">
        <f t="shared" si="1"/>
        <v>-0.19576071596796984</v>
      </c>
    </row>
    <row r="10" spans="1:17" ht="18" customHeight="1" x14ac:dyDescent="0.2">
      <c r="A10" s="224"/>
      <c r="B10" s="24" t="s">
        <v>57</v>
      </c>
      <c r="C10" s="27"/>
      <c r="D10" s="26"/>
      <c r="E10" s="26">
        <v>190.81356811523437</v>
      </c>
      <c r="F10" s="26">
        <v>238.07843017578125</v>
      </c>
      <c r="G10" s="26">
        <v>253.62603759765625</v>
      </c>
      <c r="H10" s="26">
        <v>238.04222106933594</v>
      </c>
      <c r="I10" s="26">
        <v>251.55436706542969</v>
      </c>
      <c r="J10" s="26">
        <v>199.81159973144531</v>
      </c>
      <c r="K10" s="26">
        <v>202.35237121582031</v>
      </c>
      <c r="L10" s="26">
        <v>176.94644165039063</v>
      </c>
      <c r="M10" s="26">
        <v>224.67088317871094</v>
      </c>
      <c r="N10" s="26">
        <v>190.05900573730469</v>
      </c>
      <c r="O10" s="29" t="str">
        <f t="shared" si="0"/>
        <v/>
      </c>
      <c r="P10" s="29">
        <f t="shared" si="1"/>
        <v>-4.8808948065320018E-2</v>
      </c>
    </row>
    <row r="11" spans="1:17" ht="18" customHeight="1" x14ac:dyDescent="0.2">
      <c r="A11" s="225" t="s">
        <v>23</v>
      </c>
      <c r="B11" s="30" t="s">
        <v>58</v>
      </c>
      <c r="C11" s="31"/>
      <c r="D11" s="32">
        <v>13.149242401123047</v>
      </c>
      <c r="E11" s="32">
        <v>13.240169525146484</v>
      </c>
      <c r="F11" s="32">
        <v>13.393333435058594</v>
      </c>
      <c r="G11" s="32">
        <v>13.344193458557129</v>
      </c>
      <c r="H11" s="32">
        <v>13.555246353149414</v>
      </c>
      <c r="I11" s="32">
        <v>13.622295379638672</v>
      </c>
      <c r="J11" s="32">
        <v>13.23138427734375</v>
      </c>
      <c r="K11" s="32">
        <v>13.077794075012207</v>
      </c>
      <c r="L11" s="32">
        <v>13.193967819213867</v>
      </c>
      <c r="M11" s="32">
        <v>12.956393241882324</v>
      </c>
      <c r="N11" s="32">
        <v>13.190690040588379</v>
      </c>
      <c r="O11" s="23">
        <f t="shared" si="0"/>
        <v>3.1520933450730274E-3</v>
      </c>
      <c r="P11" s="23">
        <f t="shared" si="1"/>
        <v>-3.0755842247777733E-3</v>
      </c>
    </row>
    <row r="12" spans="1:17" ht="18" customHeight="1" x14ac:dyDescent="0.2">
      <c r="A12" s="226"/>
      <c r="B12" s="33" t="s">
        <v>51</v>
      </c>
      <c r="C12" s="25"/>
      <c r="D12" s="26">
        <v>184.86363220214844</v>
      </c>
      <c r="E12" s="26">
        <v>189.57627868652344</v>
      </c>
      <c r="F12" s="26">
        <v>191.4920654296875</v>
      </c>
      <c r="G12" s="26">
        <v>190.83871459960937</v>
      </c>
      <c r="H12" s="26">
        <v>199.06556701660156</v>
      </c>
      <c r="I12" s="26">
        <v>193.62295532226562</v>
      </c>
      <c r="J12" s="26">
        <v>192.03076171875</v>
      </c>
      <c r="K12" s="26">
        <v>194.07353210449219</v>
      </c>
      <c r="L12" s="26">
        <v>204.28572082519531</v>
      </c>
      <c r="M12" s="26">
        <v>193.03279113769531</v>
      </c>
      <c r="N12" s="26">
        <v>200.60345458984375</v>
      </c>
      <c r="O12" s="23">
        <f t="shared" si="0"/>
        <v>8.5142881810759907E-2</v>
      </c>
      <c r="P12" s="23">
        <f t="shared" si="1"/>
        <v>4.4642289570508469E-2</v>
      </c>
    </row>
    <row r="13" spans="1:17" ht="18" customHeight="1" x14ac:dyDescent="0.2">
      <c r="A13" s="226"/>
      <c r="B13" s="33" t="s">
        <v>52</v>
      </c>
      <c r="C13" s="25"/>
      <c r="D13" s="26">
        <v>32.06060791015625</v>
      </c>
      <c r="E13" s="26">
        <v>34.474575042724609</v>
      </c>
      <c r="F13" s="26">
        <v>35.412696838378906</v>
      </c>
      <c r="G13" s="26">
        <v>34.870967864990234</v>
      </c>
      <c r="H13" s="26">
        <v>38.081966400146484</v>
      </c>
      <c r="I13" s="26">
        <v>38.229507446289063</v>
      </c>
      <c r="J13" s="26">
        <v>33.569229125976563</v>
      </c>
      <c r="K13" s="26">
        <v>32.705883026123047</v>
      </c>
      <c r="L13" s="26">
        <v>35.952381134033203</v>
      </c>
      <c r="M13" s="26">
        <v>31.508195877075195</v>
      </c>
      <c r="N13" s="26">
        <v>36.224136352539062</v>
      </c>
      <c r="O13" s="23">
        <f t="shared" si="0"/>
        <v>0.12986430120259443</v>
      </c>
      <c r="P13" s="23">
        <f t="shared" si="1"/>
        <v>7.9087524369395715E-2</v>
      </c>
    </row>
    <row r="14" spans="1:17" ht="18" customHeight="1" x14ac:dyDescent="0.2">
      <c r="A14" s="226"/>
      <c r="B14" s="33" t="s">
        <v>53</v>
      </c>
      <c r="C14" s="25"/>
      <c r="D14" s="26">
        <v>149.3673095703125</v>
      </c>
      <c r="E14" s="26">
        <v>153.38998413085937</v>
      </c>
      <c r="F14" s="26">
        <v>155.30914306640625</v>
      </c>
      <c r="G14" s="26">
        <v>154.60627746582031</v>
      </c>
      <c r="H14" s="26">
        <v>160.25712585449219</v>
      </c>
      <c r="I14" s="26">
        <v>158.45655822753906</v>
      </c>
      <c r="J14" s="26">
        <v>154.26211547851562</v>
      </c>
      <c r="K14" s="26">
        <v>153.31285095214844</v>
      </c>
      <c r="L14" s="26">
        <v>158.90873718261719</v>
      </c>
      <c r="M14" s="26">
        <v>151.86314392089844</v>
      </c>
      <c r="N14" s="26">
        <v>157.58935546875</v>
      </c>
      <c r="O14" s="23">
        <f t="shared" si="0"/>
        <v>5.5045819075740202E-2</v>
      </c>
      <c r="P14" s="23">
        <f t="shared" si="1"/>
        <v>2.1568743433301132E-2</v>
      </c>
    </row>
    <row r="15" spans="1:17" ht="18" customHeight="1" x14ac:dyDescent="0.2">
      <c r="A15" s="226"/>
      <c r="B15" s="33" t="s">
        <v>54</v>
      </c>
      <c r="C15" s="27"/>
      <c r="D15" s="28">
        <v>117.12580108642578</v>
      </c>
      <c r="E15" s="28">
        <v>124.43251800537109</v>
      </c>
      <c r="F15" s="28">
        <v>165.23030090332031</v>
      </c>
      <c r="G15" s="28">
        <v>152.95620727539062</v>
      </c>
      <c r="H15" s="28">
        <v>185.66323852539062</v>
      </c>
      <c r="I15" s="28">
        <v>164.05508422851562</v>
      </c>
      <c r="J15" s="28">
        <v>152.90528869628906</v>
      </c>
      <c r="K15" s="28">
        <v>128.536376953125</v>
      </c>
      <c r="L15" s="28">
        <v>152.03575134277344</v>
      </c>
      <c r="M15" s="28">
        <v>138.17584228515625</v>
      </c>
      <c r="N15" s="28">
        <v>115.29751586914062</v>
      </c>
      <c r="O15" s="23">
        <f t="shared" si="0"/>
        <v>-1.5609585593665102E-2</v>
      </c>
      <c r="P15" s="23">
        <f t="shared" si="1"/>
        <v>-0.2459546896500589</v>
      </c>
    </row>
    <row r="16" spans="1:17" ht="18" customHeight="1" x14ac:dyDescent="0.2">
      <c r="A16" s="226"/>
      <c r="B16" s="33" t="s">
        <v>59</v>
      </c>
      <c r="C16" s="27"/>
      <c r="D16" s="28">
        <f ca="1">168.164625*OFFSET(D$112,MATCH($N$1,$C$112:$C$113,0)-1,0)</f>
        <v>168.164625</v>
      </c>
      <c r="E16" s="28">
        <f ca="1">195.68834375*OFFSET(E$112,MATCH($N$1,$C$112:$C$113,0)-1,0)</f>
        <v>195.68834375</v>
      </c>
      <c r="F16" s="28">
        <f ca="1">236.70240625*OFFSET(F$112,MATCH($N$1,$C$112:$C$113,0)-1,0)</f>
        <v>236.70240625</v>
      </c>
      <c r="G16" s="28">
        <f ca="1">259.720734375*OFFSET(G$112,MATCH($N$1,$C$112:$C$113,0)-1,0)</f>
        <v>259.72073437500001</v>
      </c>
      <c r="H16" s="28">
        <f ca="1">271.34634375*OFFSET(H$112,MATCH($N$1,$C$112:$C$113,0)-1,0)</f>
        <v>271.34634375000002</v>
      </c>
      <c r="I16" s="28">
        <f ca="1">257.79475*OFFSET(I$112,MATCH($N$1,$C$112:$C$113,0)-1,0)</f>
        <v>257.79475000000002</v>
      </c>
      <c r="J16" s="28">
        <f ca="1">253.810921875*OFFSET(J$112,MATCH($N$1,$C$112:$C$113,0)-1,0)</f>
        <v>253.81092187499999</v>
      </c>
      <c r="K16" s="28">
        <f ca="1">222.1040625*OFFSET(K$112,MATCH($N$1,$C$112:$C$113,0)-1,0)</f>
        <v>222.1040625</v>
      </c>
      <c r="L16" s="28">
        <f ca="1">260.16190625*OFFSET(L$112,MATCH($N$1,$C$112:$C$113,0)-1,0)</f>
        <v>260.16190625000002</v>
      </c>
      <c r="M16" s="28">
        <f ca="1">268.23715625*OFFSET(M$112,MATCH($N$1,$C$112:$C$113,0)-1,0)</f>
        <v>268.23715625</v>
      </c>
      <c r="N16" s="28">
        <v>193.93228125000002</v>
      </c>
      <c r="O16" s="23">
        <f t="shared" ca="1" si="0"/>
        <v>0.15322875575050351</v>
      </c>
      <c r="P16" s="23">
        <f t="shared" ca="1" si="1"/>
        <v>-0.23591829769441428</v>
      </c>
    </row>
    <row r="17" spans="1:16" ht="18" customHeight="1" x14ac:dyDescent="0.2">
      <c r="A17" s="226"/>
      <c r="B17" s="33" t="s">
        <v>56</v>
      </c>
      <c r="C17" s="25"/>
      <c r="D17" s="26">
        <v>157.84848022460937</v>
      </c>
      <c r="E17" s="26">
        <v>174.01695251464844</v>
      </c>
      <c r="F17" s="26">
        <v>177.90475463867187</v>
      </c>
      <c r="G17" s="26">
        <v>168.67741394042969</v>
      </c>
      <c r="H17" s="26">
        <v>161.80328369140625</v>
      </c>
      <c r="I17" s="26">
        <v>165.32786560058594</v>
      </c>
      <c r="J17" s="26">
        <v>163.30769348144531</v>
      </c>
      <c r="K17" s="26">
        <v>149.45588684082031</v>
      </c>
      <c r="L17" s="26">
        <v>169.85714721679687</v>
      </c>
      <c r="M17" s="26">
        <v>161.54098510742187</v>
      </c>
      <c r="N17" s="26">
        <v>147.18965148925781</v>
      </c>
      <c r="O17" s="23">
        <f t="shared" si="0"/>
        <v>-6.7525697556192227E-2</v>
      </c>
      <c r="P17" s="23">
        <f t="shared" si="1"/>
        <v>-9.8697383133506802E-2</v>
      </c>
    </row>
    <row r="18" spans="1:16" ht="18" customHeight="1" x14ac:dyDescent="0.2">
      <c r="A18" s="226"/>
      <c r="B18" s="33" t="s">
        <v>60</v>
      </c>
      <c r="C18" s="25"/>
      <c r="D18" s="26">
        <v>21.545454025268555</v>
      </c>
      <c r="E18" s="26">
        <v>22.152542114257813</v>
      </c>
      <c r="F18" s="26">
        <v>23.317461013793945</v>
      </c>
      <c r="G18" s="26">
        <v>25.290323257446289</v>
      </c>
      <c r="H18" s="26">
        <v>25.918033599853516</v>
      </c>
      <c r="I18" s="26">
        <v>26.377048492431641</v>
      </c>
      <c r="J18" s="26">
        <v>25.953845977783203</v>
      </c>
      <c r="K18" s="26">
        <v>26</v>
      </c>
      <c r="L18" s="26">
        <v>25.365079879760742</v>
      </c>
      <c r="M18" s="26">
        <v>26.295082092285156</v>
      </c>
      <c r="N18" s="26">
        <v>27.172412872314453</v>
      </c>
      <c r="O18" s="23">
        <f t="shared" si="0"/>
        <v>0.26116687262410848</v>
      </c>
      <c r="P18" s="23">
        <f t="shared" si="1"/>
        <v>4.6951303308741123E-2</v>
      </c>
    </row>
    <row r="19" spans="1:16" ht="18" customHeight="1" x14ac:dyDescent="0.2">
      <c r="A19" s="226"/>
      <c r="B19" s="33" t="s">
        <v>61</v>
      </c>
      <c r="C19" s="25"/>
      <c r="D19" s="34">
        <v>0.74201411008834839</v>
      </c>
      <c r="E19" s="34">
        <v>0.71505975723266602</v>
      </c>
      <c r="F19" s="34">
        <v>0.92875707149505615</v>
      </c>
      <c r="G19" s="34">
        <v>0.90679723024368286</v>
      </c>
      <c r="H19" s="34">
        <v>1.1474627256393433</v>
      </c>
      <c r="I19" s="34">
        <v>0.99230146408081055</v>
      </c>
      <c r="J19" s="34">
        <v>0.9363018274307251</v>
      </c>
      <c r="K19" s="34">
        <v>0.86002886295318604</v>
      </c>
      <c r="L19" s="34">
        <v>0.8950800895690918</v>
      </c>
      <c r="M19" s="34">
        <v>0.85536092519760132</v>
      </c>
      <c r="N19" s="34">
        <v>0.78332620859146118</v>
      </c>
      <c r="O19" s="23">
        <f t="shared" si="0"/>
        <v>5.567562387485319E-2</v>
      </c>
      <c r="P19" s="23">
        <f t="shared" si="1"/>
        <v>-0.16338280494340085</v>
      </c>
    </row>
    <row r="20" spans="1:16" ht="18" customHeight="1" x14ac:dyDescent="0.2">
      <c r="A20" s="227"/>
      <c r="B20" s="35" t="s">
        <v>24</v>
      </c>
      <c r="C20" s="36"/>
      <c r="D20" s="37">
        <f ca="1">1436*OFFSET(D$112,MATCH($N$1,$C$112:$C$113,0)-1,0)</f>
        <v>1436</v>
      </c>
      <c r="E20" s="37">
        <f ca="1">1573*OFFSET(E$112,MATCH($N$1,$C$112:$C$113,0)-1,0)</f>
        <v>1573</v>
      </c>
      <c r="F20" s="37">
        <f ca="1">1433*OFFSET(F$112,MATCH($N$1,$C$112:$C$113,0)-1,0)</f>
        <v>1433</v>
      </c>
      <c r="G20" s="37">
        <f ca="1">1698*OFFSET(G$112,MATCH($N$1,$C$112:$C$113,0)-1,0)</f>
        <v>1698</v>
      </c>
      <c r="H20" s="37">
        <f ca="1">1461*OFFSET(H$112,MATCH($N$1,$C$112:$C$113,0)-1,0)</f>
        <v>1461</v>
      </c>
      <c r="I20" s="37">
        <f ca="1">1571*OFFSET(I$112,MATCH($N$1,$C$112:$C$113,0)-1,0)</f>
        <v>1571</v>
      </c>
      <c r="J20" s="37">
        <f ca="1">1660*OFFSET(J$112,MATCH($N$1,$C$112:$C$113,0)-1,0)</f>
        <v>1660</v>
      </c>
      <c r="K20" s="37">
        <f ca="1">1728*OFFSET(K$112,MATCH($N$1,$C$112:$C$113,0)-1,0)</f>
        <v>1728</v>
      </c>
      <c r="L20" s="37">
        <f ca="1">1711*OFFSET(L$112,MATCH($N$1,$C$112:$C$113,0)-1,0)</f>
        <v>1711</v>
      </c>
      <c r="M20" s="37">
        <f ca="1">1941*OFFSET(M$112,MATCH($N$1,$C$112:$C$113,0)-1,0)</f>
        <v>1941</v>
      </c>
      <c r="N20" s="37">
        <v>1682</v>
      </c>
      <c r="O20" s="29">
        <f t="shared" ca="1" si="0"/>
        <v>0.1713091922005571</v>
      </c>
      <c r="P20" s="29">
        <f t="shared" ca="1" si="1"/>
        <v>1.3253012048192771E-2</v>
      </c>
    </row>
    <row r="21" spans="1:16" ht="18" customHeight="1" x14ac:dyDescent="0.2">
      <c r="A21" s="228" t="s">
        <v>25</v>
      </c>
      <c r="B21" s="30" t="s">
        <v>62</v>
      </c>
      <c r="C21" s="38"/>
      <c r="D21" s="39">
        <v>3.7987568453234051</v>
      </c>
      <c r="E21" s="39">
        <v>3.5623307147888714</v>
      </c>
      <c r="F21" s="39">
        <v>4.6261995502140412</v>
      </c>
      <c r="G21" s="39">
        <v>4.4979952140553889</v>
      </c>
      <c r="H21" s="39">
        <v>5.399652033029704</v>
      </c>
      <c r="I21" s="39">
        <v>4.8627880970355344</v>
      </c>
      <c r="J21" s="39">
        <v>4.6352351020909133</v>
      </c>
      <c r="K21" s="39">
        <v>4.1546736667718207</v>
      </c>
      <c r="L21" s="39">
        <v>4.1247542620845525</v>
      </c>
      <c r="M21" s="39">
        <v>4.1677244885900446</v>
      </c>
      <c r="N21" s="39">
        <v>3.6173686978507131</v>
      </c>
      <c r="O21" s="23">
        <f t="shared" si="0"/>
        <v>-4.7749344024479029E-2</v>
      </c>
      <c r="P21" s="23">
        <f t="shared" si="1"/>
        <v>-0.21959326373349428</v>
      </c>
    </row>
    <row r="22" spans="1:16" ht="18" customHeight="1" x14ac:dyDescent="0.2">
      <c r="A22" s="228"/>
      <c r="B22" s="33" t="s">
        <v>63</v>
      </c>
      <c r="C22" s="25"/>
      <c r="D22" s="34">
        <f ca="1">5.45410587961416*OFFSET(D$112,MATCH($N$1,$C$112:$C$113,0)-1,0)</f>
        <v>5.4541058796141604</v>
      </c>
      <c r="E22" s="34">
        <f ca="1">5.60228635280609*OFFSET(E$112,MATCH($N$1,$C$112:$C$113,0)-1,0)</f>
        <v>5.6022863528060904</v>
      </c>
      <c r="F22" s="34">
        <f ca="1">6.62731084638681*OFFSET(F$112,MATCH($N$1,$C$112:$C$113,0)-1,0)</f>
        <v>6.62731084638681</v>
      </c>
      <c r="G22" s="34">
        <f ca="1">7.63762805720182*OFFSET(G$112,MATCH($N$1,$C$112:$C$113,0)-1,0)</f>
        <v>7.6376280572018196</v>
      </c>
      <c r="H22" s="34">
        <f ca="1">7.89157750517474*OFFSET(H$112,MATCH($N$1,$C$112:$C$113,0)-1,0)</f>
        <v>7.8915775051747401</v>
      </c>
      <c r="I22" s="34">
        <f ca="1">7.64134344067072*OFFSET(I$112,MATCH($N$1,$C$112:$C$113,0)-1,0)</f>
        <v>7.6413434406707204</v>
      </c>
      <c r="J22" s="34">
        <f ca="1">7.6941308204574*OFFSET(J$112,MATCH($N$1,$C$112:$C$113,0)-1,0)</f>
        <v>7.6941308204574002</v>
      </c>
      <c r="K22" s="34">
        <f ca="1">7.17905640119537*OFFSET(K$112,MATCH($N$1,$C$112:$C$113,0)-1,0)</f>
        <v>7.1790564011953704</v>
      </c>
      <c r="L22" s="34">
        <f ca="1">7.05823414663406*OFFSET(L$112,MATCH($N$1,$C$112:$C$113,0)-1,0)</f>
        <v>7.0582341466340601</v>
      </c>
      <c r="M22" s="34">
        <f ca="1">8.09069477243183*OFFSET(M$112,MATCH($N$1,$C$112:$C$113,0)-1,0)</f>
        <v>8.0906947724318297</v>
      </c>
      <c r="N22" s="34">
        <v>6.0844724919549966</v>
      </c>
      <c r="O22" s="23">
        <f t="shared" ca="1" si="0"/>
        <v>0.11557652642882507</v>
      </c>
      <c r="P22" s="23">
        <f t="shared" ca="1" si="1"/>
        <v>-0.20920599949023386</v>
      </c>
    </row>
    <row r="23" spans="1:16" ht="18" customHeight="1" x14ac:dyDescent="0.2">
      <c r="A23" s="228"/>
      <c r="B23" s="33" t="s">
        <v>11</v>
      </c>
      <c r="C23" s="25"/>
      <c r="D23" s="34">
        <f ca="1">4.52285723957286*OFFSET(D$112,MATCH($N$1,$C$112:$C$113,0)-1,0)</f>
        <v>4.5228572395728603</v>
      </c>
      <c r="E23" s="34">
        <f ca="1">4.57944661319564*OFFSET(E$112,MATCH($N$1,$C$112:$C$113,0)-1,0)</f>
        <v>4.5794466131956399</v>
      </c>
      <c r="F23" s="34">
        <f ca="1">5.31077291810692*OFFSET(F$112,MATCH($N$1,$C$112:$C$113,0)-1,0)</f>
        <v>5.3107729181069203</v>
      </c>
      <c r="G23" s="34">
        <f ca="1">7.32037843349181*OFFSET(G$112,MATCH($N$1,$C$112:$C$113,0)-1,0)</f>
        <v>7.3203784334918103</v>
      </c>
      <c r="H23" s="34">
        <f ca="1">6.70268705736403*OFFSET(H$112,MATCH($N$1,$C$112:$C$113,0)-1,0)</f>
        <v>6.70268705736403</v>
      </c>
      <c r="I23" s="34">
        <f ca="1">6.44184113189983*OFFSET(I$112,MATCH($N$1,$C$112:$C$113,0)-1,0)</f>
        <v>6.4418411318998299</v>
      </c>
      <c r="J23" s="34">
        <f ca="1">5.94085859495507*OFFSET(J$112,MATCH($N$1,$C$112:$C$113,0)-1,0)</f>
        <v>5.9408585949550696</v>
      </c>
      <c r="K23" s="34">
        <f ca="1">5.78242593832644*OFFSET(K$112,MATCH($N$1,$C$112:$C$113,0)-1,0)</f>
        <v>5.7824259383264396</v>
      </c>
      <c r="L23" s="34">
        <f ca="1">4.83833932475363*OFFSET(L$112,MATCH($N$1,$C$112:$C$113,0)-1,0)</f>
        <v>4.8383393247536297</v>
      </c>
      <c r="M23" s="34">
        <f ca="1">5.44970415743677*OFFSET(M$112,MATCH($N$1,$C$112:$C$113,0)-1,0)</f>
        <v>5.4497041574367699</v>
      </c>
      <c r="N23" s="34">
        <v>4.3451850389129083</v>
      </c>
      <c r="O23" s="23">
        <f t="shared" ca="1" si="0"/>
        <v>-3.9283176816947561E-2</v>
      </c>
      <c r="P23" s="23">
        <f t="shared" ca="1" si="1"/>
        <v>-0.26859308810972116</v>
      </c>
    </row>
    <row r="24" spans="1:16" ht="18" customHeight="1" x14ac:dyDescent="0.2">
      <c r="A24" s="228"/>
      <c r="B24" s="33" t="s">
        <v>12</v>
      </c>
      <c r="C24" s="25"/>
      <c r="D24" s="34">
        <f ca="1">0.977987213616849*OFFSET(D$112,MATCH($N$1,$C$112:$C$113,0)-1,0)</f>
        <v>0.97798721361684904</v>
      </c>
      <c r="E24" s="34">
        <f ca="1">1.05511489356753*OFFSET(E$112,MATCH($N$1,$C$112:$C$113,0)-1,0)</f>
        <v>1.0551148935675301</v>
      </c>
      <c r="F24" s="34">
        <f ca="1">1.56111507938721*OFFSET(F$112,MATCH($N$1,$C$112:$C$113,0)-1,0)</f>
        <v>1.5611150793872099</v>
      </c>
      <c r="G24" s="34">
        <f ca="1">0.317249623710009*OFFSET(G$112,MATCH($N$1,$C$112:$C$113,0)-1,0)</f>
        <v>0.31724962371000898</v>
      </c>
      <c r="H24" s="34">
        <f ca="1">1.55195685712273*OFFSET(H$112,MATCH($N$1,$C$112:$C$113,0)-1,0)</f>
        <v>1.55195685712273</v>
      </c>
      <c r="I24" s="34">
        <f ca="1">1.29024827971095*OFFSET(I$112,MATCH($N$1,$C$112:$C$113,0)-1,0)</f>
        <v>1.29024827971095</v>
      </c>
      <c r="J24" s="34">
        <f ca="1">1.82666652930445*OFFSET(J$112,MATCH($N$1,$C$112:$C$113,0)-1,0)</f>
        <v>1.8266665293044499</v>
      </c>
      <c r="K24" s="34">
        <f ca="1">1.60016307933584*OFFSET(K$112,MATCH($N$1,$C$112:$C$113,0)-1,0)</f>
        <v>1.6001630793358399</v>
      </c>
      <c r="L24" s="34">
        <f ca="1">2.33300363830283*OFFSET(L$112,MATCH($N$1,$C$112:$C$113,0)-1,0)</f>
        <v>2.3330036383028299</v>
      </c>
      <c r="M24" s="34">
        <f ca="1">2.79207914725989*OFFSET(M$112,MATCH($N$1,$C$112:$C$113,0)-1,0)</f>
        <v>2.7920791472598898</v>
      </c>
      <c r="N24" s="34">
        <v>1.8529110764755607</v>
      </c>
      <c r="O24" s="23">
        <f t="shared" ca="1" si="0"/>
        <v>0.89461687297834658</v>
      </c>
      <c r="P24" s="23">
        <f t="shared" ca="1" si="1"/>
        <v>1.4367453911308094E-2</v>
      </c>
    </row>
    <row r="25" spans="1:16" ht="18" customHeight="1" x14ac:dyDescent="0.2">
      <c r="A25" s="228"/>
      <c r="B25" s="33" t="s">
        <v>64</v>
      </c>
      <c r="C25" s="25"/>
      <c r="D25" s="28"/>
      <c r="E25" s="28">
        <f ca="1">60.51*OFFSET(E$112,MATCH($N$1,$C$112:$C$113,0)-1,0)</f>
        <v>60.51</v>
      </c>
      <c r="F25" s="28">
        <f ca="1">62.64*OFFSET(F$112,MATCH($N$1,$C$112:$C$113,0)-1,0)</f>
        <v>62.64</v>
      </c>
      <c r="G25" s="28">
        <f ca="1">63.48*OFFSET(G$112,MATCH($N$1,$C$112:$C$113,0)-1,0)</f>
        <v>63.48</v>
      </c>
      <c r="H25" s="28">
        <f ca="1">69.52*OFFSET(H$112,MATCH($N$1,$C$112:$C$113,0)-1,0)</f>
        <v>69.52</v>
      </c>
      <c r="I25" s="28">
        <f ca="1">62.51*OFFSET(I$112,MATCH($N$1,$C$112:$C$113,0)-1,0)</f>
        <v>62.51</v>
      </c>
      <c r="J25" s="28">
        <f ca="1">82.56*OFFSET(J$112,MATCH($N$1,$C$112:$C$113,0)-1,0)</f>
        <v>82.56</v>
      </c>
      <c r="K25" s="28">
        <f ca="1">74.64*OFFSET(K$112,MATCH($N$1,$C$112:$C$113,0)-1,0)</f>
        <v>74.64</v>
      </c>
      <c r="L25" s="28">
        <f ca="1">92.64*OFFSET(L$112,MATCH($N$1,$C$112:$C$113,0)-1,0)</f>
        <v>92.64</v>
      </c>
      <c r="M25" s="28">
        <f ca="1">72.82*OFFSET(M$112,MATCH($N$1,$C$112:$C$113,0)-1,0)</f>
        <v>72.819999999999993</v>
      </c>
      <c r="N25" s="28">
        <v>59.17</v>
      </c>
      <c r="O25" s="23" t="str">
        <f t="shared" si="0"/>
        <v/>
      </c>
      <c r="P25" s="23">
        <f t="shared" ca="1" si="1"/>
        <v>-0.28330910852713176</v>
      </c>
    </row>
    <row r="26" spans="1:16" ht="18" customHeight="1" x14ac:dyDescent="0.2">
      <c r="A26" s="229"/>
      <c r="B26" s="33" t="s">
        <v>65</v>
      </c>
      <c r="C26" s="40"/>
      <c r="D26" s="28"/>
      <c r="E26" s="28">
        <f ca="1">11.41*OFFSET(E$112,MATCH($N$1,$C$112:$C$113,0)-1,0)</f>
        <v>11.41</v>
      </c>
      <c r="F26" s="28">
        <f ca="1">14.77*OFFSET(F$112,MATCH($N$1,$C$112:$C$113,0)-1,0)</f>
        <v>14.77</v>
      </c>
      <c r="G26" s="28">
        <f ca="1">2.64*OFFSET(G$112,MATCH($N$1,$C$112:$C$113,0)-1,0)</f>
        <v>2.64</v>
      </c>
      <c r="H26" s="28">
        <f ca="1">13.68*OFFSET(H$112,MATCH($N$1,$C$112:$C$113,0)-1,0)</f>
        <v>13.68</v>
      </c>
      <c r="I26" s="28">
        <f ca="1">10.55*OFFSET(I$112,MATCH($N$1,$C$112:$C$113,0)-1,0)</f>
        <v>10.55</v>
      </c>
      <c r="J26" s="28">
        <f ca="1">19.62*OFFSET(J$112,MATCH($N$1,$C$112:$C$113,0)-1,0)</f>
        <v>19.62</v>
      </c>
      <c r="K26" s="28">
        <f ca="1">16.63*OFFSET(K$112,MATCH($N$1,$C$112:$C$113,0)-1,0)</f>
        <v>16.63</v>
      </c>
      <c r="L26" s="28">
        <f ca="1">30.62*OFFSET(L$112,MATCH($N$1,$C$112:$C$113,0)-1,0)</f>
        <v>30.62</v>
      </c>
      <c r="M26" s="28">
        <f ca="1">25.14*OFFSET(M$112,MATCH($N$1,$C$112:$C$113,0)-1,0)</f>
        <v>25.14</v>
      </c>
      <c r="N26" s="28">
        <v>18.04</v>
      </c>
      <c r="O26" s="29" t="str">
        <f t="shared" si="0"/>
        <v/>
      </c>
      <c r="P26" s="29">
        <f t="shared" ca="1" si="1"/>
        <v>-8.0530071355759514E-2</v>
      </c>
    </row>
    <row r="27" spans="1:16" ht="18" customHeight="1" x14ac:dyDescent="0.2">
      <c r="A27" s="230" t="s">
        <v>26</v>
      </c>
      <c r="B27" s="30" t="s">
        <v>59</v>
      </c>
      <c r="C27" s="31"/>
      <c r="D27" s="32">
        <f ca="1">168.2*OFFSET(D$112,MATCH($N$1,$C$112:$C$113,0)-1,0)</f>
        <v>168.2</v>
      </c>
      <c r="E27" s="32">
        <f ca="1">195.7*OFFSET(E$112,MATCH($N$1,$C$112:$C$113,0)-1,0)</f>
        <v>195.7</v>
      </c>
      <c r="F27" s="32">
        <f ca="1">236.7*OFFSET(F$112,MATCH($N$1,$C$112:$C$113,0)-1,0)</f>
        <v>236.7</v>
      </c>
      <c r="G27" s="32">
        <f ca="1">259.7*OFFSET(G$112,MATCH($N$1,$C$112:$C$113,0)-1,0)</f>
        <v>259.7</v>
      </c>
      <c r="H27" s="32">
        <f ca="1">271.3*OFFSET(H$112,MATCH($N$1,$C$112:$C$113,0)-1,0)</f>
        <v>271.3</v>
      </c>
      <c r="I27" s="32">
        <f ca="1">257.8*OFFSET(I$112,MATCH($N$1,$C$112:$C$113,0)-1,0)</f>
        <v>257.8</v>
      </c>
      <c r="J27" s="32">
        <f ca="1">253.8*OFFSET(J$112,MATCH($N$1,$C$112:$C$113,0)-1,0)</f>
        <v>253.8</v>
      </c>
      <c r="K27" s="32">
        <f ca="1">222.1*OFFSET(K$112,MATCH($N$1,$C$112:$C$113,0)-1,0)</f>
        <v>222.1</v>
      </c>
      <c r="L27" s="32">
        <f ca="1">260.2*OFFSET(L$112,MATCH($N$1,$C$112:$C$113,0)-1,0)</f>
        <v>260.2</v>
      </c>
      <c r="M27" s="32">
        <f ca="1">268.2*OFFSET(M$112,MATCH($N$1,$C$112:$C$113,0)-1,0)</f>
        <v>268.2</v>
      </c>
      <c r="N27" s="32">
        <v>193.9</v>
      </c>
      <c r="O27" s="23">
        <f t="shared" ca="1" si="0"/>
        <v>0.15279429250891807</v>
      </c>
      <c r="P27" s="23">
        <f t="shared" ca="1" si="1"/>
        <v>-0.23601260835303389</v>
      </c>
    </row>
    <row r="28" spans="1:16" ht="18" customHeight="1" x14ac:dyDescent="0.2">
      <c r="A28" s="231"/>
      <c r="B28" s="33" t="s">
        <v>66</v>
      </c>
      <c r="C28" s="27"/>
      <c r="D28" s="28">
        <f ca="1">1.4*OFFSET(D$112,MATCH($N$1,$C$112:$C$113,0)-1,0)</f>
        <v>1.4</v>
      </c>
      <c r="E28" s="28">
        <f ca="1">1.1*OFFSET(E$112,MATCH($N$1,$C$112:$C$113,0)-1,0)</f>
        <v>1.1000000000000001</v>
      </c>
      <c r="F28" s="28">
        <f ca="1">8.7*OFFSET(F$112,MATCH($N$1,$C$112:$C$113,0)-1,0)</f>
        <v>8.6999999999999993</v>
      </c>
      <c r="G28" s="28"/>
      <c r="H28" s="28">
        <f ca="1">12.5*OFFSET(H$112,MATCH($N$1,$C$112:$C$113,0)-1,0)</f>
        <v>12.5</v>
      </c>
      <c r="I28" s="28">
        <f ca="1">3.1*OFFSET(I$112,MATCH($N$1,$C$112:$C$113,0)-1,0)</f>
        <v>3.1</v>
      </c>
      <c r="J28" s="28">
        <f ca="1">2.4*OFFSET(J$112,MATCH($N$1,$C$112:$C$113,0)-1,0)</f>
        <v>2.4</v>
      </c>
      <c r="K28" s="28">
        <f ca="1">6.3*OFFSET(K$112,MATCH($N$1,$C$112:$C$113,0)-1,0)</f>
        <v>6.3</v>
      </c>
      <c r="L28" s="28">
        <f ca="1">4.2*OFFSET(L$112,MATCH($N$1,$C$112:$C$113,0)-1,0)</f>
        <v>4.2</v>
      </c>
      <c r="M28" s="28">
        <f ca="1">5*OFFSET(M$112,MATCH($N$1,$C$112:$C$113,0)-1,0)</f>
        <v>5</v>
      </c>
      <c r="N28" s="28">
        <v>3.6</v>
      </c>
      <c r="O28" s="23">
        <f t="shared" ca="1" si="0"/>
        <v>1.5714285714285716</v>
      </c>
      <c r="P28" s="23">
        <f t="shared" ca="1" si="1"/>
        <v>0.50000000000000011</v>
      </c>
    </row>
    <row r="29" spans="1:16" ht="18" customHeight="1" x14ac:dyDescent="0.2">
      <c r="A29" s="231"/>
      <c r="B29" s="41" t="s">
        <v>67</v>
      </c>
      <c r="C29" s="42"/>
      <c r="D29" s="43">
        <f ca="1">169.6*OFFSET(D$112,MATCH($N$1,$C$112:$C$113,0)-1,0)</f>
        <v>169.6</v>
      </c>
      <c r="E29" s="43">
        <f ca="1">196.8*OFFSET(E$112,MATCH($N$1,$C$112:$C$113,0)-1,0)</f>
        <v>196.8</v>
      </c>
      <c r="F29" s="43">
        <f ca="1">245.4*OFFSET(F$112,MATCH($N$1,$C$112:$C$113,0)-1,0)</f>
        <v>245.4</v>
      </c>
      <c r="G29" s="43">
        <f ca="1">259.7*OFFSET(G$112,MATCH($N$1,$C$112:$C$113,0)-1,0)</f>
        <v>259.7</v>
      </c>
      <c r="H29" s="43">
        <f ca="1">283.8*OFFSET(H$112,MATCH($N$1,$C$112:$C$113,0)-1,0)</f>
        <v>283.8</v>
      </c>
      <c r="I29" s="43">
        <f ca="1">260.9*OFFSET(I$112,MATCH($N$1,$C$112:$C$113,0)-1,0)</f>
        <v>260.89999999999998</v>
      </c>
      <c r="J29" s="43">
        <f ca="1">256.2*OFFSET(J$112,MATCH($N$1,$C$112:$C$113,0)-1,0)</f>
        <v>256.2</v>
      </c>
      <c r="K29" s="43">
        <f ca="1">228.4*OFFSET(K$112,MATCH($N$1,$C$112:$C$113,0)-1,0)</f>
        <v>228.4</v>
      </c>
      <c r="L29" s="43">
        <f ca="1">264.3*OFFSET(L$112,MATCH($N$1,$C$112:$C$113,0)-1,0)</f>
        <v>264.3</v>
      </c>
      <c r="M29" s="43">
        <f ca="1">273.2*OFFSET(M$112,MATCH($N$1,$C$112:$C$113,0)-1,0)</f>
        <v>273.2</v>
      </c>
      <c r="N29" s="43">
        <v>197.6</v>
      </c>
      <c r="O29" s="23">
        <f t="shared" ca="1" si="0"/>
        <v>0.16509433962264153</v>
      </c>
      <c r="P29" s="23">
        <f t="shared" ca="1" si="1"/>
        <v>-0.22872755659640903</v>
      </c>
    </row>
    <row r="30" spans="1:16" ht="18" customHeight="1" x14ac:dyDescent="0.2">
      <c r="A30" s="231"/>
      <c r="B30" s="33" t="s">
        <v>68</v>
      </c>
      <c r="C30" s="27"/>
      <c r="D30" s="28">
        <f ca="1">37.7*OFFSET(D$112,MATCH($N$1,$C$112:$C$113,0)-1,0)</f>
        <v>37.700000000000003</v>
      </c>
      <c r="E30" s="28">
        <f ca="1">28.9*OFFSET(E$112,MATCH($N$1,$C$112:$C$113,0)-1,0)</f>
        <v>28.9</v>
      </c>
      <c r="F30" s="28">
        <f ca="1">37.9*OFFSET(F$112,MATCH($N$1,$C$112:$C$113,0)-1,0)</f>
        <v>37.9</v>
      </c>
      <c r="G30" s="28">
        <f ca="1">46.6*OFFSET(G$112,MATCH($N$1,$C$112:$C$113,0)-1,0)</f>
        <v>46.6</v>
      </c>
      <c r="H30" s="28">
        <f ca="1">45.9*OFFSET(H$112,MATCH($N$1,$C$112:$C$113,0)-1,0)</f>
        <v>45.9</v>
      </c>
      <c r="I30" s="28">
        <f ca="1">45.1*OFFSET(I$112,MATCH($N$1,$C$112:$C$113,0)-1,0)</f>
        <v>45.1</v>
      </c>
      <c r="J30" s="28">
        <f ca="1">39.8*OFFSET(J$112,MATCH($N$1,$C$112:$C$113,0)-1,0)</f>
        <v>39.799999999999997</v>
      </c>
      <c r="K30" s="28">
        <f ca="1">25.7*OFFSET(K$112,MATCH($N$1,$C$112:$C$113,0)-1,0)</f>
        <v>25.7</v>
      </c>
      <c r="L30" s="28">
        <f ca="1">26.9*OFFSET(L$112,MATCH($N$1,$C$112:$C$113,0)-1,0)</f>
        <v>26.9</v>
      </c>
      <c r="M30" s="28">
        <f ca="1">30.9*OFFSET(M$112,MATCH($N$1,$C$112:$C$113,0)-1,0)</f>
        <v>30.9</v>
      </c>
      <c r="N30" s="28">
        <v>33.4</v>
      </c>
      <c r="O30" s="23">
        <f t="shared" ca="1" si="0"/>
        <v>-0.11405835543766589</v>
      </c>
      <c r="P30" s="23">
        <f t="shared" ca="1" si="1"/>
        <v>-0.16080402010050249</v>
      </c>
    </row>
    <row r="31" spans="1:16" ht="18" customHeight="1" x14ac:dyDescent="0.2">
      <c r="A31" s="231"/>
      <c r="B31" s="33" t="s">
        <v>69</v>
      </c>
      <c r="C31" s="27"/>
      <c r="D31" s="28">
        <f ca="1">35.2*OFFSET(D$112,MATCH($N$1,$C$112:$C$113,0)-1,0)</f>
        <v>35.200000000000003</v>
      </c>
      <c r="E31" s="28">
        <f ca="1">51.2*OFFSET(E$112,MATCH($N$1,$C$112:$C$113,0)-1,0)</f>
        <v>51.2</v>
      </c>
      <c r="F31" s="28">
        <f ca="1">54.6*OFFSET(F$112,MATCH($N$1,$C$112:$C$113,0)-1,0)</f>
        <v>54.6</v>
      </c>
      <c r="G31" s="28">
        <f ca="1">78.3*OFFSET(G$112,MATCH($N$1,$C$112:$C$113,0)-1,0)</f>
        <v>78.3</v>
      </c>
      <c r="H31" s="28">
        <f ca="1">68.9*OFFSET(H$112,MATCH($N$1,$C$112:$C$113,0)-1,0)</f>
        <v>68.900000000000006</v>
      </c>
      <c r="I31" s="28">
        <f ca="1">63.4*OFFSET(I$112,MATCH($N$1,$C$112:$C$113,0)-1,0)</f>
        <v>63.4</v>
      </c>
      <c r="J31" s="28">
        <f ca="1">51.2*OFFSET(J$112,MATCH($N$1,$C$112:$C$113,0)-1,0)</f>
        <v>51.2</v>
      </c>
      <c r="K31" s="28">
        <f ca="1">49.6*OFFSET(K$112,MATCH($N$1,$C$112:$C$113,0)-1,0)</f>
        <v>49.6</v>
      </c>
      <c r="L31" s="28">
        <f ca="1">54.2*OFFSET(L$112,MATCH($N$1,$C$112:$C$113,0)-1,0)</f>
        <v>54.2</v>
      </c>
      <c r="M31" s="28">
        <f ca="1">57.5*OFFSET(M$112,MATCH($N$1,$C$112:$C$113,0)-1,0)</f>
        <v>57.5</v>
      </c>
      <c r="N31" s="28">
        <v>38.4</v>
      </c>
      <c r="O31" s="23">
        <f t="shared" ca="1" si="0"/>
        <v>9.0909090909090787E-2</v>
      </c>
      <c r="P31" s="23">
        <f t="shared" ca="1" si="1"/>
        <v>-0.25000000000000006</v>
      </c>
    </row>
    <row r="32" spans="1:16" ht="18" customHeight="1" x14ac:dyDescent="0.2">
      <c r="A32" s="231"/>
      <c r="B32" s="33" t="s">
        <v>70</v>
      </c>
      <c r="C32" s="27"/>
      <c r="D32" s="28">
        <f ca="1">20*OFFSET(D$112,MATCH($N$1,$C$112:$C$113,0)-1,0)</f>
        <v>20</v>
      </c>
      <c r="E32" s="28">
        <f ca="1">28.9*OFFSET(E$112,MATCH($N$1,$C$112:$C$113,0)-1,0)</f>
        <v>28.9</v>
      </c>
      <c r="F32" s="28">
        <f ca="1">44.6*OFFSET(F$112,MATCH($N$1,$C$112:$C$113,0)-1,0)</f>
        <v>44.6</v>
      </c>
      <c r="G32" s="28">
        <f ca="1">86*OFFSET(G$112,MATCH($N$1,$C$112:$C$113,0)-1,0)</f>
        <v>86</v>
      </c>
      <c r="H32" s="28">
        <f ca="1">49.5*OFFSET(H$112,MATCH($N$1,$C$112:$C$113,0)-1,0)</f>
        <v>49.5</v>
      </c>
      <c r="I32" s="28">
        <f ca="1">68.4*OFFSET(I$112,MATCH($N$1,$C$112:$C$113,0)-1,0)</f>
        <v>68.400000000000006</v>
      </c>
      <c r="J32" s="28">
        <f ca="1">70*OFFSET(J$112,MATCH($N$1,$C$112:$C$113,0)-1,0)</f>
        <v>70</v>
      </c>
      <c r="K32" s="28">
        <f ca="1">46.4*OFFSET(K$112,MATCH($N$1,$C$112:$C$113,0)-1,0)</f>
        <v>46.4</v>
      </c>
      <c r="L32" s="28">
        <f ca="1">54.9*OFFSET(L$112,MATCH($N$1,$C$112:$C$113,0)-1,0)</f>
        <v>54.9</v>
      </c>
      <c r="M32" s="28">
        <f ca="1">38.4*OFFSET(M$112,MATCH($N$1,$C$112:$C$113,0)-1,0)</f>
        <v>38.4</v>
      </c>
      <c r="N32" s="28">
        <v>27.8</v>
      </c>
      <c r="O32" s="23">
        <f t="shared" ca="1" si="0"/>
        <v>0.39</v>
      </c>
      <c r="P32" s="23">
        <f t="shared" ca="1" si="1"/>
        <v>-0.60285714285714287</v>
      </c>
    </row>
    <row r="33" spans="1:16" ht="18" customHeight="1" x14ac:dyDescent="0.2">
      <c r="A33" s="231"/>
      <c r="B33" s="33" t="s">
        <v>71</v>
      </c>
      <c r="C33" s="27"/>
      <c r="D33" s="28">
        <f ca="1">92.9*OFFSET(D$112,MATCH($N$1,$C$112:$C$113,0)-1,0)</f>
        <v>92.9</v>
      </c>
      <c r="E33" s="28">
        <f ca="1">109*OFFSET(E$112,MATCH($N$1,$C$112:$C$113,0)-1,0)</f>
        <v>109</v>
      </c>
      <c r="F33" s="28">
        <f ca="1">137.1*OFFSET(F$112,MATCH($N$1,$C$112:$C$113,0)-1,0)</f>
        <v>137.1</v>
      </c>
      <c r="G33" s="28">
        <f ca="1">210.9*OFFSET(G$112,MATCH($N$1,$C$112:$C$113,0)-1,0)</f>
        <v>210.9</v>
      </c>
      <c r="H33" s="28">
        <f ca="1">164.3*OFFSET(H$112,MATCH($N$1,$C$112:$C$113,0)-1,0)</f>
        <v>164.3</v>
      </c>
      <c r="I33" s="28">
        <f ca="1">176.9*OFFSET(I$112,MATCH($N$1,$C$112:$C$113,0)-1,0)</f>
        <v>176.9</v>
      </c>
      <c r="J33" s="28">
        <f ca="1">160.9*OFFSET(J$112,MATCH($N$1,$C$112:$C$113,0)-1,0)</f>
        <v>160.9</v>
      </c>
      <c r="K33" s="28">
        <f ca="1">121.7*OFFSET(K$112,MATCH($N$1,$C$112:$C$113,0)-1,0)</f>
        <v>121.7</v>
      </c>
      <c r="L33" s="28">
        <f ca="1">136.1*OFFSET(L$112,MATCH($N$1,$C$112:$C$113,0)-1,0)</f>
        <v>136.1</v>
      </c>
      <c r="M33" s="28">
        <f ca="1">126.8*OFFSET(M$112,MATCH($N$1,$C$112:$C$113,0)-1,0)</f>
        <v>126.8</v>
      </c>
      <c r="N33" s="28">
        <v>99.5</v>
      </c>
      <c r="O33" s="23">
        <f t="shared" ca="1" si="0"/>
        <v>7.1044133476856772E-2</v>
      </c>
      <c r="P33" s="23">
        <f t="shared" ca="1" si="1"/>
        <v>-0.38160348042262277</v>
      </c>
    </row>
    <row r="34" spans="1:16" ht="18" customHeight="1" x14ac:dyDescent="0.2">
      <c r="A34" s="231"/>
      <c r="B34" s="33" t="s">
        <v>72</v>
      </c>
      <c r="C34" s="27"/>
      <c r="D34" s="28">
        <f ca="1">46.5*OFFSET(D$112,MATCH($N$1,$C$112:$C$113,0)-1,0)</f>
        <v>46.5</v>
      </c>
      <c r="E34" s="28">
        <f ca="1">51*OFFSET(E$112,MATCH($N$1,$C$112:$C$113,0)-1,0)</f>
        <v>51</v>
      </c>
      <c r="F34" s="28">
        <f ca="1">52.5*OFFSET(F$112,MATCH($N$1,$C$112:$C$113,0)-1,0)</f>
        <v>52.5</v>
      </c>
      <c r="G34" s="28">
        <f ca="1">38*OFFSET(G$112,MATCH($N$1,$C$112:$C$113,0)-1,0)</f>
        <v>38</v>
      </c>
      <c r="H34" s="28">
        <f ca="1">66.2*OFFSET(H$112,MATCH($N$1,$C$112:$C$113,0)-1,0)</f>
        <v>66.2</v>
      </c>
      <c r="I34" s="28">
        <f ca="1">40.4*OFFSET(I$112,MATCH($N$1,$C$112:$C$113,0)-1,0)</f>
        <v>40.4</v>
      </c>
      <c r="J34" s="28">
        <f ca="1">35*OFFSET(J$112,MATCH($N$1,$C$112:$C$113,0)-1,0)</f>
        <v>35</v>
      </c>
      <c r="K34" s="28">
        <f ca="1">57.2*OFFSET(K$112,MATCH($N$1,$C$112:$C$113,0)-1,0)</f>
        <v>57.2</v>
      </c>
      <c r="L34" s="28">
        <f ca="1">42.3*OFFSET(L$112,MATCH($N$1,$C$112:$C$113,0)-1,0)</f>
        <v>42.3</v>
      </c>
      <c r="M34" s="28">
        <f ca="1">53.9*OFFSET(M$112,MATCH($N$1,$C$112:$C$113,0)-1,0)</f>
        <v>53.9</v>
      </c>
      <c r="N34" s="28">
        <v>39</v>
      </c>
      <c r="O34" s="23">
        <f t="shared" ca="1" si="0"/>
        <v>-0.16129032258064516</v>
      </c>
      <c r="P34" s="23">
        <f t="shared" ca="1" si="1"/>
        <v>0.11428571428571428</v>
      </c>
    </row>
    <row r="35" spans="1:16" ht="18" customHeight="1" x14ac:dyDescent="0.2">
      <c r="A35" s="231"/>
      <c r="B35" s="33" t="s">
        <v>73</v>
      </c>
      <c r="C35" s="27"/>
      <c r="D35" s="28">
        <f ca="1">139.5*OFFSET(D$112,MATCH($N$1,$C$112:$C$113,0)-1,0)</f>
        <v>139.5</v>
      </c>
      <c r="E35" s="28">
        <f ca="1">160*OFFSET(E$112,MATCH($N$1,$C$112:$C$113,0)-1,0)</f>
        <v>160</v>
      </c>
      <c r="F35" s="28">
        <f ca="1">189.7*OFFSET(F$112,MATCH($N$1,$C$112:$C$113,0)-1,0)</f>
        <v>189.7</v>
      </c>
      <c r="G35" s="28">
        <f ca="1">248.9*OFFSET(G$112,MATCH($N$1,$C$112:$C$113,0)-1,0)</f>
        <v>248.9</v>
      </c>
      <c r="H35" s="28">
        <f ca="1">230.5*OFFSET(H$112,MATCH($N$1,$C$112:$C$113,0)-1,0)</f>
        <v>230.5</v>
      </c>
      <c r="I35" s="28">
        <f ca="1">217.3*OFFSET(I$112,MATCH($N$1,$C$112:$C$113,0)-1,0)</f>
        <v>217.3</v>
      </c>
      <c r="J35" s="28">
        <f ca="1">196*OFFSET(J$112,MATCH($N$1,$C$112:$C$113,0)-1,0)</f>
        <v>196</v>
      </c>
      <c r="K35" s="28">
        <f ca="1">178.9*OFFSET(K$112,MATCH($N$1,$C$112:$C$113,0)-1,0)</f>
        <v>178.9</v>
      </c>
      <c r="L35" s="28">
        <f ca="1">178.3*OFFSET(L$112,MATCH($N$1,$C$112:$C$113,0)-1,0)</f>
        <v>178.3</v>
      </c>
      <c r="M35" s="28">
        <f ca="1">180.7*OFFSET(M$112,MATCH($N$1,$C$112:$C$113,0)-1,0)</f>
        <v>180.7</v>
      </c>
      <c r="N35" s="28">
        <v>138.5</v>
      </c>
      <c r="O35" s="23">
        <f t="shared" ca="1" si="0"/>
        <v>-7.1684587813620072E-3</v>
      </c>
      <c r="P35" s="23">
        <f t="shared" ca="1" si="1"/>
        <v>-0.29336734693877553</v>
      </c>
    </row>
    <row r="36" spans="1:16" ht="18" customHeight="1" x14ac:dyDescent="0.2">
      <c r="A36" s="231"/>
      <c r="B36" s="41" t="s">
        <v>74</v>
      </c>
      <c r="C36" s="42"/>
      <c r="D36" s="43">
        <f ca="1">65.4*OFFSET(D$112,MATCH($N$1,$C$112:$C$113,0)-1,0)</f>
        <v>65.400000000000006</v>
      </c>
      <c r="E36" s="43">
        <f ca="1">88.1*OFFSET(E$112,MATCH($N$1,$C$112:$C$113,0)-1,0)</f>
        <v>88.1</v>
      </c>
      <c r="F36" s="43">
        <f ca="1">110.4*OFFSET(F$112,MATCH($N$1,$C$112:$C$113,0)-1,0)</f>
        <v>110.4</v>
      </c>
      <c r="G36" s="43">
        <f ca="1">89.1*OFFSET(G$112,MATCH($N$1,$C$112:$C$113,0)-1,0)</f>
        <v>89.1</v>
      </c>
      <c r="H36" s="43">
        <f ca="1">122.3*OFFSET(H$112,MATCH($N$1,$C$112:$C$113,0)-1,0)</f>
        <v>122.3</v>
      </c>
      <c r="I36" s="43">
        <f ca="1">106.9*OFFSET(I$112,MATCH($N$1,$C$112:$C$113,0)-1,0)</f>
        <v>106.9</v>
      </c>
      <c r="J36" s="43">
        <f ca="1">111.5*OFFSET(J$112,MATCH($N$1,$C$112:$C$113,0)-1,0)</f>
        <v>111.5</v>
      </c>
      <c r="K36" s="43">
        <f ca="1">99.1*OFFSET(K$112,MATCH($N$1,$C$112:$C$113,0)-1,0)</f>
        <v>99.1</v>
      </c>
      <c r="L36" s="43">
        <f ca="1">140.2*OFFSET(L$112,MATCH($N$1,$C$112:$C$113,0)-1,0)</f>
        <v>140.19999999999999</v>
      </c>
      <c r="M36" s="43">
        <f ca="1">150.1*OFFSET(M$112,MATCH($N$1,$C$112:$C$113,0)-1,0)</f>
        <v>150.1</v>
      </c>
      <c r="N36" s="43">
        <v>97.5</v>
      </c>
      <c r="O36" s="23">
        <f t="shared" ca="1" si="0"/>
        <v>0.49082568807339438</v>
      </c>
      <c r="P36" s="23">
        <f t="shared" ca="1" si="1"/>
        <v>-0.12556053811659193</v>
      </c>
    </row>
    <row r="37" spans="1:16" ht="18" customHeight="1" x14ac:dyDescent="0.2">
      <c r="A37" s="231"/>
      <c r="B37" s="41" t="s">
        <v>75</v>
      </c>
      <c r="C37" s="42"/>
      <c r="D37" s="43">
        <f ca="1">30.2*OFFSET(D$112,MATCH($N$1,$C$112:$C$113,0)-1,0)</f>
        <v>30.2</v>
      </c>
      <c r="E37" s="43">
        <f ca="1">36.9*OFFSET(E$112,MATCH($N$1,$C$112:$C$113,0)-1,0)</f>
        <v>36.9</v>
      </c>
      <c r="F37" s="43">
        <f ca="1">55.8*OFFSET(F$112,MATCH($N$1,$C$112:$C$113,0)-1,0)</f>
        <v>55.8</v>
      </c>
      <c r="G37" s="43">
        <f ca="1">10.8*OFFSET(G$112,MATCH($N$1,$C$112:$C$113,0)-1,0)</f>
        <v>10.8</v>
      </c>
      <c r="H37" s="43">
        <f ca="1">53.4*OFFSET(H$112,MATCH($N$1,$C$112:$C$113,0)-1,0)</f>
        <v>53.4</v>
      </c>
      <c r="I37" s="43">
        <f ca="1">43.5*OFFSET(I$112,MATCH($N$1,$C$112:$C$113,0)-1,0)</f>
        <v>43.5</v>
      </c>
      <c r="J37" s="43">
        <f ca="1">60.3*OFFSET(J$112,MATCH($N$1,$C$112:$C$113,0)-1,0)</f>
        <v>60.3</v>
      </c>
      <c r="K37" s="43">
        <f ca="1">49.5*OFFSET(K$112,MATCH($N$1,$C$112:$C$113,0)-1,0)</f>
        <v>49.5</v>
      </c>
      <c r="L37" s="43">
        <f ca="1">86*OFFSET(L$112,MATCH($N$1,$C$112:$C$113,0)-1,0)</f>
        <v>86</v>
      </c>
      <c r="M37" s="43">
        <f ca="1">92.6*OFFSET(M$112,MATCH($N$1,$C$112:$C$113,0)-1,0)</f>
        <v>92.6</v>
      </c>
      <c r="N37" s="43">
        <v>59.1</v>
      </c>
      <c r="O37" s="23">
        <f t="shared" ca="1" si="0"/>
        <v>0.95695364238410607</v>
      </c>
      <c r="P37" s="23">
        <f t="shared" ca="1" si="1"/>
        <v>-1.9900497512437741E-2</v>
      </c>
    </row>
    <row r="38" spans="1:16" ht="18" customHeight="1" x14ac:dyDescent="0.2">
      <c r="A38" s="231"/>
      <c r="B38" s="33" t="s">
        <v>76</v>
      </c>
      <c r="C38" s="27"/>
      <c r="D38" s="28">
        <f ca="1">3.7*OFFSET(D$112,MATCH($N$1,$C$112:$C$113,0)-1,0)</f>
        <v>3.7</v>
      </c>
      <c r="E38" s="28">
        <f ca="1">5.5*OFFSET(E$112,MATCH($N$1,$C$112:$C$113,0)-1,0)</f>
        <v>5.5</v>
      </c>
      <c r="F38" s="28">
        <f ca="1">6.9*OFFSET(F$112,MATCH($N$1,$C$112:$C$113,0)-1,0)</f>
        <v>6.9</v>
      </c>
      <c r="G38" s="28">
        <f ca="1">4.8*OFFSET(G$112,MATCH($N$1,$C$112:$C$113,0)-1,0)</f>
        <v>4.8</v>
      </c>
      <c r="H38" s="28">
        <f ca="1">10.9*OFFSET(H$112,MATCH($N$1,$C$112:$C$113,0)-1,0)</f>
        <v>10.9</v>
      </c>
      <c r="I38" s="28">
        <f ca="1">10.7*OFFSET(I$112,MATCH($N$1,$C$112:$C$113,0)-1,0)</f>
        <v>10.7</v>
      </c>
      <c r="J38" s="28">
        <f ca="1">8.5*OFFSET(J$112,MATCH($N$1,$C$112:$C$113,0)-1,0)</f>
        <v>8.5</v>
      </c>
      <c r="K38" s="28">
        <f ca="1">9.1*OFFSET(K$112,MATCH($N$1,$C$112:$C$113,0)-1,0)</f>
        <v>9.1</v>
      </c>
      <c r="L38" s="28">
        <f ca="1">6.1*OFFSET(L$112,MATCH($N$1,$C$112:$C$113,0)-1,0)</f>
        <v>6.1</v>
      </c>
      <c r="M38" s="28">
        <f ca="1">16.5*OFFSET(M$112,MATCH($N$1,$C$112:$C$113,0)-1,0)</f>
        <v>16.5</v>
      </c>
      <c r="N38" s="28"/>
      <c r="O38" s="23" t="str">
        <f t="shared" si="0"/>
        <v/>
      </c>
      <c r="P38" s="23" t="str">
        <f t="shared" si="1"/>
        <v/>
      </c>
    </row>
    <row r="39" spans="1:16" ht="18" customHeight="1" x14ac:dyDescent="0.2">
      <c r="A39" s="231"/>
      <c r="B39" s="33" t="s">
        <v>77</v>
      </c>
      <c r="C39" s="27"/>
      <c r="D39" s="28">
        <f ca="1">6.7*OFFSET(D$112,MATCH($N$1,$C$112:$C$113,0)-1,0)</f>
        <v>6.7</v>
      </c>
      <c r="E39" s="28">
        <f ca="1">3*OFFSET(E$112,MATCH($N$1,$C$112:$C$113,0)-1,0)</f>
        <v>3</v>
      </c>
      <c r="F39" s="28">
        <f ca="1">1.6*OFFSET(F$112,MATCH($N$1,$C$112:$C$113,0)-1,0)</f>
        <v>1.6</v>
      </c>
      <c r="G39" s="28">
        <f ca="1">1.1*OFFSET(G$112,MATCH($N$1,$C$112:$C$113,0)-1,0)</f>
        <v>1.1000000000000001</v>
      </c>
      <c r="H39" s="28">
        <f ca="1">3.6*OFFSET(H$112,MATCH($N$1,$C$112:$C$113,0)-1,0)</f>
        <v>3.6</v>
      </c>
      <c r="I39" s="28">
        <f ca="1">1.1*OFFSET(I$112,MATCH($N$1,$C$112:$C$113,0)-1,0)</f>
        <v>1.1000000000000001</v>
      </c>
      <c r="J39" s="28">
        <f ca="1">2.1*OFFSET(J$112,MATCH($N$1,$C$112:$C$113,0)-1,0)</f>
        <v>2.1</v>
      </c>
      <c r="K39" s="28">
        <f ca="1">1.1*OFFSET(K$112,MATCH($N$1,$C$112:$C$113,0)-1,0)</f>
        <v>1.1000000000000001</v>
      </c>
      <c r="L39" s="28">
        <f ca="1">2.5*OFFSET(L$112,MATCH($N$1,$C$112:$C$113,0)-1,0)</f>
        <v>2.5</v>
      </c>
      <c r="M39" s="28">
        <f ca="1">2.2*OFFSET(M$112,MATCH($N$1,$C$112:$C$113,0)-1,0)</f>
        <v>2.2000000000000002</v>
      </c>
      <c r="N39" s="28"/>
      <c r="O39" s="23" t="str">
        <f t="shared" si="0"/>
        <v/>
      </c>
      <c r="P39" s="23" t="str">
        <f t="shared" si="1"/>
        <v/>
      </c>
    </row>
    <row r="40" spans="1:16" ht="18" customHeight="1" x14ac:dyDescent="0.2">
      <c r="A40" s="231"/>
      <c r="B40" s="33" t="s">
        <v>78</v>
      </c>
      <c r="C40" s="27"/>
      <c r="D40" s="28"/>
      <c r="E40" s="28">
        <f ca="1">0.5*OFFSET(E$112,MATCH($N$1,$C$112:$C$113,0)-1,0)</f>
        <v>0.5</v>
      </c>
      <c r="F40" s="28">
        <f ca="1">2.1*OFFSET(F$112,MATCH($N$1,$C$112:$C$113,0)-1,0)</f>
        <v>2.1</v>
      </c>
      <c r="G40" s="28">
        <f ca="1">0.8*OFFSET(G$112,MATCH($N$1,$C$112:$C$113,0)-1,0)</f>
        <v>0.8</v>
      </c>
      <c r="H40" s="28">
        <f ca="1">0.9*OFFSET(H$112,MATCH($N$1,$C$112:$C$113,0)-1,0)</f>
        <v>0.9</v>
      </c>
      <c r="I40" s="28">
        <f ca="1">0.6*OFFSET(I$112,MATCH($N$1,$C$112:$C$113,0)-1,0)</f>
        <v>0.6</v>
      </c>
      <c r="J40" s="28">
        <f ca="1">0.6*OFFSET(J$112,MATCH($N$1,$C$112:$C$113,0)-1,0)</f>
        <v>0.6</v>
      </c>
      <c r="K40" s="28">
        <f ca="1">0.8*OFFSET(K$112,MATCH($N$1,$C$112:$C$113,0)-1,0)</f>
        <v>0.8</v>
      </c>
      <c r="L40" s="28">
        <f ca="1">0.7*OFFSET(L$112,MATCH($N$1,$C$112:$C$113,0)-1,0)</f>
        <v>0.7</v>
      </c>
      <c r="M40" s="28">
        <f ca="1">1.7*OFFSET(M$112,MATCH($N$1,$C$112:$C$113,0)-1,0)</f>
        <v>1.7</v>
      </c>
      <c r="N40" s="28"/>
      <c r="O40" s="23" t="str">
        <f t="shared" si="0"/>
        <v/>
      </c>
      <c r="P40" s="23" t="str">
        <f t="shared" si="1"/>
        <v/>
      </c>
    </row>
    <row r="41" spans="1:16" ht="18" customHeight="1" thickBot="1" x14ac:dyDescent="0.25">
      <c r="A41" s="232"/>
      <c r="B41" s="44" t="s">
        <v>79</v>
      </c>
      <c r="C41" s="45"/>
      <c r="D41" s="46">
        <f ca="1">19.7*OFFSET(D$112,MATCH($N$1,$C$112:$C$113,0)-1,0)</f>
        <v>19.7</v>
      </c>
      <c r="E41" s="46">
        <f ca="1">27.9*OFFSET(E$112,MATCH($N$1,$C$112:$C$113,0)-1,0)</f>
        <v>27.9</v>
      </c>
      <c r="F41" s="46">
        <f ca="1">45.2*OFFSET(F$112,MATCH($N$1,$C$112:$C$113,0)-1,0)</f>
        <v>45.2</v>
      </c>
      <c r="G41" s="46">
        <f ca="1">4.2*OFFSET(G$112,MATCH($N$1,$C$112:$C$113,0)-1,0)</f>
        <v>4.2</v>
      </c>
      <c r="H41" s="46">
        <f ca="1">37.9*OFFSET(H$112,MATCH($N$1,$C$112:$C$113,0)-1,0)</f>
        <v>37.9</v>
      </c>
      <c r="I41" s="46">
        <f ca="1">31.2*OFFSET(I$112,MATCH($N$1,$C$112:$C$113,0)-1,0)</f>
        <v>31.2</v>
      </c>
      <c r="J41" s="46">
        <f ca="1">49.1*OFFSET(J$112,MATCH($N$1,$C$112:$C$113,0)-1,0)</f>
        <v>49.1</v>
      </c>
      <c r="K41" s="46">
        <f ca="1">38.6*OFFSET(K$112,MATCH($N$1,$C$112:$C$113,0)-1,0)</f>
        <v>38.6</v>
      </c>
      <c r="L41" s="46">
        <f ca="1">76.7*OFFSET(L$112,MATCH($N$1,$C$112:$C$113,0)-1,0)</f>
        <v>76.7</v>
      </c>
      <c r="M41" s="46">
        <f ca="1">72.3*OFFSET(M$112,MATCH($N$1,$C$112:$C$113,0)-1,0)</f>
        <v>72.3</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174</v>
      </c>
      <c r="F46" s="95" t="s">
        <v>18</v>
      </c>
      <c r="G46" s="95" t="s">
        <v>17</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Area VIIBCDEFGHK trawlers 10-24m</v>
      </c>
      <c r="C48" s="97"/>
      <c r="D48" s="97"/>
      <c r="E48" s="97"/>
      <c r="F48" s="97"/>
      <c r="G48" s="97"/>
      <c r="K48" s="97" t="str">
        <f>$B24&amp;CHAR(10)&amp;$A$1</f>
        <v>Operating profit per kW day at sea (£)
Area VIIBCDEFGHK trawlers 10-24m</v>
      </c>
    </row>
    <row r="49" spans="1:11" s="83" customFormat="1" x14ac:dyDescent="0.2">
      <c r="A49" s="97" t="str">
        <f>$B22&amp;CHAR(10)&amp;$A$1</f>
        <v>Fishing income per kW day at sea (£)
Area VIIBCDEFGHK trawlers 10-24m</v>
      </c>
    </row>
    <row r="50" spans="1:11" s="83" customFormat="1" x14ac:dyDescent="0.2">
      <c r="A50" s="97" t="str">
        <f>$B20&amp;CHAR(10)&amp;$A$1</f>
        <v>Average price per tonne landed (£)
Area VIIBCDEFGHK trawlers 10-24m</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Area VIIBCDEFGHK trawlers 10-24m</v>
      </c>
      <c r="F62" s="97" t="str">
        <f>$B20&amp;CHAR(10)&amp;$A$1</f>
        <v>Average price per tonne landed (£)
Area VIIBCDEFGHK trawlers 10-24m</v>
      </c>
      <c r="K62" s="97" t="str">
        <f>"Average annual operating profit per vessel (£'000)"&amp;CHAR(10)&amp;$A$1</f>
        <v>Average annual operating profit per vessel (£'000)
Area VIIBCDEFGHK trawlers 10-24m</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Area VIIBCDEFGHK trawlers 10-24m</v>
      </c>
      <c r="F76" s="97" t="str">
        <f>"Top 5 landed species by value in "&amp;A77&amp;CHAR(10)&amp;A1</f>
        <v>Top 5 landed species by value in 2017
Area VIIBCDEFGHK trawlers 10-24m</v>
      </c>
    </row>
    <row r="77" spans="1:9" s="97" customFormat="1" x14ac:dyDescent="0.2">
      <c r="A77" s="97">
        <v>2017</v>
      </c>
      <c r="B77" s="97" t="s">
        <v>175</v>
      </c>
      <c r="C77" s="98">
        <v>0.28652875704653508</v>
      </c>
      <c r="D77" s="99">
        <v>11115023</v>
      </c>
      <c r="G77" s="97" t="s">
        <v>176</v>
      </c>
      <c r="H77" s="98">
        <v>0.355821755538829</v>
      </c>
      <c r="I77" s="99">
        <v>12153634</v>
      </c>
    </row>
    <row r="78" spans="1:9" s="97" customFormat="1" x14ac:dyDescent="0.2">
      <c r="B78" s="97" t="s">
        <v>177</v>
      </c>
      <c r="C78" s="98">
        <v>0.18911627137712075</v>
      </c>
      <c r="D78" s="99">
        <v>12153634</v>
      </c>
      <c r="G78" s="97" t="s">
        <v>178</v>
      </c>
      <c r="H78" s="98">
        <v>0.12167444457336557</v>
      </c>
      <c r="I78" s="99">
        <v>553960</v>
      </c>
    </row>
    <row r="79" spans="1:9" s="97" customFormat="1" x14ac:dyDescent="0.2">
      <c r="B79" s="97" t="s">
        <v>179</v>
      </c>
      <c r="C79" s="98">
        <v>4.6837958803223029E-2</v>
      </c>
      <c r="D79" s="99">
        <v>553960</v>
      </c>
      <c r="G79" s="97" t="s">
        <v>180</v>
      </c>
      <c r="H79" s="98">
        <v>7.2924644698507582E-2</v>
      </c>
      <c r="I79" s="99">
        <v>3050596</v>
      </c>
    </row>
    <row r="80" spans="1:9" s="97" customFormat="1" x14ac:dyDescent="0.2">
      <c r="B80" s="97" t="s">
        <v>181</v>
      </c>
      <c r="C80" s="98">
        <v>4.6204292021274442E-2</v>
      </c>
      <c r="D80" s="99">
        <v>2480382</v>
      </c>
      <c r="G80" s="97" t="s">
        <v>182</v>
      </c>
      <c r="H80" s="98">
        <v>5.774750251292441E-2</v>
      </c>
      <c r="I80" s="99">
        <v>1692097</v>
      </c>
    </row>
    <row r="81" spans="1:18" s="97" customFormat="1" x14ac:dyDescent="0.2">
      <c r="B81" s="97" t="s">
        <v>183</v>
      </c>
      <c r="C81" s="98">
        <v>4.513198549069837E-2</v>
      </c>
      <c r="D81" s="99">
        <v>7434864</v>
      </c>
      <c r="G81" s="97" t="s">
        <v>184</v>
      </c>
      <c r="H81" s="98">
        <v>3.9758329749962462E-2</v>
      </c>
      <c r="I81" s="99">
        <v>3689192</v>
      </c>
    </row>
    <row r="82" spans="1:18" s="97" customFormat="1" x14ac:dyDescent="0.2">
      <c r="B82" s="97" t="s">
        <v>185</v>
      </c>
      <c r="C82" s="98">
        <v>0.38618073526114827</v>
      </c>
      <c r="D82" s="99">
        <v>5920853</v>
      </c>
      <c r="G82" s="97" t="s">
        <v>186</v>
      </c>
      <c r="H82" s="98">
        <v>0.35207332292641103</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96</v>
      </c>
      <c r="D92" s="102"/>
      <c r="E92" s="102">
        <v>9.995972084888767E-2</v>
      </c>
      <c r="F92" s="102"/>
      <c r="G92" s="102">
        <v>9.3912713169823706E-2</v>
      </c>
      <c r="H92" s="102"/>
      <c r="I92" s="102">
        <v>0.10992614092339756</v>
      </c>
      <c r="J92" s="102">
        <v>0.17191068170665549</v>
      </c>
      <c r="K92" s="102">
        <v>0.19576597155737094</v>
      </c>
      <c r="L92" s="102">
        <v>0.355821755538829</v>
      </c>
      <c r="M92" s="102">
        <v>0.13686278857389961</v>
      </c>
      <c r="O92" s="97">
        <v>12153634</v>
      </c>
    </row>
    <row r="93" spans="1:18" s="97" customFormat="1" hidden="1" x14ac:dyDescent="0.2">
      <c r="B93" s="97">
        <v>2</v>
      </c>
      <c r="C93" s="97" t="s">
        <v>187</v>
      </c>
      <c r="D93" s="102">
        <v>0.19095321662614953</v>
      </c>
      <c r="E93" s="102">
        <v>0.21100368085636217</v>
      </c>
      <c r="F93" s="102">
        <v>0.13311012607229364</v>
      </c>
      <c r="G93" s="102">
        <v>0.18793371532097555</v>
      </c>
      <c r="H93" s="102">
        <v>0.22792348775620239</v>
      </c>
      <c r="I93" s="102">
        <v>0.21216468615648737</v>
      </c>
      <c r="J93" s="102">
        <v>0.18660859042451419</v>
      </c>
      <c r="K93" s="102">
        <v>0.18170108805625268</v>
      </c>
      <c r="L93" s="102">
        <v>0.12167444457336557</v>
      </c>
      <c r="M93" s="102">
        <v>0.1273400232502068</v>
      </c>
      <c r="O93" s="97">
        <v>553960</v>
      </c>
    </row>
    <row r="94" spans="1:18" s="97" customFormat="1" hidden="1" x14ac:dyDescent="0.2">
      <c r="B94" s="97">
        <v>3</v>
      </c>
      <c r="C94" s="97" t="s">
        <v>137</v>
      </c>
      <c r="D94" s="102">
        <v>0.11284138874014549</v>
      </c>
      <c r="E94" s="102">
        <v>7.3796493689823481E-2</v>
      </c>
      <c r="F94" s="102">
        <v>0.11742881858422445</v>
      </c>
      <c r="G94" s="102">
        <v>7.6441233665479655E-2</v>
      </c>
      <c r="H94" s="102">
        <v>0.11282445180290994</v>
      </c>
      <c r="I94" s="102">
        <v>0.11954291175096382</v>
      </c>
      <c r="J94" s="102">
        <v>9.6884274781710258E-2</v>
      </c>
      <c r="K94" s="102">
        <v>6.1294379921496139E-2</v>
      </c>
      <c r="L94" s="102">
        <v>7.2924644698507582E-2</v>
      </c>
      <c r="M94" s="102">
        <v>7.8652779338539092E-2</v>
      </c>
      <c r="O94" s="97">
        <v>3050596</v>
      </c>
    </row>
    <row r="95" spans="1:18" s="97" customFormat="1" hidden="1" x14ac:dyDescent="0.2">
      <c r="B95" s="97">
        <v>4</v>
      </c>
      <c r="C95" s="97" t="s">
        <v>121</v>
      </c>
      <c r="D95" s="102">
        <v>7.4429409872185118E-2</v>
      </c>
      <c r="E95" s="102">
        <v>8.9923650912233088E-2</v>
      </c>
      <c r="F95" s="102">
        <v>9.8146917320935514E-2</v>
      </c>
      <c r="G95" s="102">
        <v>8.4483414636622595E-2</v>
      </c>
      <c r="H95" s="102">
        <v>6.9482656034881865E-2</v>
      </c>
      <c r="I95" s="102">
        <v>7.3905013771125599E-2</v>
      </c>
      <c r="J95" s="102">
        <v>7.9531859877568667E-2</v>
      </c>
      <c r="K95" s="102">
        <v>8.6424500147920372E-2</v>
      </c>
      <c r="L95" s="102">
        <v>5.774750251292441E-2</v>
      </c>
      <c r="M95" s="102">
        <v>7.4053235523385691E-2</v>
      </c>
      <c r="O95" s="97">
        <v>1692097</v>
      </c>
    </row>
    <row r="96" spans="1:18" s="97" customFormat="1" hidden="1" x14ac:dyDescent="0.2">
      <c r="B96" s="97">
        <v>5</v>
      </c>
      <c r="C96" s="97" t="s">
        <v>172</v>
      </c>
      <c r="D96" s="102"/>
      <c r="E96" s="102"/>
      <c r="F96" s="102"/>
      <c r="G96" s="102"/>
      <c r="H96" s="102"/>
      <c r="I96" s="102">
        <v>4.4567198947102628E-2</v>
      </c>
      <c r="J96" s="102"/>
      <c r="K96" s="102"/>
      <c r="L96" s="102">
        <v>3.9758329749962462E-2</v>
      </c>
      <c r="M96" s="102">
        <v>7.0147410596233736E-2</v>
      </c>
      <c r="O96" s="97">
        <v>3689192</v>
      </c>
    </row>
    <row r="97" spans="1:15" s="97" customFormat="1" hidden="1" x14ac:dyDescent="0.2">
      <c r="B97" s="97">
        <v>6</v>
      </c>
      <c r="C97" s="97" t="s">
        <v>188</v>
      </c>
      <c r="D97" s="102"/>
      <c r="E97" s="102"/>
      <c r="F97" s="102"/>
      <c r="G97" s="102"/>
      <c r="H97" s="102"/>
      <c r="I97" s="102"/>
      <c r="J97" s="102">
        <v>5.3811205469792844E-2</v>
      </c>
      <c r="K97" s="102">
        <v>4.0321912100368895E-2</v>
      </c>
      <c r="L97" s="102"/>
      <c r="M97" s="102"/>
      <c r="O97" s="97">
        <v>11115023</v>
      </c>
    </row>
    <row r="98" spans="1:15" s="97" customFormat="1" hidden="1" x14ac:dyDescent="0.2">
      <c r="B98" s="97">
        <v>7</v>
      </c>
      <c r="C98" s="97" t="s">
        <v>16</v>
      </c>
      <c r="D98" s="102"/>
      <c r="E98" s="102"/>
      <c r="F98" s="102">
        <v>7.7802327434861207E-2</v>
      </c>
      <c r="G98" s="102">
        <v>0.10216012555577211</v>
      </c>
      <c r="H98" s="102">
        <v>7.9535233718624421E-2</v>
      </c>
      <c r="I98" s="102"/>
      <c r="J98" s="102"/>
      <c r="K98" s="102"/>
      <c r="L98" s="102"/>
      <c r="M98" s="102"/>
      <c r="O98" s="97">
        <v>2480382</v>
      </c>
    </row>
    <row r="99" spans="1:15" s="97" customFormat="1" hidden="1" x14ac:dyDescent="0.2">
      <c r="B99" s="97">
        <v>8</v>
      </c>
      <c r="C99" s="97" t="s">
        <v>94</v>
      </c>
      <c r="D99" s="102"/>
      <c r="E99" s="102">
        <v>5.9477989300077083E-2</v>
      </c>
      <c r="F99" s="102">
        <v>7.099078831198008E-2</v>
      </c>
      <c r="G99" s="102"/>
      <c r="H99" s="102">
        <v>6.1555020169600225E-2</v>
      </c>
      <c r="I99" s="102"/>
      <c r="J99" s="102"/>
      <c r="K99" s="102"/>
      <c r="L99" s="102"/>
      <c r="M99" s="102"/>
      <c r="O99" s="97">
        <v>7434864</v>
      </c>
    </row>
    <row r="100" spans="1:15" s="97" customFormat="1" hidden="1" x14ac:dyDescent="0.2">
      <c r="B100" s="97">
        <v>9</v>
      </c>
      <c r="C100" s="97" t="s">
        <v>189</v>
      </c>
      <c r="D100" s="102">
        <v>6.3592236661373633E-2</v>
      </c>
      <c r="E100" s="102"/>
      <c r="F100" s="102"/>
      <c r="G100" s="102"/>
      <c r="H100" s="102"/>
      <c r="I100" s="102"/>
      <c r="J100" s="102"/>
      <c r="K100" s="102"/>
      <c r="L100" s="102"/>
      <c r="M100" s="102"/>
      <c r="O100" s="97">
        <v>8497745</v>
      </c>
    </row>
    <row r="101" spans="1:15" s="97" customFormat="1" hidden="1" x14ac:dyDescent="0.2">
      <c r="B101" s="97">
        <v>10</v>
      </c>
      <c r="C101" s="97" t="s">
        <v>190</v>
      </c>
      <c r="D101" s="102">
        <v>6.0552439184300935E-2</v>
      </c>
      <c r="E101" s="102"/>
      <c r="F101" s="102"/>
      <c r="G101" s="102"/>
      <c r="H101" s="102"/>
      <c r="I101" s="102"/>
      <c r="J101" s="102"/>
      <c r="K101" s="102"/>
      <c r="L101" s="102"/>
      <c r="M101" s="102"/>
      <c r="O101" s="97">
        <v>14393110</v>
      </c>
    </row>
    <row r="102" spans="1:15" s="97" customFormat="1" hidden="1" x14ac:dyDescent="0.2">
      <c r="B102" s="97">
        <v>11</v>
      </c>
      <c r="C102" s="97" t="s">
        <v>101</v>
      </c>
      <c r="D102" s="102">
        <v>0.49763130891584528</v>
      </c>
      <c r="E102" s="102">
        <v>0.4658384643926165</v>
      </c>
      <c r="F102" s="102">
        <v>0.50252102227570505</v>
      </c>
      <c r="G102" s="102">
        <v>0.45506879765132641</v>
      </c>
      <c r="H102" s="102">
        <v>0.44867915051778118</v>
      </c>
      <c r="I102" s="102">
        <v>0.439894048450923</v>
      </c>
      <c r="J102" s="102">
        <v>0.41125338773975856</v>
      </c>
      <c r="K102" s="102">
        <v>0.43449214821659099</v>
      </c>
      <c r="L102" s="102">
        <v>0.35207332292641097</v>
      </c>
      <c r="M102" s="102">
        <v>0.51294376271773512</v>
      </c>
      <c r="O102" s="97">
        <v>5920853</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12</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15</v>
      </c>
      <c r="D120" s="56">
        <v>31</v>
      </c>
      <c r="E120" s="56">
        <v>15</v>
      </c>
      <c r="F120" s="57">
        <v>61</v>
      </c>
    </row>
    <row r="121" spans="1:14" ht="18" customHeight="1" x14ac:dyDescent="0.2">
      <c r="A121" s="225" t="s">
        <v>23</v>
      </c>
      <c r="B121" s="30" t="s">
        <v>58</v>
      </c>
      <c r="C121" s="58">
        <v>13.899333000183105</v>
      </c>
      <c r="D121" s="58">
        <v>12.759354714424379</v>
      </c>
      <c r="E121" s="58">
        <v>12.420666694641113</v>
      </c>
      <c r="F121" s="59">
        <v>12.956393241882324</v>
      </c>
    </row>
    <row r="122" spans="1:14" ht="18" customHeight="1" x14ac:dyDescent="0.2">
      <c r="A122" s="226"/>
      <c r="B122" s="33" t="s">
        <v>51</v>
      </c>
      <c r="C122" s="60">
        <v>234.06666564941406</v>
      </c>
      <c r="D122" s="60">
        <v>188.77419059507309</v>
      </c>
      <c r="E122" s="60">
        <v>160.80000305175781</v>
      </c>
      <c r="F122" s="61">
        <v>193.03279113769531</v>
      </c>
    </row>
    <row r="123" spans="1:14" ht="18" customHeight="1" x14ac:dyDescent="0.2">
      <c r="A123" s="226"/>
      <c r="B123" s="33" t="s">
        <v>52</v>
      </c>
      <c r="C123" s="60">
        <v>45.533332824707031</v>
      </c>
      <c r="D123" s="60">
        <v>26.354838525095293</v>
      </c>
      <c r="E123" s="60">
        <v>28.133333206176758</v>
      </c>
      <c r="F123" s="61">
        <v>31.508195877075195</v>
      </c>
    </row>
    <row r="124" spans="1:14" ht="18" customHeight="1" x14ac:dyDescent="0.2">
      <c r="A124" s="226"/>
      <c r="B124" s="33" t="s">
        <v>53</v>
      </c>
      <c r="C124" s="60">
        <v>182.62472534179687</v>
      </c>
      <c r="D124" s="60">
        <v>146.94004428002143</v>
      </c>
      <c r="E124" s="60">
        <v>131.27593994140625</v>
      </c>
      <c r="F124" s="61">
        <v>151.86314392089844</v>
      </c>
    </row>
    <row r="125" spans="1:14" ht="18" customHeight="1" x14ac:dyDescent="0.2">
      <c r="A125" s="226"/>
      <c r="B125" s="33" t="s">
        <v>54</v>
      </c>
      <c r="C125" s="28">
        <v>323.29574584960937</v>
      </c>
      <c r="D125" s="28">
        <v>95.415596992738784</v>
      </c>
      <c r="E125" s="28">
        <v>41.427082061767578</v>
      </c>
      <c r="F125" s="62">
        <v>138.17584228515625</v>
      </c>
    </row>
    <row r="126" spans="1:14" ht="18" customHeight="1" x14ac:dyDescent="0.2">
      <c r="A126" s="226"/>
      <c r="B126" s="33" t="s">
        <v>59</v>
      </c>
      <c r="C126" s="28">
        <f ca="1">481.73246875*OFFSET($L$112,MATCH($N$1,$C$112:$C$113,0)-1,0)</f>
        <v>481.73246875000001</v>
      </c>
      <c r="D126" s="28">
        <f ca="1">245.733123991935*OFFSET($L$112,MATCH($N$1,$C$112:$C$113,0)-1,0)</f>
        <v>245.733123991935</v>
      </c>
      <c r="E126" s="28">
        <f ca="1">101.250109375*OFFSET($L$112,MATCH($N$1,$C$112:$C$113,0)-1,0)</f>
        <v>101.25010937499999</v>
      </c>
      <c r="F126" s="62">
        <f ca="1">268.23715625*OFFSET($L$112,MATCH($N$1,$C$112:$C$113,0)-1,0)</f>
        <v>268.23715625</v>
      </c>
    </row>
    <row r="127" spans="1:14" ht="18" customHeight="1" x14ac:dyDescent="0.2">
      <c r="A127" s="226"/>
      <c r="B127" s="33" t="s">
        <v>56</v>
      </c>
      <c r="C127" s="60">
        <v>183.86666870117187</v>
      </c>
      <c r="D127" s="60">
        <v>164.03225560342111</v>
      </c>
      <c r="E127" s="60">
        <v>134.06666564941406</v>
      </c>
      <c r="F127" s="61">
        <v>161.54098510742187</v>
      </c>
    </row>
    <row r="128" spans="1:14" ht="18" customHeight="1" x14ac:dyDescent="0.2">
      <c r="A128" s="226"/>
      <c r="B128" s="33" t="s">
        <v>60</v>
      </c>
      <c r="C128" s="60">
        <v>17.533332824707031</v>
      </c>
      <c r="D128" s="60">
        <v>28.451612841698431</v>
      </c>
      <c r="E128" s="60">
        <v>30.600000381469727</v>
      </c>
      <c r="F128" s="61">
        <v>26.295082092285156</v>
      </c>
    </row>
    <row r="129" spans="1:14" ht="18" customHeight="1" x14ac:dyDescent="0.2">
      <c r="A129" s="226"/>
      <c r="B129" s="33" t="s">
        <v>61</v>
      </c>
      <c r="C129" s="63">
        <v>1.7583162784576416</v>
      </c>
      <c r="D129" s="63">
        <v>0.581688013992955</v>
      </c>
      <c r="E129" s="63">
        <v>0.30900359153747559</v>
      </c>
      <c r="F129" s="64">
        <v>0.85536092519760132</v>
      </c>
    </row>
    <row r="130" spans="1:14" ht="18" customHeight="1" x14ac:dyDescent="0.2">
      <c r="A130" s="227"/>
      <c r="B130" s="35" t="s">
        <v>24</v>
      </c>
      <c r="C130" s="37">
        <f ca="1">1490.06745351389*OFFSET($L$112,MATCH($N$1,$C$112:$C$113,0)-1,0)</f>
        <v>1490.0674535138901</v>
      </c>
      <c r="D130" s="37">
        <f ca="1">2575.39785671137*OFFSET($L$112,MATCH($N$1,$C$112:$C$113,0)-1,0)</f>
        <v>2575.39785671137</v>
      </c>
      <c r="E130" s="37">
        <f ca="1">2444.05602171151*OFFSET($L$112,MATCH($N$1,$C$112:$C$113,0)-1,0)</f>
        <v>2444.0560217115099</v>
      </c>
      <c r="F130" s="65">
        <f ca="1">1941*OFFSET($L$112,MATCH($N$1,$C$112:$C$113,0)-1,0)</f>
        <v>1941</v>
      </c>
    </row>
    <row r="131" spans="1:14" ht="18" customHeight="1" x14ac:dyDescent="0.2">
      <c r="A131" s="239" t="s">
        <v>25</v>
      </c>
      <c r="B131" s="30" t="s">
        <v>62</v>
      </c>
      <c r="C131" s="66">
        <v>7.1002099544580908</v>
      </c>
      <c r="D131" s="66">
        <v>2.9665755267154359</v>
      </c>
      <c r="E131" s="66">
        <v>1.8153211387658601</v>
      </c>
      <c r="F131" s="67">
        <v>4.1677244885900446</v>
      </c>
    </row>
    <row r="132" spans="1:14" ht="18" customHeight="1" x14ac:dyDescent="0.2">
      <c r="A132" s="228"/>
      <c r="B132" s="33" t="s">
        <v>63</v>
      </c>
      <c r="C132" s="63">
        <f ca="1">10.5797917662533*OFFSET($L$112,MATCH($N$1,$C$112:$C$113,0)-1,0)</f>
        <v>10.579791766253299</v>
      </c>
      <c r="D132" s="63">
        <f ca="1">7.64011225327534*OFFSET($L$112,MATCH($N$1,$C$112:$C$113,0)-1,0)</f>
        <v>7.6401122532753396</v>
      </c>
      <c r="E132" s="63">
        <f ca="1">4.4367465605409*OFFSET($L$112,MATCH($N$1,$C$112:$C$113,0)-1,0)</f>
        <v>4.4367465605409002</v>
      </c>
      <c r="F132" s="64">
        <f ca="1">8.09069477243183*OFFSET($L$112,MATCH($N$1,$C$112:$C$113,0)-1,0)</f>
        <v>8.0906947724318297</v>
      </c>
    </row>
    <row r="133" spans="1:14" ht="18" customHeight="1" x14ac:dyDescent="0.2">
      <c r="A133" s="228"/>
      <c r="B133" s="33" t="s">
        <v>11</v>
      </c>
      <c r="C133" s="63">
        <f ca="1">6.50947916169806*OFFSET($L$112,MATCH($N$1,$C$112:$C$113,0)-1,0)</f>
        <v>6.5094791616980601</v>
      </c>
      <c r="D133" s="63">
        <f ca="1">5.1065415087058*OFFSET($L$112,MATCH($N$1,$C$112:$C$113,0)-1,0)</f>
        <v>5.1065415087058001</v>
      </c>
      <c r="E133" s="63">
        <f ca="1">3.44209538481289*OFFSET($L$112,MATCH($N$1,$C$112:$C$113,0)-1,0)</f>
        <v>3.4420953848128901</v>
      </c>
      <c r="F133" s="64">
        <f ca="1">5.29861562517195*OFFSET($L$112,MATCH($N$1,$C$112:$C$113,0)-1,0)</f>
        <v>5.2986156251719496</v>
      </c>
    </row>
    <row r="134" spans="1:14" ht="18" customHeight="1" x14ac:dyDescent="0.2">
      <c r="A134" s="229"/>
      <c r="B134" s="35" t="s">
        <v>12</v>
      </c>
      <c r="C134" s="68">
        <f ca="1">4.07031260455526*OFFSET($L$112,MATCH($N$1,$C$112:$C$113,0)-1,0)</f>
        <v>4.0703126045552596</v>
      </c>
      <c r="D134" s="68">
        <f ca="1">2.53357074456955*OFFSET($L$112,MATCH($N$1,$C$112:$C$113,0)-1,0)</f>
        <v>2.5335707445695501</v>
      </c>
      <c r="E134" s="68">
        <f ca="1">0.99465117572801*OFFSET($L$112,MATCH($N$1,$C$112:$C$113,0)-1,0)</f>
        <v>0.99465117572800998</v>
      </c>
      <c r="F134" s="69">
        <f ca="1">2.79207914725989*OFFSET($L$112,MATCH($N$1,$C$112:$C$113,0)-1,0)</f>
        <v>2.7920791472598898</v>
      </c>
    </row>
    <row r="135" spans="1:14" ht="18" customHeight="1" x14ac:dyDescent="0.2">
      <c r="A135" s="240" t="s">
        <v>45</v>
      </c>
      <c r="B135" s="33" t="s">
        <v>102</v>
      </c>
      <c r="C135" s="70">
        <f ca="1">36.445015625*OFFSET($L$112,MATCH($N$1,$C$112:$C$113,0)-1,0)</f>
        <v>36.445015625000003</v>
      </c>
      <c r="D135" s="70">
        <f ca="1">31.6418218245968*OFFSET($L$112,MATCH($N$1,$C$112:$C$113,0)-1,0)</f>
        <v>31.6418218245968</v>
      </c>
      <c r="E135" s="70">
        <f ca="1">23.914716796875*OFFSET($L$112,MATCH($N$1,$C$112:$C$113,0)-1,0)</f>
        <v>23.914716796874998</v>
      </c>
      <c r="F135" s="71">
        <f ca="1">30.922828125*OFFSET($L$112,MATCH($N$1,$C$112:$C$113,0)-1,0)</f>
        <v>30.922828124999999</v>
      </c>
    </row>
    <row r="136" spans="1:14" ht="18" customHeight="1" x14ac:dyDescent="0.2">
      <c r="A136" s="241"/>
      <c r="B136" s="33" t="s">
        <v>103</v>
      </c>
      <c r="C136" s="26">
        <v>85700.002901405096</v>
      </c>
      <c r="D136" s="26">
        <v>74545.160583207718</v>
      </c>
      <c r="E136" s="26">
        <v>56393.333692793269</v>
      </c>
      <c r="F136" s="72">
        <v>72824.590163934423</v>
      </c>
    </row>
    <row r="137" spans="1:14" ht="18" customHeight="1" x14ac:dyDescent="0.2">
      <c r="A137" s="241"/>
      <c r="B137" s="33" t="s">
        <v>104</v>
      </c>
      <c r="C137" s="26">
        <v>466.0986328125</v>
      </c>
      <c r="D137" s="26">
        <v>454.45427979381503</v>
      </c>
      <c r="E137" s="26">
        <v>420.63650512695312</v>
      </c>
      <c r="F137" s="72">
        <v>450.81185913085937</v>
      </c>
    </row>
    <row r="138" spans="1:14" ht="18" customHeight="1" x14ac:dyDescent="0.2">
      <c r="A138" s="241"/>
      <c r="B138" s="33" t="s">
        <v>105</v>
      </c>
      <c r="C138" s="26">
        <f ca="1">198.21436850108*OFFSET($L$112,MATCH($N$1,$C$112:$C$113,0)-1,0)</f>
        <v>198.21436850108</v>
      </c>
      <c r="D138" s="26">
        <f ca="1">192.899998285074*OFFSET($L$112,MATCH($N$1,$C$112:$C$113,0)-1,0)</f>
        <v>192.89999828507399</v>
      </c>
      <c r="E138" s="26">
        <f ca="1">178.379291235692*OFFSET($L$112,MATCH($N$1,$C$112:$C$113,0)-1,0)</f>
        <v>178.37929123569199</v>
      </c>
      <c r="F138" s="72">
        <f ca="1">191.424040805724*OFFSET($L$112,MATCH($N$1,$C$112:$C$113,0)-1,0)</f>
        <v>191.42404080572399</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112.729647986007*OFFSET($L$112,MATCH($N$1,$C$112:$C$113,0)-1,0)</f>
        <v>112.729647986007</v>
      </c>
      <c r="D139" s="26">
        <f ca="1">331.62106428999*OFFSET($L$112,MATCH($N$1,$C$112:$C$113,0)-1,0)</f>
        <v>331.62106428998999</v>
      </c>
      <c r="E139" s="26">
        <f ca="1">577.272537834508*OFFSET($L$112,MATCH($N$1,$C$112:$C$113,0)-1,0)</f>
        <v>577.27253783450794</v>
      </c>
      <c r="F139" s="72">
        <f ca="1">223.793302892874*OFFSET($L$112,MATCH($N$1,$C$112:$C$113,0)-1,0)</f>
        <v>223.79330289287401</v>
      </c>
      <c r="I139" s="49"/>
      <c r="K139" s="73" t="s">
        <v>107</v>
      </c>
      <c r="L139" s="74">
        <f t="shared" ref="L139:M141" ca="1" si="2">C140</f>
        <v>490.72853125</v>
      </c>
      <c r="M139" s="74">
        <f t="shared" ca="1" si="2"/>
        <v>250.32204233870999</v>
      </c>
      <c r="N139" s="74">
        <f ca="1">E140</f>
        <v>103.140890625</v>
      </c>
    </row>
    <row r="140" spans="1:14" ht="18" customHeight="1" x14ac:dyDescent="0.2">
      <c r="A140" s="230" t="s">
        <v>46</v>
      </c>
      <c r="B140" s="30" t="s">
        <v>108</v>
      </c>
      <c r="C140" s="75">
        <f ca="1">490.72853125*OFFSET($L$112,MATCH($N$1,$C$112:$C$113,0)-1,0)</f>
        <v>490.72853125</v>
      </c>
      <c r="D140" s="75">
        <f ca="1">250.32204233871*OFFSET($L$112,MATCH($N$1,$C$112:$C$113,0)-1,0)</f>
        <v>250.32204233870999</v>
      </c>
      <c r="E140" s="75">
        <f ca="1">103.140890625*OFFSET($L$112,MATCH($N$1,$C$112:$C$113,0)-1,0)</f>
        <v>103.140890625</v>
      </c>
      <c r="F140" s="76">
        <f ca="1">273.2463125*OFFSET($L$112,MATCH($N$1,$C$112:$C$113,0)-1,0)</f>
        <v>273.24631249999999</v>
      </c>
      <c r="I140" s="49"/>
      <c r="K140" s="73" t="s">
        <v>109</v>
      </c>
      <c r="L140" s="74">
        <f t="shared" ca="1" si="2"/>
        <v>305.39387499999998</v>
      </c>
      <c r="M140" s="74">
        <f t="shared" ca="1" si="2"/>
        <v>168.83341582661299</v>
      </c>
      <c r="N140" s="74">
        <f ca="1">E141</f>
        <v>80.442156249999996</v>
      </c>
    </row>
    <row r="141" spans="1:14" ht="18" customHeight="1" x14ac:dyDescent="0.2">
      <c r="A141" s="237"/>
      <c r="B141" s="33" t="s">
        <v>110</v>
      </c>
      <c r="C141" s="26">
        <f ca="1">305.393875*OFFSET($L$112,MATCH($N$1,$C$112:$C$113,0)-1,0)</f>
        <v>305.39387499999998</v>
      </c>
      <c r="D141" s="26">
        <f ca="1">168.833415826613*OFFSET($L$112,MATCH($N$1,$C$112:$C$113,0)-1,0)</f>
        <v>168.83341582661299</v>
      </c>
      <c r="E141" s="26">
        <f ca="1">80.44215625*OFFSET($L$112,MATCH($N$1,$C$112:$C$113,0)-1,0)</f>
        <v>80.442156249999996</v>
      </c>
      <c r="F141" s="72">
        <f ca="1">180.678296875*OFFSET($L$112,MATCH($N$1,$C$112:$C$113,0)-1,0)</f>
        <v>180.678296875</v>
      </c>
      <c r="I141" s="49"/>
      <c r="K141" s="73" t="s">
        <v>111</v>
      </c>
      <c r="L141" s="74">
        <f t="shared" ca="1" si="2"/>
        <v>185.33465624999999</v>
      </c>
      <c r="M141" s="74">
        <f t="shared" ca="1" si="2"/>
        <v>81.488626512096801</v>
      </c>
      <c r="N141" s="74">
        <f ca="1">E142</f>
        <v>22.698734375000001</v>
      </c>
    </row>
    <row r="142" spans="1:14" ht="18" customHeight="1" x14ac:dyDescent="0.2">
      <c r="A142" s="238"/>
      <c r="B142" s="35" t="s">
        <v>112</v>
      </c>
      <c r="C142" s="37">
        <f ca="1">185.33465625*OFFSET($L$112,MATCH($N$1,$C$112:$C$113,0)-1,0)</f>
        <v>185.33465624999999</v>
      </c>
      <c r="D142" s="37">
        <f ca="1">81.4886265120968*OFFSET($L$112,MATCH($N$1,$C$112:$C$113,0)-1,0)</f>
        <v>81.488626512096801</v>
      </c>
      <c r="E142" s="37">
        <f ca="1">22.698734375*OFFSET($L$112,MATCH($N$1,$C$112:$C$113,0)-1,0)</f>
        <v>22.698734375000001</v>
      </c>
      <c r="F142" s="65">
        <f ca="1">92.5679921875*OFFSET($L$112,MATCH($N$1,$C$112:$C$113,0)-1,0)</f>
        <v>92.567992187499996</v>
      </c>
      <c r="I142" s="49"/>
      <c r="K142" s="73" t="s">
        <v>113</v>
      </c>
      <c r="L142" s="77">
        <f ca="1">IFERROR(L140/L$139,"")</f>
        <v>0.62232753050263978</v>
      </c>
      <c r="M142" s="77">
        <f t="shared" ref="M142:N143" ca="1" si="3">IFERROR(M140/M$139,"")</f>
        <v>0.67446483837074567</v>
      </c>
      <c r="N142" s="77">
        <f t="shared" ca="1" si="3"/>
        <v>0.77992497216716761</v>
      </c>
    </row>
    <row r="143" spans="1:14" ht="18" customHeight="1" x14ac:dyDescent="0.2">
      <c r="I143" s="49"/>
      <c r="K143" s="73" t="s">
        <v>114</v>
      </c>
      <c r="L143" s="77">
        <f ca="1">IFERROR(L141/L$139,"")</f>
        <v>0.37767246949736022</v>
      </c>
      <c r="M143" s="77">
        <f t="shared" ca="1" si="3"/>
        <v>0.3255351616292535</v>
      </c>
      <c r="N143" s="77">
        <f t="shared" ca="1" si="3"/>
        <v>0.22007502783283245</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10</v>
      </c>
      <c r="B161" s="53"/>
      <c r="C161" s="79" t="s">
        <v>41</v>
      </c>
      <c r="D161" s="79" t="s">
        <v>115</v>
      </c>
      <c r="E161" s="79" t="s">
        <v>43</v>
      </c>
      <c r="F161" s="79" t="s">
        <v>116</v>
      </c>
      <c r="G161" s="80">
        <v>10</v>
      </c>
      <c r="H161" s="79"/>
      <c r="I161" s="79" t="s">
        <v>41</v>
      </c>
      <c r="J161" s="79" t="s">
        <v>115</v>
      </c>
      <c r="K161" s="79" t="s">
        <v>43</v>
      </c>
      <c r="L161" s="53" t="s">
        <v>116</v>
      </c>
    </row>
    <row r="162" spans="1:14" s="49" customFormat="1" x14ac:dyDescent="0.2">
      <c r="A162" s="50">
        <v>1</v>
      </c>
      <c r="B162" s="53" t="s">
        <v>190</v>
      </c>
      <c r="C162" s="53">
        <v>0.43894818643354788</v>
      </c>
      <c r="D162" s="53">
        <v>0.16441375407171105</v>
      </c>
      <c r="E162" s="53">
        <v>0</v>
      </c>
      <c r="F162" s="50">
        <v>11115023</v>
      </c>
      <c r="G162" s="50">
        <v>1</v>
      </c>
      <c r="H162" s="53" t="s">
        <v>96</v>
      </c>
      <c r="I162" s="53">
        <v>0.33528022555190762</v>
      </c>
      <c r="J162" s="53">
        <v>0.47037365770248718</v>
      </c>
      <c r="K162" s="53">
        <v>0.25036792412497516</v>
      </c>
      <c r="L162" s="50">
        <v>12153634</v>
      </c>
    </row>
    <row r="163" spans="1:14" s="49" customFormat="1" x14ac:dyDescent="0.2">
      <c r="A163" s="50">
        <v>2</v>
      </c>
      <c r="B163" s="53" t="s">
        <v>120</v>
      </c>
      <c r="C163" s="53">
        <v>3.4207663689382405E-2</v>
      </c>
      <c r="D163" s="53">
        <v>0.13215647845321968</v>
      </c>
      <c r="E163" s="53">
        <v>8.3108926926401705E-2</v>
      </c>
      <c r="F163" s="50">
        <v>8497745</v>
      </c>
      <c r="G163" s="50">
        <v>2</v>
      </c>
      <c r="H163" s="53" t="s">
        <v>187</v>
      </c>
      <c r="I163" s="53">
        <v>9.9214340559841491E-2</v>
      </c>
      <c r="J163" s="53">
        <v>0.16454235000689524</v>
      </c>
      <c r="K163" s="53">
        <v>0.14343324805161164</v>
      </c>
      <c r="L163" s="50">
        <v>553960</v>
      </c>
      <c r="N163" s="49" t="s">
        <v>117</v>
      </c>
    </row>
    <row r="164" spans="1:14" s="49" customFormat="1" x14ac:dyDescent="0.2">
      <c r="A164" s="50">
        <v>3</v>
      </c>
      <c r="B164" s="53" t="s">
        <v>187</v>
      </c>
      <c r="C164" s="53">
        <v>0</v>
      </c>
      <c r="D164" s="53">
        <v>0.11744536735902818</v>
      </c>
      <c r="E164" s="53">
        <v>7.1253390712749748E-2</v>
      </c>
      <c r="F164" s="50">
        <v>553960</v>
      </c>
      <c r="G164" s="50">
        <v>3</v>
      </c>
      <c r="H164" s="53" t="s">
        <v>137</v>
      </c>
      <c r="I164" s="53">
        <v>7.115517740787973E-2</v>
      </c>
      <c r="J164" s="53">
        <v>8.0393110172097423E-2</v>
      </c>
      <c r="K164" s="53">
        <v>0.10735706789034201</v>
      </c>
      <c r="L164" s="50">
        <v>3050596</v>
      </c>
      <c r="N164" s="49" t="s">
        <v>118</v>
      </c>
    </row>
    <row r="165" spans="1:14" s="49" customFormat="1" x14ac:dyDescent="0.2">
      <c r="A165" s="50">
        <v>4</v>
      </c>
      <c r="B165" s="53" t="s">
        <v>96</v>
      </c>
      <c r="C165" s="53">
        <v>0.13066641974552859</v>
      </c>
      <c r="D165" s="53">
        <v>0.11434089946520679</v>
      </c>
      <c r="E165" s="53">
        <v>0.16634658479092523</v>
      </c>
      <c r="F165" s="50">
        <v>12153634</v>
      </c>
      <c r="G165" s="50">
        <v>4</v>
      </c>
      <c r="H165" s="53" t="s">
        <v>121</v>
      </c>
      <c r="I165" s="53">
        <v>0</v>
      </c>
      <c r="J165" s="53">
        <v>7.9371912544021331E-2</v>
      </c>
      <c r="K165" s="53">
        <v>5.4692515313406138E-2</v>
      </c>
      <c r="L165" s="50">
        <v>1692097</v>
      </c>
    </row>
    <row r="166" spans="1:14" s="49" customFormat="1" x14ac:dyDescent="0.2">
      <c r="A166" s="50">
        <v>5</v>
      </c>
      <c r="B166" s="53" t="s">
        <v>191</v>
      </c>
      <c r="C166" s="53">
        <v>0</v>
      </c>
      <c r="D166" s="53">
        <v>0.10762949342676639</v>
      </c>
      <c r="E166" s="53">
        <v>7.5018724611705251E-2</v>
      </c>
      <c r="F166" s="50">
        <v>2480382</v>
      </c>
      <c r="G166" s="50">
        <v>5</v>
      </c>
      <c r="H166" s="53" t="s">
        <v>172</v>
      </c>
      <c r="I166" s="53">
        <v>0</v>
      </c>
      <c r="J166" s="53">
        <v>4.6716746147503055E-2</v>
      </c>
      <c r="K166" s="53">
        <v>0</v>
      </c>
      <c r="L166" s="50">
        <v>3689192</v>
      </c>
    </row>
    <row r="167" spans="1:14" s="49" customFormat="1" x14ac:dyDescent="0.2">
      <c r="A167" s="50">
        <v>6</v>
      </c>
      <c r="B167" s="53" t="s">
        <v>170</v>
      </c>
      <c r="C167" s="53">
        <v>0</v>
      </c>
      <c r="D167" s="53">
        <v>0</v>
      </c>
      <c r="E167" s="53">
        <v>0.15985438339341679</v>
      </c>
      <c r="F167" s="50">
        <v>14393110</v>
      </c>
      <c r="G167" s="50">
        <v>6</v>
      </c>
      <c r="H167" s="53" t="s">
        <v>170</v>
      </c>
      <c r="I167" s="53">
        <v>0</v>
      </c>
      <c r="J167" s="53">
        <v>0</v>
      </c>
      <c r="K167" s="53">
        <v>8.4905680148276194E-2</v>
      </c>
      <c r="L167" s="50">
        <v>14393110</v>
      </c>
    </row>
    <row r="168" spans="1:14" s="49" customFormat="1" x14ac:dyDescent="0.2">
      <c r="A168" s="50">
        <v>7</v>
      </c>
      <c r="B168" s="53" t="s">
        <v>192</v>
      </c>
      <c r="C168" s="53">
        <v>5.7633768611970261E-2</v>
      </c>
      <c r="D168" s="53">
        <v>0</v>
      </c>
      <c r="E168" s="53">
        <v>0</v>
      </c>
      <c r="F168" s="50">
        <v>7434864</v>
      </c>
      <c r="G168" s="50">
        <v>7</v>
      </c>
      <c r="H168" s="53" t="s">
        <v>190</v>
      </c>
      <c r="I168" s="53">
        <v>7.5430706252186966E-2</v>
      </c>
      <c r="J168" s="53">
        <v>0</v>
      </c>
      <c r="K168" s="53">
        <v>0</v>
      </c>
      <c r="L168" s="50">
        <v>11115023</v>
      </c>
    </row>
    <row r="169" spans="1:14" s="49" customFormat="1" x14ac:dyDescent="0.2">
      <c r="A169" s="50">
        <v>8</v>
      </c>
      <c r="B169" s="53" t="s">
        <v>16</v>
      </c>
      <c r="C169" s="53">
        <v>4.0213103900400803E-2</v>
      </c>
      <c r="D169" s="53">
        <v>0</v>
      </c>
      <c r="E169" s="53">
        <v>0</v>
      </c>
      <c r="F169" s="50">
        <v>2887140</v>
      </c>
      <c r="G169" s="50">
        <v>8</v>
      </c>
      <c r="H169" s="53" t="s">
        <v>16</v>
      </c>
      <c r="I169" s="53">
        <v>5.3088468020913097E-2</v>
      </c>
      <c r="J169" s="53">
        <v>0</v>
      </c>
      <c r="K169" s="53">
        <v>0</v>
      </c>
      <c r="L169" s="50">
        <v>2887140</v>
      </c>
    </row>
    <row r="170" spans="1:14" s="49" customFormat="1" x14ac:dyDescent="0.2">
      <c r="A170" s="50">
        <v>9</v>
      </c>
      <c r="B170" s="53" t="s">
        <v>101</v>
      </c>
      <c r="C170" s="53">
        <v>0.29833085761917011</v>
      </c>
      <c r="D170" s="53">
        <v>0.36401400722406785</v>
      </c>
      <c r="E170" s="53">
        <v>0.44441798956480127</v>
      </c>
      <c r="F170" s="50">
        <v>5920853</v>
      </c>
      <c r="G170" s="50">
        <v>9</v>
      </c>
      <c r="H170" s="53" t="s">
        <v>101</v>
      </c>
      <c r="I170" s="53">
        <v>0.36583108220727123</v>
      </c>
      <c r="J170" s="53">
        <v>0.15860222342699581</v>
      </c>
      <c r="K170" s="53">
        <v>0.35924356447138883</v>
      </c>
      <c r="L170" s="50">
        <v>5920853</v>
      </c>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'Area VIIb-k trawlers 10-24m'!D3:N3</xm:f>
              <xm:sqref>C3</xm:sqref>
            </x14:sparkline>
            <x14:sparkline>
              <xm:f>'Area VIIb-k trawlers 10-24m'!D4:N4</xm:f>
              <xm:sqref>C4</xm:sqref>
            </x14:sparkline>
            <x14:sparkline>
              <xm:f>'Area VIIb-k trawlers 10-24m'!D5:N5</xm:f>
              <xm:sqref>C5</xm:sqref>
            </x14:sparkline>
            <x14:sparkline>
              <xm:f>'Area VIIb-k trawlers 10-24m'!D6:N6</xm:f>
              <xm:sqref>C6</xm:sqref>
            </x14:sparkline>
            <x14:sparkline>
              <xm:f>'Area VIIb-k trawlers 10-24m'!D7:N7</xm:f>
              <xm:sqref>C7</xm:sqref>
            </x14:sparkline>
            <x14:sparkline>
              <xm:f>'Area VIIb-k trawlers 10-24m'!D8:N8</xm:f>
              <xm:sqref>C8</xm:sqref>
            </x14:sparkline>
            <x14:sparkline>
              <xm:f>'Area VIIb-k trawlers 10-24m'!D9:N9</xm:f>
              <xm:sqref>C9</xm:sqref>
            </x14:sparkline>
            <x14:sparkline>
              <xm:f>'Area VIIb-k trawlers 10-24m'!F10:M10</xm:f>
              <xm:sqref>C10</xm:sqref>
            </x14:sparkline>
            <x14:sparkline>
              <xm:f>'Area VIIb-k trawlers 10-24m'!D11:N11</xm:f>
              <xm:sqref>C11</xm:sqref>
            </x14:sparkline>
            <x14:sparkline>
              <xm:f>'Area VIIb-k trawlers 10-24m'!D12:N12</xm:f>
              <xm:sqref>C12</xm:sqref>
            </x14:sparkline>
            <x14:sparkline>
              <xm:f>'Area VIIb-k trawlers 10-24m'!D13:N13</xm:f>
              <xm:sqref>C13</xm:sqref>
            </x14:sparkline>
            <x14:sparkline>
              <xm:f>'Area VIIb-k trawlers 10-24m'!D14:N14</xm:f>
              <xm:sqref>C14</xm:sqref>
            </x14:sparkline>
            <x14:sparkline>
              <xm:f>'Area VIIb-k trawlers 10-24m'!D15:N15</xm:f>
              <xm:sqref>C15</xm:sqref>
            </x14:sparkline>
            <x14:sparkline>
              <xm:f>'Area VIIb-k trawlers 10-24m'!D16:N16</xm:f>
              <xm:sqref>C16</xm:sqref>
            </x14:sparkline>
            <x14:sparkline>
              <xm:f>'Area VIIb-k trawlers 10-24m'!D17:N17</xm:f>
              <xm:sqref>C17</xm:sqref>
            </x14:sparkline>
            <x14:sparkline>
              <xm:f>'Area VIIb-k trawlers 10-24m'!D18:N18</xm:f>
              <xm:sqref>C18</xm:sqref>
            </x14:sparkline>
            <x14:sparkline>
              <xm:f>'Area VIIb-k trawlers 10-24m'!D19:N19</xm:f>
              <xm:sqref>C19</xm:sqref>
            </x14:sparkline>
            <x14:sparkline>
              <xm:f>'Area VIIb-k trawlers 10-24m'!D20:N20</xm:f>
              <xm:sqref>C20</xm:sqref>
            </x14:sparkline>
            <x14:sparkline>
              <xm:f>'Area VIIb-k trawlers 10-24m'!D21:N21</xm:f>
              <xm:sqref>C21</xm:sqref>
            </x14:sparkline>
            <x14:sparkline>
              <xm:f>'Area VIIb-k trawlers 10-24m'!D22:N22</xm:f>
              <xm:sqref>C22</xm:sqref>
            </x14:sparkline>
            <x14:sparkline>
              <xm:f>'Area VIIb-k trawlers 10-24m'!D23:N23</xm:f>
              <xm:sqref>C23</xm:sqref>
            </x14:sparkline>
            <x14:sparkline>
              <xm:f>'Area VIIb-k trawlers 10-24m'!D24:N24</xm:f>
              <xm:sqref>C24</xm:sqref>
            </x14:sparkline>
            <x14:sparkline>
              <xm:f>'Area VIIb-k trawlers 10-24m'!F25:M25</xm:f>
              <xm:sqref>C25</xm:sqref>
            </x14:sparkline>
            <x14:sparkline>
              <xm:f>'Area VIIb-k trawlers 10-24m'!F26:M26</xm:f>
              <xm:sqref>C26</xm:sqref>
            </x14:sparkline>
            <x14:sparkline>
              <xm:f>'Area VIIb-k trawlers 10-24m'!D27:N27</xm:f>
              <xm:sqref>C27</xm:sqref>
            </x14:sparkline>
            <x14:sparkline>
              <xm:f>'Area VIIb-k trawlers 10-24m'!D28:N28</xm:f>
              <xm:sqref>C28</xm:sqref>
            </x14:sparkline>
            <x14:sparkline>
              <xm:f>'Area VIIb-k trawlers 10-24m'!D29:N29</xm:f>
              <xm:sqref>C29</xm:sqref>
            </x14:sparkline>
            <x14:sparkline>
              <xm:f>'Area VIIb-k trawlers 10-24m'!D30:N30</xm:f>
              <xm:sqref>C30</xm:sqref>
            </x14:sparkline>
            <x14:sparkline>
              <xm:f>'Area VIIb-k trawlers 10-24m'!D31:N31</xm:f>
              <xm:sqref>C31</xm:sqref>
            </x14:sparkline>
            <x14:sparkline>
              <xm:f>'Area VIIb-k trawlers 10-24m'!D32:N32</xm:f>
              <xm:sqref>C32</xm:sqref>
            </x14:sparkline>
            <x14:sparkline>
              <xm:f>'Area VIIb-k trawlers 10-24m'!D33:N33</xm:f>
              <xm:sqref>C33</xm:sqref>
            </x14:sparkline>
            <x14:sparkline>
              <xm:f>'Area VIIb-k trawlers 10-24m'!D34:N34</xm:f>
              <xm:sqref>C34</xm:sqref>
            </x14:sparkline>
            <x14:sparkline>
              <xm:f>'Area VIIb-k trawlers 10-24m'!D35:N35</xm:f>
              <xm:sqref>C35</xm:sqref>
            </x14:sparkline>
            <x14:sparkline>
              <xm:f>'Area VIIb-k trawlers 10-24m'!D36:N36</xm:f>
              <xm:sqref>C36</xm:sqref>
            </x14:sparkline>
            <x14:sparkline>
              <xm:f>'Area VIIb-k trawlers 10-24m'!D37:N37</xm:f>
              <xm:sqref>C37</xm:sqref>
            </x14:sparkline>
            <x14:sparkline>
              <xm:f>'Area VIIb-k trawlers 10-24m'!D38:M38</xm:f>
              <xm:sqref>C38</xm:sqref>
            </x14:sparkline>
            <x14:sparkline>
              <xm:f>'Area VIIb-k trawlers 10-24m'!D39:M39</xm:f>
              <xm:sqref>C39</xm:sqref>
            </x14:sparkline>
            <x14:sparkline>
              <xm:f>'Area VIIb-k trawlers 10-24m'!D40:M40</xm:f>
              <xm:sqref>C40</xm:sqref>
            </x14:sparkline>
            <x14:sparkline>
              <xm:f>'Area VIIb-k trawlers 10-24m'!D41:M41</xm:f>
              <xm:sqref>C41</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193</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41</v>
      </c>
      <c r="E3" s="22">
        <v>37</v>
      </c>
      <c r="F3" s="22">
        <v>39</v>
      </c>
      <c r="G3" s="22">
        <v>41</v>
      </c>
      <c r="H3" s="22">
        <v>40</v>
      </c>
      <c r="I3" s="22">
        <v>37</v>
      </c>
      <c r="J3" s="22">
        <v>36</v>
      </c>
      <c r="K3" s="22">
        <v>31</v>
      </c>
      <c r="L3" s="22">
        <v>30</v>
      </c>
      <c r="M3" s="22">
        <v>30</v>
      </c>
      <c r="N3" s="22">
        <v>26</v>
      </c>
      <c r="O3" s="23">
        <f t="shared" ref="O3:O41" si="0">IF(N3=0,"",IFERROR(IF(AND(N3&gt;0,D3&lt;0),"na",IF(AND(N3&lt;0,D3&lt;0),-1,1)*(N3-D3)/D3),""))</f>
        <v>-0.36585365853658536</v>
      </c>
      <c r="P3" s="23">
        <f>IF(N3=0,"",IFERROR(IF(AND(N3&gt;0,J3&lt;0),"na",IF(AND(N3&lt;0,J3&lt;0),-1,1)*(N3-J3)/J3),""))</f>
        <v>-0.27777777777777779</v>
      </c>
    </row>
    <row r="4" spans="1:17" ht="18" customHeight="1" x14ac:dyDescent="0.2">
      <c r="A4" s="224"/>
      <c r="B4" s="24" t="s">
        <v>51</v>
      </c>
      <c r="C4" s="25"/>
      <c r="D4" s="26">
        <v>12049</v>
      </c>
      <c r="E4" s="26">
        <v>9843</v>
      </c>
      <c r="F4" s="26">
        <v>10872</v>
      </c>
      <c r="G4" s="26">
        <v>11743</v>
      </c>
      <c r="H4" s="26">
        <v>12211</v>
      </c>
      <c r="I4" s="26">
        <v>11722</v>
      </c>
      <c r="J4" s="26">
        <v>11356</v>
      </c>
      <c r="K4" s="26">
        <v>10487</v>
      </c>
      <c r="L4" s="26">
        <v>9442</v>
      </c>
      <c r="M4" s="26">
        <v>8602</v>
      </c>
      <c r="N4" s="26">
        <v>8041</v>
      </c>
      <c r="O4" s="23">
        <f t="shared" si="0"/>
        <v>-0.33264171300522866</v>
      </c>
      <c r="P4" s="23">
        <f t="shared" ref="P4:P41" si="1">IF(N4=0,"",IFERROR(IF(AND(N4&gt;0,J4&lt;0),"na",IF(AND(N4&lt;0,J4&lt;0),-1,1)*(N4-J4)/J4),""))</f>
        <v>-0.29191616766467066</v>
      </c>
    </row>
    <row r="5" spans="1:17" ht="18" customHeight="1" x14ac:dyDescent="0.2">
      <c r="A5" s="224"/>
      <c r="B5" s="24" t="s">
        <v>52</v>
      </c>
      <c r="C5" s="25"/>
      <c r="D5" s="26">
        <v>4077</v>
      </c>
      <c r="E5" s="26">
        <v>3721</v>
      </c>
      <c r="F5" s="26">
        <v>4220</v>
      </c>
      <c r="G5" s="26">
        <v>4437</v>
      </c>
      <c r="H5" s="26">
        <v>4886</v>
      </c>
      <c r="I5" s="26">
        <v>4753</v>
      </c>
      <c r="J5" s="26">
        <v>4426</v>
      </c>
      <c r="K5" s="26">
        <v>4342</v>
      </c>
      <c r="L5" s="26">
        <v>3891</v>
      </c>
      <c r="M5" s="26">
        <v>3399</v>
      </c>
      <c r="N5" s="26">
        <v>3244</v>
      </c>
      <c r="O5" s="23">
        <f t="shared" si="0"/>
        <v>-0.20431689968113809</v>
      </c>
      <c r="P5" s="23">
        <f t="shared" si="1"/>
        <v>-0.26705829191143243</v>
      </c>
      <c r="Q5" s="27"/>
    </row>
    <row r="6" spans="1:17" ht="18" customHeight="1" x14ac:dyDescent="0.2">
      <c r="A6" s="224"/>
      <c r="B6" s="24" t="s">
        <v>53</v>
      </c>
      <c r="C6" s="25"/>
      <c r="D6" s="26">
        <v>10102.75</v>
      </c>
      <c r="E6" s="26">
        <v>8669.2880859375</v>
      </c>
      <c r="F6" s="26">
        <v>9567.5830078125</v>
      </c>
      <c r="G6" s="26">
        <v>10193.4443359375</v>
      </c>
      <c r="H6" s="26">
        <v>10658.5048828125</v>
      </c>
      <c r="I6" s="26">
        <v>10141.9541015625</v>
      </c>
      <c r="J6" s="26">
        <v>9760.2939453125</v>
      </c>
      <c r="K6" s="26">
        <v>9052.7001953125</v>
      </c>
      <c r="L6" s="26">
        <v>8152.0908203125</v>
      </c>
      <c r="M6" s="26">
        <v>7425.24609375</v>
      </c>
      <c r="N6" s="26">
        <v>6859.4052734375</v>
      </c>
      <c r="O6" s="23">
        <f t="shared" si="0"/>
        <v>-0.32103582950805476</v>
      </c>
      <c r="P6" s="23">
        <f t="shared" si="1"/>
        <v>-0.29721324871247212</v>
      </c>
    </row>
    <row r="7" spans="1:17" ht="18" customHeight="1" x14ac:dyDescent="0.2">
      <c r="A7" s="224"/>
      <c r="B7" s="24" t="s">
        <v>54</v>
      </c>
      <c r="C7" s="25"/>
      <c r="D7" s="26">
        <v>4939.15185546875</v>
      </c>
      <c r="E7" s="26">
        <v>5528.36328125</v>
      </c>
      <c r="F7" s="26">
        <v>5427.19873046875</v>
      </c>
      <c r="G7" s="26">
        <v>7613.70263671875</v>
      </c>
      <c r="H7" s="26">
        <v>8921.115234375</v>
      </c>
      <c r="I7" s="26">
        <v>9481.2880859375</v>
      </c>
      <c r="J7" s="26">
        <v>8903.1083984375</v>
      </c>
      <c r="K7" s="26">
        <v>7702.30029296875</v>
      </c>
      <c r="L7" s="26">
        <v>8023.09765625</v>
      </c>
      <c r="M7" s="26">
        <v>8120.0712890625</v>
      </c>
      <c r="N7" s="26">
        <v>8348.3330078125</v>
      </c>
      <c r="O7" s="23">
        <f t="shared" si="0"/>
        <v>0.69023614825063961</v>
      </c>
      <c r="P7" s="23">
        <f t="shared" si="1"/>
        <v>-6.2312550380984169E-2</v>
      </c>
    </row>
    <row r="8" spans="1:17" ht="18" customHeight="1" x14ac:dyDescent="0.2">
      <c r="A8" s="224"/>
      <c r="B8" s="24" t="s">
        <v>55</v>
      </c>
      <c r="C8" s="27"/>
      <c r="D8" s="28">
        <f ca="1">13.622023*OFFSET(D$112,MATCH($N$1,$C$112:$C$113,0)-1,0)</f>
        <v>13.622023</v>
      </c>
      <c r="E8" s="28">
        <f ca="1">15.86966*OFFSET(E$112,MATCH($N$1,$C$112:$C$113,0)-1,0)</f>
        <v>15.86966</v>
      </c>
      <c r="F8" s="28">
        <f ca="1">17.67264*OFFSET(F$112,MATCH($N$1,$C$112:$C$113,0)-1,0)</f>
        <v>17.672640000000001</v>
      </c>
      <c r="G8" s="28">
        <f ca="1">20.913562*OFFSET(G$112,MATCH($N$1,$C$112:$C$113,0)-1,0)</f>
        <v>20.913561999999999</v>
      </c>
      <c r="H8" s="28">
        <f ca="1">21.153248*OFFSET(H$112,MATCH($N$1,$C$112:$C$113,0)-1,0)</f>
        <v>21.153248000000001</v>
      </c>
      <c r="I8" s="28">
        <f ca="1">19.296176*OFFSET(I$112,MATCH($N$1,$C$112:$C$113,0)-1,0)</f>
        <v>19.296175999999999</v>
      </c>
      <c r="J8" s="28">
        <f ca="1">20.329948*OFFSET(J$112,MATCH($N$1,$C$112:$C$113,0)-1,0)</f>
        <v>20.329948000000002</v>
      </c>
      <c r="K8" s="28">
        <f ca="1">17.774928*OFFSET(K$112,MATCH($N$1,$C$112:$C$113,0)-1,0)</f>
        <v>17.774927999999999</v>
      </c>
      <c r="L8" s="28">
        <f ca="1">18.660168*OFFSET(L$112,MATCH($N$1,$C$112:$C$113,0)-1,0)</f>
        <v>18.660167999999999</v>
      </c>
      <c r="M8" s="28">
        <f ca="1">14.254058*OFFSET(M$112,MATCH($N$1,$C$112:$C$113,0)-1,0)</f>
        <v>14.254058000000001</v>
      </c>
      <c r="N8" s="28">
        <v>13.698183</v>
      </c>
      <c r="O8" s="23">
        <f t="shared" ca="1" si="0"/>
        <v>5.5909463667767837E-3</v>
      </c>
      <c r="P8" s="23">
        <f t="shared" ca="1" si="1"/>
        <v>-0.32620668778887191</v>
      </c>
    </row>
    <row r="9" spans="1:17" ht="18" customHeight="1" x14ac:dyDescent="0.2">
      <c r="A9" s="224"/>
      <c r="B9" s="24" t="s">
        <v>56</v>
      </c>
      <c r="C9" s="27"/>
      <c r="D9" s="26">
        <v>6024</v>
      </c>
      <c r="E9" s="26">
        <v>5795</v>
      </c>
      <c r="F9" s="26">
        <v>6368</v>
      </c>
      <c r="G9" s="26">
        <v>6757</v>
      </c>
      <c r="H9" s="26">
        <v>6395</v>
      </c>
      <c r="I9" s="26">
        <v>6179</v>
      </c>
      <c r="J9" s="26">
        <v>6089</v>
      </c>
      <c r="K9" s="26">
        <v>5498</v>
      </c>
      <c r="L9" s="26">
        <v>5250</v>
      </c>
      <c r="M9" s="26">
        <v>4811</v>
      </c>
      <c r="N9" s="26">
        <v>4360</v>
      </c>
      <c r="O9" s="23">
        <f t="shared" si="0"/>
        <v>-0.27622841965471445</v>
      </c>
      <c r="P9" s="23">
        <f t="shared" si="1"/>
        <v>-0.28395467235999344</v>
      </c>
    </row>
    <row r="10" spans="1:17" ht="18" customHeight="1" x14ac:dyDescent="0.2">
      <c r="A10" s="224"/>
      <c r="B10" s="24" t="s">
        <v>57</v>
      </c>
      <c r="C10" s="27"/>
      <c r="D10" s="26"/>
      <c r="E10" s="26">
        <v>225.72515869140625</v>
      </c>
      <c r="F10" s="26">
        <v>217.500244140625</v>
      </c>
      <c r="G10" s="26">
        <v>243.51127624511719</v>
      </c>
      <c r="H10" s="26">
        <v>274.22201538085937</v>
      </c>
      <c r="I10" s="26">
        <v>286.04437255859375</v>
      </c>
      <c r="J10" s="26">
        <v>254.681396484375</v>
      </c>
      <c r="K10" s="26">
        <v>386.47463989257812</v>
      </c>
      <c r="L10" s="26">
        <v>350.28213500976563</v>
      </c>
      <c r="M10" s="26">
        <v>348.12982177734375</v>
      </c>
      <c r="N10" s="26">
        <v>142.59829711914062</v>
      </c>
      <c r="O10" s="29" t="str">
        <f t="shared" si="0"/>
        <v/>
      </c>
      <c r="P10" s="29">
        <f t="shared" si="1"/>
        <v>-0.44009142761281667</v>
      </c>
    </row>
    <row r="11" spans="1:17" ht="18" customHeight="1" x14ac:dyDescent="0.2">
      <c r="A11" s="225" t="s">
        <v>23</v>
      </c>
      <c r="B11" s="30" t="s">
        <v>58</v>
      </c>
      <c r="C11" s="31"/>
      <c r="D11" s="32">
        <v>18.699512481689453</v>
      </c>
      <c r="E11" s="32">
        <v>18.819728851318359</v>
      </c>
      <c r="F11" s="32">
        <v>19.409744262695313</v>
      </c>
      <c r="G11" s="32">
        <v>19.333658218383789</v>
      </c>
      <c r="H11" s="32">
        <v>20.222999572753906</v>
      </c>
      <c r="I11" s="32">
        <v>20.446216583251953</v>
      </c>
      <c r="J11" s="32">
        <v>20.08305549621582</v>
      </c>
      <c r="K11" s="32">
        <v>21.154193878173828</v>
      </c>
      <c r="L11" s="32">
        <v>19.9913330078125</v>
      </c>
      <c r="M11" s="32">
        <v>19.017000198364258</v>
      </c>
      <c r="N11" s="32">
        <v>19.611537933349609</v>
      </c>
      <c r="O11" s="23">
        <f t="shared" si="0"/>
        <v>4.877268605548999E-2</v>
      </c>
      <c r="P11" s="23">
        <f t="shared" si="1"/>
        <v>-2.3478377727684782E-2</v>
      </c>
    </row>
    <row r="12" spans="1:17" ht="18" customHeight="1" x14ac:dyDescent="0.2">
      <c r="A12" s="226"/>
      <c r="B12" s="33" t="s">
        <v>51</v>
      </c>
      <c r="C12" s="25"/>
      <c r="D12" s="26">
        <v>293.8780517578125</v>
      </c>
      <c r="E12" s="26">
        <v>266.02703857421875</v>
      </c>
      <c r="F12" s="26">
        <v>278.76922607421875</v>
      </c>
      <c r="G12" s="26">
        <v>286.41464233398437</v>
      </c>
      <c r="H12" s="26">
        <v>305.27499389648437</v>
      </c>
      <c r="I12" s="26">
        <v>316.81082153320312</v>
      </c>
      <c r="J12" s="26">
        <v>315.4444580078125</v>
      </c>
      <c r="K12" s="26">
        <v>338.29031372070312</v>
      </c>
      <c r="L12" s="26">
        <v>314.73333740234375</v>
      </c>
      <c r="M12" s="26">
        <v>286.73333740234375</v>
      </c>
      <c r="N12" s="26">
        <v>309.26922607421875</v>
      </c>
      <c r="O12" s="23">
        <f t="shared" si="0"/>
        <v>5.2372656700100398E-2</v>
      </c>
      <c r="P12" s="23">
        <f t="shared" si="1"/>
        <v>-1.9576289190792535E-2</v>
      </c>
    </row>
    <row r="13" spans="1:17" ht="18" customHeight="1" x14ac:dyDescent="0.2">
      <c r="A13" s="226"/>
      <c r="B13" s="33" t="s">
        <v>52</v>
      </c>
      <c r="C13" s="25"/>
      <c r="D13" s="26">
        <v>99.43902587890625</v>
      </c>
      <c r="E13" s="26">
        <v>100.56756591796875</v>
      </c>
      <c r="F13" s="26">
        <v>108.20513153076172</v>
      </c>
      <c r="G13" s="26">
        <v>108.21951293945312</v>
      </c>
      <c r="H13" s="26">
        <v>122.15000152587891</v>
      </c>
      <c r="I13" s="26">
        <v>128.45945739746094</v>
      </c>
      <c r="J13" s="26">
        <v>122.94444274902344</v>
      </c>
      <c r="K13" s="26">
        <v>140.06451416015625</v>
      </c>
      <c r="L13" s="26">
        <v>129.69999694824219</v>
      </c>
      <c r="M13" s="26">
        <v>113.30000305175781</v>
      </c>
      <c r="N13" s="26">
        <v>124.76923370361328</v>
      </c>
      <c r="O13" s="23">
        <f t="shared" si="0"/>
        <v>0.25473105353579562</v>
      </c>
      <c r="P13" s="23">
        <f t="shared" si="1"/>
        <v>1.4842402908075633E-2</v>
      </c>
    </row>
    <row r="14" spans="1:17" ht="18" customHeight="1" x14ac:dyDescent="0.2">
      <c r="A14" s="226"/>
      <c r="B14" s="33" t="s">
        <v>53</v>
      </c>
      <c r="C14" s="25"/>
      <c r="D14" s="26">
        <v>246.40853881835937</v>
      </c>
      <c r="E14" s="26">
        <v>234.30509948730469</v>
      </c>
      <c r="F14" s="26">
        <v>245.3226318359375</v>
      </c>
      <c r="G14" s="26">
        <v>248.62060546875</v>
      </c>
      <c r="H14" s="26">
        <v>266.46261596679687</v>
      </c>
      <c r="I14" s="26">
        <v>274.10687255859375</v>
      </c>
      <c r="J14" s="26">
        <v>271.11929321289062</v>
      </c>
      <c r="K14" s="26">
        <v>292.0225830078125</v>
      </c>
      <c r="L14" s="26">
        <v>271.73635864257812</v>
      </c>
      <c r="M14" s="26">
        <v>247.50820922851563</v>
      </c>
      <c r="N14" s="26">
        <v>263.82327270507812</v>
      </c>
      <c r="O14" s="23">
        <f t="shared" si="0"/>
        <v>7.0674230569404334E-2</v>
      </c>
      <c r="P14" s="23">
        <f t="shared" si="1"/>
        <v>-2.6910738890439111E-2</v>
      </c>
    </row>
    <row r="15" spans="1:17" ht="18" customHeight="1" x14ac:dyDescent="0.2">
      <c r="A15" s="226"/>
      <c r="B15" s="33" t="s">
        <v>54</v>
      </c>
      <c r="C15" s="27"/>
      <c r="D15" s="28">
        <v>120.46712493896484</v>
      </c>
      <c r="E15" s="28">
        <v>149.41522216796875</v>
      </c>
      <c r="F15" s="28">
        <v>139.15895080566406</v>
      </c>
      <c r="G15" s="28">
        <v>185.70005798339844</v>
      </c>
      <c r="H15" s="28">
        <v>223.02787780761719</v>
      </c>
      <c r="I15" s="28">
        <v>256.25100708007812</v>
      </c>
      <c r="J15" s="28">
        <v>247.30856323242187</v>
      </c>
      <c r="K15" s="28">
        <v>248.4613037109375</v>
      </c>
      <c r="L15" s="28">
        <v>267.43658447265625</v>
      </c>
      <c r="M15" s="28">
        <v>270.66903686523437</v>
      </c>
      <c r="N15" s="28">
        <v>321.0897216796875</v>
      </c>
      <c r="O15" s="23">
        <f t="shared" si="0"/>
        <v>1.6653721655793554</v>
      </c>
      <c r="P15" s="23">
        <f t="shared" si="1"/>
        <v>0.29833644853585484</v>
      </c>
    </row>
    <row r="16" spans="1:17" ht="18" customHeight="1" x14ac:dyDescent="0.2">
      <c r="A16" s="226"/>
      <c r="B16" s="33" t="s">
        <v>59</v>
      </c>
      <c r="C16" s="27"/>
      <c r="D16" s="28">
        <f ca="1">332.24446875*OFFSET(D$112,MATCH($N$1,$C$112:$C$113,0)-1,0)</f>
        <v>332.24446875000001</v>
      </c>
      <c r="E16" s="28">
        <f ca="1">428.90971875*OFFSET(E$112,MATCH($N$1,$C$112:$C$113,0)-1,0)</f>
        <v>428.90971875000002</v>
      </c>
      <c r="F16" s="28">
        <f ca="1">453.144625*OFFSET(F$112,MATCH($N$1,$C$112:$C$113,0)-1,0)</f>
        <v>453.14462500000002</v>
      </c>
      <c r="G16" s="28">
        <f ca="1">510.086875*OFFSET(G$112,MATCH($N$1,$C$112:$C$113,0)-1,0)</f>
        <v>510.08687500000002</v>
      </c>
      <c r="H16" s="28">
        <f ca="1">528.83125*OFFSET(H$112,MATCH($N$1,$C$112:$C$113,0)-1,0)</f>
        <v>528.83124999999995</v>
      </c>
      <c r="I16" s="28">
        <f ca="1">521.51828125*OFFSET(I$112,MATCH($N$1,$C$112:$C$113,0)-1,0)</f>
        <v>521.51828124999997</v>
      </c>
      <c r="J16" s="28">
        <f ca="1">564.7208125*OFFSET(J$112,MATCH($N$1,$C$112:$C$113,0)-1,0)</f>
        <v>564.72081249999997</v>
      </c>
      <c r="K16" s="28">
        <f ca="1">573.38475*OFFSET(K$112,MATCH($N$1,$C$112:$C$113,0)-1,0)</f>
        <v>573.38475000000005</v>
      </c>
      <c r="L16" s="28">
        <f ca="1">622.005625*OFFSET(L$112,MATCH($N$1,$C$112:$C$113,0)-1,0)</f>
        <v>622.00562500000001</v>
      </c>
      <c r="M16" s="28">
        <f ca="1">475.13528125*OFFSET(M$112,MATCH($N$1,$C$112:$C$113,0)-1,0)</f>
        <v>475.13528124999999</v>
      </c>
      <c r="N16" s="28">
        <v>526.85318749999999</v>
      </c>
      <c r="O16" s="23">
        <f t="shared" ca="1" si="0"/>
        <v>0.58573952933565576</v>
      </c>
      <c r="P16" s="23">
        <f t="shared" ca="1" si="1"/>
        <v>-6.7055479737609239E-2</v>
      </c>
    </row>
    <row r="17" spans="1:16" ht="18" customHeight="1" x14ac:dyDescent="0.2">
      <c r="A17" s="226"/>
      <c r="B17" s="33" t="s">
        <v>56</v>
      </c>
      <c r="C17" s="25"/>
      <c r="D17" s="26">
        <v>146.92683410644531</v>
      </c>
      <c r="E17" s="26">
        <v>156.62162780761719</v>
      </c>
      <c r="F17" s="26">
        <v>163.28205871582031</v>
      </c>
      <c r="G17" s="26">
        <v>164.80487060546875</v>
      </c>
      <c r="H17" s="26">
        <v>159.875</v>
      </c>
      <c r="I17" s="26">
        <v>167</v>
      </c>
      <c r="J17" s="26">
        <v>169.13888549804687</v>
      </c>
      <c r="K17" s="26">
        <v>177.35484313964844</v>
      </c>
      <c r="L17" s="26">
        <v>175</v>
      </c>
      <c r="M17" s="26">
        <v>160.36666870117187</v>
      </c>
      <c r="N17" s="26">
        <v>167.69230651855469</v>
      </c>
      <c r="O17" s="23">
        <f t="shared" si="0"/>
        <v>0.14133206189595862</v>
      </c>
      <c r="P17" s="23">
        <f t="shared" si="1"/>
        <v>-8.5526103310459133E-3</v>
      </c>
    </row>
    <row r="18" spans="1:16" ht="18" customHeight="1" x14ac:dyDescent="0.2">
      <c r="A18" s="226"/>
      <c r="B18" s="33" t="s">
        <v>60</v>
      </c>
      <c r="C18" s="25"/>
      <c r="D18" s="26">
        <v>27.707317352294922</v>
      </c>
      <c r="E18" s="26">
        <v>29.108108520507813</v>
      </c>
      <c r="F18" s="26">
        <v>29.512821197509766</v>
      </c>
      <c r="G18" s="26">
        <v>29.317073822021484</v>
      </c>
      <c r="H18" s="26">
        <v>30.049999237060547</v>
      </c>
      <c r="I18" s="26">
        <v>30.837837219238281</v>
      </c>
      <c r="J18" s="26">
        <v>30.166666030883789</v>
      </c>
      <c r="K18" s="26">
        <v>31.677419662475586</v>
      </c>
      <c r="L18" s="26">
        <v>32.566665649414063</v>
      </c>
      <c r="M18" s="26">
        <v>34.299999237060547</v>
      </c>
      <c r="N18" s="26">
        <v>34.769229888916016</v>
      </c>
      <c r="O18" s="23">
        <f t="shared" si="0"/>
        <v>0.25487536187028859</v>
      </c>
      <c r="P18" s="23">
        <f t="shared" si="1"/>
        <v>0.15257118082986865</v>
      </c>
    </row>
    <row r="19" spans="1:16" ht="18" customHeight="1" x14ac:dyDescent="0.2">
      <c r="A19" s="226"/>
      <c r="B19" s="33" t="s">
        <v>61</v>
      </c>
      <c r="C19" s="25"/>
      <c r="D19" s="34">
        <v>0.81991231441497803</v>
      </c>
      <c r="E19" s="34">
        <v>0.95398843288421631</v>
      </c>
      <c r="F19" s="34">
        <v>0.85226112604141235</v>
      </c>
      <c r="G19" s="34">
        <v>1.1267874240875244</v>
      </c>
      <c r="H19" s="34">
        <v>1.3950140476226807</v>
      </c>
      <c r="I19" s="34">
        <v>1.5344371795654297</v>
      </c>
      <c r="J19" s="34">
        <v>1.4621626138687134</v>
      </c>
      <c r="K19" s="34">
        <v>1.4009276628494263</v>
      </c>
      <c r="L19" s="34">
        <v>1.5282090902328491</v>
      </c>
      <c r="M19" s="34">
        <v>1.6878135204315186</v>
      </c>
      <c r="N19" s="34">
        <v>1.9147552251815796</v>
      </c>
      <c r="O19" s="23">
        <f t="shared" si="0"/>
        <v>1.3353170717380813</v>
      </c>
      <c r="P19" s="23">
        <f t="shared" si="1"/>
        <v>0.3095364407624665</v>
      </c>
    </row>
    <row r="20" spans="1:16" ht="18" customHeight="1" x14ac:dyDescent="0.2">
      <c r="A20" s="227"/>
      <c r="B20" s="35" t="s">
        <v>24</v>
      </c>
      <c r="C20" s="36"/>
      <c r="D20" s="37">
        <f ca="1">2758*OFFSET(D$112,MATCH($N$1,$C$112:$C$113,0)-1,0)</f>
        <v>2758</v>
      </c>
      <c r="E20" s="37">
        <f ca="1">2871*OFFSET(E$112,MATCH($N$1,$C$112:$C$113,0)-1,0)</f>
        <v>2871</v>
      </c>
      <c r="F20" s="37">
        <f ca="1">3256*OFFSET(F$112,MATCH($N$1,$C$112:$C$113,0)-1,0)</f>
        <v>3256</v>
      </c>
      <c r="G20" s="37">
        <f ca="1">2747*OFFSET(G$112,MATCH($N$1,$C$112:$C$113,0)-1,0)</f>
        <v>2747</v>
      </c>
      <c r="H20" s="37">
        <f ca="1">2371*OFFSET(H$112,MATCH($N$1,$C$112:$C$113,0)-1,0)</f>
        <v>2371</v>
      </c>
      <c r="I20" s="37">
        <f ca="1">2035*OFFSET(I$112,MATCH($N$1,$C$112:$C$113,0)-1,0)</f>
        <v>2035</v>
      </c>
      <c r="J20" s="37">
        <f ca="1">2283*OFFSET(J$112,MATCH($N$1,$C$112:$C$113,0)-1,0)</f>
        <v>2283</v>
      </c>
      <c r="K20" s="37">
        <f ca="1">2308*OFFSET(K$112,MATCH($N$1,$C$112:$C$113,0)-1,0)</f>
        <v>2308</v>
      </c>
      <c r="L20" s="37">
        <f ca="1">2326*OFFSET(L$112,MATCH($N$1,$C$112:$C$113,0)-1,0)</f>
        <v>2326</v>
      </c>
      <c r="M20" s="37">
        <f ca="1">1755*OFFSET(M$112,MATCH($N$1,$C$112:$C$113,0)-1,0)</f>
        <v>1755</v>
      </c>
      <c r="N20" s="37">
        <v>1641</v>
      </c>
      <c r="O20" s="29">
        <f t="shared" ca="1" si="0"/>
        <v>-0.40500362581580857</v>
      </c>
      <c r="P20" s="29">
        <f t="shared" ca="1" si="1"/>
        <v>-0.2812089356110381</v>
      </c>
    </row>
    <row r="21" spans="1:16" ht="18" customHeight="1" x14ac:dyDescent="0.2">
      <c r="A21" s="228" t="s">
        <v>25</v>
      </c>
      <c r="B21" s="30" t="s">
        <v>62</v>
      </c>
      <c r="C21" s="38"/>
      <c r="D21" s="39">
        <v>2.4555902803794019</v>
      </c>
      <c r="E21" s="39">
        <v>2.9398712135040879</v>
      </c>
      <c r="F21" s="39">
        <v>2.5220450884153487</v>
      </c>
      <c r="G21" s="39">
        <v>3.1102348399390061</v>
      </c>
      <c r="H21" s="39">
        <v>3.7437948670724865</v>
      </c>
      <c r="I21" s="39">
        <v>3.8727697310053197</v>
      </c>
      <c r="J21" s="39">
        <v>3.8573823137558154</v>
      </c>
      <c r="K21" s="39">
        <v>3.5589268105200751</v>
      </c>
      <c r="L21" s="39">
        <v>3.9992970144196924</v>
      </c>
      <c r="M21" s="39">
        <v>4.6568665769742914</v>
      </c>
      <c r="N21" s="39">
        <v>5.1277418713510778</v>
      </c>
      <c r="O21" s="23">
        <f t="shared" si="0"/>
        <v>1.088191141788855</v>
      </c>
      <c r="P21" s="23">
        <f t="shared" si="1"/>
        <v>0.32933203251983395</v>
      </c>
    </row>
    <row r="22" spans="1:16" ht="18" customHeight="1" x14ac:dyDescent="0.2">
      <c r="A22" s="228"/>
      <c r="B22" s="33" t="s">
        <v>63</v>
      </c>
      <c r="C22" s="25"/>
      <c r="D22" s="34">
        <f ca="1">6.77243927408141*OFFSET(D$112,MATCH($N$1,$C$112:$C$113,0)-1,0)</f>
        <v>6.7724392740814103</v>
      </c>
      <c r="E22" s="34">
        <f ca="1">8.43916246985695*OFFSET(E$112,MATCH($N$1,$C$112:$C$113,0)-1,0)</f>
        <v>8.4391624698569494</v>
      </c>
      <c r="F22" s="34">
        <f ca="1">8.21255958891973*OFFSET(F$112,MATCH($N$1,$C$112:$C$113,0)-1,0)</f>
        <v>8.2125595889197296</v>
      </c>
      <c r="G22" s="34">
        <f ca="1">8.54329280910857*OFFSET(G$112,MATCH($N$1,$C$112:$C$113,0)-1,0)</f>
        <v>8.5432928091085696</v>
      </c>
      <c r="H22" s="34">
        <f ca="1">8.87707733562046*OFFSET(H$112,MATCH($N$1,$C$112:$C$113,0)-1,0)</f>
        <v>8.8770773356204593</v>
      </c>
      <c r="I22" s="34">
        <f ca="1">7.88180400461708*OFFSET(I$112,MATCH($N$1,$C$112:$C$113,0)-1,0)</f>
        <v>7.8818040046170799</v>
      </c>
      <c r="J22" s="34">
        <f ca="1">8.80820318502314*OFFSET(J$112,MATCH($N$1,$C$112:$C$113,0)-1,0)</f>
        <v>8.8082031850231406</v>
      </c>
      <c r="K22" s="34">
        <f ca="1">8.21308722541538*OFFSET(K$112,MATCH($N$1,$C$112:$C$113,0)-1,0)</f>
        <v>8.2130872254153804</v>
      </c>
      <c r="L22" s="34">
        <f ca="1">9.3015891745697*OFFSET(L$112,MATCH($N$1,$C$112:$C$113,0)-1,0)</f>
        <v>9.3015891745697008</v>
      </c>
      <c r="M22" s="34">
        <f ca="1">8.17471269126389*OFFSET(M$112,MATCH($N$1,$C$112:$C$113,0)-1,0)</f>
        <v>8.1747126912638901</v>
      </c>
      <c r="N22" s="34">
        <v>8.4137453402932589</v>
      </c>
      <c r="O22" s="23">
        <f t="shared" ca="1" si="0"/>
        <v>0.24235079855100947</v>
      </c>
      <c r="P22" s="23">
        <f t="shared" ca="1" si="1"/>
        <v>-4.4783009252169673E-2</v>
      </c>
    </row>
    <row r="23" spans="1:16" ht="18" customHeight="1" x14ac:dyDescent="0.2">
      <c r="A23" s="228"/>
      <c r="B23" s="33" t="s">
        <v>11</v>
      </c>
      <c r="C23" s="25"/>
      <c r="D23" s="34">
        <f ca="1">7.49622232914924*OFFSET(D$112,MATCH($N$1,$C$112:$C$113,0)-1,0)</f>
        <v>7.4962223291492398</v>
      </c>
      <c r="E23" s="34">
        <f ca="1">8.17697479992698*OFFSET(E$112,MATCH($N$1,$C$112:$C$113,0)-1,0)</f>
        <v>8.1769747999269793</v>
      </c>
      <c r="F23" s="34">
        <f ca="1">5.86249924691966*OFFSET(F$112,MATCH($N$1,$C$112:$C$113,0)-1,0)</f>
        <v>5.8624992469196604</v>
      </c>
      <c r="G23" s="34">
        <f ca="1">7.96090999354946*OFFSET(G$112,MATCH($N$1,$C$112:$C$113,0)-1,0)</f>
        <v>7.9609099935494596</v>
      </c>
      <c r="H23" s="34">
        <f ca="1">6.77760534745999*OFFSET(H$112,MATCH($N$1,$C$112:$C$113,0)-1,0)</f>
        <v>6.77760534745999</v>
      </c>
      <c r="I23" s="34">
        <f ca="1">6.98223745794283*OFFSET(I$112,MATCH($N$1,$C$112:$C$113,0)-1,0)</f>
        <v>6.9822374579428299</v>
      </c>
      <c r="J23" s="34">
        <f ca="1">6.81651458343056*OFFSET(J$112,MATCH($N$1,$C$112:$C$113,0)-1,0)</f>
        <v>6.8165145834305596</v>
      </c>
      <c r="K23" s="34">
        <f ca="1">6.15816526475543*OFFSET(K$112,MATCH($N$1,$C$112:$C$113,0)-1,0)</f>
        <v>6.1581652647554304</v>
      </c>
      <c r="L23" s="34">
        <f ca="1">7.39547097710694*OFFSET(L$112,MATCH($N$1,$C$112:$C$113,0)-1,0)</f>
        <v>7.3954709771069398</v>
      </c>
      <c r="M23" s="34">
        <f ca="1">7.14756912789427*OFFSET(M$112,MATCH($N$1,$C$112:$C$113,0)-1,0)</f>
        <v>7.1475691278942701</v>
      </c>
      <c r="N23" s="34">
        <v>7.4111975356649218</v>
      </c>
      <c r="O23" s="23">
        <f t="shared" ca="1" si="0"/>
        <v>-1.1342352154324062E-2</v>
      </c>
      <c r="P23" s="23">
        <f t="shared" ca="1" si="1"/>
        <v>8.7241499296415351E-2</v>
      </c>
    </row>
    <row r="24" spans="1:16" ht="18" customHeight="1" x14ac:dyDescent="0.2">
      <c r="A24" s="228"/>
      <c r="B24" s="33" t="s">
        <v>12</v>
      </c>
      <c r="C24" s="25"/>
      <c r="D24" s="34">
        <f ca="1">0.893360731635635*OFFSET(D$112,MATCH($N$1,$C$112:$C$113,0)-1,0)</f>
        <v>0.89336073163563501</v>
      </c>
      <c r="E24" s="34">
        <f ca="1">0.262187669929962*OFFSET(E$112,MATCH($N$1,$C$112:$C$113,0)-1,0)</f>
        <v>0.26218766992996201</v>
      </c>
      <c r="F24" s="34">
        <f ca="1">2.35006034200006*OFFSET(F$112,MATCH($N$1,$C$112:$C$113,0)-1,0)</f>
        <v>2.3500603420000599</v>
      </c>
      <c r="G24" s="34">
        <f ca="1">0.588899915844317*OFFSET(G$112,MATCH($N$1,$C$112:$C$113,0)-1,0)</f>
        <v>0.588899915844317</v>
      </c>
      <c r="H24" s="34">
        <f ca="1">2.09947198816047*OFFSET(H$112,MATCH($N$1,$C$112:$C$113,0)-1,0)</f>
        <v>2.0994719881604702</v>
      </c>
      <c r="I24" s="34">
        <f ca="1">0.899566546674248*OFFSET(I$112,MATCH($N$1,$C$112:$C$113,0)-1,0)</f>
        <v>0.89956654667424796</v>
      </c>
      <c r="J24" s="34">
        <f ca="1">2.35445345508441*OFFSET(J$112,MATCH($N$1,$C$112:$C$113,0)-1,0)</f>
        <v>2.3544534550844101</v>
      </c>
      <c r="K24" s="34">
        <f ca="1">2.80734689072478*OFFSET(K$112,MATCH($N$1,$C$112:$C$113,0)-1,0)</f>
        <v>2.8073468907247801</v>
      </c>
      <c r="L24" s="34">
        <f ca="1">1.90635103204344*OFFSET(L$112,MATCH($N$1,$C$112:$C$113,0)-1,0)</f>
        <v>1.90635103204344</v>
      </c>
      <c r="M24" s="34">
        <f ca="1">1.07605513322231*OFFSET(M$112,MATCH($N$1,$C$112:$C$113,0)-1,0)</f>
        <v>1.0760551332223101</v>
      </c>
      <c r="N24" s="34">
        <v>1.0528895780582794</v>
      </c>
      <c r="O24" s="23">
        <f t="shared" ca="1" si="0"/>
        <v>0.17857159014653182</v>
      </c>
      <c r="P24" s="23">
        <f t="shared" ca="1" si="1"/>
        <v>-0.55280934699109097</v>
      </c>
    </row>
    <row r="25" spans="1:16" ht="18" customHeight="1" x14ac:dyDescent="0.2">
      <c r="A25" s="228"/>
      <c r="B25" s="33" t="s">
        <v>64</v>
      </c>
      <c r="C25" s="25"/>
      <c r="D25" s="28"/>
      <c r="E25" s="28">
        <f ca="1">70.3*OFFSET(E$112,MATCH($N$1,$C$112:$C$113,0)-1,0)</f>
        <v>70.3</v>
      </c>
      <c r="F25" s="28">
        <f ca="1">81.25*OFFSET(F$112,MATCH($N$1,$C$112:$C$113,0)-1,0)</f>
        <v>81.25</v>
      </c>
      <c r="G25" s="28">
        <f ca="1">85.89*OFFSET(G$112,MATCH($N$1,$C$112:$C$113,0)-1,0)</f>
        <v>85.89</v>
      </c>
      <c r="H25" s="28">
        <f ca="1">77.13*OFFSET(H$112,MATCH($N$1,$C$112:$C$113,0)-1,0)</f>
        <v>77.13</v>
      </c>
      <c r="I25" s="28">
        <f ca="1">67.46*OFFSET(I$112,MATCH($N$1,$C$112:$C$113,0)-1,0)</f>
        <v>67.459999999999994</v>
      </c>
      <c r="J25" s="28">
        <f ca="1">79.82*OFFSET(J$112,MATCH($N$1,$C$112:$C$113,0)-1,0)</f>
        <v>79.819999999999993</v>
      </c>
      <c r="K25" s="28">
        <f ca="1">45.99*OFFSET(K$112,MATCH($N$1,$C$112:$C$113,0)-1,0)</f>
        <v>45.99</v>
      </c>
      <c r="L25" s="28">
        <f ca="1">53.27*OFFSET(L$112,MATCH($N$1,$C$112:$C$113,0)-1,0)</f>
        <v>53.27</v>
      </c>
      <c r="M25" s="28">
        <f ca="1">40.94*OFFSET(M$112,MATCH($N$1,$C$112:$C$113,0)-1,0)</f>
        <v>40.94</v>
      </c>
      <c r="N25" s="28">
        <v>96.07</v>
      </c>
      <c r="O25" s="23" t="str">
        <f t="shared" si="0"/>
        <v/>
      </c>
      <c r="P25" s="23">
        <f t="shared" ca="1" si="1"/>
        <v>0.20358306188925082</v>
      </c>
    </row>
    <row r="26" spans="1:16" ht="18" customHeight="1" x14ac:dyDescent="0.2">
      <c r="A26" s="229"/>
      <c r="B26" s="33" t="s">
        <v>65</v>
      </c>
      <c r="C26" s="40"/>
      <c r="D26" s="28"/>
      <c r="E26" s="28">
        <f ca="1">2.18*OFFSET(E$112,MATCH($N$1,$C$112:$C$113,0)-1,0)</f>
        <v>2.1800000000000002</v>
      </c>
      <c r="F26" s="28">
        <f ca="1">23.26*OFFSET(F$112,MATCH($N$1,$C$112:$C$113,0)-1,0)</f>
        <v>23.26</v>
      </c>
      <c r="G26" s="28">
        <f ca="1">5.93*OFFSET(G$112,MATCH($N$1,$C$112:$C$113,0)-1,0)</f>
        <v>5.93</v>
      </c>
      <c r="H26" s="28">
        <f ca="1">18.25*OFFSET(H$112,MATCH($N$1,$C$112:$C$113,0)-1,0)</f>
        <v>18.25</v>
      </c>
      <c r="I26" s="28">
        <f ca="1">7.7*OFFSET(I$112,MATCH($N$1,$C$112:$C$113,0)-1,0)</f>
        <v>7.7</v>
      </c>
      <c r="J26" s="28">
        <f ca="1">21.34*OFFSET(J$112,MATCH($N$1,$C$112:$C$113,0)-1,0)</f>
        <v>21.34</v>
      </c>
      <c r="K26" s="28">
        <f ca="1">15.72*OFFSET(K$112,MATCH($N$1,$C$112:$C$113,0)-1,0)</f>
        <v>15.72</v>
      </c>
      <c r="L26" s="28">
        <f ca="1">10.92*OFFSET(L$112,MATCH($N$1,$C$112:$C$113,0)-1,0)</f>
        <v>10.92</v>
      </c>
      <c r="M26" s="28">
        <f ca="1">5.39*OFFSET(M$112,MATCH($N$1,$C$112:$C$113,0)-1,0)</f>
        <v>5.39</v>
      </c>
      <c r="N26" s="28">
        <v>12.02</v>
      </c>
      <c r="O26" s="29" t="str">
        <f t="shared" si="0"/>
        <v/>
      </c>
      <c r="P26" s="29">
        <f t="shared" ca="1" si="1"/>
        <v>-0.43673851921274603</v>
      </c>
    </row>
    <row r="27" spans="1:16" ht="18" customHeight="1" x14ac:dyDescent="0.2">
      <c r="A27" s="230" t="s">
        <v>26</v>
      </c>
      <c r="B27" s="30" t="s">
        <v>59</v>
      </c>
      <c r="C27" s="31"/>
      <c r="D27" s="32">
        <f ca="1">332.2*OFFSET(D$112,MATCH($N$1,$C$112:$C$113,0)-1,0)</f>
        <v>332.2</v>
      </c>
      <c r="E27" s="32">
        <f ca="1">428.9*OFFSET(E$112,MATCH($N$1,$C$112:$C$113,0)-1,0)</f>
        <v>428.9</v>
      </c>
      <c r="F27" s="32">
        <f ca="1">453.1*OFFSET(F$112,MATCH($N$1,$C$112:$C$113,0)-1,0)</f>
        <v>453.1</v>
      </c>
      <c r="G27" s="32">
        <f ca="1">510.1*OFFSET(G$112,MATCH($N$1,$C$112:$C$113,0)-1,0)</f>
        <v>510.1</v>
      </c>
      <c r="H27" s="32">
        <f ca="1">528.8*OFFSET(H$112,MATCH($N$1,$C$112:$C$113,0)-1,0)</f>
        <v>528.79999999999995</v>
      </c>
      <c r="I27" s="32">
        <f ca="1">521.5*OFFSET(I$112,MATCH($N$1,$C$112:$C$113,0)-1,0)</f>
        <v>521.5</v>
      </c>
      <c r="J27" s="32">
        <f ca="1">564.7*OFFSET(J$112,MATCH($N$1,$C$112:$C$113,0)-1,0)</f>
        <v>564.70000000000005</v>
      </c>
      <c r="K27" s="32">
        <f ca="1">573.4*OFFSET(K$112,MATCH($N$1,$C$112:$C$113,0)-1,0)</f>
        <v>573.4</v>
      </c>
      <c r="L27" s="32">
        <f ca="1">622*OFFSET(L$112,MATCH($N$1,$C$112:$C$113,0)-1,0)</f>
        <v>622</v>
      </c>
      <c r="M27" s="32">
        <f ca="1">475.1*OFFSET(M$112,MATCH($N$1,$C$112:$C$113,0)-1,0)</f>
        <v>475.1</v>
      </c>
      <c r="N27" s="32">
        <v>526.9</v>
      </c>
      <c r="O27" s="23">
        <f t="shared" ca="1" si="0"/>
        <v>0.58609271523178808</v>
      </c>
      <c r="P27" s="23">
        <f t="shared" ca="1" si="1"/>
        <v>-6.693819727288837E-2</v>
      </c>
    </row>
    <row r="28" spans="1:16" ht="18" customHeight="1" x14ac:dyDescent="0.2">
      <c r="A28" s="231"/>
      <c r="B28" s="33" t="s">
        <v>66</v>
      </c>
      <c r="C28" s="27"/>
      <c r="D28" s="28">
        <f ca="1">79.3*OFFSET(D$112,MATCH($N$1,$C$112:$C$113,0)-1,0)</f>
        <v>79.3</v>
      </c>
      <c r="E28" s="28"/>
      <c r="F28" s="28"/>
      <c r="G28" s="28">
        <f ca="1">0.4*OFFSET(G$112,MATCH($N$1,$C$112:$C$113,0)-1,0)</f>
        <v>0.4</v>
      </c>
      <c r="H28" s="28"/>
      <c r="I28" s="28"/>
      <c r="J28" s="28">
        <f ca="1">23.3*OFFSET(J$112,MATCH($N$1,$C$112:$C$113,0)-1,0)</f>
        <v>23.3</v>
      </c>
      <c r="K28" s="28">
        <f ca="1">52.5*OFFSET(K$112,MATCH($N$1,$C$112:$C$113,0)-1,0)</f>
        <v>52.5</v>
      </c>
      <c r="L28" s="28"/>
      <c r="M28" s="28">
        <f ca="1">2.8*OFFSET(M$112,MATCH($N$1,$C$112:$C$113,0)-1,0)</f>
        <v>2.8</v>
      </c>
      <c r="N28" s="28">
        <v>3.2</v>
      </c>
      <c r="O28" s="23">
        <f t="shared" ca="1" si="0"/>
        <v>-0.95964691046658257</v>
      </c>
      <c r="P28" s="23">
        <f t="shared" ca="1" si="1"/>
        <v>-0.86266094420600858</v>
      </c>
    </row>
    <row r="29" spans="1:16" ht="18" customHeight="1" x14ac:dyDescent="0.2">
      <c r="A29" s="231"/>
      <c r="B29" s="41" t="s">
        <v>67</v>
      </c>
      <c r="C29" s="42"/>
      <c r="D29" s="43">
        <f ca="1">411.6*OFFSET(D$112,MATCH($N$1,$C$112:$C$113,0)-1,0)</f>
        <v>411.6</v>
      </c>
      <c r="E29" s="43">
        <f ca="1">428.9*OFFSET(E$112,MATCH($N$1,$C$112:$C$113,0)-1,0)</f>
        <v>428.9</v>
      </c>
      <c r="F29" s="43">
        <f ca="1">453.1*OFFSET(F$112,MATCH($N$1,$C$112:$C$113,0)-1,0)</f>
        <v>453.1</v>
      </c>
      <c r="G29" s="43">
        <f ca="1">510.5*OFFSET(G$112,MATCH($N$1,$C$112:$C$113,0)-1,0)</f>
        <v>510.5</v>
      </c>
      <c r="H29" s="43">
        <f ca="1">528.8*OFFSET(H$112,MATCH($N$1,$C$112:$C$113,0)-1,0)</f>
        <v>528.79999999999995</v>
      </c>
      <c r="I29" s="43">
        <f ca="1">521.5*OFFSET(I$112,MATCH($N$1,$C$112:$C$113,0)-1,0)</f>
        <v>521.5</v>
      </c>
      <c r="J29" s="43">
        <f ca="1">588*OFFSET(J$112,MATCH($N$1,$C$112:$C$113,0)-1,0)</f>
        <v>588</v>
      </c>
      <c r="K29" s="43">
        <f ca="1">625.9*OFFSET(K$112,MATCH($N$1,$C$112:$C$113,0)-1,0)</f>
        <v>625.9</v>
      </c>
      <c r="L29" s="43">
        <f ca="1">622*OFFSET(L$112,MATCH($N$1,$C$112:$C$113,0)-1,0)</f>
        <v>622</v>
      </c>
      <c r="M29" s="43">
        <f ca="1">478*OFFSET(M$112,MATCH($N$1,$C$112:$C$113,0)-1,0)</f>
        <v>478</v>
      </c>
      <c r="N29" s="43">
        <v>530</v>
      </c>
      <c r="O29" s="23">
        <f t="shared" ca="1" si="0"/>
        <v>0.28765792031098147</v>
      </c>
      <c r="P29" s="23">
        <f t="shared" ca="1" si="1"/>
        <v>-9.8639455782312924E-2</v>
      </c>
    </row>
    <row r="30" spans="1:16" ht="18" customHeight="1" x14ac:dyDescent="0.2">
      <c r="A30" s="231"/>
      <c r="B30" s="33" t="s">
        <v>68</v>
      </c>
      <c r="C30" s="27"/>
      <c r="D30" s="28">
        <f ca="1">37.7*OFFSET(D$112,MATCH($N$1,$C$112:$C$113,0)-1,0)</f>
        <v>37.700000000000003</v>
      </c>
      <c r="E30" s="28">
        <f ca="1">26.7*OFFSET(E$112,MATCH($N$1,$C$112:$C$113,0)-1,0)</f>
        <v>26.7</v>
      </c>
      <c r="F30" s="28">
        <f ca="1">36.4*OFFSET(F$112,MATCH($N$1,$C$112:$C$113,0)-1,0)</f>
        <v>36.4</v>
      </c>
      <c r="G30" s="28">
        <f ca="1">48.8*OFFSET(G$112,MATCH($N$1,$C$112:$C$113,0)-1,0)</f>
        <v>48.8</v>
      </c>
      <c r="H30" s="28">
        <f ca="1">48.7*OFFSET(H$112,MATCH($N$1,$C$112:$C$113,0)-1,0)</f>
        <v>48.7</v>
      </c>
      <c r="I30" s="28">
        <f ca="1">50.3*OFFSET(I$112,MATCH($N$1,$C$112:$C$113,0)-1,0)</f>
        <v>50.3</v>
      </c>
      <c r="J30" s="28">
        <f ca="1">45.9*OFFSET(J$112,MATCH($N$1,$C$112:$C$113,0)-1,0)</f>
        <v>45.9</v>
      </c>
      <c r="K30" s="28">
        <f ca="1">34.9*OFFSET(K$112,MATCH($N$1,$C$112:$C$113,0)-1,0)</f>
        <v>34.9</v>
      </c>
      <c r="L30" s="28">
        <f ca="1">31.5*OFFSET(L$112,MATCH($N$1,$C$112:$C$113,0)-1,0)</f>
        <v>31.5</v>
      </c>
      <c r="M30" s="28">
        <f ca="1">35*OFFSET(M$112,MATCH($N$1,$C$112:$C$113,0)-1,0)</f>
        <v>35</v>
      </c>
      <c r="N30" s="28">
        <v>43.9</v>
      </c>
      <c r="O30" s="23">
        <f t="shared" ca="1" si="0"/>
        <v>0.16445623342175053</v>
      </c>
      <c r="P30" s="23">
        <f t="shared" ca="1" si="1"/>
        <v>-4.357298474945534E-2</v>
      </c>
    </row>
    <row r="31" spans="1:16" ht="18" customHeight="1" x14ac:dyDescent="0.2">
      <c r="A31" s="231"/>
      <c r="B31" s="33" t="s">
        <v>69</v>
      </c>
      <c r="C31" s="27"/>
      <c r="D31" s="28">
        <f ca="1">138.4*OFFSET(D$112,MATCH($N$1,$C$112:$C$113,0)-1,0)</f>
        <v>138.4</v>
      </c>
      <c r="E31" s="28">
        <f ca="1">149.5*OFFSET(E$112,MATCH($N$1,$C$112:$C$113,0)-1,0)</f>
        <v>149.5</v>
      </c>
      <c r="F31" s="28">
        <f ca="1">116.4*OFFSET(F$112,MATCH($N$1,$C$112:$C$113,0)-1,0)</f>
        <v>116.4</v>
      </c>
      <c r="G31" s="28">
        <f ca="1">170.8*OFFSET(G$112,MATCH($N$1,$C$112:$C$113,0)-1,0)</f>
        <v>170.8</v>
      </c>
      <c r="H31" s="28">
        <f ca="1">139.2*OFFSET(H$112,MATCH($N$1,$C$112:$C$113,0)-1,0)</f>
        <v>139.19999999999999</v>
      </c>
      <c r="I31" s="28">
        <f ca="1">171*OFFSET(I$112,MATCH($N$1,$C$112:$C$113,0)-1,0)</f>
        <v>171</v>
      </c>
      <c r="J31" s="28">
        <f ca="1">158.3*OFFSET(J$112,MATCH($N$1,$C$112:$C$113,0)-1,0)</f>
        <v>158.30000000000001</v>
      </c>
      <c r="K31" s="28">
        <f ca="1">174.9*OFFSET(K$112,MATCH($N$1,$C$112:$C$113,0)-1,0)</f>
        <v>174.9</v>
      </c>
      <c r="L31" s="28">
        <f ca="1">199.6*OFFSET(L$112,MATCH($N$1,$C$112:$C$113,0)-1,0)</f>
        <v>199.6</v>
      </c>
      <c r="M31" s="28">
        <f ca="1">103.8*OFFSET(M$112,MATCH($N$1,$C$112:$C$113,0)-1,0)</f>
        <v>103.8</v>
      </c>
      <c r="N31" s="28">
        <v>113.4</v>
      </c>
      <c r="O31" s="23">
        <f t="shared" ca="1" si="0"/>
        <v>-0.180635838150289</v>
      </c>
      <c r="P31" s="23">
        <f t="shared" ca="1" si="1"/>
        <v>-0.28363866077068856</v>
      </c>
    </row>
    <row r="32" spans="1:16" ht="18" customHeight="1" x14ac:dyDescent="0.2">
      <c r="A32" s="231"/>
      <c r="B32" s="33" t="s">
        <v>70</v>
      </c>
      <c r="C32" s="27"/>
      <c r="D32" s="28">
        <f ca="1">64.2*OFFSET(D$112,MATCH($N$1,$C$112:$C$113,0)-1,0)</f>
        <v>64.2</v>
      </c>
      <c r="E32" s="28">
        <f ca="1">76.3*OFFSET(E$112,MATCH($N$1,$C$112:$C$113,0)-1,0)</f>
        <v>76.3</v>
      </c>
      <c r="F32" s="28">
        <f ca="1">42.2*OFFSET(F$112,MATCH($N$1,$C$112:$C$113,0)-1,0)</f>
        <v>42.2</v>
      </c>
      <c r="G32" s="28">
        <f ca="1">83.7*OFFSET(G$112,MATCH($N$1,$C$112:$C$113,0)-1,0)</f>
        <v>83.7</v>
      </c>
      <c r="H32" s="28">
        <f ca="1">57*OFFSET(H$112,MATCH($N$1,$C$112:$C$113,0)-1,0)</f>
        <v>57</v>
      </c>
      <c r="I32" s="28">
        <f ca="1">79.7*OFFSET(I$112,MATCH($N$1,$C$112:$C$113,0)-1,0)</f>
        <v>79.7</v>
      </c>
      <c r="J32" s="28">
        <f ca="1">79.8*OFFSET(J$112,MATCH($N$1,$C$112:$C$113,0)-1,0)</f>
        <v>79.8</v>
      </c>
      <c r="K32" s="28">
        <f ca="1">80.7*OFFSET(K$112,MATCH($N$1,$C$112:$C$113,0)-1,0)</f>
        <v>80.7</v>
      </c>
      <c r="L32" s="28">
        <f ca="1">126.4*OFFSET(L$112,MATCH($N$1,$C$112:$C$113,0)-1,0)</f>
        <v>126.4</v>
      </c>
      <c r="M32" s="28">
        <f ca="1">119.6*OFFSET(M$112,MATCH($N$1,$C$112:$C$113,0)-1,0)</f>
        <v>119.6</v>
      </c>
      <c r="N32" s="28">
        <v>132.6</v>
      </c>
      <c r="O32" s="23">
        <f t="shared" ca="1" si="0"/>
        <v>1.0654205607476634</v>
      </c>
      <c r="P32" s="23">
        <f t="shared" ca="1" si="1"/>
        <v>0.66165413533834583</v>
      </c>
    </row>
    <row r="33" spans="1:16" ht="18" customHeight="1" x14ac:dyDescent="0.2">
      <c r="A33" s="231"/>
      <c r="B33" s="33" t="s">
        <v>71</v>
      </c>
      <c r="C33" s="27"/>
      <c r="D33" s="28">
        <f ca="1">240.3*OFFSET(D$112,MATCH($N$1,$C$112:$C$113,0)-1,0)</f>
        <v>240.3</v>
      </c>
      <c r="E33" s="28">
        <f ca="1">252.5*OFFSET(E$112,MATCH($N$1,$C$112:$C$113,0)-1,0)</f>
        <v>252.5</v>
      </c>
      <c r="F33" s="28">
        <f ca="1">195*OFFSET(F$112,MATCH($N$1,$C$112:$C$113,0)-1,0)</f>
        <v>195</v>
      </c>
      <c r="G33" s="28">
        <f ca="1">303.3*OFFSET(G$112,MATCH($N$1,$C$112:$C$113,0)-1,0)</f>
        <v>303.3</v>
      </c>
      <c r="H33" s="28">
        <f ca="1">245*OFFSET(H$112,MATCH($N$1,$C$112:$C$113,0)-1,0)</f>
        <v>245</v>
      </c>
      <c r="I33" s="28">
        <f ca="1">301*OFFSET(I$112,MATCH($N$1,$C$112:$C$113,0)-1,0)</f>
        <v>301</v>
      </c>
      <c r="J33" s="28">
        <f ca="1">284.1*OFFSET(J$112,MATCH($N$1,$C$112:$C$113,0)-1,0)</f>
        <v>284.10000000000002</v>
      </c>
      <c r="K33" s="28">
        <f ca="1">290.6*OFFSET(K$112,MATCH($N$1,$C$112:$C$113,0)-1,0)</f>
        <v>290.60000000000002</v>
      </c>
      <c r="L33" s="28">
        <f ca="1">357.4*OFFSET(L$112,MATCH($N$1,$C$112:$C$113,0)-1,0)</f>
        <v>357.4</v>
      </c>
      <c r="M33" s="28">
        <f ca="1">258.4*OFFSET(M$112,MATCH($N$1,$C$112:$C$113,0)-1,0)</f>
        <v>258.39999999999998</v>
      </c>
      <c r="N33" s="28">
        <v>289.90000000000003</v>
      </c>
      <c r="O33" s="23">
        <f t="shared" ca="1" si="0"/>
        <v>0.20640865584685819</v>
      </c>
      <c r="P33" s="23">
        <f t="shared" ca="1" si="1"/>
        <v>2.0415346708905352E-2</v>
      </c>
    </row>
    <row r="34" spans="1:16" ht="18" customHeight="1" x14ac:dyDescent="0.2">
      <c r="A34" s="231"/>
      <c r="B34" s="33" t="s">
        <v>72</v>
      </c>
      <c r="C34" s="27"/>
      <c r="D34" s="28">
        <f ca="1">127.4*OFFSET(D$112,MATCH($N$1,$C$112:$C$113,0)-1,0)</f>
        <v>127.4</v>
      </c>
      <c r="E34" s="28">
        <f ca="1">163.1*OFFSET(E$112,MATCH($N$1,$C$112:$C$113,0)-1,0)</f>
        <v>163.1</v>
      </c>
      <c r="F34" s="28">
        <f ca="1">128.5*OFFSET(F$112,MATCH($N$1,$C$112:$C$113,0)-1,0)</f>
        <v>128.5</v>
      </c>
      <c r="G34" s="28">
        <f ca="1">172*OFFSET(G$112,MATCH($N$1,$C$112:$C$113,0)-1,0)</f>
        <v>172</v>
      </c>
      <c r="H34" s="28">
        <f ca="1">158.8*OFFSET(H$112,MATCH($N$1,$C$112:$C$113,0)-1,0)</f>
        <v>158.80000000000001</v>
      </c>
      <c r="I34" s="28">
        <f ca="1">161*OFFSET(I$112,MATCH($N$1,$C$112:$C$113,0)-1,0)</f>
        <v>161</v>
      </c>
      <c r="J34" s="28">
        <f ca="1">152.9*OFFSET(J$112,MATCH($N$1,$C$112:$C$113,0)-1,0)</f>
        <v>152.9</v>
      </c>
      <c r="K34" s="28">
        <f ca="1">139.3*OFFSET(K$112,MATCH($N$1,$C$112:$C$113,0)-1,0)</f>
        <v>139.30000000000001</v>
      </c>
      <c r="L34" s="28">
        <f ca="1">137.1*OFFSET(L$112,MATCH($N$1,$C$112:$C$113,0)-1,0)</f>
        <v>137.1</v>
      </c>
      <c r="M34" s="28">
        <f ca="1">157*OFFSET(M$112,MATCH($N$1,$C$112:$C$113,0)-1,0)</f>
        <v>157</v>
      </c>
      <c r="N34" s="28">
        <v>174.1</v>
      </c>
      <c r="O34" s="23">
        <f t="shared" ca="1" si="0"/>
        <v>0.36656200941915218</v>
      </c>
      <c r="P34" s="23">
        <f t="shared" ca="1" si="1"/>
        <v>0.13865271419228245</v>
      </c>
    </row>
    <row r="35" spans="1:16" ht="18" customHeight="1" x14ac:dyDescent="0.2">
      <c r="A35" s="231"/>
      <c r="B35" s="33" t="s">
        <v>73</v>
      </c>
      <c r="C35" s="27"/>
      <c r="D35" s="28">
        <f ca="1">367.8*OFFSET(D$112,MATCH($N$1,$C$112:$C$113,0)-1,0)</f>
        <v>367.8</v>
      </c>
      <c r="E35" s="28">
        <f ca="1">415.6*OFFSET(E$112,MATCH($N$1,$C$112:$C$113,0)-1,0)</f>
        <v>415.6</v>
      </c>
      <c r="F35" s="28">
        <f ca="1">323.5*OFFSET(F$112,MATCH($N$1,$C$112:$C$113,0)-1,0)</f>
        <v>323.5</v>
      </c>
      <c r="G35" s="28">
        <f ca="1">475.3*OFFSET(G$112,MATCH($N$1,$C$112:$C$113,0)-1,0)</f>
        <v>475.3</v>
      </c>
      <c r="H35" s="28">
        <f ca="1">403.8*OFFSET(H$112,MATCH($N$1,$C$112:$C$113,0)-1,0)</f>
        <v>403.8</v>
      </c>
      <c r="I35" s="28">
        <f ca="1">462*OFFSET(I$112,MATCH($N$1,$C$112:$C$113,0)-1,0)</f>
        <v>462</v>
      </c>
      <c r="J35" s="28">
        <f ca="1">437*OFFSET(J$112,MATCH($N$1,$C$112:$C$113,0)-1,0)</f>
        <v>437</v>
      </c>
      <c r="K35" s="28">
        <f ca="1">429.9*OFFSET(K$112,MATCH($N$1,$C$112:$C$113,0)-1,0)</f>
        <v>429.9</v>
      </c>
      <c r="L35" s="28">
        <f ca="1">494.5*OFFSET(L$112,MATCH($N$1,$C$112:$C$113,0)-1,0)</f>
        <v>494.5</v>
      </c>
      <c r="M35" s="28">
        <f ca="1">415.4*OFFSET(M$112,MATCH($N$1,$C$112:$C$113,0)-1,0)</f>
        <v>415.4</v>
      </c>
      <c r="N35" s="28">
        <v>464.1</v>
      </c>
      <c r="O35" s="23">
        <f t="shared" ca="1" si="0"/>
        <v>0.26182707993474719</v>
      </c>
      <c r="P35" s="23">
        <f t="shared" ca="1" si="1"/>
        <v>6.2013729977116759E-2</v>
      </c>
    </row>
    <row r="36" spans="1:16" ht="18" customHeight="1" x14ac:dyDescent="0.2">
      <c r="A36" s="231"/>
      <c r="B36" s="41" t="s">
        <v>74</v>
      </c>
      <c r="C36" s="42"/>
      <c r="D36" s="43">
        <f ca="1">182.2*OFFSET(D$112,MATCH($N$1,$C$112:$C$113,0)-1,0)</f>
        <v>182.2</v>
      </c>
      <c r="E36" s="43">
        <f ca="1">162.8*OFFSET(E$112,MATCH($N$1,$C$112:$C$113,0)-1,0)</f>
        <v>162.80000000000001</v>
      </c>
      <c r="F36" s="43">
        <f ca="1">246.1*OFFSET(F$112,MATCH($N$1,$C$112:$C$113,0)-1,0)</f>
        <v>246.1</v>
      </c>
      <c r="G36" s="43">
        <f ca="1">206*OFFSET(G$112,MATCH($N$1,$C$112:$C$113,0)-1,0)</f>
        <v>206</v>
      </c>
      <c r="H36" s="43">
        <f ca="1">264.3*OFFSET(H$112,MATCH($N$1,$C$112:$C$113,0)-1,0)</f>
        <v>264.3</v>
      </c>
      <c r="I36" s="43">
        <f ca="1">230.5*OFFSET(I$112,MATCH($N$1,$C$112:$C$113,0)-1,0)</f>
        <v>230.5</v>
      </c>
      <c r="J36" s="43">
        <f ca="1">309.3*OFFSET(J$112,MATCH($N$1,$C$112:$C$113,0)-1,0)</f>
        <v>309.3</v>
      </c>
      <c r="K36" s="43">
        <f ca="1">370.9*OFFSET(K$112,MATCH($N$1,$C$112:$C$113,0)-1,0)</f>
        <v>370.9</v>
      </c>
      <c r="L36" s="43">
        <f ca="1">327.1*OFFSET(L$112,MATCH($N$1,$C$112:$C$113,0)-1,0)</f>
        <v>327.10000000000002</v>
      </c>
      <c r="M36" s="43">
        <f ca="1">166.3*OFFSET(M$112,MATCH($N$1,$C$112:$C$113,0)-1,0)</f>
        <v>166.3</v>
      </c>
      <c r="N36" s="43">
        <v>179.3</v>
      </c>
      <c r="O36" s="23">
        <f t="shared" ca="1" si="0"/>
        <v>-1.5916575192096473E-2</v>
      </c>
      <c r="P36" s="23">
        <f t="shared" ca="1" si="1"/>
        <v>-0.42030391205948914</v>
      </c>
    </row>
    <row r="37" spans="1:16" ht="18" customHeight="1" x14ac:dyDescent="0.2">
      <c r="A37" s="231"/>
      <c r="B37" s="41" t="s">
        <v>75</v>
      </c>
      <c r="C37" s="42"/>
      <c r="D37" s="43">
        <f ca="1">43.8*OFFSET(D$112,MATCH($N$1,$C$112:$C$113,0)-1,0)</f>
        <v>43.8</v>
      </c>
      <c r="E37" s="43">
        <f ca="1">13.3*OFFSET(E$112,MATCH($N$1,$C$112:$C$113,0)-1,0)</f>
        <v>13.3</v>
      </c>
      <c r="F37" s="43">
        <f ca="1">129.7*OFFSET(F$112,MATCH($N$1,$C$112:$C$113,0)-1,0)</f>
        <v>129.69999999999999</v>
      </c>
      <c r="G37" s="43">
        <f ca="1">35.2*OFFSET(G$112,MATCH($N$1,$C$112:$C$113,0)-1,0)</f>
        <v>35.200000000000003</v>
      </c>
      <c r="H37" s="43">
        <f ca="1">125.1*OFFSET(H$112,MATCH($N$1,$C$112:$C$113,0)-1,0)</f>
        <v>125.1</v>
      </c>
      <c r="I37" s="43">
        <f ca="1">59.5*OFFSET(I$112,MATCH($N$1,$C$112:$C$113,0)-1,0)</f>
        <v>59.5</v>
      </c>
      <c r="J37" s="43">
        <f ca="1">151*OFFSET(J$112,MATCH($N$1,$C$112:$C$113,0)-1,0)</f>
        <v>151</v>
      </c>
      <c r="K37" s="43">
        <f ca="1">196*OFFSET(K$112,MATCH($N$1,$C$112:$C$113,0)-1,0)</f>
        <v>196</v>
      </c>
      <c r="L37" s="43">
        <f ca="1">127.5*OFFSET(L$112,MATCH($N$1,$C$112:$C$113,0)-1,0)</f>
        <v>127.5</v>
      </c>
      <c r="M37" s="43">
        <f ca="1">62.5*OFFSET(M$112,MATCH($N$1,$C$112:$C$113,0)-1,0)</f>
        <v>62.5</v>
      </c>
      <c r="N37" s="43">
        <v>65.900000000000006</v>
      </c>
      <c r="O37" s="23">
        <f t="shared" ca="1" si="0"/>
        <v>0.50456621004566238</v>
      </c>
      <c r="P37" s="23">
        <f t="shared" ca="1" si="1"/>
        <v>-0.56357615894039736</v>
      </c>
    </row>
    <row r="38" spans="1:16" ht="18" customHeight="1" x14ac:dyDescent="0.2">
      <c r="A38" s="231"/>
      <c r="B38" s="33" t="s">
        <v>76</v>
      </c>
      <c r="C38" s="27"/>
      <c r="D38" s="28">
        <f ca="1">8.4*OFFSET(D$112,MATCH($N$1,$C$112:$C$113,0)-1,0)</f>
        <v>8.4</v>
      </c>
      <c r="E38" s="28">
        <f ca="1">6*OFFSET(E$112,MATCH($N$1,$C$112:$C$113,0)-1,0)</f>
        <v>6</v>
      </c>
      <c r="F38" s="28">
        <f ca="1">11.5*OFFSET(F$112,MATCH($N$1,$C$112:$C$113,0)-1,0)</f>
        <v>11.5</v>
      </c>
      <c r="G38" s="28">
        <f ca="1">16.9*OFFSET(G$112,MATCH($N$1,$C$112:$C$113,0)-1,0)</f>
        <v>16.899999999999999</v>
      </c>
      <c r="H38" s="28">
        <f ca="1">17.5*OFFSET(H$112,MATCH($N$1,$C$112:$C$113,0)-1,0)</f>
        <v>17.5</v>
      </c>
      <c r="I38" s="28">
        <f ca="1">37.9*OFFSET(I$112,MATCH($N$1,$C$112:$C$113,0)-1,0)</f>
        <v>37.9</v>
      </c>
      <c r="J38" s="28">
        <f ca="1">28.6*OFFSET(J$112,MATCH($N$1,$C$112:$C$113,0)-1,0)</f>
        <v>28.6</v>
      </c>
      <c r="K38" s="28">
        <f ca="1">33.4*OFFSET(K$112,MATCH($N$1,$C$112:$C$113,0)-1,0)</f>
        <v>33.4</v>
      </c>
      <c r="L38" s="28">
        <f ca="1">41.7*OFFSET(L$112,MATCH($N$1,$C$112:$C$113,0)-1,0)</f>
        <v>41.7</v>
      </c>
      <c r="M38" s="28">
        <f ca="1">7.9*OFFSET(M$112,MATCH($N$1,$C$112:$C$113,0)-1,0)</f>
        <v>7.9</v>
      </c>
      <c r="N38" s="28"/>
      <c r="O38" s="23" t="str">
        <f t="shared" si="0"/>
        <v/>
      </c>
      <c r="P38" s="23" t="str">
        <f t="shared" si="1"/>
        <v/>
      </c>
    </row>
    <row r="39" spans="1:16" ht="18" customHeight="1" x14ac:dyDescent="0.2">
      <c r="A39" s="231"/>
      <c r="B39" s="33" t="s">
        <v>77</v>
      </c>
      <c r="C39" s="27"/>
      <c r="D39" s="28">
        <f ca="1">1.2*OFFSET(D$112,MATCH($N$1,$C$112:$C$113,0)-1,0)</f>
        <v>1.2</v>
      </c>
      <c r="E39" s="28">
        <f ca="1">0.2*OFFSET(E$112,MATCH($N$1,$C$112:$C$113,0)-1,0)</f>
        <v>0.2</v>
      </c>
      <c r="F39" s="28">
        <f ca="1">0.3*OFFSET(F$112,MATCH($N$1,$C$112:$C$113,0)-1,0)</f>
        <v>0.3</v>
      </c>
      <c r="G39" s="28">
        <f ca="1">0.3*OFFSET(G$112,MATCH($N$1,$C$112:$C$113,0)-1,0)</f>
        <v>0.3</v>
      </c>
      <c r="H39" s="28"/>
      <c r="I39" s="28"/>
      <c r="J39" s="28">
        <f ca="1">5.2*OFFSET(J$112,MATCH($N$1,$C$112:$C$113,0)-1,0)</f>
        <v>5.2</v>
      </c>
      <c r="K39" s="28">
        <f ca="1">2.1*OFFSET(K$112,MATCH($N$1,$C$112:$C$113,0)-1,0)</f>
        <v>2.1</v>
      </c>
      <c r="L39" s="28">
        <f ca="1">1.2*OFFSET(L$112,MATCH($N$1,$C$112:$C$113,0)-1,0)</f>
        <v>1.2</v>
      </c>
      <c r="M39" s="28">
        <f ca="1">1.4*OFFSET(M$112,MATCH($N$1,$C$112:$C$113,0)-1,0)</f>
        <v>1.4</v>
      </c>
      <c r="N39" s="28"/>
      <c r="O39" s="23" t="str">
        <f t="shared" si="0"/>
        <v/>
      </c>
      <c r="P39" s="23" t="str">
        <f t="shared" si="1"/>
        <v/>
      </c>
    </row>
    <row r="40" spans="1:16" ht="18" customHeight="1" x14ac:dyDescent="0.2">
      <c r="A40" s="231"/>
      <c r="B40" s="33" t="s">
        <v>78</v>
      </c>
      <c r="C40" s="27"/>
      <c r="D40" s="28"/>
      <c r="E40" s="28">
        <f ca="1">0.4*OFFSET(E$112,MATCH($N$1,$C$112:$C$113,0)-1,0)</f>
        <v>0.4</v>
      </c>
      <c r="F40" s="28"/>
      <c r="G40" s="28"/>
      <c r="H40" s="28"/>
      <c r="I40" s="28"/>
      <c r="J40" s="28">
        <f ca="1">3*OFFSET(J$112,MATCH($N$1,$C$112:$C$113,0)-1,0)</f>
        <v>3</v>
      </c>
      <c r="K40" s="28">
        <f ca="1">0.2*OFFSET(K$112,MATCH($N$1,$C$112:$C$113,0)-1,0)</f>
        <v>0.2</v>
      </c>
      <c r="L40" s="28">
        <f ca="1">0.6*OFFSET(L$112,MATCH($N$1,$C$112:$C$113,0)-1,0)</f>
        <v>0.6</v>
      </c>
      <c r="M40" s="28"/>
      <c r="N40" s="28"/>
      <c r="O40" s="23" t="str">
        <f t="shared" si="0"/>
        <v/>
      </c>
      <c r="P40" s="23" t="str">
        <f t="shared" si="1"/>
        <v/>
      </c>
    </row>
    <row r="41" spans="1:16" ht="18" customHeight="1" thickBot="1" x14ac:dyDescent="0.25">
      <c r="A41" s="232"/>
      <c r="B41" s="44" t="s">
        <v>79</v>
      </c>
      <c r="C41" s="45"/>
      <c r="D41" s="46">
        <f ca="1">34.3*OFFSET(D$112,MATCH($N$1,$C$112:$C$113,0)-1,0)</f>
        <v>34.299999999999997</v>
      </c>
      <c r="E41" s="46">
        <f ca="1">6.7*OFFSET(E$112,MATCH($N$1,$C$112:$C$113,0)-1,0)</f>
        <v>6.7</v>
      </c>
      <c r="F41" s="46">
        <f ca="1">117.9*OFFSET(F$112,MATCH($N$1,$C$112:$C$113,0)-1,0)</f>
        <v>117.9</v>
      </c>
      <c r="G41" s="46">
        <f ca="1">17.9*OFFSET(G$112,MATCH($N$1,$C$112:$C$113,0)-1,0)</f>
        <v>17.899999999999999</v>
      </c>
      <c r="H41" s="46">
        <f ca="1">107.5*OFFSET(H$112,MATCH($N$1,$C$112:$C$113,0)-1,0)</f>
        <v>107.5</v>
      </c>
      <c r="I41" s="46">
        <f ca="1">21.6*OFFSET(I$112,MATCH($N$1,$C$112:$C$113,0)-1,0)</f>
        <v>21.6</v>
      </c>
      <c r="J41" s="46">
        <f ca="1">114.2*OFFSET(J$112,MATCH($N$1,$C$112:$C$113,0)-1,0)</f>
        <v>114.2</v>
      </c>
      <c r="K41" s="46">
        <f ca="1">160.2*OFFSET(K$112,MATCH($N$1,$C$112:$C$113,0)-1,0)</f>
        <v>160.19999999999999</v>
      </c>
      <c r="L41" s="46">
        <f ca="1">84*OFFSET(L$112,MATCH($N$1,$C$112:$C$113,0)-1,0)</f>
        <v>84</v>
      </c>
      <c r="M41" s="46">
        <f ca="1">53.2*OFFSET(M$112,MATCH($N$1,$C$112:$C$113,0)-1,0)</f>
        <v>53.2</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174</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Gill netters</v>
      </c>
      <c r="C48" s="97"/>
      <c r="D48" s="97"/>
      <c r="E48" s="97"/>
      <c r="F48" s="97"/>
      <c r="G48" s="97"/>
      <c r="K48" s="97" t="str">
        <f>$B24&amp;CHAR(10)&amp;$A$1</f>
        <v>Operating profit per kW day at sea (£)
Gill netters</v>
      </c>
    </row>
    <row r="49" spans="1:11" s="83" customFormat="1" x14ac:dyDescent="0.2">
      <c r="A49" s="97" t="str">
        <f>$B22&amp;CHAR(10)&amp;$A$1</f>
        <v>Fishing income per kW day at sea (£)
Gill netters</v>
      </c>
    </row>
    <row r="50" spans="1:11" s="83" customFormat="1" x14ac:dyDescent="0.2">
      <c r="A50" s="97" t="str">
        <f>$B20&amp;CHAR(10)&amp;$A$1</f>
        <v>Average price per tonne landed (£)
Gill netters</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Gill netters</v>
      </c>
      <c r="F62" s="97" t="str">
        <f>$B20&amp;CHAR(10)&amp;$A$1</f>
        <v>Average price per tonne landed (£)
Gill netters</v>
      </c>
      <c r="K62" s="97" t="str">
        <f>"Average annual operating profit per vessel (£'000)"&amp;CHAR(10)&amp;$A$1</f>
        <v>Average annual operating profit per vessel (£'000)
Gill netters</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Gill netters</v>
      </c>
      <c r="F76" s="97" t="str">
        <f>"Top 5 landed species by value in "&amp;A77&amp;CHAR(10)&amp;A1</f>
        <v>Top 5 landed species by value in 2017
Gill netters</v>
      </c>
    </row>
    <row r="77" spans="1:9" s="97" customFormat="1" x14ac:dyDescent="0.2">
      <c r="A77" s="97">
        <v>2017</v>
      </c>
      <c r="B77" s="97" t="s">
        <v>194</v>
      </c>
      <c r="C77" s="98">
        <v>0.40265404987857417</v>
      </c>
      <c r="D77" s="99">
        <v>12153634</v>
      </c>
      <c r="G77" s="97" t="s">
        <v>195</v>
      </c>
      <c r="H77" s="98">
        <v>0.41364747874186542</v>
      </c>
      <c r="I77" s="99">
        <v>12153634</v>
      </c>
    </row>
    <row r="78" spans="1:9" s="97" customFormat="1" x14ac:dyDescent="0.2">
      <c r="B78" s="97" t="s">
        <v>196</v>
      </c>
      <c r="C78" s="98">
        <v>0.21303260824204298</v>
      </c>
      <c r="D78" s="99">
        <v>3689192</v>
      </c>
      <c r="G78" s="97" t="s">
        <v>197</v>
      </c>
      <c r="H78" s="98">
        <v>0.27541529836844592</v>
      </c>
      <c r="I78" s="99">
        <v>553960</v>
      </c>
    </row>
    <row r="79" spans="1:9" s="97" customFormat="1" x14ac:dyDescent="0.2">
      <c r="B79" s="97" t="s">
        <v>198</v>
      </c>
      <c r="C79" s="98">
        <v>0.19262216515234662</v>
      </c>
      <c r="D79" s="99">
        <v>553960</v>
      </c>
      <c r="G79" s="97" t="s">
        <v>199</v>
      </c>
      <c r="H79" s="98">
        <v>8.3808117155433584E-2</v>
      </c>
      <c r="I79" s="99">
        <v>3050596</v>
      </c>
    </row>
    <row r="80" spans="1:9" s="97" customFormat="1" x14ac:dyDescent="0.2">
      <c r="B80" s="97" t="s">
        <v>200</v>
      </c>
      <c r="C80" s="98">
        <v>6.9839931747058576E-2</v>
      </c>
      <c r="D80" s="99">
        <v>3050596</v>
      </c>
      <c r="G80" s="97" t="s">
        <v>201</v>
      </c>
      <c r="H80" s="98">
        <v>8.0779393003640329E-2</v>
      </c>
      <c r="I80" s="99">
        <v>1692097</v>
      </c>
    </row>
    <row r="81" spans="1:18" s="97" customFormat="1" x14ac:dyDescent="0.2">
      <c r="B81" s="97" t="s">
        <v>202</v>
      </c>
      <c r="C81" s="98">
        <v>1.9115706742419351E-2</v>
      </c>
      <c r="D81" s="99">
        <v>11115023</v>
      </c>
      <c r="G81" s="97" t="s">
        <v>203</v>
      </c>
      <c r="H81" s="98">
        <v>3.5705415759965893E-2</v>
      </c>
      <c r="I81" s="99">
        <v>3689192</v>
      </c>
    </row>
    <row r="82" spans="1:18" s="97" customFormat="1" x14ac:dyDescent="0.2">
      <c r="B82" s="97" t="s">
        <v>204</v>
      </c>
      <c r="C82" s="98">
        <v>0.10273553823755821</v>
      </c>
      <c r="D82" s="99">
        <v>5920853</v>
      </c>
      <c r="G82" s="97" t="s">
        <v>205</v>
      </c>
      <c r="H82" s="98">
        <v>0.11064429697064893</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121</v>
      </c>
      <c r="D92" s="102">
        <v>0.56001040961825888</v>
      </c>
      <c r="E92" s="102">
        <v>0.56730068331598471</v>
      </c>
      <c r="F92" s="102">
        <v>0.56190841882339349</v>
      </c>
      <c r="G92" s="102">
        <v>0.57523119426590141</v>
      </c>
      <c r="H92" s="102">
        <v>0.50053821622016859</v>
      </c>
      <c r="I92" s="102">
        <v>0.5264204761957747</v>
      </c>
      <c r="J92" s="102">
        <v>0.53102206261319262</v>
      </c>
      <c r="K92" s="102">
        <v>0.50246725849183882</v>
      </c>
      <c r="L92" s="102">
        <v>0.41364747874186542</v>
      </c>
      <c r="M92" s="102">
        <v>0.3705692937523174</v>
      </c>
      <c r="O92" s="97">
        <v>12153634</v>
      </c>
    </row>
    <row r="93" spans="1:18" s="97" customFormat="1" hidden="1" x14ac:dyDescent="0.2">
      <c r="B93" s="97">
        <v>2</v>
      </c>
      <c r="C93" s="97" t="s">
        <v>95</v>
      </c>
      <c r="D93" s="102">
        <v>8.3606859146253154E-2</v>
      </c>
      <c r="E93" s="102">
        <v>4.2461333801720187E-2</v>
      </c>
      <c r="F93" s="102">
        <v>3.7082954430391439E-2</v>
      </c>
      <c r="G93" s="102">
        <v>6.5558195519216281E-2</v>
      </c>
      <c r="H93" s="102">
        <v>0.13889152150558803</v>
      </c>
      <c r="I93" s="102">
        <v>0.11614284088730938</v>
      </c>
      <c r="J93" s="102">
        <v>0.17386423956225144</v>
      </c>
      <c r="K93" s="102">
        <v>0.15024753196050067</v>
      </c>
      <c r="L93" s="102">
        <v>0.27541529836844592</v>
      </c>
      <c r="M93" s="102">
        <v>0.38965204363235623</v>
      </c>
      <c r="O93" s="97">
        <v>553960</v>
      </c>
    </row>
    <row r="94" spans="1:18" s="97" customFormat="1" hidden="1" x14ac:dyDescent="0.2">
      <c r="B94" s="97">
        <v>3</v>
      </c>
      <c r="C94" s="97" t="s">
        <v>119</v>
      </c>
      <c r="D94" s="102">
        <v>0.1233907116743671</v>
      </c>
      <c r="E94" s="102">
        <v>0.13480998764818536</v>
      </c>
      <c r="F94" s="102">
        <v>0.14415439600965138</v>
      </c>
      <c r="G94" s="102">
        <v>0.12690829999696862</v>
      </c>
      <c r="H94" s="102">
        <v>0.1263971882716223</v>
      </c>
      <c r="I94" s="102">
        <v>8.9997113815497076E-2</v>
      </c>
      <c r="J94" s="102">
        <v>0.10451047323682797</v>
      </c>
      <c r="K94" s="102">
        <v>0.13816913933642477</v>
      </c>
      <c r="L94" s="102">
        <v>8.3808117155433584E-2</v>
      </c>
      <c r="M94" s="102">
        <v>4.7060228717925583E-2</v>
      </c>
      <c r="O94" s="97">
        <v>3050596</v>
      </c>
    </row>
    <row r="95" spans="1:18" s="97" customFormat="1" hidden="1" x14ac:dyDescent="0.2">
      <c r="B95" s="97">
        <v>4</v>
      </c>
      <c r="C95" s="97" t="s">
        <v>138</v>
      </c>
      <c r="D95" s="102">
        <v>4.2622144621504432E-2</v>
      </c>
      <c r="E95" s="102">
        <v>6.0372990806558925E-2</v>
      </c>
      <c r="F95" s="102">
        <v>7.311266471607486E-2</v>
      </c>
      <c r="G95" s="102">
        <v>4.9969454368988871E-2</v>
      </c>
      <c r="H95" s="102">
        <v>4.583962700586644E-2</v>
      </c>
      <c r="I95" s="102">
        <v>5.7566587462359937E-2</v>
      </c>
      <c r="J95" s="102">
        <v>7.4084531282658544E-2</v>
      </c>
      <c r="K95" s="102">
        <v>6.2957726183678231E-2</v>
      </c>
      <c r="L95" s="102">
        <v>8.0779393003640329E-2</v>
      </c>
      <c r="M95" s="102">
        <v>5.4483398455108974E-2</v>
      </c>
      <c r="O95" s="97">
        <v>1692097</v>
      </c>
    </row>
    <row r="96" spans="1:18" s="97" customFormat="1" hidden="1" x14ac:dyDescent="0.2">
      <c r="B96" s="97">
        <v>5</v>
      </c>
      <c r="C96" s="97" t="s">
        <v>192</v>
      </c>
      <c r="D96" s="102"/>
      <c r="E96" s="102"/>
      <c r="F96" s="102"/>
      <c r="G96" s="102"/>
      <c r="H96" s="102">
        <v>4.9230613473122936E-2</v>
      </c>
      <c r="I96" s="102"/>
      <c r="J96" s="102">
        <v>2.1254795697274315E-2</v>
      </c>
      <c r="K96" s="102"/>
      <c r="L96" s="102">
        <v>3.5705415759965893E-2</v>
      </c>
      <c r="M96" s="102">
        <v>4.6793336568798943E-2</v>
      </c>
      <c r="O96" s="97">
        <v>3689192</v>
      </c>
    </row>
    <row r="97" spans="1:15" s="97" customFormat="1" hidden="1" x14ac:dyDescent="0.2">
      <c r="B97" s="97">
        <v>6</v>
      </c>
      <c r="C97" s="97" t="s">
        <v>97</v>
      </c>
      <c r="D97" s="102">
        <v>6.8168452816490685E-2</v>
      </c>
      <c r="E97" s="102">
        <v>5.5413377031452611E-2</v>
      </c>
      <c r="F97" s="102">
        <v>4.2064316781220717E-2</v>
      </c>
      <c r="G97" s="102">
        <v>4.6678147111365233E-2</v>
      </c>
      <c r="H97" s="102"/>
      <c r="I97" s="102"/>
      <c r="J97" s="102"/>
      <c r="K97" s="102">
        <v>2.6820950027011702E-2</v>
      </c>
      <c r="L97" s="102"/>
      <c r="M97" s="102"/>
      <c r="O97" s="97">
        <v>11115023</v>
      </c>
    </row>
    <row r="98" spans="1:15" s="97" customFormat="1" hidden="1" x14ac:dyDescent="0.2">
      <c r="B98" s="97">
        <v>7</v>
      </c>
      <c r="C98" s="97" t="s">
        <v>170</v>
      </c>
      <c r="D98" s="102"/>
      <c r="E98" s="102"/>
      <c r="F98" s="102"/>
      <c r="G98" s="102"/>
      <c r="H98" s="102"/>
      <c r="I98" s="102">
        <v>3.5113066632180112E-2</v>
      </c>
      <c r="J98" s="102"/>
      <c r="K98" s="102"/>
      <c r="L98" s="102"/>
      <c r="M98" s="102"/>
      <c r="O98" s="97">
        <v>2480382</v>
      </c>
    </row>
    <row r="99" spans="1:15" s="97" customFormat="1" hidden="1" x14ac:dyDescent="0.2">
      <c r="B99" s="97">
        <v>8</v>
      </c>
      <c r="C99" s="97" t="s">
        <v>101</v>
      </c>
      <c r="D99" s="102">
        <v>0.12220142212312576</v>
      </c>
      <c r="E99" s="102">
        <v>0.13964162739609826</v>
      </c>
      <c r="F99" s="102">
        <v>0.14167724923926811</v>
      </c>
      <c r="G99" s="102">
        <v>0.13565470873755961</v>
      </c>
      <c r="H99" s="102">
        <v>0.13910283352363167</v>
      </c>
      <c r="I99" s="102">
        <v>0.17475991500687876</v>
      </c>
      <c r="J99" s="102">
        <v>9.526389760779512E-2</v>
      </c>
      <c r="K99" s="102">
        <v>0.11933739400054581</v>
      </c>
      <c r="L99" s="102">
        <v>0.11064429697064883</v>
      </c>
      <c r="M99" s="102">
        <v>9.1441698873492933E-2</v>
      </c>
      <c r="O99" s="97">
        <v>5920853</v>
      </c>
    </row>
    <row r="100" spans="1:15" s="97" customFormat="1" hidden="1" x14ac:dyDescent="0.2">
      <c r="B100" s="97">
        <v>9</v>
      </c>
      <c r="D100" s="102"/>
      <c r="E100" s="102"/>
      <c r="F100" s="102"/>
      <c r="G100" s="102"/>
      <c r="H100" s="102"/>
      <c r="I100" s="102"/>
      <c r="J100" s="102"/>
      <c r="K100" s="102"/>
      <c r="L100" s="102"/>
      <c r="M100" s="102"/>
      <c r="O100" s="97">
        <v>8497745</v>
      </c>
    </row>
    <row r="101" spans="1:15" s="97" customFormat="1" hidden="1" x14ac:dyDescent="0.2">
      <c r="B101" s="97">
        <v>10</v>
      </c>
      <c r="D101" s="102"/>
      <c r="E101" s="102"/>
      <c r="F101" s="102"/>
      <c r="G101" s="102"/>
      <c r="H101" s="102"/>
      <c r="I101" s="102"/>
      <c r="J101" s="102"/>
      <c r="K101" s="102"/>
      <c r="L101" s="102"/>
      <c r="M101" s="102"/>
      <c r="O101" s="97">
        <v>14393110</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9</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8</v>
      </c>
      <c r="D120" s="56">
        <v>14</v>
      </c>
      <c r="E120" s="56">
        <v>8</v>
      </c>
      <c r="F120" s="57">
        <v>30</v>
      </c>
    </row>
    <row r="121" spans="1:14" ht="18" customHeight="1" x14ac:dyDescent="0.2">
      <c r="A121" s="225" t="s">
        <v>23</v>
      </c>
      <c r="B121" s="30" t="s">
        <v>58</v>
      </c>
      <c r="C121" s="58">
        <v>22.613750457763672</v>
      </c>
      <c r="D121" s="58">
        <v>17.178571701049805</v>
      </c>
      <c r="E121" s="58">
        <v>18.637500762939453</v>
      </c>
      <c r="F121" s="59">
        <v>19.017000198364258</v>
      </c>
    </row>
    <row r="122" spans="1:14" ht="18" customHeight="1" x14ac:dyDescent="0.2">
      <c r="A122" s="226"/>
      <c r="B122" s="33" t="s">
        <v>51</v>
      </c>
      <c r="C122" s="60">
        <v>341.875</v>
      </c>
      <c r="D122" s="60">
        <v>282.78572082519531</v>
      </c>
      <c r="E122" s="60">
        <v>238.5</v>
      </c>
      <c r="F122" s="61">
        <v>286.73333740234375</v>
      </c>
    </row>
    <row r="123" spans="1:14" ht="18" customHeight="1" x14ac:dyDescent="0.2">
      <c r="A123" s="226"/>
      <c r="B123" s="33" t="s">
        <v>52</v>
      </c>
      <c r="C123" s="60">
        <v>157.375</v>
      </c>
      <c r="D123" s="60">
        <v>93</v>
      </c>
      <c r="E123" s="60">
        <v>104.75</v>
      </c>
      <c r="F123" s="61">
        <v>113.30000305175781</v>
      </c>
    </row>
    <row r="124" spans="1:14" ht="18" customHeight="1" x14ac:dyDescent="0.2">
      <c r="A124" s="226"/>
      <c r="B124" s="33" t="s">
        <v>53</v>
      </c>
      <c r="C124" s="60">
        <v>306.14999389648437</v>
      </c>
      <c r="D124" s="60">
        <v>230.69949340820312</v>
      </c>
      <c r="E124" s="60">
        <v>218.28169250488281</v>
      </c>
      <c r="F124" s="61">
        <v>247.50820922851563</v>
      </c>
    </row>
    <row r="125" spans="1:14" ht="18" customHeight="1" x14ac:dyDescent="0.2">
      <c r="A125" s="226"/>
      <c r="B125" s="33" t="s">
        <v>54</v>
      </c>
      <c r="C125" s="28">
        <v>383.49417114257812</v>
      </c>
      <c r="D125" s="28">
        <v>295.88010406494141</v>
      </c>
      <c r="E125" s="28">
        <v>113.72454833984375</v>
      </c>
      <c r="F125" s="62">
        <v>270.66903686523437</v>
      </c>
    </row>
    <row r="126" spans="1:14" ht="18" customHeight="1" x14ac:dyDescent="0.2">
      <c r="A126" s="226"/>
      <c r="B126" s="33" t="s">
        <v>59</v>
      </c>
      <c r="C126" s="28">
        <f ca="1">864.93625*OFFSET($L$112,MATCH($N$1,$C$112:$C$113,0)-1,0)</f>
        <v>864.93624999999997</v>
      </c>
      <c r="D126" s="28">
        <f ca="1">449.115328125*OFFSET($L$112,MATCH($N$1,$C$112:$C$113,0)-1,0)</f>
        <v>449.11532812500002</v>
      </c>
      <c r="E126" s="28">
        <f ca="1">130.86925*OFFSET($L$112,MATCH($N$1,$C$112:$C$113,0)-1,0)</f>
        <v>130.86924999999999</v>
      </c>
      <c r="F126" s="62">
        <f ca="1">475.13528125*OFFSET($L$112,MATCH($N$1,$C$112:$C$113,0)-1,0)</f>
        <v>475.13528124999999</v>
      </c>
    </row>
    <row r="127" spans="1:14" ht="18" customHeight="1" x14ac:dyDescent="0.2">
      <c r="A127" s="226"/>
      <c r="B127" s="33" t="s">
        <v>56</v>
      </c>
      <c r="C127" s="60">
        <v>188.5</v>
      </c>
      <c r="D127" s="60">
        <v>160.57142639160156</v>
      </c>
      <c r="E127" s="60">
        <v>131.875</v>
      </c>
      <c r="F127" s="61">
        <v>160.36666870117187</v>
      </c>
    </row>
    <row r="128" spans="1:14" ht="18" customHeight="1" x14ac:dyDescent="0.2">
      <c r="A128" s="226"/>
      <c r="B128" s="33" t="s">
        <v>60</v>
      </c>
      <c r="C128" s="60">
        <v>32.125</v>
      </c>
      <c r="D128" s="60">
        <v>31.214286804199219</v>
      </c>
      <c r="E128" s="60">
        <v>41.875</v>
      </c>
      <c r="F128" s="61">
        <v>34.299999237060547</v>
      </c>
    </row>
    <row r="129" spans="1:14" ht="18" customHeight="1" x14ac:dyDescent="0.2">
      <c r="A129" s="226"/>
      <c r="B129" s="33" t="s">
        <v>61</v>
      </c>
      <c r="C129" s="63">
        <v>2.0344517230987549</v>
      </c>
      <c r="D129" s="63">
        <v>1.8426697122522226</v>
      </c>
      <c r="E129" s="63">
        <v>0.86236625909805298</v>
      </c>
      <c r="F129" s="64">
        <v>1.6878135204315186</v>
      </c>
    </row>
    <row r="130" spans="1:14" ht="18" customHeight="1" x14ac:dyDescent="0.2">
      <c r="A130" s="227"/>
      <c r="B130" s="35" t="s">
        <v>24</v>
      </c>
      <c r="C130" s="37">
        <f ca="1">2255.40911723122*OFFSET($L$112,MATCH($N$1,$C$112:$C$113,0)-1,0)</f>
        <v>2255.4091172312201</v>
      </c>
      <c r="D130" s="37">
        <f ca="1">1517.89634367043*OFFSET($L$112,MATCH($N$1,$C$112:$C$113,0)-1,0)</f>
        <v>1517.89634367043</v>
      </c>
      <c r="E130" s="37">
        <f ca="1">1150.75638382773*OFFSET($L$112,MATCH($N$1,$C$112:$C$113,0)-1,0)</f>
        <v>1150.7563838277299</v>
      </c>
      <c r="F130" s="65">
        <f ca="1">1755*OFFSET($L$112,MATCH($N$1,$C$112:$C$113,0)-1,0)</f>
        <v>1755</v>
      </c>
    </row>
    <row r="131" spans="1:14" ht="18" customHeight="1" x14ac:dyDescent="0.2">
      <c r="A131" s="239" t="s">
        <v>25</v>
      </c>
      <c r="B131" s="30" t="s">
        <v>62</v>
      </c>
      <c r="C131" s="66">
        <v>5.0672366609584376</v>
      </c>
      <c r="D131" s="66">
        <v>5.1950453439393121</v>
      </c>
      <c r="E131" s="66">
        <v>2.6690577781391918</v>
      </c>
      <c r="F131" s="67">
        <v>4.6568665769742914</v>
      </c>
    </row>
    <row r="132" spans="1:14" ht="18" customHeight="1" x14ac:dyDescent="0.2">
      <c r="A132" s="228"/>
      <c r="B132" s="33" t="s">
        <v>63</v>
      </c>
      <c r="C132" s="63">
        <f ca="1">11.4286917642939*OFFSET($L$112,MATCH($N$1,$C$112:$C$113,0)-1,0)</f>
        <v>11.4286917642939</v>
      </c>
      <c r="D132" s="63">
        <f ca="1">7.88554033276756*OFFSET($L$112,MATCH($N$1,$C$112:$C$113,0)-1,0)</f>
        <v>7.8855403327675599</v>
      </c>
      <c r="E132" s="63">
        <f ca="1">3.07143527699872*OFFSET($L$112,MATCH($N$1,$C$112:$C$113,0)-1,0)</f>
        <v>3.0714352769987201</v>
      </c>
      <c r="F132" s="64">
        <f ca="1">8.17471269126389*OFFSET($L$112,MATCH($N$1,$C$112:$C$113,0)-1,0)</f>
        <v>8.1747126912638901</v>
      </c>
    </row>
    <row r="133" spans="1:14" ht="18" customHeight="1" x14ac:dyDescent="0.2">
      <c r="A133" s="228"/>
      <c r="B133" s="33" t="s">
        <v>11</v>
      </c>
      <c r="C133" s="63">
        <f ca="1">9.65193744642406*OFFSET($L$112,MATCH($N$1,$C$112:$C$113,0)-1,0)</f>
        <v>9.6519374464240606</v>
      </c>
      <c r="D133" s="63">
        <f ca="1">6.88983335216582*OFFSET($L$112,MATCH($N$1,$C$112:$C$113,0)-1,0)</f>
        <v>6.8898333521658204</v>
      </c>
      <c r="E133" s="63">
        <f ca="1">3.05201062956142*OFFSET($L$112,MATCH($N$1,$C$112:$C$113,0)-1,0)</f>
        <v>3.05201062956142</v>
      </c>
      <c r="F133" s="64">
        <f ca="1">7.09865755804158*OFFSET($L$112,MATCH($N$1,$C$112:$C$113,0)-1,0)</f>
        <v>7.0986575580415803</v>
      </c>
    </row>
    <row r="134" spans="1:14" ht="18" customHeight="1" x14ac:dyDescent="0.2">
      <c r="A134" s="229"/>
      <c r="B134" s="35" t="s">
        <v>12</v>
      </c>
      <c r="C134" s="68">
        <f ca="1">1.77675431786988*OFFSET($L$112,MATCH($N$1,$C$112:$C$113,0)-1,0)</f>
        <v>1.7767543178698799</v>
      </c>
      <c r="D134" s="68">
        <f ca="1">0.995706980601733*OFFSET($L$112,MATCH($N$1,$C$112:$C$113,0)-1,0)</f>
        <v>0.99570698060173302</v>
      </c>
      <c r="E134" s="68">
        <f ca="1">0.0194246474372961*OFFSET($L$112,MATCH($N$1,$C$112:$C$113,0)-1,0)</f>
        <v>1.9424647437296098E-2</v>
      </c>
      <c r="F134" s="69">
        <f ca="1">1.07605513322231*OFFSET($L$112,MATCH($N$1,$C$112:$C$113,0)-1,0)</f>
        <v>1.0760551332223101</v>
      </c>
    </row>
    <row r="135" spans="1:14" ht="18" customHeight="1" x14ac:dyDescent="0.2">
      <c r="A135" s="240" t="s">
        <v>45</v>
      </c>
      <c r="B135" s="33" t="s">
        <v>102</v>
      </c>
      <c r="C135" s="70">
        <f ca="1">43.16387890625*OFFSET($L$112,MATCH($N$1,$C$112:$C$113,0)-1,0)</f>
        <v>43.163878906249998</v>
      </c>
      <c r="D135" s="70">
        <f ca="1">35.524330078125*OFFSET($L$112,MATCH($N$1,$C$112:$C$113,0)-1,0)</f>
        <v>35.524330078124997</v>
      </c>
      <c r="E135" s="70">
        <f ca="1">26.04876171875*OFFSET($L$112,MATCH($N$1,$C$112:$C$113,0)-1,0)</f>
        <v>26.048761718750001</v>
      </c>
      <c r="F135" s="71">
        <f ca="1">35.0347265625*OFFSET($L$112,MATCH($N$1,$C$112:$C$113,0)-1,0)</f>
        <v>35.034726562499998</v>
      </c>
    </row>
    <row r="136" spans="1:14" ht="18" customHeight="1" x14ac:dyDescent="0.2">
      <c r="A136" s="241"/>
      <c r="B136" s="33" t="s">
        <v>103</v>
      </c>
      <c r="C136" s="26">
        <v>101674.99475097656</v>
      </c>
      <c r="D136" s="26">
        <v>84042.855312047061</v>
      </c>
      <c r="E136" s="26">
        <v>61250.001354217529</v>
      </c>
      <c r="F136" s="72">
        <v>82666.666666666672</v>
      </c>
    </row>
    <row r="137" spans="1:14" ht="18" customHeight="1" x14ac:dyDescent="0.2">
      <c r="A137" s="241"/>
      <c r="B137" s="33" t="s">
        <v>104</v>
      </c>
      <c r="C137" s="26">
        <v>539.389892578125</v>
      </c>
      <c r="D137" s="26">
        <v>523.39857221597674</v>
      </c>
      <c r="E137" s="26">
        <v>464.45498657226562</v>
      </c>
      <c r="F137" s="72">
        <v>515.4853515625</v>
      </c>
    </row>
    <row r="138" spans="1:14" ht="18" customHeight="1" x14ac:dyDescent="0.2">
      <c r="A138" s="241"/>
      <c r="B138" s="33" t="s">
        <v>105</v>
      </c>
      <c r="C138" s="26">
        <f ca="1">228.986094993369*OFFSET($L$112,MATCH($N$1,$C$112:$C$113,0)-1,0)</f>
        <v>228.98609499336899</v>
      </c>
      <c r="D138" s="26">
        <f ca="1">221.236934094913*OFFSET($L$112,MATCH($N$1,$C$112:$C$113,0)-1,0)</f>
        <v>221.23693409491301</v>
      </c>
      <c r="E138" s="26">
        <f ca="1">197.52615521327*OFFSET($L$112,MATCH($N$1,$C$112:$C$113,0)-1,0)</f>
        <v>197.52615521326999</v>
      </c>
      <c r="F138" s="72">
        <f ca="1">218.466386102862*OFFSET($L$112,MATCH($N$1,$C$112:$C$113,0)-1,0)</f>
        <v>218.466386102862</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112.554198092889*OFFSET($L$112,MATCH($N$1,$C$112:$C$113,0)-1,0)</f>
        <v>112.554198092889</v>
      </c>
      <c r="D139" s="26">
        <f ca="1">120.063260726473*OFFSET($L$112,MATCH($N$1,$C$112:$C$113,0)-1,0)</f>
        <v>120.063260726473</v>
      </c>
      <c r="E139" s="26">
        <f ca="1">229.051353458959*OFFSET($L$112,MATCH($N$1,$C$112:$C$113,0)-1,0)</f>
        <v>229.051353458959</v>
      </c>
      <c r="F139" s="72">
        <f ca="1">129.437511465132*OFFSET($L$112,MATCH($N$1,$C$112:$C$113,0)-1,0)</f>
        <v>129.43751146513199</v>
      </c>
      <c r="I139" s="49"/>
      <c r="K139" s="73" t="s">
        <v>107</v>
      </c>
      <c r="L139" s="74">
        <f t="shared" ref="L139:M141" ca="1" si="2">C140</f>
        <v>870.11137499999995</v>
      </c>
      <c r="M139" s="74">
        <f t="shared" ca="1" si="2"/>
        <v>451.80248437500001</v>
      </c>
      <c r="N139" s="74">
        <f ca="1">E140</f>
        <v>131.65228124999999</v>
      </c>
    </row>
    <row r="140" spans="1:14" ht="18" customHeight="1" x14ac:dyDescent="0.2">
      <c r="A140" s="230" t="s">
        <v>46</v>
      </c>
      <c r="B140" s="30" t="s">
        <v>108</v>
      </c>
      <c r="C140" s="75">
        <f ca="1">870.111375*OFFSET($L$112,MATCH($N$1,$C$112:$C$113,0)-1,0)</f>
        <v>870.11137499999995</v>
      </c>
      <c r="D140" s="75">
        <f ca="1">451.802484375*OFFSET($L$112,MATCH($N$1,$C$112:$C$113,0)-1,0)</f>
        <v>451.80248437500001</v>
      </c>
      <c r="E140" s="75">
        <f ca="1">131.65228125*OFFSET($L$112,MATCH($N$1,$C$112:$C$113,0)-1,0)</f>
        <v>131.65228124999999</v>
      </c>
      <c r="F140" s="76">
        <f ca="1">477.978125*OFFSET($L$112,MATCH($N$1,$C$112:$C$113,0)-1,0)</f>
        <v>477.97812499999998</v>
      </c>
      <c r="I140" s="49"/>
      <c r="K140" s="73" t="s">
        <v>109</v>
      </c>
      <c r="L140" s="74">
        <f t="shared" ca="1" si="2"/>
        <v>735.64462500000002</v>
      </c>
      <c r="M140" s="74">
        <f t="shared" ca="1" si="2"/>
        <v>395.09270312500001</v>
      </c>
      <c r="N140" s="74">
        <f ca="1">E141</f>
        <v>130.824625</v>
      </c>
    </row>
    <row r="141" spans="1:14" ht="18" customHeight="1" x14ac:dyDescent="0.2">
      <c r="A141" s="237"/>
      <c r="B141" s="33" t="s">
        <v>110</v>
      </c>
      <c r="C141" s="26">
        <f ca="1">735.644625*OFFSET($L$112,MATCH($N$1,$C$112:$C$113,0)-1,0)</f>
        <v>735.64462500000002</v>
      </c>
      <c r="D141" s="26">
        <f ca="1">395.092703125*OFFSET($L$112,MATCH($N$1,$C$112:$C$113,0)-1,0)</f>
        <v>395.09270312500001</v>
      </c>
      <c r="E141" s="26">
        <f ca="1">130.824625*OFFSET($L$112,MATCH($N$1,$C$112:$C$113,0)-1,0)</f>
        <v>130.824625</v>
      </c>
      <c r="F141" s="72">
        <f ca="1">415.4350625*OFFSET($L$112,MATCH($N$1,$C$112:$C$113,0)-1,0)</f>
        <v>415.43506250000002</v>
      </c>
      <c r="I141" s="49"/>
      <c r="K141" s="73" t="s">
        <v>111</v>
      </c>
      <c r="L141" s="74">
        <f t="shared" ca="1" si="2"/>
        <v>134.46674999999999</v>
      </c>
      <c r="M141" s="74">
        <f t="shared" ca="1" si="2"/>
        <v>56.709781249999999</v>
      </c>
      <c r="N141" s="74">
        <f ca="1">E142</f>
        <v>0.82765624999999998</v>
      </c>
    </row>
    <row r="142" spans="1:14" ht="18" customHeight="1" x14ac:dyDescent="0.2">
      <c r="A142" s="238"/>
      <c r="B142" s="35" t="s">
        <v>112</v>
      </c>
      <c r="C142" s="37">
        <f ca="1">134.46675*OFFSET($L$112,MATCH($N$1,$C$112:$C$113,0)-1,0)</f>
        <v>134.46674999999999</v>
      </c>
      <c r="D142" s="37">
        <f ca="1">56.70978125*OFFSET($L$112,MATCH($N$1,$C$112:$C$113,0)-1,0)</f>
        <v>56.709781249999999</v>
      </c>
      <c r="E142" s="37">
        <f ca="1">0.82765625*OFFSET($L$112,MATCH($N$1,$C$112:$C$113,0)-1,0)</f>
        <v>0.82765624999999998</v>
      </c>
      <c r="F142" s="65">
        <f ca="1">62.5430859375*OFFSET($L$112,MATCH($N$1,$C$112:$C$113,0)-1,0)</f>
        <v>62.543085937500003</v>
      </c>
      <c r="I142" s="49"/>
      <c r="K142" s="73" t="s">
        <v>113</v>
      </c>
      <c r="L142" s="77">
        <f ca="1">IFERROR(L140/L$139,"")</f>
        <v>0.8454603009873306</v>
      </c>
      <c r="M142" s="77">
        <f t="shared" ref="M142:N143" ca="1" si="3">IFERROR(M140/M$139,"")</f>
        <v>0.87448103272727828</v>
      </c>
      <c r="N142" s="77">
        <f t="shared" ca="1" si="3"/>
        <v>0.99371331630457416</v>
      </c>
    </row>
    <row r="143" spans="1:14" ht="18" customHeight="1" x14ac:dyDescent="0.2">
      <c r="I143" s="49"/>
      <c r="K143" s="73" t="s">
        <v>114</v>
      </c>
      <c r="L143" s="77">
        <f ca="1">IFERROR(L141/L$139,"")</f>
        <v>0.15453969901266951</v>
      </c>
      <c r="M143" s="77">
        <f t="shared" ca="1" si="3"/>
        <v>0.12551896727272174</v>
      </c>
      <c r="N143" s="77">
        <f t="shared" ca="1" si="3"/>
        <v>6.2866836954259013E-3</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9</v>
      </c>
      <c r="B161" s="53"/>
      <c r="C161" s="79" t="s">
        <v>41</v>
      </c>
      <c r="D161" s="79" t="s">
        <v>115</v>
      </c>
      <c r="E161" s="79" t="s">
        <v>43</v>
      </c>
      <c r="F161" s="79" t="s">
        <v>116</v>
      </c>
      <c r="G161" s="80">
        <v>9</v>
      </c>
      <c r="H161" s="79"/>
      <c r="I161" s="79" t="s">
        <v>41</v>
      </c>
      <c r="J161" s="79" t="s">
        <v>115</v>
      </c>
      <c r="K161" s="79" t="s">
        <v>43</v>
      </c>
      <c r="L161" s="53" t="s">
        <v>116</v>
      </c>
    </row>
    <row r="162" spans="1:14" s="49" customFormat="1" x14ac:dyDescent="0.2">
      <c r="A162" s="50">
        <v>1</v>
      </c>
      <c r="B162" s="53" t="s">
        <v>95</v>
      </c>
      <c r="C162" s="53">
        <v>0.27943944603745707</v>
      </c>
      <c r="D162" s="53">
        <v>0.2830404222011344</v>
      </c>
      <c r="E162" s="53">
        <v>2.0480076903394744E-2</v>
      </c>
      <c r="F162" s="50">
        <v>553960</v>
      </c>
      <c r="G162" s="50">
        <v>1</v>
      </c>
      <c r="H162" s="53" t="s">
        <v>95</v>
      </c>
      <c r="I162" s="53">
        <v>0.30556651755243447</v>
      </c>
      <c r="J162" s="53">
        <v>0.29337855062498269</v>
      </c>
      <c r="K162" s="53">
        <v>4.1331586313758092E-2</v>
      </c>
      <c r="L162" s="50">
        <v>553960</v>
      </c>
    </row>
    <row r="163" spans="1:14" s="49" customFormat="1" x14ac:dyDescent="0.2">
      <c r="A163" s="50">
        <v>2</v>
      </c>
      <c r="B163" s="53" t="s">
        <v>192</v>
      </c>
      <c r="C163" s="53">
        <v>0.11103916956866587</v>
      </c>
      <c r="D163" s="53">
        <v>0.23076187716775748</v>
      </c>
      <c r="E163" s="53">
        <v>0</v>
      </c>
      <c r="F163" s="50">
        <v>3689192</v>
      </c>
      <c r="G163" s="50">
        <v>2</v>
      </c>
      <c r="H163" s="53" t="s">
        <v>121</v>
      </c>
      <c r="I163" s="53">
        <v>0.57146690015842683</v>
      </c>
      <c r="J163" s="53">
        <v>0.20859538083891965</v>
      </c>
      <c r="K163" s="53">
        <v>0.65401381689444016</v>
      </c>
      <c r="L163" s="50">
        <v>12153634</v>
      </c>
      <c r="N163" s="49" t="s">
        <v>117</v>
      </c>
    </row>
    <row r="164" spans="1:14" s="49" customFormat="1" x14ac:dyDescent="0.2">
      <c r="A164" s="50">
        <v>3</v>
      </c>
      <c r="B164" s="53" t="s">
        <v>121</v>
      </c>
      <c r="C164" s="53">
        <v>0.50040759689955794</v>
      </c>
      <c r="D164" s="53">
        <v>0.17898357094345035</v>
      </c>
      <c r="E164" s="53">
        <v>0.83161233814013369</v>
      </c>
      <c r="F164" s="50">
        <v>12153634</v>
      </c>
      <c r="G164" s="50">
        <v>3</v>
      </c>
      <c r="H164" s="53" t="s">
        <v>119</v>
      </c>
      <c r="I164" s="53">
        <v>1.802061822816612E-2</v>
      </c>
      <c r="J164" s="53">
        <v>0.16320888274926768</v>
      </c>
      <c r="K164" s="53">
        <v>8.2407171065620122E-2</v>
      </c>
      <c r="L164" s="50">
        <v>3050596</v>
      </c>
      <c r="N164" s="49" t="s">
        <v>118</v>
      </c>
    </row>
    <row r="165" spans="1:14" s="49" customFormat="1" x14ac:dyDescent="0.2">
      <c r="A165" s="50">
        <v>4</v>
      </c>
      <c r="B165" s="53" t="s">
        <v>119</v>
      </c>
      <c r="C165" s="53">
        <v>1.8562928530804164E-2</v>
      </c>
      <c r="D165" s="53">
        <v>0.12393425448951662</v>
      </c>
      <c r="E165" s="53">
        <v>3.9255596230913188E-2</v>
      </c>
      <c r="F165" s="50">
        <v>3050596</v>
      </c>
      <c r="G165" s="50">
        <v>4</v>
      </c>
      <c r="H165" s="53" t="s">
        <v>138</v>
      </c>
      <c r="I165" s="53">
        <v>1.9758453012089335E-2</v>
      </c>
      <c r="J165" s="53">
        <v>0.15735026532744656</v>
      </c>
      <c r="K165" s="53">
        <v>6.3411513918586709E-2</v>
      </c>
      <c r="L165" s="50">
        <v>1692097</v>
      </c>
    </row>
    <row r="166" spans="1:14" s="49" customFormat="1" x14ac:dyDescent="0.2">
      <c r="A166" s="50">
        <v>5</v>
      </c>
      <c r="B166" s="53" t="s">
        <v>97</v>
      </c>
      <c r="C166" s="53">
        <v>0</v>
      </c>
      <c r="D166" s="53">
        <v>3.6434650064113609E-2</v>
      </c>
      <c r="E166" s="53">
        <v>0</v>
      </c>
      <c r="F166" s="50">
        <v>2480382</v>
      </c>
      <c r="G166" s="50">
        <v>5</v>
      </c>
      <c r="H166" s="53" t="s">
        <v>192</v>
      </c>
      <c r="I166" s="53">
        <v>0</v>
      </c>
      <c r="J166" s="53">
        <v>7.0181604506893966E-2</v>
      </c>
      <c r="K166" s="53">
        <v>0</v>
      </c>
      <c r="L166" s="50">
        <v>3689192</v>
      </c>
    </row>
    <row r="167" spans="1:14" s="49" customFormat="1" x14ac:dyDescent="0.2">
      <c r="A167" s="50">
        <v>6</v>
      </c>
      <c r="B167" s="53" t="s">
        <v>206</v>
      </c>
      <c r="C167" s="53">
        <v>1.8241738075701775E-2</v>
      </c>
      <c r="D167" s="53">
        <v>0</v>
      </c>
      <c r="E167" s="53">
        <v>1.836092197531964E-2</v>
      </c>
      <c r="F167" s="50">
        <v>11115023</v>
      </c>
      <c r="G167" s="50">
        <v>6</v>
      </c>
      <c r="H167" s="53" t="s">
        <v>136</v>
      </c>
      <c r="I167" s="53">
        <v>0</v>
      </c>
      <c r="J167" s="53">
        <v>0</v>
      </c>
      <c r="K167" s="53">
        <v>3.1238037097098704E-2</v>
      </c>
      <c r="L167" s="50">
        <v>7434864</v>
      </c>
    </row>
    <row r="168" spans="1:14" s="49" customFormat="1" x14ac:dyDescent="0.2">
      <c r="A168" s="50">
        <v>7</v>
      </c>
      <c r="B168" s="53" t="s">
        <v>138</v>
      </c>
      <c r="C168" s="53">
        <v>0</v>
      </c>
      <c r="D168" s="53">
        <v>0</v>
      </c>
      <c r="E168" s="53">
        <v>1.1097428400808152E-2</v>
      </c>
      <c r="F168" s="50">
        <v>1692097</v>
      </c>
      <c r="G168" s="50">
        <v>7</v>
      </c>
      <c r="H168" s="53" t="s">
        <v>16</v>
      </c>
      <c r="I168" s="53">
        <v>1.5155224666391803E-2</v>
      </c>
      <c r="J168" s="53">
        <v>0</v>
      </c>
      <c r="K168" s="53">
        <v>0</v>
      </c>
      <c r="L168" s="50">
        <v>8497745</v>
      </c>
    </row>
    <row r="169" spans="1:14" s="49" customFormat="1" x14ac:dyDescent="0.2">
      <c r="A169" s="50">
        <v>8</v>
      </c>
      <c r="B169" s="53" t="s">
        <v>101</v>
      </c>
      <c r="C169" s="53">
        <v>7.2309120887813161E-2</v>
      </c>
      <c r="D169" s="53">
        <v>0.14684522513402765</v>
      </c>
      <c r="E169" s="53">
        <v>7.9193638349430495E-2</v>
      </c>
      <c r="F169" s="50">
        <v>5920853</v>
      </c>
      <c r="G169" s="50">
        <v>8</v>
      </c>
      <c r="H169" s="53" t="s">
        <v>101</v>
      </c>
      <c r="I169" s="53">
        <v>7.0032286382491371E-2</v>
      </c>
      <c r="J169" s="53">
        <v>0.10728531595248947</v>
      </c>
      <c r="K169" s="53">
        <v>0.12759787471049622</v>
      </c>
      <c r="L169" s="50">
        <v>5920853</v>
      </c>
    </row>
    <row r="170" spans="1:14" s="49" customFormat="1" x14ac:dyDescent="0.2">
      <c r="A170" s="50">
        <v>9</v>
      </c>
      <c r="B170" s="53"/>
      <c r="C170" s="53">
        <v>0</v>
      </c>
      <c r="D170" s="53">
        <v>0</v>
      </c>
      <c r="E170" s="53">
        <v>0</v>
      </c>
      <c r="F170" s="50"/>
      <c r="G170" s="50">
        <v>9</v>
      </c>
      <c r="H170" s="53"/>
      <c r="I170" s="53">
        <v>0</v>
      </c>
      <c r="J170" s="53">
        <v>0</v>
      </c>
      <c r="K170" s="53">
        <v>0</v>
      </c>
      <c r="L170" s="50"/>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'Gill netters'!D3:N3</xm:f>
              <xm:sqref>C3</xm:sqref>
            </x14:sparkline>
            <x14:sparkline>
              <xm:f>'Gill netters'!D4:N4</xm:f>
              <xm:sqref>C4</xm:sqref>
            </x14:sparkline>
            <x14:sparkline>
              <xm:f>'Gill netters'!D5:N5</xm:f>
              <xm:sqref>C5</xm:sqref>
            </x14:sparkline>
            <x14:sparkline>
              <xm:f>'Gill netters'!D6:N6</xm:f>
              <xm:sqref>C6</xm:sqref>
            </x14:sparkline>
            <x14:sparkline>
              <xm:f>'Gill netters'!D7:N7</xm:f>
              <xm:sqref>C7</xm:sqref>
            </x14:sparkline>
            <x14:sparkline>
              <xm:f>'Gill netters'!D8:N8</xm:f>
              <xm:sqref>C8</xm:sqref>
            </x14:sparkline>
            <x14:sparkline>
              <xm:f>'Gill netters'!D9:N9</xm:f>
              <xm:sqref>C9</xm:sqref>
            </x14:sparkline>
            <x14:sparkline>
              <xm:f>'Gill netters'!F10:M10</xm:f>
              <xm:sqref>C10</xm:sqref>
            </x14:sparkline>
            <x14:sparkline>
              <xm:f>'Gill netters'!D11:N11</xm:f>
              <xm:sqref>C11</xm:sqref>
            </x14:sparkline>
            <x14:sparkline>
              <xm:f>'Gill netters'!D12:N12</xm:f>
              <xm:sqref>C12</xm:sqref>
            </x14:sparkline>
            <x14:sparkline>
              <xm:f>'Gill netters'!D13:N13</xm:f>
              <xm:sqref>C13</xm:sqref>
            </x14:sparkline>
            <x14:sparkline>
              <xm:f>'Gill netters'!D14:N14</xm:f>
              <xm:sqref>C14</xm:sqref>
            </x14:sparkline>
            <x14:sparkline>
              <xm:f>'Gill netters'!D15:N15</xm:f>
              <xm:sqref>C15</xm:sqref>
            </x14:sparkline>
            <x14:sparkline>
              <xm:f>'Gill netters'!D16:N16</xm:f>
              <xm:sqref>C16</xm:sqref>
            </x14:sparkline>
            <x14:sparkline>
              <xm:f>'Gill netters'!D17:N17</xm:f>
              <xm:sqref>C17</xm:sqref>
            </x14:sparkline>
            <x14:sparkline>
              <xm:f>'Gill netters'!D18:N18</xm:f>
              <xm:sqref>C18</xm:sqref>
            </x14:sparkline>
            <x14:sparkline>
              <xm:f>'Gill netters'!D19:N19</xm:f>
              <xm:sqref>C19</xm:sqref>
            </x14:sparkline>
            <x14:sparkline>
              <xm:f>'Gill netters'!D20:N20</xm:f>
              <xm:sqref>C20</xm:sqref>
            </x14:sparkline>
            <x14:sparkline>
              <xm:f>'Gill netters'!D21:N21</xm:f>
              <xm:sqref>C21</xm:sqref>
            </x14:sparkline>
            <x14:sparkline>
              <xm:f>'Gill netters'!D22:N22</xm:f>
              <xm:sqref>C22</xm:sqref>
            </x14:sparkline>
            <x14:sparkline>
              <xm:f>'Gill netters'!D23:N23</xm:f>
              <xm:sqref>C23</xm:sqref>
            </x14:sparkline>
            <x14:sparkline>
              <xm:f>'Gill netters'!D24:N24</xm:f>
              <xm:sqref>C24</xm:sqref>
            </x14:sparkline>
            <x14:sparkline>
              <xm:f>'Gill netters'!F25:M25</xm:f>
              <xm:sqref>C25</xm:sqref>
            </x14:sparkline>
            <x14:sparkline>
              <xm:f>'Gill netters'!F26:M26</xm:f>
              <xm:sqref>C26</xm:sqref>
            </x14:sparkline>
            <x14:sparkline>
              <xm:f>'Gill netters'!D27:N27</xm:f>
              <xm:sqref>C27</xm:sqref>
            </x14:sparkline>
            <x14:sparkline>
              <xm:f>'Gill netters'!D28:N28</xm:f>
              <xm:sqref>C28</xm:sqref>
            </x14:sparkline>
            <x14:sparkline>
              <xm:f>'Gill netters'!D29:N29</xm:f>
              <xm:sqref>C29</xm:sqref>
            </x14:sparkline>
            <x14:sparkline>
              <xm:f>'Gill netters'!D30:N30</xm:f>
              <xm:sqref>C30</xm:sqref>
            </x14:sparkline>
            <x14:sparkline>
              <xm:f>'Gill netters'!D31:N31</xm:f>
              <xm:sqref>C31</xm:sqref>
            </x14:sparkline>
            <x14:sparkline>
              <xm:f>'Gill netters'!D32:N32</xm:f>
              <xm:sqref>C32</xm:sqref>
            </x14:sparkline>
            <x14:sparkline>
              <xm:f>'Gill netters'!D33:N33</xm:f>
              <xm:sqref>C33</xm:sqref>
            </x14:sparkline>
            <x14:sparkline>
              <xm:f>'Gill netters'!D34:N34</xm:f>
              <xm:sqref>C34</xm:sqref>
            </x14:sparkline>
            <x14:sparkline>
              <xm:f>'Gill netters'!D35:N35</xm:f>
              <xm:sqref>C35</xm:sqref>
            </x14:sparkline>
            <x14:sparkline>
              <xm:f>'Gill netters'!D36:N36</xm:f>
              <xm:sqref>C36</xm:sqref>
            </x14:sparkline>
            <x14:sparkline>
              <xm:f>'Gill netters'!D37:N37</xm:f>
              <xm:sqref>C37</xm:sqref>
            </x14:sparkline>
            <x14:sparkline>
              <xm:f>'Gill netters'!D38:M38</xm:f>
              <xm:sqref>C38</xm:sqref>
            </x14:sparkline>
            <x14:sparkline>
              <xm:f>'Gill netters'!D39:M39</xm:f>
              <xm:sqref>C39</xm:sqref>
            </x14:sparkline>
            <x14:sparkline>
              <xm:f>'Gill netters'!D40:M40</xm:f>
              <xm:sqref>C40</xm:sqref>
            </x14:sparkline>
            <x14:sparkline>
              <xm:f>'Gill netters'!D41:M41</xm:f>
              <xm:sqref>C41</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8"/>
  <sheetViews>
    <sheetView zoomScale="87" zoomScaleNormal="87" zoomScalePageLayoutView="87" workbookViewId="0">
      <selection activeCell="O1" sqref="O1:P1"/>
    </sheetView>
  </sheetViews>
  <sheetFormatPr defaultColWidth="9" defaultRowHeight="15" x14ac:dyDescent="0.2"/>
  <cols>
    <col min="1" max="1" width="6" style="200" customWidth="1"/>
    <col min="2" max="2" width="30.25" style="200" customWidth="1"/>
    <col min="3" max="3" width="9.125" style="200" customWidth="1"/>
    <col min="4" max="15" width="10.125" style="200" customWidth="1"/>
    <col min="16" max="16384" width="9" style="200"/>
  </cols>
  <sheetData>
    <row r="1" spans="1:17" s="172" customFormat="1" ht="34.5" customHeight="1" thickBot="1" x14ac:dyDescent="0.25">
      <c r="A1" s="81" t="s">
        <v>207</v>
      </c>
      <c r="B1" s="82"/>
      <c r="L1" s="173"/>
      <c r="M1" s="174" t="s">
        <v>48</v>
      </c>
      <c r="N1" s="86" t="s">
        <v>19</v>
      </c>
      <c r="O1" s="221" t="s">
        <v>20</v>
      </c>
      <c r="P1" s="222"/>
    </row>
    <row r="2" spans="1:17" s="178" customFormat="1" ht="26.25" thickBot="1" x14ac:dyDescent="0.25">
      <c r="A2" s="175"/>
      <c r="B2" s="16" t="s">
        <v>21</v>
      </c>
      <c r="C2" s="176" t="s">
        <v>49</v>
      </c>
      <c r="D2" s="177">
        <v>2008</v>
      </c>
      <c r="E2" s="177">
        <v>2009</v>
      </c>
      <c r="F2" s="177">
        <v>2010</v>
      </c>
      <c r="G2" s="177">
        <v>2011</v>
      </c>
      <c r="H2" s="177">
        <v>2012</v>
      </c>
      <c r="I2" s="177">
        <v>2013</v>
      </c>
      <c r="J2" s="177">
        <v>2014</v>
      </c>
      <c r="K2" s="177">
        <v>2015</v>
      </c>
      <c r="L2" s="177">
        <v>2016</v>
      </c>
      <c r="M2" s="177">
        <v>2017</v>
      </c>
      <c r="N2" s="177">
        <v>2018</v>
      </c>
      <c r="O2" s="176" t="str">
        <f>"%∆
"&amp;D2&amp;"-"&amp;N2</f>
        <v>%∆
2008-2018</v>
      </c>
      <c r="P2" s="176" t="str">
        <f>"%∆
"&amp;J2&amp;"-"&amp;N2</f>
        <v>%∆
2014-2018</v>
      </c>
    </row>
    <row r="3" spans="1:17" s="181" customFormat="1" ht="18" customHeight="1" x14ac:dyDescent="0.2">
      <c r="A3" s="223" t="s">
        <v>22</v>
      </c>
      <c r="B3" s="20" t="s">
        <v>50</v>
      </c>
      <c r="C3" s="179"/>
      <c r="D3" s="22">
        <v>1810</v>
      </c>
      <c r="E3" s="22">
        <v>1844</v>
      </c>
      <c r="F3" s="22">
        <v>1763</v>
      </c>
      <c r="G3" s="22">
        <v>1672</v>
      </c>
      <c r="H3" s="22">
        <v>1675</v>
      </c>
      <c r="I3" s="22">
        <v>1749</v>
      </c>
      <c r="J3" s="22">
        <v>1773</v>
      </c>
      <c r="K3" s="22">
        <v>1723</v>
      </c>
      <c r="L3" s="22">
        <v>1667</v>
      </c>
      <c r="M3" s="22">
        <v>1558</v>
      </c>
      <c r="N3" s="22">
        <v>1733</v>
      </c>
      <c r="O3" s="180">
        <f t="shared" ref="O3:O11" si="0">IF(N3=0,"",IFERROR(IF(AND(N3&gt;0,D3&lt;0),"na",IF(AND(N3&lt;0,D3&lt;0),-1,1)*(N3-D3)/D3),""))</f>
        <v>-4.2541436464088395E-2</v>
      </c>
      <c r="P3" s="180">
        <f>IF(N3=0,"",IFERROR(IF(AND(N3&gt;0,J3&lt;0),"na",IF(AND(N3&lt;0,J3&lt;0),-1,1)*(N3-J3)/J3),""))</f>
        <v>-2.2560631697687534E-2</v>
      </c>
    </row>
    <row r="4" spans="1:17" s="181" customFormat="1" ht="18" customHeight="1" x14ac:dyDescent="0.2">
      <c r="A4" s="242"/>
      <c r="B4" s="182" t="s">
        <v>51</v>
      </c>
      <c r="C4" s="183"/>
      <c r="D4" s="184">
        <v>119190.5078125</v>
      </c>
      <c r="E4" s="184">
        <v>118073.6875</v>
      </c>
      <c r="F4" s="184">
        <v>106569.5078125</v>
      </c>
      <c r="G4" s="184">
        <v>101593.75</v>
      </c>
      <c r="H4" s="184">
        <v>97975.1015625</v>
      </c>
      <c r="I4" s="184">
        <v>107279.1171875</v>
      </c>
      <c r="J4" s="184">
        <v>103061.9921875</v>
      </c>
      <c r="K4" s="184">
        <v>104337.3984375</v>
      </c>
      <c r="L4" s="184">
        <v>99620.640625</v>
      </c>
      <c r="M4" s="184">
        <v>95010.0078125</v>
      </c>
      <c r="N4" s="184">
        <v>111552.3984375</v>
      </c>
      <c r="O4" s="180">
        <f t="shared" si="0"/>
        <v>-6.4083201885636737E-2</v>
      </c>
      <c r="P4" s="180">
        <f t="shared" ref="P4:P11" si="1">IF(N4=0,"",IFERROR(IF(AND(N4&gt;0,J4&lt;0),"na",IF(AND(N4&lt;0,J4&lt;0),-1,1)*(N4-J4)/J4),""))</f>
        <v>8.2381545997611424E-2</v>
      </c>
    </row>
    <row r="5" spans="1:17" s="181" customFormat="1" ht="18" customHeight="1" x14ac:dyDescent="0.2">
      <c r="A5" s="242"/>
      <c r="B5" s="182" t="s">
        <v>52</v>
      </c>
      <c r="C5" s="183"/>
      <c r="D5" s="184">
        <v>17164.810546875</v>
      </c>
      <c r="E5" s="184">
        <v>16057.2900390625</v>
      </c>
      <c r="F5" s="184">
        <v>12455.51953125</v>
      </c>
      <c r="G5" s="184">
        <v>13639.849609375</v>
      </c>
      <c r="H5" s="184">
        <v>11715.4404296875</v>
      </c>
      <c r="I5" s="184">
        <v>16947.0703125</v>
      </c>
      <c r="J5" s="184">
        <v>14623</v>
      </c>
      <c r="K5" s="184">
        <v>12859.7802734375</v>
      </c>
      <c r="L5" s="184">
        <v>11916.8701171875</v>
      </c>
      <c r="M5" s="184">
        <v>12483.2099609375</v>
      </c>
      <c r="N5" s="184">
        <v>15485.7998046875</v>
      </c>
      <c r="O5" s="180">
        <f t="shared" si="0"/>
        <v>-9.7817027318904973E-2</v>
      </c>
      <c r="P5" s="180">
        <f t="shared" si="1"/>
        <v>5.9002927216542433E-2</v>
      </c>
      <c r="Q5" s="185"/>
    </row>
    <row r="6" spans="1:17" s="181" customFormat="1" ht="18" customHeight="1" x14ac:dyDescent="0.2">
      <c r="A6" s="242"/>
      <c r="B6" s="182" t="s">
        <v>53</v>
      </c>
      <c r="C6" s="183"/>
      <c r="D6" s="184">
        <v>98387.46875</v>
      </c>
      <c r="E6" s="184">
        <v>98726.359375</v>
      </c>
      <c r="F6" s="184">
        <v>88711.3046875</v>
      </c>
      <c r="G6" s="184">
        <v>85612.7734375</v>
      </c>
      <c r="H6" s="184">
        <v>81597.6875</v>
      </c>
      <c r="I6" s="184">
        <v>89081.8515625</v>
      </c>
      <c r="J6" s="184">
        <v>84899</v>
      </c>
      <c r="K6" s="184">
        <v>85575</v>
      </c>
      <c r="L6" s="184">
        <v>82074</v>
      </c>
      <c r="M6" s="184">
        <v>79262</v>
      </c>
      <c r="N6" s="184">
        <v>93066.1640625</v>
      </c>
      <c r="O6" s="180">
        <f t="shared" si="0"/>
        <v>-5.4085187423830332E-2</v>
      </c>
      <c r="P6" s="180">
        <f t="shared" si="1"/>
        <v>9.6198589647699034E-2</v>
      </c>
    </row>
    <row r="7" spans="1:17" s="181" customFormat="1" ht="18" customHeight="1" x14ac:dyDescent="0.2">
      <c r="A7" s="225" t="s">
        <v>23</v>
      </c>
      <c r="B7" s="30" t="s">
        <v>58</v>
      </c>
      <c r="C7" s="186"/>
      <c r="D7" s="32">
        <v>7.5403423309326172</v>
      </c>
      <c r="E7" s="32">
        <v>7.5468602180480957</v>
      </c>
      <c r="F7" s="32">
        <v>7.3676004409790039</v>
      </c>
      <c r="G7" s="32">
        <v>7.3752570152282715</v>
      </c>
      <c r="H7" s="32">
        <v>7.2637791633605957</v>
      </c>
      <c r="I7" s="32">
        <v>7.2990851402282715</v>
      </c>
      <c r="J7" s="32">
        <v>7.1291933059692383</v>
      </c>
      <c r="K7" s="32">
        <v>7.2136621475219727</v>
      </c>
      <c r="L7" s="32">
        <v>7.219292163848877</v>
      </c>
      <c r="M7" s="32">
        <v>7.3263158798217773</v>
      </c>
      <c r="N7" s="32">
        <v>7.5211195945739746</v>
      </c>
      <c r="O7" s="180">
        <f t="shared" si="0"/>
        <v>-2.5493187862022492E-3</v>
      </c>
      <c r="P7" s="180">
        <f t="shared" si="1"/>
        <v>5.4974843826520792E-2</v>
      </c>
    </row>
    <row r="8" spans="1:17" s="181" customFormat="1" ht="18" customHeight="1" x14ac:dyDescent="0.2">
      <c r="A8" s="243"/>
      <c r="B8" s="187" t="s">
        <v>51</v>
      </c>
      <c r="C8" s="183"/>
      <c r="D8" s="184">
        <v>66.07012939453125</v>
      </c>
      <c r="E8" s="184">
        <v>64.240310668945313</v>
      </c>
      <c r="F8" s="184">
        <v>60.619743347167969</v>
      </c>
      <c r="G8" s="184">
        <v>60.944061279296875</v>
      </c>
      <c r="H8" s="184">
        <v>58.632614135742188</v>
      </c>
      <c r="I8" s="184">
        <v>61.548549652099609</v>
      </c>
      <c r="J8" s="184">
        <v>58.260028839111328</v>
      </c>
      <c r="K8" s="184">
        <v>60.696567535400391</v>
      </c>
      <c r="L8" s="184">
        <v>59.83221435546875</v>
      </c>
      <c r="M8" s="184">
        <v>61.060417175292969</v>
      </c>
      <c r="N8" s="184">
        <v>64.518447875976563</v>
      </c>
      <c r="O8" s="180">
        <f t="shared" si="0"/>
        <v>-2.3485371267989722E-2</v>
      </c>
      <c r="P8" s="180">
        <f t="shared" si="1"/>
        <v>0.10742217540173633</v>
      </c>
    </row>
    <row r="9" spans="1:17" s="181" customFormat="1" ht="18" customHeight="1" x14ac:dyDescent="0.2">
      <c r="A9" s="243"/>
      <c r="B9" s="187" t="s">
        <v>52</v>
      </c>
      <c r="C9" s="183"/>
      <c r="D9" s="184">
        <v>9.4833202362060547</v>
      </c>
      <c r="E9" s="184">
        <v>8.7078580856323242</v>
      </c>
      <c r="F9" s="184">
        <v>7.0649576187133789</v>
      </c>
      <c r="G9" s="184">
        <v>8.1578054428100586</v>
      </c>
      <c r="H9" s="184">
        <v>6.9942927360534668</v>
      </c>
      <c r="I9" s="184">
        <v>9.6895771026611328</v>
      </c>
      <c r="J9" s="184">
        <v>8.2476024627685547</v>
      </c>
      <c r="K9" s="184">
        <v>7.4635982513427734</v>
      </c>
      <c r="L9" s="184">
        <v>7.1486921310424805</v>
      </c>
      <c r="M9" s="184">
        <v>8.0123300552368164</v>
      </c>
      <c r="N9" s="184">
        <v>8.9358339309692383</v>
      </c>
      <c r="O9" s="180">
        <f t="shared" si="0"/>
        <v>-5.7731500318484084E-2</v>
      </c>
      <c r="P9" s="180">
        <f t="shared" si="1"/>
        <v>8.3446246507091967E-2</v>
      </c>
    </row>
    <row r="10" spans="1:17" s="181" customFormat="1" ht="18" customHeight="1" x14ac:dyDescent="0.2">
      <c r="A10" s="243"/>
      <c r="B10" s="187" t="s">
        <v>53</v>
      </c>
      <c r="C10" s="183"/>
      <c r="D10" s="184">
        <v>54.357719421386719</v>
      </c>
      <c r="E10" s="184">
        <v>53.539241790771484</v>
      </c>
      <c r="F10" s="184">
        <v>50.318382263183594</v>
      </c>
      <c r="G10" s="184">
        <v>51.203811645507813</v>
      </c>
      <c r="H10" s="184">
        <v>48.715038299560547</v>
      </c>
      <c r="I10" s="184">
        <v>50.933017730712891</v>
      </c>
      <c r="J10" s="184">
        <v>47.884376525878906</v>
      </c>
      <c r="K10" s="184">
        <v>49.695121765136719</v>
      </c>
      <c r="L10" s="184">
        <v>49.264106750488281</v>
      </c>
      <c r="M10" s="184">
        <v>50.906871795654297</v>
      </c>
      <c r="N10" s="184">
        <v>53.733352661132812</v>
      </c>
      <c r="O10" s="180">
        <f t="shared" si="0"/>
        <v>-1.148625746076192E-2</v>
      </c>
      <c r="P10" s="180">
        <f t="shared" si="1"/>
        <v>0.12214790208436466</v>
      </c>
    </row>
    <row r="11" spans="1:17" s="181" customFormat="1" ht="18" customHeight="1" x14ac:dyDescent="0.2">
      <c r="A11" s="227"/>
      <c r="B11" s="35" t="s">
        <v>60</v>
      </c>
      <c r="C11" s="188"/>
      <c r="D11" s="37">
        <v>22.61933708190918</v>
      </c>
      <c r="E11" s="37">
        <v>23.052061080932617</v>
      </c>
      <c r="F11" s="37">
        <v>23.438457489013672</v>
      </c>
      <c r="G11" s="37">
        <v>24.178230285644531</v>
      </c>
      <c r="H11" s="37">
        <v>24.7486572265625</v>
      </c>
      <c r="I11" s="37">
        <v>25.001714706420898</v>
      </c>
      <c r="J11" s="37">
        <v>25.499717712402344</v>
      </c>
      <c r="K11" s="37">
        <v>26.230411529541016</v>
      </c>
      <c r="L11" s="37">
        <v>26.724054336547852</v>
      </c>
      <c r="M11" s="37">
        <v>27.228498458862305</v>
      </c>
      <c r="N11" s="37">
        <v>29.020196914672852</v>
      </c>
      <c r="O11" s="180">
        <f t="shared" si="0"/>
        <v>0.28298176067604758</v>
      </c>
      <c r="P11" s="180">
        <f t="shared" si="1"/>
        <v>0.1380595362653072</v>
      </c>
    </row>
    <row r="12" spans="1:17" s="87" customFormat="1" x14ac:dyDescent="0.2">
      <c r="A12" s="82" t="s">
        <v>27</v>
      </c>
      <c r="B12" s="82" t="str">
        <f ca="1">B42</f>
        <v>All values are adjusted to 2017 prices. 2018 fishing income based on provisional data from MMO. 2018 costs and profits are projections.</v>
      </c>
      <c r="P12" s="88" t="str">
        <f>M1</f>
        <v>Version: March 2019</v>
      </c>
    </row>
    <row r="13" spans="1:17" s="87" customFormat="1" x14ac:dyDescent="0.2">
      <c r="B13" s="82" t="s">
        <v>28</v>
      </c>
    </row>
    <row r="14" spans="1:17" s="194" customFormat="1" ht="36.75" customHeight="1" x14ac:dyDescent="0.2">
      <c r="A14" s="189"/>
      <c r="B14" s="244"/>
      <c r="C14" s="244"/>
      <c r="D14" s="190"/>
      <c r="E14" s="191"/>
      <c r="F14" s="191"/>
      <c r="G14" s="191"/>
      <c r="H14" s="191"/>
      <c r="I14" s="192"/>
      <c r="J14" s="192"/>
      <c r="K14" s="192"/>
      <c r="L14" s="192"/>
      <c r="M14" s="192"/>
      <c r="N14" s="193"/>
      <c r="O14" s="193"/>
    </row>
    <row r="15" spans="1:17" s="172" customFormat="1" x14ac:dyDescent="0.2">
      <c r="A15" s="97"/>
      <c r="C15" s="97"/>
      <c r="D15" s="97"/>
      <c r="E15" s="97"/>
      <c r="F15" s="97"/>
      <c r="G15" s="97"/>
      <c r="K15" s="97"/>
    </row>
    <row r="16" spans="1:17" s="172" customFormat="1" x14ac:dyDescent="0.2"/>
    <row r="17" spans="1:9" s="172" customFormat="1" x14ac:dyDescent="0.2"/>
    <row r="18" spans="1:9" s="172" customFormat="1" x14ac:dyDescent="0.2"/>
    <row r="19" spans="1:9" s="172" customFormat="1" x14ac:dyDescent="0.2"/>
    <row r="20" spans="1:9" s="172" customFormat="1" x14ac:dyDescent="0.2"/>
    <row r="21" spans="1:9" s="172" customFormat="1" x14ac:dyDescent="0.2"/>
    <row r="22" spans="1:9" s="172" customFormat="1" x14ac:dyDescent="0.2"/>
    <row r="23" spans="1:9" s="172" customFormat="1" x14ac:dyDescent="0.2"/>
    <row r="24" spans="1:9" s="172" customFormat="1" x14ac:dyDescent="0.2"/>
    <row r="25" spans="1:9" s="172" customFormat="1" x14ac:dyDescent="0.2"/>
    <row r="26" spans="1:9" s="172" customFormat="1" x14ac:dyDescent="0.2"/>
    <row r="27" spans="1:9" s="97" customFormat="1" x14ac:dyDescent="0.2"/>
    <row r="28" spans="1:9" s="97" customFormat="1" x14ac:dyDescent="0.2"/>
    <row r="29" spans="1:9" s="97" customFormat="1" x14ac:dyDescent="0.2"/>
    <row r="30" spans="1:9" s="97" customFormat="1" x14ac:dyDescent="0.2">
      <c r="A30" s="97">
        <v>2016</v>
      </c>
      <c r="B30" s="97" t="s">
        <v>209</v>
      </c>
      <c r="C30" s="98"/>
      <c r="D30" s="99" t="e">
        <v>#N/A</v>
      </c>
      <c r="G30" s="97" t="s">
        <v>209</v>
      </c>
      <c r="H30" s="98"/>
      <c r="I30" s="99" t="e">
        <v>#N/A</v>
      </c>
    </row>
    <row r="31" spans="1:9" s="97" customFormat="1" x14ac:dyDescent="0.2">
      <c r="B31" s="97" t="s">
        <v>209</v>
      </c>
      <c r="C31" s="98"/>
      <c r="D31" s="99" t="e">
        <v>#N/A</v>
      </c>
      <c r="G31" s="97" t="s">
        <v>209</v>
      </c>
      <c r="H31" s="98"/>
      <c r="I31" s="99" t="e">
        <v>#N/A</v>
      </c>
    </row>
    <row r="32" spans="1:9" s="97" customFormat="1" x14ac:dyDescent="0.2">
      <c r="B32" s="97" t="s">
        <v>209</v>
      </c>
      <c r="C32" s="98"/>
      <c r="D32" s="99" t="e">
        <v>#N/A</v>
      </c>
      <c r="G32" s="97" t="s">
        <v>209</v>
      </c>
      <c r="H32" s="98"/>
      <c r="I32" s="99" t="e">
        <v>#N/A</v>
      </c>
    </row>
    <row r="33" spans="1:18" s="97" customFormat="1" x14ac:dyDescent="0.2">
      <c r="B33" s="97" t="s">
        <v>209</v>
      </c>
      <c r="C33" s="98"/>
      <c r="D33" s="99" t="e">
        <v>#N/A</v>
      </c>
      <c r="G33" s="97" t="s">
        <v>209</v>
      </c>
      <c r="H33" s="98"/>
      <c r="I33" s="99" t="e">
        <v>#N/A</v>
      </c>
    </row>
    <row r="34" spans="1:18" s="97" customFormat="1" x14ac:dyDescent="0.2">
      <c r="B34" s="97" t="s">
        <v>209</v>
      </c>
      <c r="C34" s="98"/>
      <c r="D34" s="99" t="e">
        <v>#N/A</v>
      </c>
      <c r="G34" s="97" t="s">
        <v>209</v>
      </c>
      <c r="H34" s="98"/>
      <c r="I34" s="99" t="e">
        <v>#N/A</v>
      </c>
    </row>
    <row r="35" spans="1:18" s="97" customFormat="1" x14ac:dyDescent="0.2">
      <c r="B35" s="97" t="s">
        <v>210</v>
      </c>
      <c r="C35" s="98">
        <v>1</v>
      </c>
      <c r="D35" s="99">
        <v>5920853</v>
      </c>
      <c r="G35" s="97" t="s">
        <v>210</v>
      </c>
      <c r="H35" s="98">
        <v>1</v>
      </c>
      <c r="I35" s="99">
        <v>5920853</v>
      </c>
    </row>
    <row r="36" spans="1:18" s="97" customFormat="1" x14ac:dyDescent="0.2"/>
    <row r="37" spans="1:18" s="97" customFormat="1" x14ac:dyDescent="0.2"/>
    <row r="38" spans="1:18" s="97" customFormat="1" x14ac:dyDescent="0.2"/>
    <row r="39" spans="1:18" s="97" customFormat="1" x14ac:dyDescent="0.2"/>
    <row r="40" spans="1:18" s="97" customFormat="1" x14ac:dyDescent="0.2"/>
    <row r="41" spans="1:18" s="97" customFormat="1" x14ac:dyDescent="0.2"/>
    <row r="42" spans="1:18" s="97" customFormat="1" x14ac:dyDescent="0.2">
      <c r="A42" s="195" t="s">
        <v>27</v>
      </c>
      <c r="B42" s="195" t="str">
        <f ca="1">B67&amp;". "&amp;N2&amp;" fishing income based on provisional data from MMO. "&amp;N2&amp;" costs and profits are projections."</f>
        <v>All values are adjusted to 2017 prices. 2018 fishing income based on provisional data from MMO. 2018 costs and profits are projections.</v>
      </c>
      <c r="P42" s="196" t="str">
        <f>P12</f>
        <v>Version: March 2019</v>
      </c>
      <c r="R42" s="97" t="str">
        <f ca="1">B67</f>
        <v>All values are adjusted to 2017 prices</v>
      </c>
    </row>
    <row r="43" spans="1:18" s="97" customFormat="1" x14ac:dyDescent="0.2">
      <c r="B43" s="195" t="s">
        <v>28</v>
      </c>
    </row>
    <row r="44" spans="1:18" s="97" customFormat="1" hidden="1" x14ac:dyDescent="0.2">
      <c r="D44" s="97">
        <v>2009</v>
      </c>
      <c r="E44" s="97">
        <v>2010</v>
      </c>
      <c r="F44" s="97">
        <v>2011</v>
      </c>
      <c r="G44" s="97">
        <v>2012</v>
      </c>
      <c r="H44" s="97">
        <v>2013</v>
      </c>
      <c r="I44" s="97">
        <v>2014</v>
      </c>
      <c r="J44" s="97">
        <v>2015</v>
      </c>
      <c r="K44" s="97">
        <v>2016</v>
      </c>
      <c r="L44" s="97">
        <v>2017</v>
      </c>
      <c r="M44" s="97">
        <v>2018</v>
      </c>
    </row>
    <row r="45" spans="1:18" s="97" customFormat="1" hidden="1" x14ac:dyDescent="0.2">
      <c r="B45" s="97">
        <v>1</v>
      </c>
      <c r="D45" s="197">
        <v>0</v>
      </c>
      <c r="E45" s="197">
        <v>0</v>
      </c>
      <c r="F45" s="197">
        <v>0</v>
      </c>
      <c r="G45" s="197">
        <v>0</v>
      </c>
      <c r="H45" s="197">
        <v>0</v>
      </c>
      <c r="I45" s="197">
        <v>0</v>
      </c>
      <c r="J45" s="197">
        <v>0</v>
      </c>
      <c r="K45" s="197">
        <v>0</v>
      </c>
      <c r="L45" s="197">
        <v>0</v>
      </c>
      <c r="M45" s="197">
        <v>0</v>
      </c>
      <c r="O45" s="97">
        <v>12153634</v>
      </c>
    </row>
    <row r="46" spans="1:18" s="97" customFormat="1" hidden="1" x14ac:dyDescent="0.2">
      <c r="B46" s="97">
        <v>2</v>
      </c>
      <c r="D46" s="197">
        <v>0</v>
      </c>
      <c r="E46" s="197">
        <v>0</v>
      </c>
      <c r="F46" s="197">
        <v>0</v>
      </c>
      <c r="G46" s="197">
        <v>0</v>
      </c>
      <c r="H46" s="197">
        <v>0</v>
      </c>
      <c r="I46" s="197">
        <v>0</v>
      </c>
      <c r="J46" s="197">
        <v>0</v>
      </c>
      <c r="K46" s="197">
        <v>0</v>
      </c>
      <c r="L46" s="197">
        <v>0</v>
      </c>
      <c r="M46" s="197">
        <v>0</v>
      </c>
      <c r="O46" s="97">
        <v>553960</v>
      </c>
    </row>
    <row r="47" spans="1:18" s="97" customFormat="1" hidden="1" x14ac:dyDescent="0.2">
      <c r="B47" s="97">
        <v>3</v>
      </c>
      <c r="D47" s="197">
        <v>0</v>
      </c>
      <c r="E47" s="197">
        <v>0</v>
      </c>
      <c r="F47" s="197">
        <v>0</v>
      </c>
      <c r="G47" s="197">
        <v>0</v>
      </c>
      <c r="H47" s="197">
        <v>0</v>
      </c>
      <c r="I47" s="197">
        <v>0</v>
      </c>
      <c r="J47" s="197">
        <v>0</v>
      </c>
      <c r="K47" s="197">
        <v>0</v>
      </c>
      <c r="L47" s="197">
        <v>0</v>
      </c>
      <c r="M47" s="197">
        <v>0</v>
      </c>
      <c r="O47" s="97">
        <v>3050596</v>
      </c>
    </row>
    <row r="48" spans="1:18" s="97" customFormat="1" hidden="1" x14ac:dyDescent="0.2">
      <c r="B48" s="97">
        <v>4</v>
      </c>
      <c r="D48" s="197">
        <v>0</v>
      </c>
      <c r="E48" s="197">
        <v>0</v>
      </c>
      <c r="F48" s="197">
        <v>0</v>
      </c>
      <c r="G48" s="197">
        <v>0</v>
      </c>
      <c r="H48" s="197">
        <v>0</v>
      </c>
      <c r="I48" s="197">
        <v>0</v>
      </c>
      <c r="J48" s="197">
        <v>0</v>
      </c>
      <c r="K48" s="197">
        <v>0</v>
      </c>
      <c r="L48" s="197">
        <v>0</v>
      </c>
      <c r="M48" s="197">
        <v>0</v>
      </c>
      <c r="O48" s="97">
        <v>1692097</v>
      </c>
    </row>
    <row r="49" spans="1:15" s="97" customFormat="1" hidden="1" x14ac:dyDescent="0.2">
      <c r="B49" s="97">
        <v>5</v>
      </c>
      <c r="D49" s="197">
        <v>0</v>
      </c>
      <c r="E49" s="197">
        <v>0</v>
      </c>
      <c r="F49" s="197">
        <v>0</v>
      </c>
      <c r="G49" s="197">
        <v>0</v>
      </c>
      <c r="H49" s="197">
        <v>0</v>
      </c>
      <c r="I49" s="197">
        <v>0</v>
      </c>
      <c r="J49" s="197">
        <v>0</v>
      </c>
      <c r="K49" s="197">
        <v>0</v>
      </c>
      <c r="L49" s="197">
        <v>0</v>
      </c>
      <c r="M49" s="197">
        <v>0</v>
      </c>
      <c r="O49" s="97">
        <v>3689192</v>
      </c>
    </row>
    <row r="50" spans="1:15" s="97" customFormat="1" hidden="1" x14ac:dyDescent="0.2">
      <c r="B50" s="97">
        <v>6</v>
      </c>
      <c r="D50" s="197">
        <v>0</v>
      </c>
      <c r="E50" s="197">
        <v>0</v>
      </c>
      <c r="F50" s="197">
        <v>0</v>
      </c>
      <c r="G50" s="197">
        <v>0</v>
      </c>
      <c r="H50" s="197">
        <v>0</v>
      </c>
      <c r="I50" s="197">
        <v>0</v>
      </c>
      <c r="J50" s="197">
        <v>0</v>
      </c>
      <c r="K50" s="197">
        <v>0</v>
      </c>
      <c r="L50" s="197">
        <v>0</v>
      </c>
      <c r="M50" s="197">
        <v>0</v>
      </c>
      <c r="O50" s="97">
        <v>11115023</v>
      </c>
    </row>
    <row r="51" spans="1:15" s="97" customFormat="1" hidden="1" x14ac:dyDescent="0.2">
      <c r="B51" s="97">
        <v>7</v>
      </c>
      <c r="D51" s="197">
        <v>0</v>
      </c>
      <c r="E51" s="197">
        <v>0</v>
      </c>
      <c r="F51" s="197">
        <v>0</v>
      </c>
      <c r="G51" s="197">
        <v>0</v>
      </c>
      <c r="H51" s="197">
        <v>0</v>
      </c>
      <c r="I51" s="197">
        <v>0</v>
      </c>
      <c r="J51" s="197">
        <v>0</v>
      </c>
      <c r="K51" s="197">
        <v>0</v>
      </c>
      <c r="L51" s="197">
        <v>0</v>
      </c>
      <c r="M51" s="197">
        <v>0</v>
      </c>
      <c r="O51" s="97">
        <v>2480382</v>
      </c>
    </row>
    <row r="52" spans="1:15" s="97" customFormat="1" hidden="1" x14ac:dyDescent="0.2">
      <c r="B52" s="97">
        <v>8</v>
      </c>
      <c r="D52" s="197">
        <v>0</v>
      </c>
      <c r="E52" s="197">
        <v>0</v>
      </c>
      <c r="F52" s="197">
        <v>0</v>
      </c>
      <c r="G52" s="197">
        <v>0</v>
      </c>
      <c r="H52" s="197">
        <v>0</v>
      </c>
      <c r="I52" s="197">
        <v>0</v>
      </c>
      <c r="J52" s="197">
        <v>0</v>
      </c>
      <c r="K52" s="197">
        <v>0</v>
      </c>
      <c r="L52" s="197">
        <v>0</v>
      </c>
      <c r="M52" s="197">
        <v>0</v>
      </c>
      <c r="O52" s="97">
        <v>7434864</v>
      </c>
    </row>
    <row r="53" spans="1:15" s="97" customFormat="1" hidden="1" x14ac:dyDescent="0.2">
      <c r="B53" s="97">
        <v>9</v>
      </c>
      <c r="D53" s="197">
        <v>0</v>
      </c>
      <c r="E53" s="197">
        <v>0</v>
      </c>
      <c r="F53" s="197">
        <v>0</v>
      </c>
      <c r="G53" s="197">
        <v>0</v>
      </c>
      <c r="H53" s="197">
        <v>0</v>
      </c>
      <c r="I53" s="197">
        <v>0</v>
      </c>
      <c r="J53" s="197">
        <v>0</v>
      </c>
      <c r="K53" s="197">
        <v>0</v>
      </c>
      <c r="L53" s="197">
        <v>0</v>
      </c>
      <c r="M53" s="197">
        <v>0</v>
      </c>
      <c r="O53" s="97">
        <v>8497745</v>
      </c>
    </row>
    <row r="54" spans="1:15" s="97" customFormat="1" hidden="1" x14ac:dyDescent="0.2">
      <c r="B54" s="97">
        <v>10</v>
      </c>
      <c r="D54" s="197">
        <v>0</v>
      </c>
      <c r="E54" s="197">
        <v>0</v>
      </c>
      <c r="F54" s="197">
        <v>0</v>
      </c>
      <c r="G54" s="197">
        <v>0</v>
      </c>
      <c r="H54" s="197">
        <v>0</v>
      </c>
      <c r="I54" s="197">
        <v>0</v>
      </c>
      <c r="J54" s="197">
        <v>0</v>
      </c>
      <c r="K54" s="197">
        <v>0</v>
      </c>
      <c r="L54" s="197">
        <v>0</v>
      </c>
      <c r="M54" s="197">
        <v>0</v>
      </c>
      <c r="O54" s="97">
        <v>14393110</v>
      </c>
    </row>
    <row r="55" spans="1:15" s="97" customFormat="1" hidden="1" x14ac:dyDescent="0.2">
      <c r="B55" s="97">
        <v>11</v>
      </c>
      <c r="D55" s="197">
        <v>0</v>
      </c>
      <c r="E55" s="197">
        <v>0</v>
      </c>
      <c r="F55" s="197">
        <v>0</v>
      </c>
      <c r="G55" s="197">
        <v>0</v>
      </c>
      <c r="H55" s="197">
        <v>0</v>
      </c>
      <c r="I55" s="197">
        <v>0</v>
      </c>
      <c r="J55" s="197">
        <v>0</v>
      </c>
      <c r="K55" s="197">
        <v>0</v>
      </c>
      <c r="L55" s="197">
        <v>0</v>
      </c>
      <c r="M55" s="197">
        <v>0</v>
      </c>
      <c r="O55" s="97">
        <v>2887140</v>
      </c>
    </row>
    <row r="56" spans="1:15" s="97" customFormat="1" hidden="1" x14ac:dyDescent="0.2">
      <c r="B56" s="97">
        <v>12</v>
      </c>
      <c r="D56" s="197">
        <v>0</v>
      </c>
      <c r="E56" s="197">
        <v>0</v>
      </c>
      <c r="F56" s="197">
        <v>0</v>
      </c>
      <c r="G56" s="197">
        <v>0</v>
      </c>
      <c r="H56" s="197">
        <v>0</v>
      </c>
      <c r="I56" s="197">
        <v>0</v>
      </c>
      <c r="J56" s="197">
        <v>0</v>
      </c>
      <c r="K56" s="197">
        <v>0</v>
      </c>
      <c r="L56" s="197">
        <v>0</v>
      </c>
      <c r="M56" s="197">
        <v>0</v>
      </c>
      <c r="O56" s="97">
        <v>15057844</v>
      </c>
    </row>
    <row r="57" spans="1:15" s="97" customFormat="1" hidden="1" x14ac:dyDescent="0.2">
      <c r="B57" s="97">
        <v>13</v>
      </c>
      <c r="D57" s="197">
        <v>0</v>
      </c>
      <c r="E57" s="197">
        <v>0</v>
      </c>
      <c r="F57" s="197">
        <v>0</v>
      </c>
      <c r="G57" s="197">
        <v>0</v>
      </c>
      <c r="H57" s="197">
        <v>0</v>
      </c>
      <c r="I57" s="197">
        <v>0</v>
      </c>
      <c r="J57" s="197">
        <v>0</v>
      </c>
      <c r="K57" s="197">
        <v>0</v>
      </c>
      <c r="L57" s="197">
        <v>0</v>
      </c>
      <c r="M57" s="197">
        <v>0</v>
      </c>
      <c r="O57" s="97">
        <v>10603512</v>
      </c>
    </row>
    <row r="58" spans="1:15" s="97" customFormat="1" hidden="1" x14ac:dyDescent="0.2">
      <c r="B58" s="97">
        <v>14</v>
      </c>
      <c r="D58" s="197">
        <v>0</v>
      </c>
      <c r="E58" s="197">
        <v>0</v>
      </c>
      <c r="F58" s="197">
        <v>0</v>
      </c>
      <c r="G58" s="197">
        <v>0</v>
      </c>
      <c r="H58" s="197">
        <v>0</v>
      </c>
      <c r="I58" s="197">
        <v>0</v>
      </c>
      <c r="J58" s="197">
        <v>0</v>
      </c>
      <c r="K58" s="197">
        <v>0</v>
      </c>
      <c r="L58" s="197">
        <v>0</v>
      </c>
      <c r="M58" s="197">
        <v>0</v>
      </c>
      <c r="O58" s="97">
        <v>10931653</v>
      </c>
    </row>
    <row r="59" spans="1:15" s="97" customFormat="1" hidden="1" x14ac:dyDescent="0.2">
      <c r="B59" s="97">
        <v>15</v>
      </c>
      <c r="D59" s="197">
        <v>0</v>
      </c>
      <c r="E59" s="197">
        <v>0</v>
      </c>
      <c r="F59" s="197">
        <v>0</v>
      </c>
      <c r="G59" s="197">
        <v>0</v>
      </c>
      <c r="H59" s="197">
        <v>0</v>
      </c>
      <c r="I59" s="197">
        <v>0</v>
      </c>
      <c r="J59" s="197">
        <v>0</v>
      </c>
      <c r="K59" s="197">
        <v>0</v>
      </c>
      <c r="L59" s="197">
        <v>0</v>
      </c>
      <c r="M59" s="197">
        <v>0</v>
      </c>
      <c r="O59" s="97">
        <v>10479842</v>
      </c>
    </row>
    <row r="60" spans="1:15" s="97" customFormat="1" hidden="1" x14ac:dyDescent="0.2">
      <c r="B60" s="97">
        <v>16</v>
      </c>
      <c r="D60" s="197">
        <v>0</v>
      </c>
      <c r="E60" s="197">
        <v>0</v>
      </c>
      <c r="F60" s="197">
        <v>0</v>
      </c>
      <c r="G60" s="197">
        <v>0</v>
      </c>
      <c r="H60" s="197">
        <v>0</v>
      </c>
      <c r="I60" s="197">
        <v>0</v>
      </c>
      <c r="J60" s="197">
        <v>0</v>
      </c>
      <c r="K60" s="197">
        <v>0</v>
      </c>
      <c r="L60" s="197">
        <v>0</v>
      </c>
      <c r="M60" s="197">
        <v>0</v>
      </c>
      <c r="O60" s="97">
        <v>5920853</v>
      </c>
    </row>
    <row r="61" spans="1:15" s="97" customFormat="1" hidden="1" x14ac:dyDescent="0.2">
      <c r="B61" s="97">
        <v>17</v>
      </c>
      <c r="D61" s="197">
        <v>0</v>
      </c>
      <c r="E61" s="197">
        <v>0</v>
      </c>
      <c r="F61" s="197">
        <v>0</v>
      </c>
      <c r="G61" s="197">
        <v>0</v>
      </c>
      <c r="H61" s="197">
        <v>0</v>
      </c>
      <c r="I61" s="197">
        <v>0</v>
      </c>
      <c r="J61" s="197">
        <v>0</v>
      </c>
      <c r="K61" s="197">
        <v>0</v>
      </c>
      <c r="L61" s="197">
        <v>0</v>
      </c>
      <c r="M61" s="197">
        <v>0</v>
      </c>
      <c r="O61" s="97">
        <v>0</v>
      </c>
    </row>
    <row r="62" spans="1:15" s="97" customFormat="1" hidden="1" x14ac:dyDescent="0.2">
      <c r="B62" s="97">
        <v>18</v>
      </c>
      <c r="D62" s="197">
        <v>0</v>
      </c>
      <c r="E62" s="197">
        <v>0</v>
      </c>
      <c r="F62" s="197">
        <v>0</v>
      </c>
      <c r="G62" s="197">
        <v>0</v>
      </c>
      <c r="H62" s="197">
        <v>0</v>
      </c>
      <c r="I62" s="197">
        <v>0</v>
      </c>
      <c r="J62" s="197">
        <v>0</v>
      </c>
      <c r="K62" s="197">
        <v>0</v>
      </c>
      <c r="L62" s="197">
        <v>0</v>
      </c>
      <c r="M62" s="197">
        <v>0</v>
      </c>
      <c r="O62" s="97">
        <v>0</v>
      </c>
    </row>
    <row r="63" spans="1:15" s="97" customFormat="1" hidden="1" x14ac:dyDescent="0.2">
      <c r="B63" s="97">
        <v>19</v>
      </c>
      <c r="D63" s="197">
        <v>0</v>
      </c>
      <c r="E63" s="197">
        <v>0</v>
      </c>
      <c r="F63" s="197">
        <v>0</v>
      </c>
      <c r="G63" s="197">
        <v>0</v>
      </c>
      <c r="H63" s="197">
        <v>0</v>
      </c>
      <c r="I63" s="197">
        <v>0</v>
      </c>
      <c r="J63" s="197">
        <v>0</v>
      </c>
      <c r="K63" s="197">
        <v>0</v>
      </c>
      <c r="L63" s="197">
        <v>0</v>
      </c>
      <c r="M63" s="197">
        <v>0</v>
      </c>
      <c r="O63" s="97">
        <v>0</v>
      </c>
    </row>
    <row r="64" spans="1:15" s="97" customFormat="1" hidden="1" x14ac:dyDescent="0.2">
      <c r="A64" s="97">
        <v>2</v>
      </c>
      <c r="B64" s="97">
        <v>20</v>
      </c>
      <c r="D64" s="197">
        <v>0</v>
      </c>
      <c r="E64" s="197">
        <v>0</v>
      </c>
      <c r="F64" s="197">
        <v>0</v>
      </c>
      <c r="G64" s="197">
        <v>0</v>
      </c>
      <c r="H64" s="197">
        <v>0</v>
      </c>
      <c r="I64" s="197">
        <v>0</v>
      </c>
      <c r="J64" s="197">
        <v>0</v>
      </c>
      <c r="K64" s="197">
        <v>0</v>
      </c>
      <c r="L64" s="197">
        <v>0</v>
      </c>
      <c r="M64" s="197">
        <v>0</v>
      </c>
      <c r="O64" s="97">
        <v>0</v>
      </c>
    </row>
    <row r="65" spans="1:16" s="97" customFormat="1" hidden="1" x14ac:dyDescent="0.2">
      <c r="A65" s="97" t="s">
        <v>37</v>
      </c>
      <c r="C65" s="103" t="s">
        <v>19</v>
      </c>
      <c r="D65" s="104">
        <v>1</v>
      </c>
      <c r="E65" s="104">
        <v>1</v>
      </c>
      <c r="F65" s="104">
        <v>1</v>
      </c>
      <c r="G65" s="104">
        <v>1</v>
      </c>
      <c r="H65" s="104">
        <v>1</v>
      </c>
      <c r="I65" s="104">
        <v>1</v>
      </c>
      <c r="J65" s="104">
        <v>1</v>
      </c>
      <c r="K65" s="104">
        <v>1</v>
      </c>
      <c r="L65" s="104">
        <v>1</v>
      </c>
      <c r="M65" s="104">
        <v>1</v>
      </c>
      <c r="N65" s="104">
        <v>1</v>
      </c>
    </row>
    <row r="66" spans="1:16" s="97" customFormat="1" hidden="1" x14ac:dyDescent="0.2">
      <c r="A66" s="97" t="s">
        <v>38</v>
      </c>
      <c r="C66" s="103" t="s">
        <v>39</v>
      </c>
      <c r="D66" s="104">
        <v>0.84707564003505831</v>
      </c>
      <c r="E66" s="104">
        <v>0.86066890355668557</v>
      </c>
      <c r="F66" s="104">
        <v>0.87384085612467732</v>
      </c>
      <c r="G66" s="104">
        <v>0.89062501127874827</v>
      </c>
      <c r="H66" s="104">
        <v>0.90450691792736659</v>
      </c>
      <c r="I66" s="104">
        <v>0.92137939085149989</v>
      </c>
      <c r="J66" s="104">
        <v>0.93718076838830178</v>
      </c>
      <c r="K66" s="104">
        <v>0.94126306692506534</v>
      </c>
      <c r="L66" s="104">
        <v>0.96063245119245289</v>
      </c>
      <c r="M66" s="104">
        <v>0.98181709307392429</v>
      </c>
      <c r="N66" s="104">
        <v>1</v>
      </c>
    </row>
    <row r="67" spans="1:16" s="97" customFormat="1" hidden="1" x14ac:dyDescent="0.2">
      <c r="B67" s="97" t="str">
        <f ca="1">"All values are "&amp;OFFSET($A$64,MATCH($N$1,$C$65:$C$66,0),0)</f>
        <v>All values are adjusted to 2017 prices</v>
      </c>
      <c r="F67" s="97" t="str">
        <f ca="1">R42&amp;". "&amp;B76&amp;""</f>
        <v xml:space="preserve">All values are adjusted to 2017 prices. </v>
      </c>
    </row>
    <row r="68" spans="1:16" s="49" customFormat="1" ht="18" customHeight="1" x14ac:dyDescent="0.2">
      <c r="A68" s="198" t="s">
        <v>27</v>
      </c>
      <c r="B68" s="198" t="str">
        <f ca="1">F67</f>
        <v xml:space="preserve">All values are adjusted to 2017 prices. </v>
      </c>
      <c r="P68" s="199" t="str">
        <f>P42</f>
        <v>Version: March 2019</v>
      </c>
    </row>
    <row r="69" spans="1:16" s="49" customFormat="1" ht="18" customHeight="1" x14ac:dyDescent="0.2">
      <c r="B69" s="198" t="s">
        <v>28</v>
      </c>
    </row>
    <row r="70" spans="1:16" ht="18" customHeight="1" x14ac:dyDescent="0.2"/>
    <row r="71" spans="1:16" ht="18" customHeight="1" x14ac:dyDescent="0.2"/>
    <row r="72" spans="1:16" ht="18" customHeight="1" x14ac:dyDescent="0.2"/>
    <row r="73" spans="1:16" s="78" customFormat="1" ht="18" customHeight="1" x14ac:dyDescent="0.2"/>
    <row r="74" spans="1:16" s="78" customFormat="1" ht="18" customHeight="1" x14ac:dyDescent="0.2"/>
    <row r="75" spans="1:16" s="78" customFormat="1" x14ac:dyDescent="0.2"/>
    <row r="76" spans="1:16" s="49" customFormat="1" x14ac:dyDescent="0.2"/>
    <row r="77" spans="1:16" s="49" customFormat="1" x14ac:dyDescent="0.2">
      <c r="A77" s="50"/>
      <c r="B77" s="53"/>
      <c r="C77" s="79"/>
      <c r="D77" s="79"/>
      <c r="E77" s="79"/>
      <c r="F77" s="79"/>
      <c r="G77" s="80"/>
      <c r="H77" s="79"/>
      <c r="I77" s="79"/>
      <c r="J77" s="79"/>
      <c r="K77" s="79"/>
      <c r="L77" s="53"/>
    </row>
    <row r="78" spans="1:16" s="49" customFormat="1" x14ac:dyDescent="0.2">
      <c r="A78" s="50"/>
      <c r="B78" s="53"/>
      <c r="C78" s="53"/>
      <c r="D78" s="53"/>
      <c r="E78" s="53"/>
      <c r="F78" s="50"/>
      <c r="G78" s="50"/>
      <c r="H78" s="53"/>
      <c r="I78" s="53"/>
      <c r="J78" s="53"/>
      <c r="K78" s="53"/>
      <c r="L78" s="50"/>
    </row>
    <row r="79" spans="1:16" s="49" customFormat="1" x14ac:dyDescent="0.2">
      <c r="A79" s="50"/>
      <c r="B79" s="53"/>
      <c r="C79" s="53"/>
      <c r="D79" s="53"/>
      <c r="E79" s="53"/>
      <c r="F79" s="50"/>
      <c r="G79" s="50"/>
      <c r="H79" s="53"/>
      <c r="I79" s="53"/>
      <c r="J79" s="53"/>
      <c r="K79" s="53"/>
      <c r="L79" s="50"/>
    </row>
    <row r="80" spans="1:16" s="49" customFormat="1" x14ac:dyDescent="0.2">
      <c r="A80" s="50"/>
      <c r="B80" s="53"/>
      <c r="C80" s="53"/>
      <c r="D80" s="53"/>
      <c r="E80" s="53"/>
      <c r="F80" s="50"/>
      <c r="G80" s="50"/>
      <c r="H80" s="53"/>
      <c r="I80" s="53"/>
      <c r="J80" s="53"/>
      <c r="K80" s="53"/>
      <c r="L80" s="50"/>
    </row>
    <row r="81" spans="1:12" s="49" customFormat="1" x14ac:dyDescent="0.2">
      <c r="A81" s="50"/>
      <c r="B81" s="53"/>
      <c r="C81" s="53"/>
      <c r="D81" s="53"/>
      <c r="E81" s="53"/>
      <c r="F81" s="50"/>
      <c r="G81" s="50"/>
      <c r="H81" s="53"/>
      <c r="I81" s="53"/>
      <c r="J81" s="53"/>
      <c r="K81" s="53"/>
      <c r="L81" s="50"/>
    </row>
    <row r="82" spans="1:12" s="49" customFormat="1" x14ac:dyDescent="0.2">
      <c r="A82" s="50"/>
      <c r="B82" s="53"/>
      <c r="C82" s="53"/>
      <c r="D82" s="53"/>
      <c r="E82" s="53"/>
      <c r="F82" s="50"/>
      <c r="G82" s="50"/>
      <c r="H82" s="53"/>
      <c r="I82" s="53"/>
      <c r="J82" s="53"/>
      <c r="K82" s="53"/>
      <c r="L82" s="50"/>
    </row>
    <row r="83" spans="1:12" s="49" customFormat="1" x14ac:dyDescent="0.2">
      <c r="A83" s="50"/>
      <c r="B83" s="53"/>
      <c r="C83" s="53"/>
      <c r="D83" s="53"/>
      <c r="E83" s="53"/>
      <c r="F83" s="50"/>
      <c r="G83" s="50"/>
      <c r="H83" s="53"/>
      <c r="I83" s="53"/>
      <c r="J83" s="53"/>
      <c r="K83" s="53"/>
      <c r="L83" s="50"/>
    </row>
    <row r="84" spans="1:12" s="49" customFormat="1" x14ac:dyDescent="0.2">
      <c r="A84" s="50"/>
      <c r="B84" s="53"/>
      <c r="C84" s="53"/>
      <c r="D84" s="53"/>
      <c r="E84" s="53"/>
      <c r="F84" s="50"/>
      <c r="G84" s="50"/>
      <c r="H84" s="53"/>
      <c r="I84" s="53"/>
      <c r="J84" s="53"/>
      <c r="K84" s="53"/>
      <c r="L84" s="50"/>
    </row>
    <row r="85" spans="1:12" s="49" customFormat="1" x14ac:dyDescent="0.2">
      <c r="A85" s="50"/>
      <c r="B85" s="53"/>
      <c r="C85" s="53"/>
      <c r="D85" s="53"/>
      <c r="E85" s="53"/>
      <c r="F85" s="50"/>
      <c r="G85" s="50"/>
      <c r="H85" s="53"/>
      <c r="I85" s="53"/>
      <c r="J85" s="53"/>
      <c r="K85" s="53"/>
      <c r="L85" s="50"/>
    </row>
    <row r="86" spans="1:12" s="49" customFormat="1" x14ac:dyDescent="0.2">
      <c r="A86" s="50"/>
      <c r="B86" s="53"/>
      <c r="C86" s="53"/>
      <c r="D86" s="53"/>
      <c r="E86" s="53"/>
      <c r="F86" s="50"/>
      <c r="G86" s="50"/>
      <c r="H86" s="53"/>
      <c r="I86" s="53"/>
      <c r="J86" s="53"/>
      <c r="K86" s="53"/>
      <c r="L86" s="50"/>
    </row>
    <row r="87" spans="1:12" s="49" customFormat="1" x14ac:dyDescent="0.2">
      <c r="A87" s="50"/>
      <c r="B87" s="53"/>
      <c r="C87" s="53"/>
      <c r="D87" s="53"/>
      <c r="E87" s="53"/>
      <c r="F87" s="50"/>
      <c r="G87" s="50"/>
      <c r="H87" s="53"/>
      <c r="I87" s="53"/>
      <c r="J87" s="53"/>
      <c r="K87" s="53"/>
      <c r="L87" s="50"/>
    </row>
    <row r="88" spans="1:12" s="49" customFormat="1" x14ac:dyDescent="0.2">
      <c r="A88" s="50"/>
      <c r="B88" s="53"/>
      <c r="C88" s="53"/>
      <c r="D88" s="53"/>
      <c r="E88" s="53"/>
      <c r="F88" s="50"/>
      <c r="G88" s="50"/>
      <c r="H88" s="53"/>
      <c r="I88" s="53"/>
      <c r="J88" s="53"/>
      <c r="K88" s="53"/>
      <c r="L88" s="50"/>
    </row>
    <row r="89" spans="1:12" s="49" customFormat="1" x14ac:dyDescent="0.2">
      <c r="A89" s="50"/>
      <c r="B89" s="53"/>
      <c r="C89" s="53"/>
      <c r="D89" s="53"/>
      <c r="E89" s="53"/>
      <c r="F89" s="50"/>
      <c r="G89" s="50"/>
      <c r="H89" s="53"/>
      <c r="I89" s="53"/>
      <c r="J89" s="53"/>
      <c r="K89" s="53"/>
      <c r="L89" s="50"/>
    </row>
    <row r="90" spans="1:12" s="49" customFormat="1" x14ac:dyDescent="0.2">
      <c r="A90" s="50"/>
      <c r="B90" s="53"/>
      <c r="C90" s="53"/>
      <c r="D90" s="53"/>
      <c r="E90" s="53"/>
      <c r="F90" s="50"/>
      <c r="G90" s="50"/>
      <c r="H90" s="53"/>
      <c r="I90" s="53"/>
      <c r="J90" s="53"/>
      <c r="K90" s="53"/>
      <c r="L90" s="50"/>
    </row>
    <row r="91" spans="1:12" s="49" customFormat="1" x14ac:dyDescent="0.2">
      <c r="A91" s="50"/>
      <c r="B91" s="53"/>
      <c r="C91" s="53"/>
      <c r="D91" s="53"/>
      <c r="E91" s="53"/>
      <c r="F91" s="50"/>
      <c r="G91" s="50"/>
      <c r="H91" s="53"/>
      <c r="I91" s="53"/>
      <c r="J91" s="53"/>
      <c r="K91" s="53"/>
      <c r="L91" s="50"/>
    </row>
    <row r="92" spans="1:12" s="49" customFormat="1" x14ac:dyDescent="0.2">
      <c r="A92" s="50"/>
      <c r="B92" s="53"/>
      <c r="C92" s="53"/>
      <c r="D92" s="53"/>
      <c r="E92" s="53"/>
      <c r="F92" s="50"/>
      <c r="G92" s="50"/>
      <c r="H92" s="53"/>
      <c r="I92" s="53"/>
      <c r="J92" s="53"/>
      <c r="K92" s="53"/>
      <c r="L92" s="50"/>
    </row>
    <row r="93" spans="1:12" s="49" customFormat="1" x14ac:dyDescent="0.2">
      <c r="A93" s="50"/>
      <c r="B93" s="53"/>
      <c r="C93" s="53"/>
      <c r="D93" s="53"/>
      <c r="E93" s="53"/>
      <c r="F93" s="50"/>
      <c r="G93" s="50"/>
      <c r="H93" s="53"/>
      <c r="I93" s="53"/>
      <c r="J93" s="53"/>
      <c r="K93" s="53"/>
      <c r="L93" s="50"/>
    </row>
    <row r="94" spans="1:12" s="78" customFormat="1" x14ac:dyDescent="0.2"/>
    <row r="95" spans="1:12" s="78" customFormat="1" x14ac:dyDescent="0.2"/>
    <row r="96" spans="1:12" s="78" customFormat="1" x14ac:dyDescent="0.2"/>
    <row r="97" s="78" customFormat="1" x14ac:dyDescent="0.2"/>
    <row r="98" s="78" customFormat="1" x14ac:dyDescent="0.2"/>
    <row r="99" s="78" customFormat="1" x14ac:dyDescent="0.2"/>
    <row r="100" s="78" customFormat="1" x14ac:dyDescent="0.2"/>
    <row r="101" s="78" customFormat="1" x14ac:dyDescent="0.2"/>
    <row r="102" s="78" customFormat="1" x14ac:dyDescent="0.2"/>
    <row r="103" s="78" customFormat="1" x14ac:dyDescent="0.2"/>
    <row r="104" s="78" customFormat="1" x14ac:dyDescent="0.2"/>
    <row r="105" s="78" customFormat="1" x14ac:dyDescent="0.2"/>
    <row r="106" s="78" customFormat="1" x14ac:dyDescent="0.2"/>
    <row r="107" s="78" customFormat="1" x14ac:dyDescent="0.2"/>
    <row r="108" s="78" customFormat="1" x14ac:dyDescent="0.2"/>
  </sheetData>
  <mergeCells count="4">
    <mergeCell ref="O1:P1"/>
    <mergeCell ref="A3:A6"/>
    <mergeCell ref="A7:A11"/>
    <mergeCell ref="B14:C14"/>
  </mergeCells>
  <dataValidations count="1">
    <dataValidation type="list" allowBlank="1" showInputMessage="1" showErrorMessage="1" sqref="N1">
      <formula1>$C$65:$C$66</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1" manualBreakCount="1">
    <brk id="13" max="16383" man="1"/>
  </rowBreaks>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Inactive!D3:N3</xm:f>
              <xm:sqref>C3</xm:sqref>
            </x14:sparkline>
            <x14:sparkline>
              <xm:f>Inactive!D4:N4</xm:f>
              <xm:sqref>C4</xm:sqref>
            </x14:sparkline>
            <x14:sparkline>
              <xm:f>Inactive!D5:N5</xm:f>
              <xm:sqref>C5</xm:sqref>
            </x14:sparkline>
            <x14:sparkline>
              <xm:f>Inactive!D6:N6</xm:f>
              <xm:sqref>C6</xm:sqref>
            </x14:sparkline>
            <x14:sparkline>
              <xm:f>Inactive!D7:N7</xm:f>
              <xm:sqref>C7</xm:sqref>
            </x14:sparkline>
            <x14:sparkline>
              <xm:f>Inactive!D8:N8</xm:f>
              <xm:sqref>C8</xm:sqref>
            </x14:sparkline>
            <x14:sparkline>
              <xm:f>Inactive!D9:N9</xm:f>
              <xm:sqref>C9</xm:sqref>
            </x14:sparkline>
            <x14:sparkline>
              <xm:f>Inactive!D10:N10</xm:f>
              <xm:sqref>C10</xm:sqref>
            </x14:sparkline>
            <x14:sparkline>
              <xm:f>Inactive!D11:N11</xm:f>
              <xm:sqref>C11</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211</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26</v>
      </c>
      <c r="E3" s="22">
        <v>24</v>
      </c>
      <c r="F3" s="22">
        <v>25</v>
      </c>
      <c r="G3" s="22">
        <v>19</v>
      </c>
      <c r="H3" s="22">
        <v>25</v>
      </c>
      <c r="I3" s="22">
        <v>25</v>
      </c>
      <c r="J3" s="22">
        <v>27</v>
      </c>
      <c r="K3" s="22">
        <v>23</v>
      </c>
      <c r="L3" s="22">
        <v>26</v>
      </c>
      <c r="M3" s="22">
        <v>28</v>
      </c>
      <c r="N3" s="22">
        <v>30</v>
      </c>
      <c r="O3" s="23">
        <f t="shared" ref="O3:O41" si="0">IF(N3=0,"",IFERROR(IF(AND(N3&gt;0,D3&lt;0),"na",IF(AND(N3&lt;0,D3&lt;0),-1,1)*(N3-D3)/D3),""))</f>
        <v>0.15384615384615385</v>
      </c>
      <c r="P3" s="23">
        <f>IF(N3=0,"",IFERROR(IF(AND(N3&gt;0,J3&lt;0),"na",IF(AND(N3&lt;0,J3&lt;0),-1,1)*(N3-J3)/J3),""))</f>
        <v>0.1111111111111111</v>
      </c>
    </row>
    <row r="4" spans="1:17" ht="18" customHeight="1" x14ac:dyDescent="0.2">
      <c r="A4" s="224"/>
      <c r="B4" s="24" t="s">
        <v>51</v>
      </c>
      <c r="C4" s="25"/>
      <c r="D4" s="26">
        <v>9005</v>
      </c>
      <c r="E4" s="26">
        <v>8424</v>
      </c>
      <c r="F4" s="26">
        <v>7609</v>
      </c>
      <c r="G4" s="26">
        <v>5942</v>
      </c>
      <c r="H4" s="26">
        <v>6819</v>
      </c>
      <c r="I4" s="26">
        <v>6770</v>
      </c>
      <c r="J4" s="26">
        <v>7894</v>
      </c>
      <c r="K4" s="26">
        <v>7625</v>
      </c>
      <c r="L4" s="26">
        <v>9022</v>
      </c>
      <c r="M4" s="26">
        <v>9410</v>
      </c>
      <c r="N4" s="26">
        <v>9421</v>
      </c>
      <c r="O4" s="23">
        <f t="shared" si="0"/>
        <v>4.6196557468073295E-2</v>
      </c>
      <c r="P4" s="23">
        <f t="shared" ref="P4:P41" si="1">IF(N4=0,"",IFERROR(IF(AND(N4&gt;0,J4&lt;0),"na",IF(AND(N4&lt;0,J4&lt;0),-1,1)*(N4-J4)/J4),""))</f>
        <v>0.19343805421839372</v>
      </c>
    </row>
    <row r="5" spans="1:17" ht="18" customHeight="1" x14ac:dyDescent="0.2">
      <c r="A5" s="224"/>
      <c r="B5" s="24" t="s">
        <v>52</v>
      </c>
      <c r="C5" s="25"/>
      <c r="D5" s="26">
        <v>3335</v>
      </c>
      <c r="E5" s="26">
        <v>3319</v>
      </c>
      <c r="F5" s="26">
        <v>2828</v>
      </c>
      <c r="G5" s="26">
        <v>2320</v>
      </c>
      <c r="H5" s="26">
        <v>2608</v>
      </c>
      <c r="I5" s="26">
        <v>2387</v>
      </c>
      <c r="J5" s="26">
        <v>3071</v>
      </c>
      <c r="K5" s="26">
        <v>3013</v>
      </c>
      <c r="L5" s="26">
        <v>3503</v>
      </c>
      <c r="M5" s="26">
        <v>3527</v>
      </c>
      <c r="N5" s="26">
        <v>3832</v>
      </c>
      <c r="O5" s="23">
        <f t="shared" si="0"/>
        <v>0.14902548725637182</v>
      </c>
      <c r="P5" s="23">
        <f t="shared" si="1"/>
        <v>0.24780201888635622</v>
      </c>
      <c r="Q5" s="27"/>
    </row>
    <row r="6" spans="1:17" ht="18" customHeight="1" x14ac:dyDescent="0.2">
      <c r="A6" s="224"/>
      <c r="B6" s="24" t="s">
        <v>53</v>
      </c>
      <c r="C6" s="25"/>
      <c r="D6" s="26">
        <v>7574.21337890625</v>
      </c>
      <c r="E6" s="26">
        <v>7273.77880859375</v>
      </c>
      <c r="F6" s="26">
        <v>6514.3779296875</v>
      </c>
      <c r="G6" s="26">
        <v>5155.7119140625</v>
      </c>
      <c r="H6" s="26">
        <v>5975.1845703125</v>
      </c>
      <c r="I6" s="26">
        <v>5747.4423828125</v>
      </c>
      <c r="J6" s="26">
        <v>6804.53564453125</v>
      </c>
      <c r="K6" s="26">
        <v>6473.30859375</v>
      </c>
      <c r="L6" s="26">
        <v>7626.71875</v>
      </c>
      <c r="M6" s="26">
        <v>7897.73779296875</v>
      </c>
      <c r="N6" s="26">
        <v>8198.9140625</v>
      </c>
      <c r="O6" s="23">
        <f t="shared" si="0"/>
        <v>8.2477301911444104E-2</v>
      </c>
      <c r="P6" s="23">
        <f t="shared" si="1"/>
        <v>0.20491896740807003</v>
      </c>
    </row>
    <row r="7" spans="1:17" ht="18" customHeight="1" x14ac:dyDescent="0.2">
      <c r="A7" s="224"/>
      <c r="B7" s="24" t="s">
        <v>54</v>
      </c>
      <c r="C7" s="25"/>
      <c r="D7" s="26">
        <v>3995.5224609375</v>
      </c>
      <c r="E7" s="26">
        <v>5900.33154296875</v>
      </c>
      <c r="F7" s="26">
        <v>5537.89794921875</v>
      </c>
      <c r="G7" s="26">
        <v>5648.517578125</v>
      </c>
      <c r="H7" s="26">
        <v>5768.64501953125</v>
      </c>
      <c r="I7" s="26">
        <v>5832.138671875</v>
      </c>
      <c r="J7" s="26">
        <v>7837.16064453125</v>
      </c>
      <c r="K7" s="26">
        <v>7855.96630859375</v>
      </c>
      <c r="L7" s="26">
        <v>9186.75</v>
      </c>
      <c r="M7" s="26">
        <v>8216.4267578125</v>
      </c>
      <c r="N7" s="26">
        <v>6109.54443359375</v>
      </c>
      <c r="O7" s="23">
        <f t="shared" si="0"/>
        <v>0.5290977571329234</v>
      </c>
      <c r="P7" s="23">
        <f t="shared" si="1"/>
        <v>-0.22043904537583087</v>
      </c>
    </row>
    <row r="8" spans="1:17" ht="18" customHeight="1" x14ac:dyDescent="0.2">
      <c r="A8" s="224"/>
      <c r="B8" s="24" t="s">
        <v>55</v>
      </c>
      <c r="C8" s="27"/>
      <c r="D8" s="28">
        <f ca="1">8.730154*OFFSET(D$112,MATCH($N$1,$C$112:$C$113,0)-1,0)</f>
        <v>8.7301540000000006</v>
      </c>
      <c r="E8" s="28">
        <f ca="1">15.391224*OFFSET(E$112,MATCH($N$1,$C$112:$C$113,0)-1,0)</f>
        <v>15.391223999999999</v>
      </c>
      <c r="F8" s="28">
        <f ca="1">13.844056*OFFSET(F$112,MATCH($N$1,$C$112:$C$113,0)-1,0)</f>
        <v>13.844056</v>
      </c>
      <c r="G8" s="28">
        <f ca="1">14.068168*OFFSET(G$112,MATCH($N$1,$C$112:$C$113,0)-1,0)</f>
        <v>14.068168</v>
      </c>
      <c r="H8" s="28">
        <f ca="1">16.376906*OFFSET(H$112,MATCH($N$1,$C$112:$C$113,0)-1,0)</f>
        <v>16.376906000000002</v>
      </c>
      <c r="I8" s="28">
        <f ca="1">19.711168*OFFSET(I$112,MATCH($N$1,$C$112:$C$113,0)-1,0)</f>
        <v>19.711168000000001</v>
      </c>
      <c r="J8" s="28">
        <f ca="1">22.380482*OFFSET(J$112,MATCH($N$1,$C$112:$C$113,0)-1,0)</f>
        <v>22.380482000000001</v>
      </c>
      <c r="K8" s="28">
        <f ca="1">24.735226*OFFSET(K$112,MATCH($N$1,$C$112:$C$113,0)-1,0)</f>
        <v>24.735226000000001</v>
      </c>
      <c r="L8" s="28">
        <f ca="1">26.152716*OFFSET(L$112,MATCH($N$1,$C$112:$C$113,0)-1,0)</f>
        <v>26.152716000000002</v>
      </c>
      <c r="M8" s="28">
        <f ca="1">18.727808*OFFSET(M$112,MATCH($N$1,$C$112:$C$113,0)-1,0)</f>
        <v>18.727808</v>
      </c>
      <c r="N8" s="28">
        <v>14.151064999999999</v>
      </c>
      <c r="O8" s="23">
        <f t="shared" ca="1" si="0"/>
        <v>0.62094105098260555</v>
      </c>
      <c r="P8" s="23">
        <f t="shared" ca="1" si="1"/>
        <v>-0.36770508338471003</v>
      </c>
    </row>
    <row r="9" spans="1:17" ht="18" customHeight="1" x14ac:dyDescent="0.2">
      <c r="A9" s="224"/>
      <c r="B9" s="24" t="s">
        <v>56</v>
      </c>
      <c r="C9" s="27"/>
      <c r="D9" s="26">
        <v>4521</v>
      </c>
      <c r="E9" s="26">
        <v>4526</v>
      </c>
      <c r="F9" s="26">
        <v>4120</v>
      </c>
      <c r="G9" s="26">
        <v>3271</v>
      </c>
      <c r="H9" s="26">
        <v>3611</v>
      </c>
      <c r="I9" s="26">
        <v>4128</v>
      </c>
      <c r="J9" s="26">
        <v>4121</v>
      </c>
      <c r="K9" s="26">
        <v>4077</v>
      </c>
      <c r="L9" s="26">
        <v>4711</v>
      </c>
      <c r="M9" s="26">
        <v>4922</v>
      </c>
      <c r="N9" s="26">
        <v>5318</v>
      </c>
      <c r="O9" s="23">
        <f t="shared" si="0"/>
        <v>0.17628843176288431</v>
      </c>
      <c r="P9" s="23">
        <f t="shared" si="1"/>
        <v>0.29046347973792769</v>
      </c>
    </row>
    <row r="10" spans="1:17" ht="18" customHeight="1" x14ac:dyDescent="0.2">
      <c r="A10" s="224"/>
      <c r="B10" s="24" t="s">
        <v>57</v>
      </c>
      <c r="C10" s="27"/>
      <c r="D10" s="26"/>
      <c r="E10" s="26">
        <v>241.31105041503906</v>
      </c>
      <c r="F10" s="26">
        <v>232.41424560546875</v>
      </c>
      <c r="G10" s="26">
        <v>194.64790344238281</v>
      </c>
      <c r="H10" s="26">
        <v>187.46160888671875</v>
      </c>
      <c r="I10" s="26">
        <v>188.06536865234375</v>
      </c>
      <c r="J10" s="26">
        <v>262.47955322265625</v>
      </c>
      <c r="K10" s="26">
        <v>211.15919494628906</v>
      </c>
      <c r="L10" s="26">
        <v>233.07632446289062</v>
      </c>
      <c r="M10" s="26">
        <v>252.7113037109375</v>
      </c>
      <c r="N10" s="26">
        <v>275.11026000976562</v>
      </c>
      <c r="O10" s="29" t="str">
        <f t="shared" si="0"/>
        <v/>
      </c>
      <c r="P10" s="29">
        <f t="shared" si="1"/>
        <v>4.8120726479578373E-2</v>
      </c>
    </row>
    <row r="11" spans="1:17" ht="18" customHeight="1" x14ac:dyDescent="0.2">
      <c r="A11" s="225" t="s">
        <v>23</v>
      </c>
      <c r="B11" s="30" t="s">
        <v>58</v>
      </c>
      <c r="C11" s="31"/>
      <c r="D11" s="32">
        <v>21.676153182983398</v>
      </c>
      <c r="E11" s="32">
        <v>22.438749313354492</v>
      </c>
      <c r="F11" s="32">
        <v>20.068000793457031</v>
      </c>
      <c r="G11" s="32">
        <v>20.596315383911133</v>
      </c>
      <c r="H11" s="32">
        <v>19.11720085144043</v>
      </c>
      <c r="I11" s="32">
        <v>17.955999374389648</v>
      </c>
      <c r="J11" s="32">
        <v>19.497037887573242</v>
      </c>
      <c r="K11" s="32">
        <v>20.92173957824707</v>
      </c>
      <c r="L11" s="32">
        <v>21.491153717041016</v>
      </c>
      <c r="M11" s="32">
        <v>20.733928680419922</v>
      </c>
      <c r="N11" s="32">
        <v>20.861667633056641</v>
      </c>
      <c r="O11" s="23">
        <f t="shared" si="0"/>
        <v>-3.7575188874664336E-2</v>
      </c>
      <c r="P11" s="23">
        <f t="shared" si="1"/>
        <v>6.9991644543767731E-2</v>
      </c>
    </row>
    <row r="12" spans="1:17" ht="18" customHeight="1" x14ac:dyDescent="0.2">
      <c r="A12" s="226"/>
      <c r="B12" s="33" t="s">
        <v>51</v>
      </c>
      <c r="C12" s="25"/>
      <c r="D12" s="26">
        <v>346.34616088867188</v>
      </c>
      <c r="E12" s="26">
        <v>351</v>
      </c>
      <c r="F12" s="26">
        <v>304.3599853515625</v>
      </c>
      <c r="G12" s="26">
        <v>312.73684692382812</v>
      </c>
      <c r="H12" s="26">
        <v>272.760009765625</v>
      </c>
      <c r="I12" s="26">
        <v>270.79998779296875</v>
      </c>
      <c r="J12" s="26">
        <v>292.370361328125</v>
      </c>
      <c r="K12" s="26">
        <v>331.521728515625</v>
      </c>
      <c r="L12" s="26">
        <v>347</v>
      </c>
      <c r="M12" s="26">
        <v>336.07144165039062</v>
      </c>
      <c r="N12" s="26">
        <v>314.0333251953125</v>
      </c>
      <c r="O12" s="23">
        <f t="shared" si="0"/>
        <v>-9.3296358794477535E-2</v>
      </c>
      <c r="P12" s="23">
        <f t="shared" si="1"/>
        <v>7.4094254180831015E-2</v>
      </c>
    </row>
    <row r="13" spans="1:17" ht="18" customHeight="1" x14ac:dyDescent="0.2">
      <c r="A13" s="226"/>
      <c r="B13" s="33" t="s">
        <v>52</v>
      </c>
      <c r="C13" s="25"/>
      <c r="D13" s="26">
        <v>128.26922607421875</v>
      </c>
      <c r="E13" s="26">
        <v>138.29167175292969</v>
      </c>
      <c r="F13" s="26">
        <v>113.12000274658203</v>
      </c>
      <c r="G13" s="26">
        <v>122.10526275634766</v>
      </c>
      <c r="H13" s="26">
        <v>104.31999969482422</v>
      </c>
      <c r="I13" s="26">
        <v>95.480003356933594</v>
      </c>
      <c r="J13" s="26">
        <v>113.74073791503906</v>
      </c>
      <c r="K13" s="26">
        <v>131</v>
      </c>
      <c r="L13" s="26">
        <v>134.73077392578125</v>
      </c>
      <c r="M13" s="26">
        <v>125.96428680419922</v>
      </c>
      <c r="N13" s="26">
        <v>127.73332977294922</v>
      </c>
      <c r="O13" s="23">
        <f t="shared" si="0"/>
        <v>-4.1779023517258349E-3</v>
      </c>
      <c r="P13" s="23">
        <f t="shared" si="1"/>
        <v>0.12302181359472281</v>
      </c>
    </row>
    <row r="14" spans="1:17" ht="18" customHeight="1" x14ac:dyDescent="0.2">
      <c r="A14" s="226"/>
      <c r="B14" s="33" t="s">
        <v>53</v>
      </c>
      <c r="C14" s="25"/>
      <c r="D14" s="26">
        <v>291.31588745117187</v>
      </c>
      <c r="E14" s="26">
        <v>303.07412719726562</v>
      </c>
      <c r="F14" s="26">
        <v>260.57510375976562</v>
      </c>
      <c r="G14" s="26">
        <v>271.353271484375</v>
      </c>
      <c r="H14" s="26">
        <v>239.00736999511719</v>
      </c>
      <c r="I14" s="26">
        <v>229.897705078125</v>
      </c>
      <c r="J14" s="26">
        <v>252.01983642578125</v>
      </c>
      <c r="K14" s="26">
        <v>281.44821166992187</v>
      </c>
      <c r="L14" s="26">
        <v>293.3353271484375</v>
      </c>
      <c r="M14" s="26">
        <v>282.06207275390625</v>
      </c>
      <c r="N14" s="26">
        <v>273.29714965820312</v>
      </c>
      <c r="O14" s="23">
        <f t="shared" si="0"/>
        <v>-6.1852918323889602E-2</v>
      </c>
      <c r="P14" s="23">
        <f t="shared" si="1"/>
        <v>8.4427136903915706E-2</v>
      </c>
    </row>
    <row r="15" spans="1:17" ht="18" customHeight="1" x14ac:dyDescent="0.2">
      <c r="A15" s="226"/>
      <c r="B15" s="33" t="s">
        <v>54</v>
      </c>
      <c r="C15" s="27"/>
      <c r="D15" s="28">
        <v>153.6739501953125</v>
      </c>
      <c r="E15" s="28">
        <v>245.84713745117187</v>
      </c>
      <c r="F15" s="28">
        <v>221.51593017578125</v>
      </c>
      <c r="G15" s="28">
        <v>297.29037475585937</v>
      </c>
      <c r="H15" s="28">
        <v>230.74578857421875</v>
      </c>
      <c r="I15" s="28">
        <v>233.28555297851562</v>
      </c>
      <c r="J15" s="28">
        <v>290.26519775390625</v>
      </c>
      <c r="K15" s="28">
        <v>341.56375122070312</v>
      </c>
      <c r="L15" s="28">
        <v>353.33651733398438</v>
      </c>
      <c r="M15" s="28">
        <v>293.44381713867187</v>
      </c>
      <c r="N15" s="28">
        <v>203.65147399902344</v>
      </c>
      <c r="O15" s="23">
        <f t="shared" si="0"/>
        <v>0.32521792886947859</v>
      </c>
      <c r="P15" s="23">
        <f t="shared" si="1"/>
        <v>-0.29839513804998419</v>
      </c>
    </row>
    <row r="16" spans="1:17" ht="18" customHeight="1" x14ac:dyDescent="0.2">
      <c r="A16" s="226"/>
      <c r="B16" s="33" t="s">
        <v>59</v>
      </c>
      <c r="C16" s="27"/>
      <c r="D16" s="28">
        <f ca="1">335.77515625*OFFSET(D$112,MATCH($N$1,$C$112:$C$113,0)-1,0)</f>
        <v>335.77515625000001</v>
      </c>
      <c r="E16" s="28">
        <f ca="1">641.301*OFFSET(E$112,MATCH($N$1,$C$112:$C$113,0)-1,0)</f>
        <v>641.30100000000004</v>
      </c>
      <c r="F16" s="28">
        <f ca="1">553.76225*OFFSET(F$112,MATCH($N$1,$C$112:$C$113,0)-1,0)</f>
        <v>553.76224999999999</v>
      </c>
      <c r="G16" s="28">
        <f ca="1">740.4299375*OFFSET(G$112,MATCH($N$1,$C$112:$C$113,0)-1,0)</f>
        <v>740.42993750000005</v>
      </c>
      <c r="H16" s="28">
        <f ca="1">655.07625*OFFSET(H$112,MATCH($N$1,$C$112:$C$113,0)-1,0)</f>
        <v>655.07624999999996</v>
      </c>
      <c r="I16" s="28">
        <f ca="1">788.44675*OFFSET(I$112,MATCH($N$1,$C$112:$C$113,0)-1,0)</f>
        <v>788.44674999999995</v>
      </c>
      <c r="J16" s="28">
        <f ca="1">828.90675*OFFSET(J$112,MATCH($N$1,$C$112:$C$113,0)-1,0)</f>
        <v>828.90674999999999</v>
      </c>
      <c r="K16" s="28">
        <f ca="1">1075.444625*OFFSET(K$112,MATCH($N$1,$C$112:$C$113,0)-1,0)</f>
        <v>1075.4446250000001</v>
      </c>
      <c r="L16" s="28">
        <f ca="1">1005.8736875*OFFSET(L$112,MATCH($N$1,$C$112:$C$113,0)-1,0)</f>
        <v>1005.8736875</v>
      </c>
      <c r="M16" s="28">
        <f ca="1">668.8503125*OFFSET(M$112,MATCH($N$1,$C$112:$C$113,0)-1,0)</f>
        <v>668.85031249999997</v>
      </c>
      <c r="N16" s="28">
        <v>471.70215625000003</v>
      </c>
      <c r="O16" s="23">
        <f t="shared" ca="1" si="0"/>
        <v>0.40481553643830676</v>
      </c>
      <c r="P16" s="23">
        <f t="shared" ca="1" si="1"/>
        <v>-0.43093459396970762</v>
      </c>
    </row>
    <row r="17" spans="1:16" ht="18" customHeight="1" x14ac:dyDescent="0.2">
      <c r="A17" s="226"/>
      <c r="B17" s="33" t="s">
        <v>56</v>
      </c>
      <c r="C17" s="25"/>
      <c r="D17" s="26">
        <v>173.88461303710937</v>
      </c>
      <c r="E17" s="26">
        <v>188.58332824707031</v>
      </c>
      <c r="F17" s="26">
        <v>164.80000305175781</v>
      </c>
      <c r="G17" s="26">
        <v>172.15789794921875</v>
      </c>
      <c r="H17" s="26">
        <v>144.44000244140625</v>
      </c>
      <c r="I17" s="26">
        <v>165.1199951171875</v>
      </c>
      <c r="J17" s="26">
        <v>152.62962341308594</v>
      </c>
      <c r="K17" s="26">
        <v>177.2608642578125</v>
      </c>
      <c r="L17" s="26">
        <v>181.19230651855469</v>
      </c>
      <c r="M17" s="26">
        <v>175.78572082519531</v>
      </c>
      <c r="N17" s="26">
        <v>177.26666259765625</v>
      </c>
      <c r="O17" s="23">
        <f t="shared" si="0"/>
        <v>1.9449964556812735E-2</v>
      </c>
      <c r="P17" s="23">
        <f t="shared" si="1"/>
        <v>0.16141715240881618</v>
      </c>
    </row>
    <row r="18" spans="1:16" ht="18" customHeight="1" x14ac:dyDescent="0.2">
      <c r="A18" s="226"/>
      <c r="B18" s="33" t="s">
        <v>60</v>
      </c>
      <c r="C18" s="25"/>
      <c r="D18" s="26">
        <v>29.69230842590332</v>
      </c>
      <c r="E18" s="26">
        <v>29.708333969116211</v>
      </c>
      <c r="F18" s="26">
        <v>31.399999618530273</v>
      </c>
      <c r="G18" s="26">
        <v>30.578947067260742</v>
      </c>
      <c r="H18" s="26">
        <v>31.440000534057617</v>
      </c>
      <c r="I18" s="26">
        <v>30.879999160766602</v>
      </c>
      <c r="J18" s="26">
        <v>33.925926208496094</v>
      </c>
      <c r="K18" s="26">
        <v>34.434783935546875</v>
      </c>
      <c r="L18" s="26">
        <v>35.423076629638672</v>
      </c>
      <c r="M18" s="26">
        <v>35.535713195800781</v>
      </c>
      <c r="N18" s="26">
        <v>36.966667175292969</v>
      </c>
      <c r="O18" s="23">
        <f t="shared" si="0"/>
        <v>0.2449913507918286</v>
      </c>
      <c r="P18" s="23">
        <f t="shared" si="1"/>
        <v>8.9628826877403867E-2</v>
      </c>
    </row>
    <row r="19" spans="1:16" ht="18" customHeight="1" x14ac:dyDescent="0.2">
      <c r="A19" s="226"/>
      <c r="B19" s="33" t="s">
        <v>61</v>
      </c>
      <c r="C19" s="25"/>
      <c r="D19" s="34">
        <v>0.883769690990448</v>
      </c>
      <c r="E19" s="34">
        <v>1.3036525249481201</v>
      </c>
      <c r="F19" s="34">
        <v>1.3441500663757324</v>
      </c>
      <c r="G19" s="34">
        <v>1.7268471717834473</v>
      </c>
      <c r="H19" s="34">
        <v>1.5975199937820435</v>
      </c>
      <c r="I19" s="34">
        <v>1.4128243923187256</v>
      </c>
      <c r="J19" s="34">
        <v>1.9017618894577026</v>
      </c>
      <c r="K19" s="34">
        <v>1.9268988370895386</v>
      </c>
      <c r="L19" s="34">
        <v>1.9500635862350464</v>
      </c>
      <c r="M19" s="34">
        <v>1.6693267822265625</v>
      </c>
      <c r="N19" s="34">
        <v>1.148842453956604</v>
      </c>
      <c r="O19" s="23">
        <f t="shared" si="0"/>
        <v>0.29993420872929777</v>
      </c>
      <c r="P19" s="23">
        <f t="shared" si="1"/>
        <v>-0.3959062591772714</v>
      </c>
    </row>
    <row r="20" spans="1:16" ht="18" customHeight="1" x14ac:dyDescent="0.2">
      <c r="A20" s="227"/>
      <c r="B20" s="35" t="s">
        <v>24</v>
      </c>
      <c r="C20" s="36"/>
      <c r="D20" s="37">
        <f ca="1">2185*OFFSET(D$112,MATCH($N$1,$C$112:$C$113,0)-1,0)</f>
        <v>2185</v>
      </c>
      <c r="E20" s="37">
        <f ca="1">2609*OFFSET(E$112,MATCH($N$1,$C$112:$C$113,0)-1,0)</f>
        <v>2609</v>
      </c>
      <c r="F20" s="37">
        <f ca="1">2500*OFFSET(F$112,MATCH($N$1,$C$112:$C$113,0)-1,0)</f>
        <v>2500</v>
      </c>
      <c r="G20" s="37">
        <f ca="1">2491*OFFSET(G$112,MATCH($N$1,$C$112:$C$113,0)-1,0)</f>
        <v>2491</v>
      </c>
      <c r="H20" s="37">
        <f ca="1">2839*OFFSET(H$112,MATCH($N$1,$C$112:$C$113,0)-1,0)</f>
        <v>2839</v>
      </c>
      <c r="I20" s="37">
        <f ca="1">3380*OFFSET(I$112,MATCH($N$1,$C$112:$C$113,0)-1,0)</f>
        <v>3380</v>
      </c>
      <c r="J20" s="37">
        <f ca="1">2856*OFFSET(J$112,MATCH($N$1,$C$112:$C$113,0)-1,0)</f>
        <v>2856</v>
      </c>
      <c r="K20" s="37">
        <f ca="1">3149*OFFSET(K$112,MATCH($N$1,$C$112:$C$113,0)-1,0)</f>
        <v>3149</v>
      </c>
      <c r="L20" s="37">
        <f ca="1">2847*OFFSET(L$112,MATCH($N$1,$C$112:$C$113,0)-1,0)</f>
        <v>2847</v>
      </c>
      <c r="M20" s="37">
        <f ca="1">2279*OFFSET(M$112,MATCH($N$1,$C$112:$C$113,0)-1,0)</f>
        <v>2279</v>
      </c>
      <c r="N20" s="37">
        <v>2316</v>
      </c>
      <c r="O20" s="29">
        <f t="shared" ca="1" si="0"/>
        <v>5.9954233409610987E-2</v>
      </c>
      <c r="P20" s="29">
        <f t="shared" ca="1" si="1"/>
        <v>-0.18907563025210083</v>
      </c>
    </row>
    <row r="21" spans="1:16" ht="18" customHeight="1" x14ac:dyDescent="0.2">
      <c r="A21" s="228" t="s">
        <v>25</v>
      </c>
      <c r="B21" s="30" t="s">
        <v>62</v>
      </c>
      <c r="C21" s="38"/>
      <c r="D21" s="39">
        <v>2.1285547032794776</v>
      </c>
      <c r="E21" s="39">
        <v>3.3053539203742934</v>
      </c>
      <c r="F21" s="39">
        <v>3.6573433685267549</v>
      </c>
      <c r="G21" s="39">
        <v>4.6829103530835816</v>
      </c>
      <c r="H21" s="39">
        <v>4.7073414793428467</v>
      </c>
      <c r="I21" s="39">
        <v>4.3782296591656538</v>
      </c>
      <c r="J21" s="39">
        <v>5.0905592159617505</v>
      </c>
      <c r="K21" s="39">
        <v>4.9638617154314337</v>
      </c>
      <c r="L21" s="39">
        <v>4.9669919364076272</v>
      </c>
      <c r="M21" s="39">
        <v>4.1538603410372001</v>
      </c>
      <c r="N21" s="39">
        <v>2.9806552074558605</v>
      </c>
      <c r="O21" s="23">
        <f t="shared" si="0"/>
        <v>0.40031881861600566</v>
      </c>
      <c r="P21" s="23">
        <f t="shared" si="1"/>
        <v>-0.4144739151427923</v>
      </c>
    </row>
    <row r="22" spans="1:16" ht="18" customHeight="1" x14ac:dyDescent="0.2">
      <c r="A22" s="228"/>
      <c r="B22" s="33" t="s">
        <v>63</v>
      </c>
      <c r="C22" s="25"/>
      <c r="D22" s="34">
        <f ca="1">4.65085843873974*OFFSET(D$112,MATCH($N$1,$C$112:$C$113,0)-1,0)</f>
        <v>4.65085843873974</v>
      </c>
      <c r="E22" s="34">
        <f ca="1">8.62213323476649*OFFSET(E$112,MATCH($N$1,$C$112:$C$113,0)-1,0)</f>
        <v>8.6221332347664905</v>
      </c>
      <c r="F22" s="34">
        <f ca="1">9.14290313645075*OFFSET(F$112,MATCH($N$1,$C$112:$C$113,0)-1,0)</f>
        <v>9.1429031364507498</v>
      </c>
      <c r="G22" s="34">
        <f ca="1">11.6632333720836*OFFSET(G$112,MATCH($N$1,$C$112:$C$113,0)-1,0)</f>
        <v>11.663233372083599</v>
      </c>
      <c r="H22" s="34">
        <f ca="1">13.3639171610082*OFFSET(H$112,MATCH($N$1,$C$112:$C$113,0)-1,0)</f>
        <v>13.363917161008199</v>
      </c>
      <c r="I22" s="34">
        <f ca="1">14.7973198573539*OFFSET(I$112,MATCH($N$1,$C$112:$C$113,0)-1,0)</f>
        <v>14.7973198573539</v>
      </c>
      <c r="J22" s="34">
        <f ca="1">14.5370472520887*OFFSET(J$112,MATCH($N$1,$C$112:$C$113,0)-1,0)</f>
        <v>14.5370472520887</v>
      </c>
      <c r="K22" s="34">
        <f ca="1">15.6291713685233*OFFSET(K$112,MATCH($N$1,$C$112:$C$113,0)-1,0)</f>
        <v>15.6291713685233</v>
      </c>
      <c r="L22" s="34">
        <f ca="1">14.1399664335701*OFFSET(L$112,MATCH($N$1,$C$112:$C$113,0)-1,0)</f>
        <v>14.1399664335701</v>
      </c>
      <c r="M22" s="34">
        <f ca="1">9.46794795090588*OFFSET(M$112,MATCH($N$1,$C$112:$C$113,0)-1,0)</f>
        <v>9.4679479509058808</v>
      </c>
      <c r="N22" s="34">
        <v>6.9038610955571214</v>
      </c>
      <c r="O22" s="23">
        <f t="shared" ca="1" si="0"/>
        <v>0.48442727003918135</v>
      </c>
      <c r="P22" s="23">
        <f t="shared" ca="1" si="1"/>
        <v>-0.52508504816442925</v>
      </c>
    </row>
    <row r="23" spans="1:16" ht="18" customHeight="1" x14ac:dyDescent="0.2">
      <c r="A23" s="228"/>
      <c r="B23" s="33" t="s">
        <v>11</v>
      </c>
      <c r="C23" s="25"/>
      <c r="D23" s="34">
        <f ca="1">3.75331796293032*OFFSET(D$112,MATCH($N$1,$C$112:$C$113,0)-1,0)</f>
        <v>3.7533179629303199</v>
      </c>
      <c r="E23" s="34">
        <f ca="1">6.73277601157845*OFFSET(E$112,MATCH($N$1,$C$112:$C$113,0)-1,0)</f>
        <v>6.7327760115784496</v>
      </c>
      <c r="F23" s="34">
        <f ca="1">9.15728892734178*OFFSET(F$112,MATCH($N$1,$C$112:$C$113,0)-1,0)</f>
        <v>9.1572889273417797</v>
      </c>
      <c r="G23" s="34">
        <f ca="1">10.5798337748296*OFFSET(G$112,MATCH($N$1,$C$112:$C$113,0)-1,0)</f>
        <v>10.5798337748296</v>
      </c>
      <c r="H23" s="34">
        <f ca="1">15.0717974320805*OFFSET(H$112,MATCH($N$1,$C$112:$C$113,0)-1,0)</f>
        <v>15.071797432080499</v>
      </c>
      <c r="I23" s="34">
        <f ca="1">12.9818265399692*OFFSET(I$112,MATCH($N$1,$C$112:$C$113,0)-1,0)</f>
        <v>12.9818265399692</v>
      </c>
      <c r="J23" s="34">
        <f ca="1">12.7059118580034*OFFSET(J$112,MATCH($N$1,$C$112:$C$113,0)-1,0)</f>
        <v>12.7059118580034</v>
      </c>
      <c r="K23" s="34">
        <f ca="1">11.0136577793204*OFFSET(K$112,MATCH($N$1,$C$112:$C$113,0)-1,0)</f>
        <v>11.0136577793204</v>
      </c>
      <c r="L23" s="34">
        <f ca="1">9.92662361021208*OFFSET(L$112,MATCH($N$1,$C$112:$C$113,0)-1,0)</f>
        <v>9.9266236102120793</v>
      </c>
      <c r="M23" s="34">
        <f ca="1">8.35623466804005*OFFSET(M$112,MATCH($N$1,$C$112:$C$113,0)-1,0)</f>
        <v>8.3562346680400506</v>
      </c>
      <c r="N23" s="34">
        <v>6.5195166000935565</v>
      </c>
      <c r="O23" s="23">
        <f t="shared" ca="1" si="0"/>
        <v>0.73700087881805465</v>
      </c>
      <c r="P23" s="23">
        <f t="shared" ca="1" si="1"/>
        <v>-0.48689108873465542</v>
      </c>
    </row>
    <row r="24" spans="1:16" ht="18" customHeight="1" x14ac:dyDescent="0.2">
      <c r="A24" s="228"/>
      <c r="B24" s="33" t="s">
        <v>12</v>
      </c>
      <c r="C24" s="25"/>
      <c r="D24" s="34">
        <f ca="1">0.988709830835751*OFFSET(D$112,MATCH($N$1,$C$112:$C$113,0)-1,0)</f>
        <v>0.98870983083575104</v>
      </c>
      <c r="E24" s="34">
        <f ca="1">2.21667164017473*OFFSET(E$112,MATCH($N$1,$C$112:$C$113,0)-1,0)</f>
        <v>2.21667164017473</v>
      </c>
      <c r="F24" s="34">
        <f ca="1">0.121938241623087*OFFSET(F$112,MATCH($N$1,$C$112:$C$113,0)-1,0)</f>
        <v>0.121938241623087</v>
      </c>
      <c r="G24" s="34">
        <f ca="1">1.31226990811123*OFFSET(G$112,MATCH($N$1,$C$112:$C$113,0)-1,0)</f>
        <v>1.3122699081112299</v>
      </c>
      <c r="H24" s="34">
        <f ca="1">-0.87029647739842*OFFSET(H$112,MATCH($N$1,$C$112:$C$113,0)-1,0)</f>
        <v>-0.87029647739841998</v>
      </c>
      <c r="I24" s="34">
        <f ca="1">2.39744516097248*OFFSET(I$112,MATCH($N$1,$C$112:$C$113,0)-1,0)</f>
        <v>2.3974451609724801</v>
      </c>
      <c r="J24" s="34">
        <f ca="1">1.96740593193378*OFFSET(J$112,MATCH($N$1,$C$112:$C$113,0)-1,0)</f>
        <v>1.96740593193378</v>
      </c>
      <c r="K24" s="34">
        <f ca="1">4.64873393037971*OFFSET(K$112,MATCH($N$1,$C$112:$C$113,0)-1,0)</f>
        <v>4.6487339303797102</v>
      </c>
      <c r="L24" s="34">
        <f ca="1">4.24892795869234*OFFSET(L$112,MATCH($N$1,$C$112:$C$113,0)-1,0)</f>
        <v>4.2489279586923399</v>
      </c>
      <c r="M24" s="34">
        <f ca="1">1.30833510093464*OFFSET(M$112,MATCH($N$1,$C$112:$C$113,0)-1,0)</f>
        <v>1.30833510093464</v>
      </c>
      <c r="N24" s="34">
        <v>0.52771766765692574</v>
      </c>
      <c r="O24" s="23">
        <f t="shared" ca="1" si="0"/>
        <v>-0.46625627540200659</v>
      </c>
      <c r="P24" s="23">
        <f t="shared" ca="1" si="1"/>
        <v>-0.73176980963037574</v>
      </c>
    </row>
    <row r="25" spans="1:16" ht="18" customHeight="1" x14ac:dyDescent="0.2">
      <c r="A25" s="228"/>
      <c r="B25" s="33" t="s">
        <v>64</v>
      </c>
      <c r="C25" s="25"/>
      <c r="D25" s="28"/>
      <c r="E25" s="28">
        <f ca="1">63.78*OFFSET(E$112,MATCH($N$1,$C$112:$C$113,0)-1,0)</f>
        <v>63.78</v>
      </c>
      <c r="F25" s="28">
        <f ca="1">59.57*OFFSET(F$112,MATCH($N$1,$C$112:$C$113,0)-1,0)</f>
        <v>59.57</v>
      </c>
      <c r="G25" s="28">
        <f ca="1">72.27*OFFSET(G$112,MATCH($N$1,$C$112:$C$113,0)-1,0)</f>
        <v>72.27</v>
      </c>
      <c r="H25" s="28">
        <f ca="1">87.36*OFFSET(H$112,MATCH($N$1,$C$112:$C$113,0)-1,0)</f>
        <v>87.36</v>
      </c>
      <c r="I25" s="28">
        <f ca="1">104.8*OFFSET(I$112,MATCH($N$1,$C$112:$C$113,0)-1,0)</f>
        <v>104.8</v>
      </c>
      <c r="J25" s="28">
        <f ca="1">85.26*OFFSET(J$112,MATCH($N$1,$C$112:$C$113,0)-1,0)</f>
        <v>85.26</v>
      </c>
      <c r="K25" s="28">
        <f ca="1">117.14*OFFSET(K$112,MATCH($N$1,$C$112:$C$113,0)-1,0)</f>
        <v>117.14</v>
      </c>
      <c r="L25" s="28">
        <f ca="1">112.21*OFFSET(L$112,MATCH($N$1,$C$112:$C$113,0)-1,0)</f>
        <v>112.21</v>
      </c>
      <c r="M25" s="28">
        <f ca="1">74.11*OFFSET(M$112,MATCH($N$1,$C$112:$C$113,0)-1,0)</f>
        <v>74.11</v>
      </c>
      <c r="N25" s="28">
        <v>51.44</v>
      </c>
      <c r="O25" s="23" t="str">
        <f t="shared" si="0"/>
        <v/>
      </c>
      <c r="P25" s="23">
        <f t="shared" ca="1" si="1"/>
        <v>-0.39666901243255931</v>
      </c>
    </row>
    <row r="26" spans="1:16" ht="18" customHeight="1" x14ac:dyDescent="0.2">
      <c r="A26" s="229"/>
      <c r="B26" s="33" t="s">
        <v>65</v>
      </c>
      <c r="C26" s="40"/>
      <c r="D26" s="28"/>
      <c r="E26" s="28">
        <f ca="1">16.4*OFFSET(E$112,MATCH($N$1,$C$112:$C$113,0)-1,0)</f>
        <v>16.399999999999999</v>
      </c>
      <c r="F26" s="28">
        <f ca="1">0.8*OFFSET(F$112,MATCH($N$1,$C$112:$C$113,0)-1,0)</f>
        <v>0.8</v>
      </c>
      <c r="G26" s="28">
        <f ca="1">8.13*OFFSET(G$112,MATCH($N$1,$C$112:$C$113,0)-1,0)</f>
        <v>8.1300000000000008</v>
      </c>
      <c r="H26" s="28">
        <f ca="1">-5.69*OFFSET(H$112,MATCH($N$1,$C$112:$C$113,0)-1,0)</f>
        <v>-5.69</v>
      </c>
      <c r="I26" s="28">
        <f ca="1">16.98*OFFSET(I$112,MATCH($N$1,$C$112:$C$113,0)-1,0)</f>
        <v>16.98</v>
      </c>
      <c r="J26" s="28">
        <f ca="1">11.54*OFFSET(J$112,MATCH($N$1,$C$112:$C$113,0)-1,0)</f>
        <v>11.54</v>
      </c>
      <c r="K26" s="28">
        <f ca="1">34.84*OFFSET(K$112,MATCH($N$1,$C$112:$C$113,0)-1,0)</f>
        <v>34.840000000000003</v>
      </c>
      <c r="L26" s="28">
        <f ca="1">33.72*OFFSET(L$112,MATCH($N$1,$C$112:$C$113,0)-1,0)</f>
        <v>33.72</v>
      </c>
      <c r="M26" s="28">
        <f ca="1">10.24*OFFSET(M$112,MATCH($N$1,$C$112:$C$113,0)-1,0)</f>
        <v>10.24</v>
      </c>
      <c r="N26" s="28">
        <v>3.94</v>
      </c>
      <c r="O26" s="29" t="str">
        <f t="shared" si="0"/>
        <v/>
      </c>
      <c r="P26" s="29">
        <f t="shared" ca="1" si="1"/>
        <v>-0.65857885615251299</v>
      </c>
    </row>
    <row r="27" spans="1:16" ht="18" customHeight="1" x14ac:dyDescent="0.2">
      <c r="A27" s="230" t="s">
        <v>26</v>
      </c>
      <c r="B27" s="30" t="s">
        <v>59</v>
      </c>
      <c r="C27" s="31"/>
      <c r="D27" s="32">
        <f ca="1">335.8*OFFSET(D$112,MATCH($N$1,$C$112:$C$113,0)-1,0)</f>
        <v>335.8</v>
      </c>
      <c r="E27" s="32">
        <f ca="1">641.3*OFFSET(E$112,MATCH($N$1,$C$112:$C$113,0)-1,0)</f>
        <v>641.29999999999995</v>
      </c>
      <c r="F27" s="32">
        <f ca="1">553.8*OFFSET(F$112,MATCH($N$1,$C$112:$C$113,0)-1,0)</f>
        <v>553.79999999999995</v>
      </c>
      <c r="G27" s="32">
        <f ca="1">740.4*OFFSET(G$112,MATCH($N$1,$C$112:$C$113,0)-1,0)</f>
        <v>740.4</v>
      </c>
      <c r="H27" s="32">
        <f ca="1">655.1*OFFSET(H$112,MATCH($N$1,$C$112:$C$113,0)-1,0)</f>
        <v>655.1</v>
      </c>
      <c r="I27" s="32">
        <f ca="1">788.4*OFFSET(I$112,MATCH($N$1,$C$112:$C$113,0)-1,0)</f>
        <v>788.4</v>
      </c>
      <c r="J27" s="32">
        <f ca="1">828.9*OFFSET(J$112,MATCH($N$1,$C$112:$C$113,0)-1,0)</f>
        <v>828.9</v>
      </c>
      <c r="K27" s="32">
        <f ca="1">1075.4*OFFSET(K$112,MATCH($N$1,$C$112:$C$113,0)-1,0)</f>
        <v>1075.4000000000001</v>
      </c>
      <c r="L27" s="32">
        <f ca="1">1005.9*OFFSET(L$112,MATCH($N$1,$C$112:$C$113,0)-1,0)</f>
        <v>1005.9</v>
      </c>
      <c r="M27" s="32">
        <f ca="1">668.9*OFFSET(M$112,MATCH($N$1,$C$112:$C$113,0)-1,0)</f>
        <v>668.9</v>
      </c>
      <c r="N27" s="32">
        <v>471.7</v>
      </c>
      <c r="O27" s="23">
        <f t="shared" ca="1" si="0"/>
        <v>0.40470518165574737</v>
      </c>
      <c r="P27" s="23">
        <f t="shared" ca="1" si="1"/>
        <v>-0.43093256122572082</v>
      </c>
    </row>
    <row r="28" spans="1:16" ht="18" customHeight="1" x14ac:dyDescent="0.2">
      <c r="A28" s="231"/>
      <c r="B28" s="33" t="s">
        <v>66</v>
      </c>
      <c r="C28" s="27"/>
      <c r="D28" s="28">
        <f ca="1">6.6*OFFSET(D$112,MATCH($N$1,$C$112:$C$113,0)-1,0)</f>
        <v>6.6</v>
      </c>
      <c r="E28" s="28">
        <f ca="1">24.3*OFFSET(E$112,MATCH($N$1,$C$112:$C$113,0)-1,0)</f>
        <v>24.3</v>
      </c>
      <c r="F28" s="28">
        <f ca="1">8.3*OFFSET(F$112,MATCH($N$1,$C$112:$C$113,0)-1,0)</f>
        <v>8.3000000000000007</v>
      </c>
      <c r="G28" s="28">
        <f ca="1">14.5*OFFSET(G$112,MATCH($N$1,$C$112:$C$113,0)-1,0)</f>
        <v>14.5</v>
      </c>
      <c r="H28" s="28">
        <f ca="1">41.1*OFFSET(H$112,MATCH($N$1,$C$112:$C$113,0)-1,0)</f>
        <v>41.1</v>
      </c>
      <c r="I28" s="28">
        <f ca="1">31*OFFSET(I$112,MATCH($N$1,$C$112:$C$113,0)-1,0)</f>
        <v>31</v>
      </c>
      <c r="J28" s="28">
        <f ca="1">7.8*OFFSET(J$112,MATCH($N$1,$C$112:$C$113,0)-1,0)</f>
        <v>7.8</v>
      </c>
      <c r="K28" s="28">
        <f ca="1">2.3*OFFSET(K$112,MATCH($N$1,$C$112:$C$113,0)-1,0)</f>
        <v>2.2999999999999998</v>
      </c>
      <c r="L28" s="28">
        <f ca="1">2.5*OFFSET(L$112,MATCH($N$1,$C$112:$C$113,0)-1,0)</f>
        <v>2.5</v>
      </c>
      <c r="M28" s="28">
        <f ca="1">13.9*OFFSET(M$112,MATCH($N$1,$C$112:$C$113,0)-1,0)</f>
        <v>13.9</v>
      </c>
      <c r="N28" s="28">
        <v>9.8000000000000007</v>
      </c>
      <c r="O28" s="23">
        <f t="shared" ca="1" si="0"/>
        <v>0.48484848484848503</v>
      </c>
      <c r="P28" s="23">
        <f t="shared" ca="1" si="1"/>
        <v>0.25641025641025655</v>
      </c>
    </row>
    <row r="29" spans="1:16" ht="18" customHeight="1" x14ac:dyDescent="0.2">
      <c r="A29" s="231"/>
      <c r="B29" s="41" t="s">
        <v>67</v>
      </c>
      <c r="C29" s="42"/>
      <c r="D29" s="43">
        <f ca="1">342.4*OFFSET(D$112,MATCH($N$1,$C$112:$C$113,0)-1,0)</f>
        <v>342.4</v>
      </c>
      <c r="E29" s="43">
        <f ca="1">665.6*OFFSET(E$112,MATCH($N$1,$C$112:$C$113,0)-1,0)</f>
        <v>665.6</v>
      </c>
      <c r="F29" s="43">
        <f ca="1">562*OFFSET(F$112,MATCH($N$1,$C$112:$C$113,0)-1,0)</f>
        <v>562</v>
      </c>
      <c r="G29" s="43">
        <f ca="1">755*OFFSET(G$112,MATCH($N$1,$C$112:$C$113,0)-1,0)</f>
        <v>755</v>
      </c>
      <c r="H29" s="43">
        <f ca="1">696.1*OFFSET(H$112,MATCH($N$1,$C$112:$C$113,0)-1,0)</f>
        <v>696.1</v>
      </c>
      <c r="I29" s="43">
        <f ca="1">819.5*OFFSET(I$112,MATCH($N$1,$C$112:$C$113,0)-1,0)</f>
        <v>819.5</v>
      </c>
      <c r="J29" s="43">
        <f ca="1">836.7*OFFSET(J$112,MATCH($N$1,$C$112:$C$113,0)-1,0)</f>
        <v>836.7</v>
      </c>
      <c r="K29" s="43">
        <f ca="1">1077.7*OFFSET(K$112,MATCH($N$1,$C$112:$C$113,0)-1,0)</f>
        <v>1077.7</v>
      </c>
      <c r="L29" s="43">
        <f ca="1">1008.4*OFFSET(L$112,MATCH($N$1,$C$112:$C$113,0)-1,0)</f>
        <v>1008.4</v>
      </c>
      <c r="M29" s="43">
        <f ca="1">682.7*OFFSET(M$112,MATCH($N$1,$C$112:$C$113,0)-1,0)</f>
        <v>682.7</v>
      </c>
      <c r="N29" s="43">
        <v>481.5</v>
      </c>
      <c r="O29" s="23">
        <f t="shared" ca="1" si="0"/>
        <v>0.40625000000000011</v>
      </c>
      <c r="P29" s="23">
        <f t="shared" ca="1" si="1"/>
        <v>-0.42452491932592329</v>
      </c>
    </row>
    <row r="30" spans="1:16" ht="18" customHeight="1" x14ac:dyDescent="0.2">
      <c r="A30" s="231"/>
      <c r="B30" s="33" t="s">
        <v>68</v>
      </c>
      <c r="C30" s="27"/>
      <c r="D30" s="28">
        <f ca="1">124.6*OFFSET(D$112,MATCH($N$1,$C$112:$C$113,0)-1,0)</f>
        <v>124.6</v>
      </c>
      <c r="E30" s="28">
        <f ca="1">90.6*OFFSET(E$112,MATCH($N$1,$C$112:$C$113,0)-1,0)</f>
        <v>90.6</v>
      </c>
      <c r="F30" s="28">
        <f ca="1">95.5*OFFSET(F$112,MATCH($N$1,$C$112:$C$113,0)-1,0)</f>
        <v>95.5</v>
      </c>
      <c r="G30" s="28">
        <f ca="1">132.6*OFFSET(G$112,MATCH($N$1,$C$112:$C$113,0)-1,0)</f>
        <v>132.6</v>
      </c>
      <c r="H30" s="28">
        <f ca="1">108*OFFSET(H$112,MATCH($N$1,$C$112:$C$113,0)-1,0)</f>
        <v>108</v>
      </c>
      <c r="I30" s="28">
        <f ca="1">113.7*OFFSET(I$112,MATCH($N$1,$C$112:$C$113,0)-1,0)</f>
        <v>113.7</v>
      </c>
      <c r="J30" s="28">
        <f ca="1">102.6*OFFSET(J$112,MATCH($N$1,$C$112:$C$113,0)-1,0)</f>
        <v>102.6</v>
      </c>
      <c r="K30" s="28">
        <f ca="1">83.8*OFFSET(K$112,MATCH($N$1,$C$112:$C$113,0)-1,0)</f>
        <v>83.8</v>
      </c>
      <c r="L30" s="28">
        <f ca="1">82.5*OFFSET(L$112,MATCH($N$1,$C$112:$C$113,0)-1,0)</f>
        <v>82.5</v>
      </c>
      <c r="M30" s="28">
        <f ca="1">96.8*OFFSET(M$112,MATCH($N$1,$C$112:$C$113,0)-1,0)</f>
        <v>96.8</v>
      </c>
      <c r="N30" s="28">
        <v>115.10000000000001</v>
      </c>
      <c r="O30" s="23">
        <f t="shared" ca="1" si="0"/>
        <v>-7.6243980738362652E-2</v>
      </c>
      <c r="P30" s="23">
        <f t="shared" ca="1" si="1"/>
        <v>0.12183235867446408</v>
      </c>
    </row>
    <row r="31" spans="1:16" ht="18" customHeight="1" x14ac:dyDescent="0.2">
      <c r="A31" s="231"/>
      <c r="B31" s="33" t="s">
        <v>69</v>
      </c>
      <c r="C31" s="27"/>
      <c r="D31" s="28">
        <f ca="1">23.2*OFFSET(D$112,MATCH($N$1,$C$112:$C$113,0)-1,0)</f>
        <v>23.2</v>
      </c>
      <c r="E31" s="28">
        <f ca="1">151.3*OFFSET(E$112,MATCH($N$1,$C$112:$C$113,0)-1,0)</f>
        <v>151.30000000000001</v>
      </c>
      <c r="F31" s="28">
        <f ca="1">241.3*OFFSET(F$112,MATCH($N$1,$C$112:$C$113,0)-1,0)</f>
        <v>241.3</v>
      </c>
      <c r="G31" s="28">
        <f ca="1">131.6*OFFSET(G$112,MATCH($N$1,$C$112:$C$113,0)-1,0)</f>
        <v>131.6</v>
      </c>
      <c r="H31" s="28">
        <f ca="1">231*OFFSET(H$112,MATCH($N$1,$C$112:$C$113,0)-1,0)</f>
        <v>231</v>
      </c>
      <c r="I31" s="28">
        <f ca="1">128.5*OFFSET(I$112,MATCH($N$1,$C$112:$C$113,0)-1,0)</f>
        <v>128.5</v>
      </c>
      <c r="J31" s="28">
        <f ca="1">132.8*OFFSET(J$112,MATCH($N$1,$C$112:$C$113,0)-1,0)</f>
        <v>132.80000000000001</v>
      </c>
      <c r="K31" s="28">
        <f ca="1">130.9*OFFSET(K$112,MATCH($N$1,$C$112:$C$113,0)-1,0)</f>
        <v>130.9</v>
      </c>
      <c r="L31" s="28">
        <f ca="1">114.3*OFFSET(L$112,MATCH($N$1,$C$112:$C$113,0)-1,0)</f>
        <v>114.3</v>
      </c>
      <c r="M31" s="28">
        <f ca="1">122.6*OFFSET(M$112,MATCH($N$1,$C$112:$C$113,0)-1,0)</f>
        <v>122.6</v>
      </c>
      <c r="N31" s="28">
        <v>68.7</v>
      </c>
      <c r="O31" s="23">
        <f t="shared" ca="1" si="0"/>
        <v>1.9612068965517242</v>
      </c>
      <c r="P31" s="23">
        <f t="shared" ca="1" si="1"/>
        <v>-0.48268072289156627</v>
      </c>
    </row>
    <row r="32" spans="1:16" ht="18" customHeight="1" x14ac:dyDescent="0.2">
      <c r="A32" s="231"/>
      <c r="B32" s="33" t="s">
        <v>70</v>
      </c>
      <c r="C32" s="27"/>
      <c r="D32" s="28">
        <f ca="1">81*OFFSET(D$112,MATCH($N$1,$C$112:$C$113,0)-1,0)</f>
        <v>81</v>
      </c>
      <c r="E32" s="28">
        <f ca="1">171*OFFSET(E$112,MATCH($N$1,$C$112:$C$113,0)-1,0)</f>
        <v>171</v>
      </c>
      <c r="F32" s="28">
        <f ca="1">123.8*OFFSET(F$112,MATCH($N$1,$C$112:$C$113,0)-1,0)</f>
        <v>123.8</v>
      </c>
      <c r="G32" s="28">
        <f ca="1">268.1*OFFSET(G$112,MATCH($N$1,$C$112:$C$113,0)-1,0)</f>
        <v>268.10000000000002</v>
      </c>
      <c r="H32" s="28">
        <f ca="1">217.4*OFFSET(H$112,MATCH($N$1,$C$112:$C$113,0)-1,0)</f>
        <v>217.4</v>
      </c>
      <c r="I32" s="28">
        <f ca="1">172.2*OFFSET(I$112,MATCH($N$1,$C$112:$C$113,0)-1,0)</f>
        <v>172.2</v>
      </c>
      <c r="J32" s="28">
        <f ca="1">157.6*OFFSET(J$112,MATCH($N$1,$C$112:$C$113,0)-1,0)</f>
        <v>157.6</v>
      </c>
      <c r="K32" s="28">
        <f ca="1">415.5*OFFSET(K$112,MATCH($N$1,$C$112:$C$113,0)-1,0)</f>
        <v>415.5</v>
      </c>
      <c r="L32" s="28">
        <f ca="1">400.5*OFFSET(L$112,MATCH($N$1,$C$112:$C$113,0)-1,0)</f>
        <v>400.5</v>
      </c>
      <c r="M32" s="28">
        <f ca="1">248*OFFSET(M$112,MATCH($N$1,$C$112:$C$113,0)-1,0)</f>
        <v>248</v>
      </c>
      <c r="N32" s="28">
        <v>174.9</v>
      </c>
      <c r="O32" s="23">
        <f t="shared" ca="1" si="0"/>
        <v>1.1592592592592594</v>
      </c>
      <c r="P32" s="23">
        <f t="shared" ca="1" si="1"/>
        <v>0.10977157360406099</v>
      </c>
    </row>
    <row r="33" spans="1:16" ht="18" customHeight="1" x14ac:dyDescent="0.2">
      <c r="A33" s="231"/>
      <c r="B33" s="33" t="s">
        <v>71</v>
      </c>
      <c r="C33" s="27"/>
      <c r="D33" s="28">
        <f ca="1">228.8*OFFSET(D$112,MATCH($N$1,$C$112:$C$113,0)-1,0)</f>
        <v>228.8</v>
      </c>
      <c r="E33" s="28">
        <f ca="1">412.9*OFFSET(E$112,MATCH($N$1,$C$112:$C$113,0)-1,0)</f>
        <v>412.9</v>
      </c>
      <c r="F33" s="28">
        <f ca="1">460.6*OFFSET(F$112,MATCH($N$1,$C$112:$C$113,0)-1,0)</f>
        <v>460.6</v>
      </c>
      <c r="G33" s="28">
        <f ca="1">532.3*OFFSET(G$112,MATCH($N$1,$C$112:$C$113,0)-1,0)</f>
        <v>532.29999999999995</v>
      </c>
      <c r="H33" s="28">
        <f ca="1">556.4*OFFSET(H$112,MATCH($N$1,$C$112:$C$113,0)-1,0)</f>
        <v>556.4</v>
      </c>
      <c r="I33" s="28">
        <f ca="1">414.4*OFFSET(I$112,MATCH($N$1,$C$112:$C$113,0)-1,0)</f>
        <v>414.4</v>
      </c>
      <c r="J33" s="28">
        <f ca="1">393.1*OFFSET(J$112,MATCH($N$1,$C$112:$C$113,0)-1,0)</f>
        <v>393.1</v>
      </c>
      <c r="K33" s="28">
        <f ca="1">630.2*OFFSET(K$112,MATCH($N$1,$C$112:$C$113,0)-1,0)</f>
        <v>630.20000000000005</v>
      </c>
      <c r="L33" s="28">
        <f ca="1">597.3*OFFSET(L$112,MATCH($N$1,$C$112:$C$113,0)-1,0)</f>
        <v>597.29999999999995</v>
      </c>
      <c r="M33" s="28">
        <f ca="1">467.3*OFFSET(M$112,MATCH($N$1,$C$112:$C$113,0)-1,0)</f>
        <v>467.3</v>
      </c>
      <c r="N33" s="28">
        <v>358.7</v>
      </c>
      <c r="O33" s="23">
        <f t="shared" ca="1" si="0"/>
        <v>0.56774475524475509</v>
      </c>
      <c r="P33" s="23">
        <f t="shared" ca="1" si="1"/>
        <v>-8.7509539557364624E-2</v>
      </c>
    </row>
    <row r="34" spans="1:16" ht="18" customHeight="1" x14ac:dyDescent="0.2">
      <c r="A34" s="231"/>
      <c r="B34" s="33" t="s">
        <v>72</v>
      </c>
      <c r="C34" s="27"/>
      <c r="D34" s="28">
        <f ca="1">42.2*OFFSET(D$112,MATCH($N$1,$C$112:$C$113,0)-1,0)</f>
        <v>42.2</v>
      </c>
      <c r="E34" s="28">
        <f ca="1">87.9*OFFSET(E$112,MATCH($N$1,$C$112:$C$113,0)-1,0)</f>
        <v>87.9</v>
      </c>
      <c r="F34" s="28">
        <f ca="1">94*OFFSET(F$112,MATCH($N$1,$C$112:$C$113,0)-1,0)</f>
        <v>94</v>
      </c>
      <c r="G34" s="28">
        <f ca="1">139.4*OFFSET(G$112,MATCH($N$1,$C$112:$C$113,0)-1,0)</f>
        <v>139.4</v>
      </c>
      <c r="H34" s="28">
        <f ca="1">182.4*OFFSET(H$112,MATCH($N$1,$C$112:$C$113,0)-1,0)</f>
        <v>182.4</v>
      </c>
      <c r="I34" s="28">
        <f ca="1">277.3*OFFSET(I$112,MATCH($N$1,$C$112:$C$113,0)-1,0)</f>
        <v>277.3</v>
      </c>
      <c r="J34" s="28">
        <f ca="1">331.4*OFFSET(J$112,MATCH($N$1,$C$112:$C$113,0)-1,0)</f>
        <v>331.4</v>
      </c>
      <c r="K34" s="28">
        <f ca="1">127.6*OFFSET(K$112,MATCH($N$1,$C$112:$C$113,0)-1,0)</f>
        <v>127.6</v>
      </c>
      <c r="L34" s="28">
        <f ca="1">108.9*OFFSET(L$112,MATCH($N$1,$C$112:$C$113,0)-1,0)</f>
        <v>108.9</v>
      </c>
      <c r="M34" s="28">
        <f ca="1">123*OFFSET(M$112,MATCH($N$1,$C$112:$C$113,0)-1,0)</f>
        <v>123</v>
      </c>
      <c r="N34" s="28">
        <v>86.7</v>
      </c>
      <c r="O34" s="23">
        <f t="shared" ca="1" si="0"/>
        <v>1.0545023696682463</v>
      </c>
      <c r="P34" s="23">
        <f t="shared" ca="1" si="1"/>
        <v>-0.73838261919130965</v>
      </c>
    </row>
    <row r="35" spans="1:16" ht="18" customHeight="1" x14ac:dyDescent="0.2">
      <c r="A35" s="231"/>
      <c r="B35" s="33" t="s">
        <v>73</v>
      </c>
      <c r="C35" s="27"/>
      <c r="D35" s="28">
        <f ca="1">271*OFFSET(D$112,MATCH($N$1,$C$112:$C$113,0)-1,0)</f>
        <v>271</v>
      </c>
      <c r="E35" s="28">
        <f ca="1">500.8*OFFSET(E$112,MATCH($N$1,$C$112:$C$113,0)-1,0)</f>
        <v>500.8</v>
      </c>
      <c r="F35" s="28">
        <f ca="1">554.6*OFFSET(F$112,MATCH($N$1,$C$112:$C$113,0)-1,0)</f>
        <v>554.6</v>
      </c>
      <c r="G35" s="28">
        <f ca="1">671.7*OFFSET(G$112,MATCH($N$1,$C$112:$C$113,0)-1,0)</f>
        <v>671.7</v>
      </c>
      <c r="H35" s="28">
        <f ca="1">738.8*OFFSET(H$112,MATCH($N$1,$C$112:$C$113,0)-1,0)</f>
        <v>738.8</v>
      </c>
      <c r="I35" s="28">
        <f ca="1">691.7*OFFSET(I$112,MATCH($N$1,$C$112:$C$113,0)-1,0)</f>
        <v>691.7</v>
      </c>
      <c r="J35" s="28">
        <f ca="1">724.5*OFFSET(J$112,MATCH($N$1,$C$112:$C$113,0)-1,0)</f>
        <v>724.5</v>
      </c>
      <c r="K35" s="28">
        <f ca="1">757.9*OFFSET(K$112,MATCH($N$1,$C$112:$C$113,0)-1,0)</f>
        <v>757.9</v>
      </c>
      <c r="L35" s="28">
        <f ca="1">706.1*OFFSET(L$112,MATCH($N$1,$C$112:$C$113,0)-1,0)</f>
        <v>706.1</v>
      </c>
      <c r="M35" s="28">
        <f ca="1">590.3*OFFSET(M$112,MATCH($N$1,$C$112:$C$113,0)-1,0)</f>
        <v>590.29999999999995</v>
      </c>
      <c r="N35" s="28">
        <v>445.40000000000003</v>
      </c>
      <c r="O35" s="23">
        <f t="shared" ca="1" si="0"/>
        <v>0.64354243542435441</v>
      </c>
      <c r="P35" s="23">
        <f t="shared" ca="1" si="1"/>
        <v>-0.38523119392684607</v>
      </c>
    </row>
    <row r="36" spans="1:16" ht="18" customHeight="1" x14ac:dyDescent="0.2">
      <c r="A36" s="231"/>
      <c r="B36" s="41" t="s">
        <v>74</v>
      </c>
      <c r="C36" s="42"/>
      <c r="D36" s="43">
        <f ca="1">94.6*OFFSET(D$112,MATCH($N$1,$C$112:$C$113,0)-1,0)</f>
        <v>94.6</v>
      </c>
      <c r="E36" s="43">
        <f ca="1">316.2*OFFSET(E$112,MATCH($N$1,$C$112:$C$113,0)-1,0)</f>
        <v>316.2</v>
      </c>
      <c r="F36" s="43">
        <f ca="1">248.7*OFFSET(F$112,MATCH($N$1,$C$112:$C$113,0)-1,0)</f>
        <v>248.7</v>
      </c>
      <c r="G36" s="43">
        <f ca="1">214.9*OFFSET(G$112,MATCH($N$1,$C$112:$C$113,0)-1,0)</f>
        <v>214.9</v>
      </c>
      <c r="H36" s="43">
        <f ca="1">188.3*OFFSET(H$112,MATCH($N$1,$C$112:$C$113,0)-1,0)</f>
        <v>188.3</v>
      </c>
      <c r="I36" s="43">
        <f ca="1">256.2*OFFSET(I$112,MATCH($N$1,$C$112:$C$113,0)-1,0)</f>
        <v>256.2</v>
      </c>
      <c r="J36" s="43">
        <f ca="1">245*OFFSET(J$112,MATCH($N$1,$C$112:$C$113,0)-1,0)</f>
        <v>245</v>
      </c>
      <c r="K36" s="43">
        <f ca="1">450.8*OFFSET(K$112,MATCH($N$1,$C$112:$C$113,0)-1,0)</f>
        <v>450.8</v>
      </c>
      <c r="L36" s="43">
        <f ca="1">416.6*OFFSET(L$112,MATCH($N$1,$C$112:$C$113,0)-1,0)</f>
        <v>416.6</v>
      </c>
      <c r="M36" s="43">
        <f ca="1">215*OFFSET(M$112,MATCH($N$1,$C$112:$C$113,0)-1,0)</f>
        <v>215</v>
      </c>
      <c r="N36" s="43">
        <v>104.80000000000001</v>
      </c>
      <c r="O36" s="23">
        <f t="shared" ca="1" si="0"/>
        <v>0.10782241014799172</v>
      </c>
      <c r="P36" s="23">
        <f t="shared" ca="1" si="1"/>
        <v>-0.57224489795918365</v>
      </c>
    </row>
    <row r="37" spans="1:16" ht="18" customHeight="1" x14ac:dyDescent="0.2">
      <c r="A37" s="231"/>
      <c r="B37" s="41" t="s">
        <v>75</v>
      </c>
      <c r="C37" s="42"/>
      <c r="D37" s="43">
        <f ca="1">71.4*OFFSET(D$112,MATCH($N$1,$C$112:$C$113,0)-1,0)</f>
        <v>71.400000000000006</v>
      </c>
      <c r="E37" s="43">
        <f ca="1">164.9*OFFSET(E$112,MATCH($N$1,$C$112:$C$113,0)-1,0)</f>
        <v>164.9</v>
      </c>
      <c r="F37" s="43">
        <f ca="1">7.4*OFFSET(F$112,MATCH($N$1,$C$112:$C$113,0)-1,0)</f>
        <v>7.4</v>
      </c>
      <c r="G37" s="43">
        <f ca="1">83.3*OFFSET(G$112,MATCH($N$1,$C$112:$C$113,0)-1,0)</f>
        <v>83.3</v>
      </c>
      <c r="H37" s="43">
        <f ca="1">-42.7*OFFSET(H$112,MATCH($N$1,$C$112:$C$113,0)-1,0)</f>
        <v>-42.7</v>
      </c>
      <c r="I37" s="43">
        <f ca="1">127.7*OFFSET(I$112,MATCH($N$1,$C$112:$C$113,0)-1,0)</f>
        <v>127.7</v>
      </c>
      <c r="J37" s="43">
        <f ca="1">112.2*OFFSET(J$112,MATCH($N$1,$C$112:$C$113,0)-1,0)</f>
        <v>112.2</v>
      </c>
      <c r="K37" s="43">
        <f ca="1">319.9*OFFSET(K$112,MATCH($N$1,$C$112:$C$113,0)-1,0)</f>
        <v>319.89999999999998</v>
      </c>
      <c r="L37" s="43">
        <f ca="1">302.3*OFFSET(L$112,MATCH($N$1,$C$112:$C$113,0)-1,0)</f>
        <v>302.3</v>
      </c>
      <c r="M37" s="43">
        <f ca="1">92.4*OFFSET(M$112,MATCH($N$1,$C$112:$C$113,0)-1,0)</f>
        <v>92.4</v>
      </c>
      <c r="N37" s="43">
        <v>36.1</v>
      </c>
      <c r="O37" s="23">
        <f t="shared" ca="1" si="0"/>
        <v>-0.49439775910364148</v>
      </c>
      <c r="P37" s="23">
        <f t="shared" ca="1" si="1"/>
        <v>-0.67825311942958999</v>
      </c>
    </row>
    <row r="38" spans="1:16" ht="18" customHeight="1" x14ac:dyDescent="0.2">
      <c r="A38" s="231"/>
      <c r="B38" s="33" t="s">
        <v>76</v>
      </c>
      <c r="C38" s="27"/>
      <c r="D38" s="28">
        <f ca="1">14*OFFSET(D$112,MATCH($N$1,$C$112:$C$113,0)-1,0)</f>
        <v>14</v>
      </c>
      <c r="E38" s="28">
        <f ca="1">68*OFFSET(E$112,MATCH($N$1,$C$112:$C$113,0)-1,0)</f>
        <v>68</v>
      </c>
      <c r="F38" s="28">
        <f ca="1">11.9*OFFSET(F$112,MATCH($N$1,$C$112:$C$113,0)-1,0)</f>
        <v>11.9</v>
      </c>
      <c r="G38" s="28"/>
      <c r="H38" s="28">
        <f ca="1">5.4*OFFSET(H$112,MATCH($N$1,$C$112:$C$113,0)-1,0)</f>
        <v>5.4</v>
      </c>
      <c r="I38" s="28">
        <f ca="1">52.2*OFFSET(I$112,MATCH($N$1,$C$112:$C$113,0)-1,0)</f>
        <v>52.2</v>
      </c>
      <c r="J38" s="28">
        <f ca="1">50.6*OFFSET(J$112,MATCH($N$1,$C$112:$C$113,0)-1,0)</f>
        <v>50.6</v>
      </c>
      <c r="K38" s="28">
        <f ca="1">49.1*OFFSET(K$112,MATCH($N$1,$C$112:$C$113,0)-1,0)</f>
        <v>49.1</v>
      </c>
      <c r="L38" s="28">
        <f ca="1">25.7*OFFSET(L$112,MATCH($N$1,$C$112:$C$113,0)-1,0)</f>
        <v>25.7</v>
      </c>
      <c r="M38" s="28">
        <f ca="1">37.5*OFFSET(M$112,MATCH($N$1,$C$112:$C$113,0)-1,0)</f>
        <v>37.5</v>
      </c>
      <c r="N38" s="28"/>
      <c r="O38" s="23" t="str">
        <f t="shared" si="0"/>
        <v/>
      </c>
      <c r="P38" s="23" t="str">
        <f t="shared" si="1"/>
        <v/>
      </c>
    </row>
    <row r="39" spans="1:16" ht="18" customHeight="1" x14ac:dyDescent="0.2">
      <c r="A39" s="231"/>
      <c r="B39" s="33" t="s">
        <v>77</v>
      </c>
      <c r="C39" s="27"/>
      <c r="D39" s="28"/>
      <c r="E39" s="28"/>
      <c r="F39" s="28">
        <f ca="1">6.7*OFFSET(F$112,MATCH($N$1,$C$112:$C$113,0)-1,0)</f>
        <v>6.7</v>
      </c>
      <c r="G39" s="28"/>
      <c r="H39" s="28"/>
      <c r="I39" s="28">
        <f ca="1">3.7*OFFSET(I$112,MATCH($N$1,$C$112:$C$113,0)-1,0)</f>
        <v>3.7</v>
      </c>
      <c r="J39" s="28">
        <f ca="1">3.1*OFFSET(J$112,MATCH($N$1,$C$112:$C$113,0)-1,0)</f>
        <v>3.1</v>
      </c>
      <c r="K39" s="28">
        <f ca="1">3.2*OFFSET(K$112,MATCH($N$1,$C$112:$C$113,0)-1,0)</f>
        <v>3.2</v>
      </c>
      <c r="L39" s="28">
        <f ca="1">0.8*OFFSET(L$112,MATCH($N$1,$C$112:$C$113,0)-1,0)</f>
        <v>0.8</v>
      </c>
      <c r="M39" s="28">
        <f ca="1">0.8*OFFSET(M$112,MATCH($N$1,$C$112:$C$113,0)-1,0)</f>
        <v>0.8</v>
      </c>
      <c r="N39" s="28"/>
      <c r="O39" s="23" t="str">
        <f t="shared" si="0"/>
        <v/>
      </c>
      <c r="P39" s="23" t="str">
        <f t="shared" si="1"/>
        <v/>
      </c>
    </row>
    <row r="40" spans="1:16" ht="18" customHeight="1" x14ac:dyDescent="0.2">
      <c r="A40" s="231"/>
      <c r="B40" s="33" t="s">
        <v>78</v>
      </c>
      <c r="C40" s="27"/>
      <c r="D40" s="28"/>
      <c r="E40" s="28"/>
      <c r="F40" s="28">
        <f ca="1">0.4*OFFSET(F$112,MATCH($N$1,$C$112:$C$113,0)-1,0)</f>
        <v>0.4</v>
      </c>
      <c r="G40" s="28"/>
      <c r="H40" s="28">
        <f ca="1">1*OFFSET(H$112,MATCH($N$1,$C$112:$C$113,0)-1,0)</f>
        <v>1</v>
      </c>
      <c r="I40" s="28">
        <f ca="1">2.3*OFFSET(I$112,MATCH($N$1,$C$112:$C$113,0)-1,0)</f>
        <v>2.2999999999999998</v>
      </c>
      <c r="J40" s="28">
        <f ca="1">1.7*OFFSET(J$112,MATCH($N$1,$C$112:$C$113,0)-1,0)</f>
        <v>1.7</v>
      </c>
      <c r="K40" s="28">
        <f ca="1">1*OFFSET(K$112,MATCH($N$1,$C$112:$C$113,0)-1,0)</f>
        <v>1</v>
      </c>
      <c r="L40" s="28">
        <f ca="1">2.8*OFFSET(L$112,MATCH($N$1,$C$112:$C$113,0)-1,0)</f>
        <v>2.8</v>
      </c>
      <c r="M40" s="28">
        <f ca="1">0.7*OFFSET(M$112,MATCH($N$1,$C$112:$C$113,0)-1,0)</f>
        <v>0.7</v>
      </c>
      <c r="N40" s="28"/>
      <c r="O40" s="23" t="str">
        <f t="shared" si="0"/>
        <v/>
      </c>
      <c r="P40" s="23" t="str">
        <f t="shared" si="1"/>
        <v/>
      </c>
    </row>
    <row r="41" spans="1:16" ht="18" customHeight="1" thickBot="1" x14ac:dyDescent="0.25">
      <c r="A41" s="232"/>
      <c r="B41" s="44" t="s">
        <v>79</v>
      </c>
      <c r="C41" s="45"/>
      <c r="D41" s="46">
        <f ca="1">57.4*OFFSET(D$112,MATCH($N$1,$C$112:$C$113,0)-1,0)</f>
        <v>57.4</v>
      </c>
      <c r="E41" s="46">
        <f ca="1">96.9*OFFSET(E$112,MATCH($N$1,$C$112:$C$113,0)-1,0)</f>
        <v>96.9</v>
      </c>
      <c r="F41" s="46">
        <f ca="1">-11.6*OFFSET(F$112,MATCH($N$1,$C$112:$C$113,0)-1,0)</f>
        <v>-11.6</v>
      </c>
      <c r="G41" s="46"/>
      <c r="H41" s="46">
        <f ca="1">-49.1*OFFSET(H$112,MATCH($N$1,$C$112:$C$113,0)-1,0)</f>
        <v>-49.1</v>
      </c>
      <c r="I41" s="46">
        <f ca="1">69.6*OFFSET(I$112,MATCH($N$1,$C$112:$C$113,0)-1,0)</f>
        <v>69.599999999999994</v>
      </c>
      <c r="J41" s="46">
        <f ca="1">56.8*OFFSET(J$112,MATCH($N$1,$C$112:$C$113,0)-1,0)</f>
        <v>56.8</v>
      </c>
      <c r="K41" s="46">
        <f ca="1">266.6*OFFSET(K$112,MATCH($N$1,$C$112:$C$113,0)-1,0)</f>
        <v>266.60000000000002</v>
      </c>
      <c r="L41" s="46">
        <f ca="1">273*OFFSET(L$112,MATCH($N$1,$C$112:$C$113,0)-1,0)</f>
        <v>273</v>
      </c>
      <c r="M41" s="46">
        <f ca="1">53.5*OFFSET(M$112,MATCH($N$1,$C$112:$C$113,0)-1,0)</f>
        <v>53.5</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17</v>
      </c>
      <c r="F46" s="95" t="s">
        <v>17</v>
      </c>
      <c r="G46" s="95" t="s">
        <v>17</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Longliners</v>
      </c>
      <c r="C48" s="97"/>
      <c r="D48" s="97"/>
      <c r="E48" s="97"/>
      <c r="F48" s="97"/>
      <c r="G48" s="97"/>
      <c r="K48" s="97" t="str">
        <f>$B24&amp;CHAR(10)&amp;$A$1</f>
        <v>Operating profit per kW day at sea (£)
Longliners</v>
      </c>
    </row>
    <row r="49" spans="1:11" s="83" customFormat="1" x14ac:dyDescent="0.2">
      <c r="A49" s="97" t="str">
        <f>$B22&amp;CHAR(10)&amp;$A$1</f>
        <v>Fishing income per kW day at sea (£)
Longliners</v>
      </c>
    </row>
    <row r="50" spans="1:11" s="83" customFormat="1" x14ac:dyDescent="0.2">
      <c r="A50" s="97" t="str">
        <f>$B20&amp;CHAR(10)&amp;$A$1</f>
        <v>Average price per tonne landed (£)
Longliners</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Longliners</v>
      </c>
      <c r="F62" s="97" t="str">
        <f>$B20&amp;CHAR(10)&amp;$A$1</f>
        <v>Average price per tonne landed (£)
Longliners</v>
      </c>
      <c r="K62" s="97" t="str">
        <f>"Average annual operating profit per vessel (£'000)"&amp;CHAR(10)&amp;$A$1</f>
        <v>Average annual operating profit per vessel (£'000)
Longliners</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Longliners</v>
      </c>
      <c r="F76" s="97" t="str">
        <f>"Top 5 landed species by value in "&amp;A77&amp;CHAR(10)&amp;A1</f>
        <v>Top 5 landed species by value in 2017
Longliners</v>
      </c>
    </row>
    <row r="77" spans="1:9" s="97" customFormat="1" x14ac:dyDescent="0.2">
      <c r="A77" s="97">
        <v>2017</v>
      </c>
      <c r="B77" s="97" t="s">
        <v>212</v>
      </c>
      <c r="C77" s="98">
        <v>0.78954715217146099</v>
      </c>
      <c r="D77" s="99">
        <v>12153634</v>
      </c>
      <c r="G77" s="97" t="s">
        <v>213</v>
      </c>
      <c r="H77" s="98">
        <v>0.79520855774116039</v>
      </c>
      <c r="I77" s="99">
        <v>12153634</v>
      </c>
    </row>
    <row r="78" spans="1:9" s="97" customFormat="1" x14ac:dyDescent="0.2">
      <c r="B78" s="97" t="s">
        <v>214</v>
      </c>
      <c r="C78" s="98">
        <v>0.15366078707372247</v>
      </c>
      <c r="D78" s="99">
        <v>553960</v>
      </c>
      <c r="G78" s="97" t="s">
        <v>215</v>
      </c>
      <c r="H78" s="98">
        <v>0.10815900495788339</v>
      </c>
      <c r="I78" s="99">
        <v>553960</v>
      </c>
    </row>
    <row r="79" spans="1:9" s="97" customFormat="1" x14ac:dyDescent="0.2">
      <c r="B79" s="97" t="s">
        <v>216</v>
      </c>
      <c r="C79" s="98">
        <v>2.6365756714617879E-2</v>
      </c>
      <c r="D79" s="99">
        <v>1692097</v>
      </c>
      <c r="G79" s="97" t="s">
        <v>217</v>
      </c>
      <c r="H79" s="98">
        <v>4.4421128283125264E-2</v>
      </c>
      <c r="I79" s="99">
        <v>3050596</v>
      </c>
    </row>
    <row r="80" spans="1:9" s="97" customFormat="1" x14ac:dyDescent="0.2">
      <c r="B80" s="97" t="s">
        <v>218</v>
      </c>
      <c r="C80" s="98">
        <v>1.6687182011169744E-2</v>
      </c>
      <c r="D80" s="99">
        <v>3050596</v>
      </c>
      <c r="G80" s="97" t="s">
        <v>219</v>
      </c>
      <c r="H80" s="98">
        <v>3.3397367403186613E-2</v>
      </c>
      <c r="I80" s="99">
        <v>1692097</v>
      </c>
    </row>
    <row r="81" spans="1:18" s="97" customFormat="1" x14ac:dyDescent="0.2">
      <c r="B81" s="97" t="s">
        <v>220</v>
      </c>
      <c r="C81" s="98">
        <v>5.4712466955369153E-3</v>
      </c>
      <c r="D81" s="99">
        <v>11115023</v>
      </c>
      <c r="G81" s="97" t="s">
        <v>221</v>
      </c>
      <c r="H81" s="98">
        <v>6.5070349984298927E-3</v>
      </c>
      <c r="I81" s="99">
        <v>3689192</v>
      </c>
    </row>
    <row r="82" spans="1:18" s="97" customFormat="1" x14ac:dyDescent="0.2">
      <c r="B82" s="97" t="s">
        <v>222</v>
      </c>
      <c r="C82" s="98">
        <v>8.2678753334921584E-3</v>
      </c>
      <c r="D82" s="99">
        <v>5920853</v>
      </c>
      <c r="G82" s="97" t="s">
        <v>223</v>
      </c>
      <c r="H82" s="98">
        <v>1.2306906616214364E-2</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95</v>
      </c>
      <c r="D92" s="102">
        <v>0.74913556142232041</v>
      </c>
      <c r="E92" s="102">
        <v>0.59185631876729594</v>
      </c>
      <c r="F92" s="102">
        <v>0.66826348968535121</v>
      </c>
      <c r="G92" s="102">
        <v>0.72324822242587183</v>
      </c>
      <c r="H92" s="102">
        <v>0.77083719682510177</v>
      </c>
      <c r="I92" s="102">
        <v>0.82886590506460256</v>
      </c>
      <c r="J92" s="102">
        <v>0.85433518841478073</v>
      </c>
      <c r="K92" s="102">
        <v>0.85288649757478618</v>
      </c>
      <c r="L92" s="102">
        <v>0.79520855774116039</v>
      </c>
      <c r="M92" s="102">
        <v>0.63944282638797856</v>
      </c>
      <c r="O92" s="97">
        <v>12153634</v>
      </c>
    </row>
    <row r="93" spans="1:18" s="97" customFormat="1" hidden="1" x14ac:dyDescent="0.2">
      <c r="B93" s="97">
        <v>2</v>
      </c>
      <c r="C93" s="97" t="s">
        <v>206</v>
      </c>
      <c r="D93" s="102">
        <v>8.0735296315744817E-2</v>
      </c>
      <c r="E93" s="102">
        <v>0.13804346756875924</v>
      </c>
      <c r="F93" s="102">
        <v>0.14525582782405183</v>
      </c>
      <c r="G93" s="102">
        <v>0.14176881494495555</v>
      </c>
      <c r="H93" s="102">
        <v>9.2171382769582894E-2</v>
      </c>
      <c r="I93" s="102">
        <v>8.4828384703029266E-2</v>
      </c>
      <c r="J93" s="102">
        <v>8.6959471584404952E-2</v>
      </c>
      <c r="K93" s="102">
        <v>8.5779842221989241E-2</v>
      </c>
      <c r="L93" s="102">
        <v>0.10815900495788339</v>
      </c>
      <c r="M93" s="102">
        <v>0.13881777625924269</v>
      </c>
      <c r="O93" s="97">
        <v>553960</v>
      </c>
    </row>
    <row r="94" spans="1:18" s="97" customFormat="1" hidden="1" x14ac:dyDescent="0.2">
      <c r="B94" s="97">
        <v>3</v>
      </c>
      <c r="C94" s="97" t="s">
        <v>154</v>
      </c>
      <c r="D94" s="102">
        <v>4.8951750271085399E-2</v>
      </c>
      <c r="E94" s="102">
        <v>7.0347777169204026E-2</v>
      </c>
      <c r="F94" s="102">
        <v>7.4363218867657691E-2</v>
      </c>
      <c r="G94" s="102">
        <v>7.0829168923970634E-2</v>
      </c>
      <c r="H94" s="102">
        <v>6.053643307610003E-2</v>
      </c>
      <c r="I94" s="102">
        <v>2.773072738886798E-2</v>
      </c>
      <c r="J94" s="102">
        <v>1.0827484286813585E-2</v>
      </c>
      <c r="K94" s="102">
        <v>6.1800891198100748E-3</v>
      </c>
      <c r="L94" s="102">
        <v>4.4421128283125264E-2</v>
      </c>
      <c r="M94" s="102">
        <v>0.15470657155486178</v>
      </c>
      <c r="O94" s="97">
        <v>3050596</v>
      </c>
    </row>
    <row r="95" spans="1:18" s="97" customFormat="1" hidden="1" x14ac:dyDescent="0.2">
      <c r="B95" s="97">
        <v>4</v>
      </c>
      <c r="C95" s="97" t="s">
        <v>94</v>
      </c>
      <c r="D95" s="102">
        <v>1.6574257744240321E-2</v>
      </c>
      <c r="E95" s="102"/>
      <c r="F95" s="102">
        <v>2.0019532263236842E-2</v>
      </c>
      <c r="G95" s="102">
        <v>2.3349201969212904E-2</v>
      </c>
      <c r="H95" s="102">
        <v>2.3429478207263467E-2</v>
      </c>
      <c r="I95" s="102">
        <v>2.3096498326687028E-2</v>
      </c>
      <c r="J95" s="102">
        <v>2.8381553718189002E-2</v>
      </c>
      <c r="K95" s="102">
        <v>3.6748776407222246E-2</v>
      </c>
      <c r="L95" s="102">
        <v>3.3397367403186613E-2</v>
      </c>
      <c r="M95" s="102">
        <v>3.0550739467312179E-2</v>
      </c>
      <c r="O95" s="97">
        <v>1692097</v>
      </c>
    </row>
    <row r="96" spans="1:18" s="97" customFormat="1" hidden="1" x14ac:dyDescent="0.2">
      <c r="B96" s="97">
        <v>5</v>
      </c>
      <c r="C96" s="97" t="s">
        <v>189</v>
      </c>
      <c r="D96" s="102"/>
      <c r="E96" s="102"/>
      <c r="F96" s="102"/>
      <c r="G96" s="102"/>
      <c r="H96" s="102"/>
      <c r="I96" s="102"/>
      <c r="J96" s="102"/>
      <c r="K96" s="102"/>
      <c r="L96" s="102">
        <v>6.5070349984298927E-3</v>
      </c>
      <c r="M96" s="102"/>
      <c r="O96" s="97">
        <v>3689192</v>
      </c>
    </row>
    <row r="97" spans="1:15" s="97" customFormat="1" hidden="1" x14ac:dyDescent="0.2">
      <c r="B97" s="97">
        <v>6</v>
      </c>
      <c r="C97" s="97" t="s">
        <v>121</v>
      </c>
      <c r="D97" s="102"/>
      <c r="E97" s="102"/>
      <c r="F97" s="102"/>
      <c r="G97" s="102"/>
      <c r="H97" s="102"/>
      <c r="I97" s="102">
        <v>9.9895653939406012E-3</v>
      </c>
      <c r="J97" s="102"/>
      <c r="K97" s="102"/>
      <c r="L97" s="102"/>
      <c r="M97" s="102">
        <v>1.4833196741729332E-2</v>
      </c>
      <c r="O97" s="97">
        <v>11115023</v>
      </c>
    </row>
    <row r="98" spans="1:15" s="97" customFormat="1" hidden="1" x14ac:dyDescent="0.2">
      <c r="B98" s="97">
        <v>7</v>
      </c>
      <c r="C98" s="97" t="s">
        <v>224</v>
      </c>
      <c r="D98" s="102"/>
      <c r="E98" s="102"/>
      <c r="F98" s="102"/>
      <c r="G98" s="102"/>
      <c r="H98" s="102"/>
      <c r="I98" s="102"/>
      <c r="J98" s="102">
        <v>4.866216476330832E-3</v>
      </c>
      <c r="K98" s="102">
        <v>5.9369859819705705E-3</v>
      </c>
      <c r="L98" s="102"/>
      <c r="M98" s="102"/>
      <c r="O98" s="97">
        <v>2480382</v>
      </c>
    </row>
    <row r="99" spans="1:15" s="97" customFormat="1" hidden="1" x14ac:dyDescent="0.2">
      <c r="B99" s="97">
        <v>8</v>
      </c>
      <c r="C99" s="97" t="s">
        <v>139</v>
      </c>
      <c r="D99" s="102"/>
      <c r="E99" s="102">
        <v>1.9863371121988656E-2</v>
      </c>
      <c r="F99" s="102"/>
      <c r="G99" s="102"/>
      <c r="H99" s="102">
        <v>1.8312510489242498E-2</v>
      </c>
      <c r="I99" s="102"/>
      <c r="J99" s="102"/>
      <c r="K99" s="102"/>
      <c r="L99" s="102"/>
      <c r="M99" s="102"/>
      <c r="O99" s="97">
        <v>7434864</v>
      </c>
    </row>
    <row r="100" spans="1:15" s="97" customFormat="1" hidden="1" x14ac:dyDescent="0.2">
      <c r="B100" s="97">
        <v>9</v>
      </c>
      <c r="C100" s="97" t="s">
        <v>225</v>
      </c>
      <c r="D100" s="102"/>
      <c r="E100" s="102"/>
      <c r="F100" s="102">
        <v>2.3261835284707356E-2</v>
      </c>
      <c r="G100" s="102">
        <v>1.6739410923832236E-2</v>
      </c>
      <c r="H100" s="102"/>
      <c r="I100" s="102"/>
      <c r="J100" s="102"/>
      <c r="K100" s="102"/>
      <c r="L100" s="102"/>
      <c r="M100" s="102"/>
      <c r="O100" s="97">
        <v>8497745</v>
      </c>
    </row>
    <row r="101" spans="1:15" s="97" customFormat="1" hidden="1" x14ac:dyDescent="0.2">
      <c r="B101" s="97">
        <v>10</v>
      </c>
      <c r="C101" s="97" t="s">
        <v>226</v>
      </c>
      <c r="D101" s="102">
        <v>6.9581922106467187E-2</v>
      </c>
      <c r="E101" s="102">
        <v>8.6877646310783832E-2</v>
      </c>
      <c r="F101" s="102"/>
      <c r="G101" s="102"/>
      <c r="H101" s="102"/>
      <c r="I101" s="102"/>
      <c r="J101" s="102"/>
      <c r="K101" s="102"/>
      <c r="L101" s="102"/>
      <c r="M101" s="102"/>
      <c r="O101" s="97">
        <v>14393110</v>
      </c>
    </row>
    <row r="102" spans="1:15" s="97" customFormat="1" hidden="1" x14ac:dyDescent="0.2">
      <c r="B102" s="97">
        <v>11</v>
      </c>
      <c r="C102" s="97" t="s">
        <v>101</v>
      </c>
      <c r="D102" s="102">
        <v>3.5021212140141866E-2</v>
      </c>
      <c r="E102" s="102">
        <v>9.3011419061968331E-2</v>
      </c>
      <c r="F102" s="102">
        <v>6.8836096074995079E-2</v>
      </c>
      <c r="G102" s="102">
        <v>2.4065180812156868E-2</v>
      </c>
      <c r="H102" s="102">
        <v>3.4712998632709345E-2</v>
      </c>
      <c r="I102" s="102">
        <v>2.5488919122872579E-2</v>
      </c>
      <c r="J102" s="102">
        <v>1.4630085519480931E-2</v>
      </c>
      <c r="K102" s="102">
        <v>1.2467808694221654E-2</v>
      </c>
      <c r="L102" s="102">
        <v>1.2306906616214404E-2</v>
      </c>
      <c r="M102" s="102">
        <v>2.1648889588875467E-2</v>
      </c>
      <c r="O102" s="97">
        <v>5920853</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12</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7</v>
      </c>
      <c r="D120" s="56">
        <v>14</v>
      </c>
      <c r="E120" s="56">
        <v>7</v>
      </c>
      <c r="F120" s="57">
        <v>28</v>
      </c>
    </row>
    <row r="121" spans="1:14" ht="18" customHeight="1" x14ac:dyDescent="0.2">
      <c r="A121" s="225" t="s">
        <v>23</v>
      </c>
      <c r="B121" s="30" t="s">
        <v>58</v>
      </c>
      <c r="C121" s="58">
        <v>25.445714950561523</v>
      </c>
      <c r="D121" s="58">
        <v>23.27071475982666</v>
      </c>
      <c r="E121" s="58">
        <v>10.94857120513916</v>
      </c>
      <c r="F121" s="59">
        <v>20.733928680419922</v>
      </c>
    </row>
    <row r="122" spans="1:14" ht="18" customHeight="1" x14ac:dyDescent="0.2">
      <c r="A122" s="226"/>
      <c r="B122" s="33" t="s">
        <v>51</v>
      </c>
      <c r="C122" s="60">
        <v>387</v>
      </c>
      <c r="D122" s="60">
        <v>413.28572082519531</v>
      </c>
      <c r="E122" s="60">
        <v>130.71427917480469</v>
      </c>
      <c r="F122" s="61">
        <v>336.07144165039062</v>
      </c>
    </row>
    <row r="123" spans="1:14" ht="18" customHeight="1" x14ac:dyDescent="0.2">
      <c r="A123" s="226"/>
      <c r="B123" s="33" t="s">
        <v>52</v>
      </c>
      <c r="C123" s="60">
        <v>179.14285278320312</v>
      </c>
      <c r="D123" s="60">
        <v>156.92857360839844</v>
      </c>
      <c r="E123" s="60">
        <v>10.857142448425293</v>
      </c>
      <c r="F123" s="61">
        <v>125.96428680419922</v>
      </c>
    </row>
    <row r="124" spans="1:14" ht="18" customHeight="1" x14ac:dyDescent="0.2">
      <c r="A124" s="226"/>
      <c r="B124" s="33" t="s">
        <v>53</v>
      </c>
      <c r="C124" s="60">
        <v>350.34259033203125</v>
      </c>
      <c r="D124" s="60">
        <v>338.30335998535156</v>
      </c>
      <c r="E124" s="60">
        <v>101.29891204833984</v>
      </c>
      <c r="F124" s="61">
        <v>282.06207275390625</v>
      </c>
    </row>
    <row r="125" spans="1:14" ht="18" customHeight="1" x14ac:dyDescent="0.2">
      <c r="A125" s="226"/>
      <c r="B125" s="33" t="s">
        <v>54</v>
      </c>
      <c r="C125" s="28">
        <v>500.97698974609375</v>
      </c>
      <c r="D125" s="28">
        <v>324.65083312988281</v>
      </c>
      <c r="E125" s="28">
        <v>23.496627807617188</v>
      </c>
      <c r="F125" s="62">
        <v>293.44381713867187</v>
      </c>
    </row>
    <row r="126" spans="1:14" ht="18" customHeight="1" x14ac:dyDescent="0.2">
      <c r="A126" s="226"/>
      <c r="B126" s="33" t="s">
        <v>59</v>
      </c>
      <c r="C126" s="28">
        <f ca="1">1125.543375*OFFSET($L$112,MATCH($N$1,$C$112:$C$113,0)-1,0)</f>
        <v>1125.543375</v>
      </c>
      <c r="D126" s="28">
        <f ca="1">740.812*OFFSET($L$112,MATCH($N$1,$C$112:$C$113,0)-1,0)</f>
        <v>740.81200000000001</v>
      </c>
      <c r="E126" s="28">
        <f ca="1">68.2339140625*OFFSET($L$112,MATCH($N$1,$C$112:$C$113,0)-1,0)</f>
        <v>68.233914062500006</v>
      </c>
      <c r="F126" s="62">
        <f ca="1">668.8503125*OFFSET($L$112,MATCH($N$1,$C$112:$C$113,0)-1,0)</f>
        <v>668.85031249999997</v>
      </c>
    </row>
    <row r="127" spans="1:14" ht="18" customHeight="1" x14ac:dyDescent="0.2">
      <c r="A127" s="226"/>
      <c r="B127" s="33" t="s">
        <v>56</v>
      </c>
      <c r="C127" s="60">
        <v>187.14285278320312</v>
      </c>
      <c r="D127" s="60">
        <v>189.14286041259766</v>
      </c>
      <c r="E127" s="60">
        <v>137.71427917480469</v>
      </c>
      <c r="F127" s="61">
        <v>175.78572082519531</v>
      </c>
    </row>
    <row r="128" spans="1:14" ht="18" customHeight="1" x14ac:dyDescent="0.2">
      <c r="A128" s="226"/>
      <c r="B128" s="33" t="s">
        <v>60</v>
      </c>
      <c r="C128" s="60">
        <v>33.857143402099609</v>
      </c>
      <c r="D128" s="60">
        <v>36.285713195800781</v>
      </c>
      <c r="E128" s="60">
        <v>35.714286804199219</v>
      </c>
      <c r="F128" s="61">
        <v>35.535713195800781</v>
      </c>
    </row>
    <row r="129" spans="1:14" ht="18" customHeight="1" x14ac:dyDescent="0.2">
      <c r="A129" s="226"/>
      <c r="B129" s="33" t="s">
        <v>61</v>
      </c>
      <c r="C129" s="63">
        <v>2.6769764423370361</v>
      </c>
      <c r="D129" s="63">
        <v>1.7164318675401602</v>
      </c>
      <c r="E129" s="63">
        <v>0.17061866819858551</v>
      </c>
      <c r="F129" s="64">
        <v>1.6693267822265625</v>
      </c>
    </row>
    <row r="130" spans="1:14" ht="18" customHeight="1" x14ac:dyDescent="0.2">
      <c r="A130" s="227"/>
      <c r="B130" s="35" t="s">
        <v>24</v>
      </c>
      <c r="C130" s="37">
        <f ca="1">2246.69675062412*OFFSET($L$112,MATCH($N$1,$C$112:$C$113,0)-1,0)</f>
        <v>2246.6967506241199</v>
      </c>
      <c r="D130" s="37">
        <f ca="1">2281.87309072336*OFFSET($L$112,MATCH($N$1,$C$112:$C$113,0)-1,0)</f>
        <v>2281.8730907233598</v>
      </c>
      <c r="E130" s="37">
        <f ca="1">2903.98752626025*OFFSET($L$112,MATCH($N$1,$C$112:$C$113,0)-1,0)</f>
        <v>2903.98752626025</v>
      </c>
      <c r="F130" s="65">
        <f ca="1">2279*OFFSET($L$112,MATCH($N$1,$C$112:$C$113,0)-1,0)</f>
        <v>2279</v>
      </c>
    </row>
    <row r="131" spans="1:14" ht="18" customHeight="1" x14ac:dyDescent="0.2">
      <c r="A131" s="239" t="s">
        <v>25</v>
      </c>
      <c r="B131" s="30" t="s">
        <v>62</v>
      </c>
      <c r="C131" s="66">
        <v>6.3636327690834396</v>
      </c>
      <c r="D131" s="66">
        <v>3.4754406286026698</v>
      </c>
      <c r="E131" s="66">
        <v>1.3802176102241626</v>
      </c>
      <c r="F131" s="67">
        <v>4.1538603410372001</v>
      </c>
    </row>
    <row r="132" spans="1:14" ht="18" customHeight="1" x14ac:dyDescent="0.2">
      <c r="A132" s="228"/>
      <c r="B132" s="33" t="s">
        <v>63</v>
      </c>
      <c r="C132" s="63">
        <f ca="1">14.2971530644649*OFFSET($L$112,MATCH($N$1,$C$112:$C$113,0)-1,0)</f>
        <v>14.297153064464901</v>
      </c>
      <c r="D132" s="63">
        <f ca="1">7.93051444881512*OFFSET($L$112,MATCH($N$1,$C$112:$C$113,0)-1,0)</f>
        <v>7.9305144488151198</v>
      </c>
      <c r="E132" s="63">
        <f ca="1">4.0081347236157*OFFSET($L$112,MATCH($N$1,$C$112:$C$113,0)-1,0)</f>
        <v>4.0081347236156999</v>
      </c>
      <c r="F132" s="64">
        <f ca="1">9.46794795090588*OFFSET($L$112,MATCH($N$1,$C$112:$C$113,0)-1,0)</f>
        <v>9.4679479509058808</v>
      </c>
    </row>
    <row r="133" spans="1:14" ht="18" customHeight="1" x14ac:dyDescent="0.2">
      <c r="A133" s="228"/>
      <c r="B133" s="33" t="s">
        <v>11</v>
      </c>
      <c r="C133" s="63">
        <f ca="1">11.6389087805653*OFFSET($L$112,MATCH($N$1,$C$112:$C$113,0)-1,0)</f>
        <v>11.6389087805653</v>
      </c>
      <c r="D133" s="63">
        <f ca="1">6.94124315648304*OFFSET($L$112,MATCH($N$1,$C$112:$C$113,0)-1,0)</f>
        <v>6.9412431564830399</v>
      </c>
      <c r="E133" s="63">
        <f ca="1">5.44079821344471*OFFSET($L$112,MATCH($N$1,$C$112:$C$113,0)-1,0)</f>
        <v>5.4407982134447099</v>
      </c>
      <c r="F133" s="64">
        <f ca="1">8.15961284997124*OFFSET($L$112,MATCH($N$1,$C$112:$C$113,0)-1,0)</f>
        <v>8.1596128499712393</v>
      </c>
    </row>
    <row r="134" spans="1:14" ht="18" customHeight="1" x14ac:dyDescent="0.2">
      <c r="A134" s="229"/>
      <c r="B134" s="35" t="s">
        <v>12</v>
      </c>
      <c r="C134" s="68">
        <f ca="1">2.65824428389965*OFFSET($L$112,MATCH($N$1,$C$112:$C$113,0)-1,0)</f>
        <v>2.6582442838996498</v>
      </c>
      <c r="D134" s="68">
        <f ca="1">0.989271292332079*OFFSET($L$112,MATCH($N$1,$C$112:$C$113,0)-1,0)</f>
        <v>0.989271292332079</v>
      </c>
      <c r="E134" s="68">
        <f ca="1">-1.43266348982901*OFFSET($L$112,MATCH($N$1,$C$112:$C$113,0)-1,0)</f>
        <v>-1.43266348982901</v>
      </c>
      <c r="F134" s="69">
        <f ca="1">1.30833510093464*OFFSET($L$112,MATCH($N$1,$C$112:$C$113,0)-1,0)</f>
        <v>1.30833510093464</v>
      </c>
    </row>
    <row r="135" spans="1:14" ht="18" customHeight="1" x14ac:dyDescent="0.2">
      <c r="A135" s="240" t="s">
        <v>45</v>
      </c>
      <c r="B135" s="33" t="s">
        <v>102</v>
      </c>
      <c r="C135" s="70">
        <f ca="1">109.104078125*OFFSET($L$112,MATCH($N$1,$C$112:$C$113,0)-1,0)</f>
        <v>109.104078125</v>
      </c>
      <c r="D135" s="70">
        <f ca="1">117.1374921875*OFFSET($L$112,MATCH($N$1,$C$112:$C$113,0)-1,0)</f>
        <v>117.1374921875</v>
      </c>
      <c r="E135" s="70">
        <f ca="1">43.690296875*OFFSET($L$112,MATCH($N$1,$C$112:$C$113,0)-1,0)</f>
        <v>43.690296875000001</v>
      </c>
      <c r="F135" s="71">
        <f ca="1">96.76734375*OFFSET($L$112,MATCH($N$1,$C$112:$C$113,0)-1,0)</f>
        <v>96.767343749999995</v>
      </c>
    </row>
    <row r="136" spans="1:14" ht="18" customHeight="1" x14ac:dyDescent="0.2">
      <c r="A136" s="241"/>
      <c r="B136" s="33" t="s">
        <v>103</v>
      </c>
      <c r="C136" s="26">
        <v>255978.57209200412</v>
      </c>
      <c r="D136" s="26">
        <v>275892.85790549405</v>
      </c>
      <c r="E136" s="26">
        <v>103285.70938110352</v>
      </c>
      <c r="F136" s="72">
        <v>227762.5</v>
      </c>
    </row>
    <row r="137" spans="1:14" ht="18" customHeight="1" x14ac:dyDescent="0.2">
      <c r="A137" s="241"/>
      <c r="B137" s="33" t="s">
        <v>104</v>
      </c>
      <c r="C137" s="26">
        <v>1367.824462890625</v>
      </c>
      <c r="D137" s="26">
        <v>1458.6480150699811</v>
      </c>
      <c r="E137" s="26">
        <v>750</v>
      </c>
      <c r="F137" s="72">
        <v>1295.6826171875</v>
      </c>
    </row>
    <row r="138" spans="1:14" ht="18" customHeight="1" x14ac:dyDescent="0.2">
      <c r="A138" s="241"/>
      <c r="B138" s="33" t="s">
        <v>105</v>
      </c>
      <c r="C138" s="26">
        <f ca="1">582.998904325736*OFFSET($L$112,MATCH($N$1,$C$112:$C$113,0)-1,0)</f>
        <v>582.99890432573602</v>
      </c>
      <c r="D138" s="26">
        <f ca="1">619.306972158375*OFFSET($L$112,MATCH($N$1,$C$112:$C$113,0)-1,0)</f>
        <v>619.30697215837495</v>
      </c>
      <c r="E138" s="26">
        <f ca="1">317.253208140767*OFFSET($L$112,MATCH($N$1,$C$112:$C$113,0)-1,0)</f>
        <v>317.25320814076701</v>
      </c>
      <c r="F138" s="72">
        <f ca="1">550.48466562439*OFFSET($L$112,MATCH($N$1,$C$112:$C$113,0)-1,0)</f>
        <v>550.48466562439</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217.782613489487*OFFSET($L$112,MATCH($N$1,$C$112:$C$113,0)-1,0)</f>
        <v>217.78261348948701</v>
      </c>
      <c r="D139" s="26">
        <f ca="1">360.810693316893*OFFSET($L$112,MATCH($N$1,$C$112:$C$113,0)-1,0)</f>
        <v>360.81069331689298</v>
      </c>
      <c r="E139" s="26">
        <f ca="1">1859.42839256433*OFFSET($L$112,MATCH($N$1,$C$112:$C$113,0)-1,0)</f>
        <v>1859.4283925643299</v>
      </c>
      <c r="F139" s="72">
        <f ca="1">329.764466307603*OFFSET($L$112,MATCH($N$1,$C$112:$C$113,0)-1,0)</f>
        <v>329.76446630760302</v>
      </c>
      <c r="I139" s="49"/>
      <c r="K139" s="73" t="s">
        <v>107</v>
      </c>
      <c r="L139" s="74">
        <f t="shared" ref="L139:M141" ca="1" si="2">C140</f>
        <v>1148.917625</v>
      </c>
      <c r="M139" s="74">
        <f t="shared" ca="1" si="2"/>
        <v>756.19650000000001</v>
      </c>
      <c r="N139" s="74">
        <f ca="1">E140</f>
        <v>69.650937499999998</v>
      </c>
    </row>
    <row r="140" spans="1:14" ht="18" customHeight="1" x14ac:dyDescent="0.2">
      <c r="A140" s="230" t="s">
        <v>46</v>
      </c>
      <c r="B140" s="30" t="s">
        <v>108</v>
      </c>
      <c r="C140" s="75">
        <f ca="1">1148.917625*OFFSET($L$112,MATCH($N$1,$C$112:$C$113,0)-1,0)</f>
        <v>1148.917625</v>
      </c>
      <c r="D140" s="75">
        <f ca="1">756.1965*OFFSET($L$112,MATCH($N$1,$C$112:$C$113,0)-1,0)</f>
        <v>756.19650000000001</v>
      </c>
      <c r="E140" s="75">
        <f ca="1">69.6509375*OFFSET($L$112,MATCH($N$1,$C$112:$C$113,0)-1,0)</f>
        <v>69.650937499999998</v>
      </c>
      <c r="F140" s="76">
        <f ca="1">682.740375*OFFSET($L$112,MATCH($N$1,$C$112:$C$113,0)-1,0)</f>
        <v>682.74037499999997</v>
      </c>
      <c r="I140" s="49"/>
      <c r="K140" s="73" t="s">
        <v>109</v>
      </c>
      <c r="L140" s="74">
        <f t="shared" ca="1" si="2"/>
        <v>939.6473125</v>
      </c>
      <c r="M140" s="74">
        <f t="shared" ca="1" si="2"/>
        <v>663.78584375000003</v>
      </c>
      <c r="N140" s="74">
        <f ca="1">E141</f>
        <v>94.040398437500002</v>
      </c>
    </row>
    <row r="141" spans="1:14" ht="18" customHeight="1" x14ac:dyDescent="0.2">
      <c r="A141" s="237"/>
      <c r="B141" s="33" t="s">
        <v>110</v>
      </c>
      <c r="C141" s="26">
        <f ca="1">939.6473125*OFFSET($L$112,MATCH($N$1,$C$112:$C$113,0)-1,0)</f>
        <v>939.6473125</v>
      </c>
      <c r="D141" s="26">
        <f ca="1">663.78584375*OFFSET($L$112,MATCH($N$1,$C$112:$C$113,0)-1,0)</f>
        <v>663.78584375000003</v>
      </c>
      <c r="E141" s="26">
        <f ca="1">94.0403984375*OFFSET($L$112,MATCH($N$1,$C$112:$C$113,0)-1,0)</f>
        <v>94.040398437500002</v>
      </c>
      <c r="F141" s="72">
        <f ca="1">590.3148125*OFFSET($L$112,MATCH($N$1,$C$112:$C$113,0)-1,0)</f>
        <v>590.31481250000002</v>
      </c>
      <c r="I141" s="49"/>
      <c r="K141" s="73" t="s">
        <v>111</v>
      </c>
      <c r="L141" s="74">
        <f t="shared" ca="1" si="2"/>
        <v>209.27031249999999</v>
      </c>
      <c r="M141" s="74">
        <f t="shared" ca="1" si="2"/>
        <v>92.410656250000002</v>
      </c>
      <c r="N141" s="74">
        <f ca="1">E142</f>
        <v>-24.389460937500001</v>
      </c>
    </row>
    <row r="142" spans="1:14" ht="18" customHeight="1" x14ac:dyDescent="0.2">
      <c r="A142" s="238"/>
      <c r="B142" s="35" t="s">
        <v>112</v>
      </c>
      <c r="C142" s="37">
        <f ca="1">209.2703125*OFFSET($L$112,MATCH($N$1,$C$112:$C$113,0)-1,0)</f>
        <v>209.27031249999999</v>
      </c>
      <c r="D142" s="37">
        <f ca="1">92.41065625*OFFSET($L$112,MATCH($N$1,$C$112:$C$113,0)-1,0)</f>
        <v>92.410656250000002</v>
      </c>
      <c r="E142" s="37">
        <f ca="1">-24.3894609375*OFFSET($L$112,MATCH($N$1,$C$112:$C$113,0)-1,0)</f>
        <v>-24.389460937500001</v>
      </c>
      <c r="F142" s="65">
        <f ca="1">92.4255546875*OFFSET($L$112,MATCH($N$1,$C$112:$C$113,0)-1,0)</f>
        <v>92.425554687499996</v>
      </c>
      <c r="I142" s="49"/>
      <c r="K142" s="73" t="s">
        <v>113</v>
      </c>
      <c r="L142" s="77">
        <f ca="1">IFERROR(L140/L$139,"")</f>
        <v>0.81785438055230453</v>
      </c>
      <c r="M142" s="77">
        <f t="shared" ref="M142:N143" ca="1" si="3">IFERROR(M140/M$139,"")</f>
        <v>0.87779544569434009</v>
      </c>
      <c r="N142" s="77">
        <f t="shared" ca="1" si="3"/>
        <v>1.3501670158782859</v>
      </c>
    </row>
    <row r="143" spans="1:14" ht="18" customHeight="1" x14ac:dyDescent="0.2">
      <c r="I143" s="49"/>
      <c r="K143" s="73" t="s">
        <v>114</v>
      </c>
      <c r="L143" s="77">
        <f ca="1">IFERROR(L141/L$139,"")</f>
        <v>0.18214561944769536</v>
      </c>
      <c r="M143" s="77">
        <f t="shared" ca="1" si="3"/>
        <v>0.12220455430565998</v>
      </c>
      <c r="N143" s="77">
        <f t="shared" ca="1" si="3"/>
        <v>-0.35016701587828591</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11</v>
      </c>
      <c r="B161" s="53"/>
      <c r="C161" s="79" t="s">
        <v>41</v>
      </c>
      <c r="D161" s="79" t="s">
        <v>115</v>
      </c>
      <c r="E161" s="79" t="s">
        <v>43</v>
      </c>
      <c r="F161" s="79" t="s">
        <v>116</v>
      </c>
      <c r="G161" s="80">
        <v>11</v>
      </c>
      <c r="H161" s="79"/>
      <c r="I161" s="79" t="s">
        <v>41</v>
      </c>
      <c r="J161" s="79" t="s">
        <v>115</v>
      </c>
      <c r="K161" s="79" t="s">
        <v>43</v>
      </c>
      <c r="L161" s="53" t="s">
        <v>116</v>
      </c>
    </row>
    <row r="162" spans="1:14" s="49" customFormat="1" x14ac:dyDescent="0.2">
      <c r="A162" s="50">
        <v>1</v>
      </c>
      <c r="B162" s="53" t="s">
        <v>95</v>
      </c>
      <c r="C162" s="53">
        <v>0.81650677982538722</v>
      </c>
      <c r="D162" s="53">
        <v>0.77459607851322942</v>
      </c>
      <c r="E162" s="53">
        <v>0</v>
      </c>
      <c r="F162" s="50">
        <v>12153634</v>
      </c>
      <c r="G162" s="50">
        <v>1</v>
      </c>
      <c r="H162" s="53" t="s">
        <v>95</v>
      </c>
      <c r="I162" s="53">
        <v>0.84540239480264057</v>
      </c>
      <c r="J162" s="53">
        <v>0.79490214058220598</v>
      </c>
      <c r="K162" s="53">
        <v>0</v>
      </c>
      <c r="L162" s="50">
        <v>12153634</v>
      </c>
    </row>
    <row r="163" spans="1:14" s="49" customFormat="1" x14ac:dyDescent="0.2">
      <c r="A163" s="50">
        <v>2</v>
      </c>
      <c r="B163" s="53" t="s">
        <v>206</v>
      </c>
      <c r="C163" s="53">
        <v>0.16657851813417324</v>
      </c>
      <c r="D163" s="53">
        <v>0.16396331467566741</v>
      </c>
      <c r="E163" s="53">
        <v>3.063661460809667E-3</v>
      </c>
      <c r="F163" s="50">
        <v>553960</v>
      </c>
      <c r="G163" s="50">
        <v>2</v>
      </c>
      <c r="H163" s="53" t="s">
        <v>206</v>
      </c>
      <c r="I163" s="53">
        <v>0.11613184484063725</v>
      </c>
      <c r="J163" s="53">
        <v>0.10715574935566603</v>
      </c>
      <c r="K163" s="53">
        <v>1.9478089378726473E-3</v>
      </c>
      <c r="L163" s="50">
        <v>553960</v>
      </c>
      <c r="N163" s="49" t="s">
        <v>117</v>
      </c>
    </row>
    <row r="164" spans="1:14" s="49" customFormat="1" x14ac:dyDescent="0.2">
      <c r="A164" s="50">
        <v>3</v>
      </c>
      <c r="B164" s="53" t="s">
        <v>94</v>
      </c>
      <c r="C164" s="53">
        <v>0</v>
      </c>
      <c r="D164" s="53">
        <v>4.0401659866896644E-2</v>
      </c>
      <c r="E164" s="53">
        <v>0.94905291477740539</v>
      </c>
      <c r="F164" s="50">
        <v>1692097</v>
      </c>
      <c r="G164" s="50">
        <v>3</v>
      </c>
      <c r="H164" s="53" t="s">
        <v>154</v>
      </c>
      <c r="I164" s="53">
        <v>3.1494645867481706E-2</v>
      </c>
      <c r="J164" s="53">
        <v>5.6371977325286655E-2</v>
      </c>
      <c r="K164" s="53">
        <v>0</v>
      </c>
      <c r="L164" s="50">
        <v>3050596</v>
      </c>
      <c r="N164" s="49" t="s">
        <v>118</v>
      </c>
    </row>
    <row r="165" spans="1:14" s="49" customFormat="1" x14ac:dyDescent="0.2">
      <c r="A165" s="50">
        <v>4</v>
      </c>
      <c r="B165" s="53" t="s">
        <v>224</v>
      </c>
      <c r="C165" s="53">
        <v>4.5965893201294098E-3</v>
      </c>
      <c r="D165" s="53">
        <v>1.0483376589719481E-2</v>
      </c>
      <c r="E165" s="53">
        <v>0</v>
      </c>
      <c r="F165" s="50">
        <v>11115023</v>
      </c>
      <c r="G165" s="50">
        <v>4</v>
      </c>
      <c r="H165" s="53" t="s">
        <v>94</v>
      </c>
      <c r="I165" s="53">
        <v>0</v>
      </c>
      <c r="J165" s="53">
        <v>1.6247108517841686E-2</v>
      </c>
      <c r="K165" s="53">
        <v>0.94368706802833602</v>
      </c>
      <c r="L165" s="50">
        <v>1692097</v>
      </c>
    </row>
    <row r="166" spans="1:14" s="49" customFormat="1" x14ac:dyDescent="0.2">
      <c r="A166" s="50">
        <v>5</v>
      </c>
      <c r="B166" s="53" t="s">
        <v>225</v>
      </c>
      <c r="C166" s="53">
        <v>0</v>
      </c>
      <c r="D166" s="53">
        <v>6.868783132324253E-3</v>
      </c>
      <c r="E166" s="53">
        <v>0</v>
      </c>
      <c r="F166" s="50">
        <v>2480382</v>
      </c>
      <c r="G166" s="50">
        <v>5</v>
      </c>
      <c r="H166" s="53" t="s">
        <v>189</v>
      </c>
      <c r="I166" s="53">
        <v>0</v>
      </c>
      <c r="J166" s="53">
        <v>1.1767694602658149E-2</v>
      </c>
      <c r="K166" s="53">
        <v>0</v>
      </c>
      <c r="L166" s="50">
        <v>3689192</v>
      </c>
    </row>
    <row r="167" spans="1:14" s="49" customFormat="1" x14ac:dyDescent="0.2">
      <c r="A167" s="50">
        <v>6</v>
      </c>
      <c r="B167" s="53" t="s">
        <v>119</v>
      </c>
      <c r="C167" s="53">
        <v>1.0096842148151774E-3</v>
      </c>
      <c r="D167" s="53">
        <v>0</v>
      </c>
      <c r="E167" s="53">
        <v>4.2480259877309148E-2</v>
      </c>
      <c r="F167" s="50">
        <v>7434864</v>
      </c>
      <c r="G167" s="50">
        <v>6</v>
      </c>
      <c r="H167" s="53" t="s">
        <v>119</v>
      </c>
      <c r="I167" s="53">
        <v>1.3834553831770192E-3</v>
      </c>
      <c r="J167" s="53">
        <v>0</v>
      </c>
      <c r="K167" s="53">
        <v>4.503314800897372E-2</v>
      </c>
      <c r="L167" s="50">
        <v>7434864</v>
      </c>
    </row>
    <row r="168" spans="1:14" s="49" customFormat="1" x14ac:dyDescent="0.2">
      <c r="A168" s="50">
        <v>7</v>
      </c>
      <c r="B168" s="53" t="s">
        <v>93</v>
      </c>
      <c r="C168" s="53">
        <v>0</v>
      </c>
      <c r="D168" s="53">
        <v>0</v>
      </c>
      <c r="E168" s="53">
        <v>4.2680897974093444E-3</v>
      </c>
      <c r="F168" s="50">
        <v>8497745</v>
      </c>
      <c r="G168" s="50">
        <v>7</v>
      </c>
      <c r="H168" s="53" t="s">
        <v>93</v>
      </c>
      <c r="I168" s="53">
        <v>0</v>
      </c>
      <c r="J168" s="53">
        <v>0</v>
      </c>
      <c r="K168" s="53">
        <v>8.9545096245742337E-3</v>
      </c>
      <c r="L168" s="50">
        <v>8497745</v>
      </c>
    </row>
    <row r="169" spans="1:14" s="49" customFormat="1" x14ac:dyDescent="0.2">
      <c r="A169" s="50">
        <v>8</v>
      </c>
      <c r="B169" s="53" t="s">
        <v>227</v>
      </c>
      <c r="C169" s="53">
        <v>0</v>
      </c>
      <c r="D169" s="53">
        <v>0</v>
      </c>
      <c r="E169" s="53">
        <v>4.8031210680655898E-4</v>
      </c>
      <c r="F169" s="50">
        <v>14393110</v>
      </c>
      <c r="G169" s="50">
        <v>8</v>
      </c>
      <c r="H169" s="53" t="s">
        <v>228</v>
      </c>
      <c r="I169" s="53">
        <v>0</v>
      </c>
      <c r="J169" s="53">
        <v>0</v>
      </c>
      <c r="K169" s="53">
        <v>1.0572498328347377E-4</v>
      </c>
      <c r="L169" s="50">
        <v>2887140</v>
      </c>
    </row>
    <row r="170" spans="1:14" s="49" customFormat="1" x14ac:dyDescent="0.2">
      <c r="A170" s="50">
        <v>9</v>
      </c>
      <c r="B170" s="53" t="s">
        <v>154</v>
      </c>
      <c r="C170" s="53">
        <v>1.0069751877487161E-2</v>
      </c>
      <c r="D170" s="53">
        <v>0</v>
      </c>
      <c r="E170" s="53">
        <v>0</v>
      </c>
      <c r="F170" s="50">
        <v>3050596</v>
      </c>
      <c r="G170" s="50">
        <v>9</v>
      </c>
      <c r="H170" s="53" t="s">
        <v>224</v>
      </c>
      <c r="I170" s="53">
        <v>4.1732270896673255E-3</v>
      </c>
      <c r="J170" s="53">
        <v>0</v>
      </c>
      <c r="K170" s="53">
        <v>0</v>
      </c>
      <c r="L170" s="50">
        <v>11115023</v>
      </c>
    </row>
    <row r="171" spans="1:14" s="49" customFormat="1" x14ac:dyDescent="0.2">
      <c r="A171" s="50">
        <v>10</v>
      </c>
      <c r="B171" s="53" t="s">
        <v>101</v>
      </c>
      <c r="C171" s="53">
        <v>1.2386766280078065E-3</v>
      </c>
      <c r="D171" s="53">
        <v>3.6867872221627573E-3</v>
      </c>
      <c r="E171" s="53">
        <v>6.5476198025982146E-4</v>
      </c>
      <c r="F171" s="50">
        <v>5920853</v>
      </c>
      <c r="G171" s="50">
        <v>10</v>
      </c>
      <c r="H171" s="53" t="s">
        <v>101</v>
      </c>
      <c r="I171" s="53">
        <v>1.4144320163962387E-3</v>
      </c>
      <c r="J171" s="53">
        <v>1.3555329616341427E-2</v>
      </c>
      <c r="K171" s="53">
        <v>2.7174041695998685E-4</v>
      </c>
      <c r="L171" s="50">
        <v>5920853</v>
      </c>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Longliners!D3:N3</xm:f>
              <xm:sqref>C3</xm:sqref>
            </x14:sparkline>
            <x14:sparkline>
              <xm:f>Longliners!D4:N4</xm:f>
              <xm:sqref>C4</xm:sqref>
            </x14:sparkline>
            <x14:sparkline>
              <xm:f>Longliners!D5:N5</xm:f>
              <xm:sqref>C5</xm:sqref>
            </x14:sparkline>
            <x14:sparkline>
              <xm:f>Longliners!D6:N6</xm:f>
              <xm:sqref>C6</xm:sqref>
            </x14:sparkline>
            <x14:sparkline>
              <xm:f>Longliners!D7:N7</xm:f>
              <xm:sqref>C7</xm:sqref>
            </x14:sparkline>
            <x14:sparkline>
              <xm:f>Longliners!D8:N8</xm:f>
              <xm:sqref>C8</xm:sqref>
            </x14:sparkline>
            <x14:sparkline>
              <xm:f>Longliners!D9:N9</xm:f>
              <xm:sqref>C9</xm:sqref>
            </x14:sparkline>
            <x14:sparkline>
              <xm:f>Longliners!F10:M10</xm:f>
              <xm:sqref>C10</xm:sqref>
            </x14:sparkline>
            <x14:sparkline>
              <xm:f>Longliners!D11:N11</xm:f>
              <xm:sqref>C11</xm:sqref>
            </x14:sparkline>
            <x14:sparkline>
              <xm:f>Longliners!D12:N12</xm:f>
              <xm:sqref>C12</xm:sqref>
            </x14:sparkline>
            <x14:sparkline>
              <xm:f>Longliners!D13:N13</xm:f>
              <xm:sqref>C13</xm:sqref>
            </x14:sparkline>
            <x14:sparkline>
              <xm:f>Longliners!D14:N14</xm:f>
              <xm:sqref>C14</xm:sqref>
            </x14:sparkline>
            <x14:sparkline>
              <xm:f>Longliners!D15:N15</xm:f>
              <xm:sqref>C15</xm:sqref>
            </x14:sparkline>
            <x14:sparkline>
              <xm:f>Longliners!D16:N16</xm:f>
              <xm:sqref>C16</xm:sqref>
            </x14:sparkline>
            <x14:sparkline>
              <xm:f>Longliners!D17:N17</xm:f>
              <xm:sqref>C17</xm:sqref>
            </x14:sparkline>
            <x14:sparkline>
              <xm:f>Longliners!D18:N18</xm:f>
              <xm:sqref>C18</xm:sqref>
            </x14:sparkline>
            <x14:sparkline>
              <xm:f>Longliners!D19:N19</xm:f>
              <xm:sqref>C19</xm:sqref>
            </x14:sparkline>
            <x14:sparkline>
              <xm:f>Longliners!D20:N20</xm:f>
              <xm:sqref>C20</xm:sqref>
            </x14:sparkline>
            <x14:sparkline>
              <xm:f>Longliners!D21:N21</xm:f>
              <xm:sqref>C21</xm:sqref>
            </x14:sparkline>
            <x14:sparkline>
              <xm:f>Longliners!D22:N22</xm:f>
              <xm:sqref>C22</xm:sqref>
            </x14:sparkline>
            <x14:sparkline>
              <xm:f>Longliners!D23:N23</xm:f>
              <xm:sqref>C23</xm:sqref>
            </x14:sparkline>
            <x14:sparkline>
              <xm:f>Longliners!D24:N24</xm:f>
              <xm:sqref>C24</xm:sqref>
            </x14:sparkline>
            <x14:sparkline>
              <xm:f>Longliners!F25:M25</xm:f>
              <xm:sqref>C25</xm:sqref>
            </x14:sparkline>
            <x14:sparkline>
              <xm:f>Longliners!F26:M26</xm:f>
              <xm:sqref>C26</xm:sqref>
            </x14:sparkline>
            <x14:sparkline>
              <xm:f>Longliners!D27:N27</xm:f>
              <xm:sqref>C27</xm:sqref>
            </x14:sparkline>
            <x14:sparkline>
              <xm:f>Longliners!D28:N28</xm:f>
              <xm:sqref>C28</xm:sqref>
            </x14:sparkline>
            <x14:sparkline>
              <xm:f>Longliners!D29:N29</xm:f>
              <xm:sqref>C29</xm:sqref>
            </x14:sparkline>
            <x14:sparkline>
              <xm:f>Longliners!D30:N30</xm:f>
              <xm:sqref>C30</xm:sqref>
            </x14:sparkline>
            <x14:sparkline>
              <xm:f>Longliners!D31:N31</xm:f>
              <xm:sqref>C31</xm:sqref>
            </x14:sparkline>
            <x14:sparkline>
              <xm:f>Longliners!D32:N32</xm:f>
              <xm:sqref>C32</xm:sqref>
            </x14:sparkline>
            <x14:sparkline>
              <xm:f>Longliners!D33:N33</xm:f>
              <xm:sqref>C33</xm:sqref>
            </x14:sparkline>
            <x14:sparkline>
              <xm:f>Longliners!D34:N34</xm:f>
              <xm:sqref>C34</xm:sqref>
            </x14:sparkline>
            <x14:sparkline>
              <xm:f>Longliners!D35:N35</xm:f>
              <xm:sqref>C35</xm:sqref>
            </x14:sparkline>
            <x14:sparkline>
              <xm:f>Longliners!D36:N36</xm:f>
              <xm:sqref>C36</xm:sqref>
            </x14:sparkline>
            <x14:sparkline>
              <xm:f>Longliners!D37:N37</xm:f>
              <xm:sqref>C37</xm:sqref>
            </x14:sparkline>
            <x14:sparkline>
              <xm:f>Longliners!D38:M38</xm:f>
              <xm:sqref>C38</xm:sqref>
            </x14:sparkline>
            <x14:sparkline>
              <xm:f>Longliners!D39:M39</xm:f>
              <xm:sqref>C39</xm:sqref>
            </x14:sparkline>
            <x14:sparkline>
              <xm:f>Longliners!D40:M40</xm:f>
              <xm:sqref>C40</xm:sqref>
            </x14:sparkline>
            <x14:sparkline>
              <xm:f>Longliners!D41:M41</xm:f>
              <xm:sqref>C41</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229</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68</v>
      </c>
      <c r="E3" s="22">
        <v>69</v>
      </c>
      <c r="F3" s="22">
        <v>80</v>
      </c>
      <c r="G3" s="22">
        <v>68</v>
      </c>
      <c r="H3" s="22">
        <v>62</v>
      </c>
      <c r="I3" s="22">
        <v>52</v>
      </c>
      <c r="J3" s="22">
        <v>59</v>
      </c>
      <c r="K3" s="22">
        <v>49</v>
      </c>
      <c r="L3" s="22">
        <v>54</v>
      </c>
      <c r="M3" s="22">
        <v>47</v>
      </c>
      <c r="N3" s="22">
        <v>42</v>
      </c>
      <c r="O3" s="23">
        <f t="shared" ref="O3:O41" si="0">IF(N3=0,"",IFERROR(IF(AND(N3&gt;0,D3&lt;0),"na",IF(AND(N3&lt;0,D3&lt;0),-1,1)*(N3-D3)/D3),""))</f>
        <v>-0.38235294117647056</v>
      </c>
      <c r="P3" s="23">
        <f>IF(N3=0,"",IFERROR(IF(AND(N3&gt;0,J3&lt;0),"na",IF(AND(N3&lt;0,J3&lt;0),-1,1)*(N3-J3)/J3),""))</f>
        <v>-0.28813559322033899</v>
      </c>
    </row>
    <row r="4" spans="1:17" ht="18" customHeight="1" x14ac:dyDescent="0.2">
      <c r="A4" s="224"/>
      <c r="B4" s="24" t="s">
        <v>51</v>
      </c>
      <c r="C4" s="25"/>
      <c r="D4" s="26">
        <v>9845</v>
      </c>
      <c r="E4" s="26">
        <v>8842</v>
      </c>
      <c r="F4" s="26">
        <v>10624</v>
      </c>
      <c r="G4" s="26">
        <v>9289</v>
      </c>
      <c r="H4" s="26">
        <v>9307</v>
      </c>
      <c r="I4" s="26">
        <v>7289</v>
      </c>
      <c r="J4" s="26">
        <v>9012</v>
      </c>
      <c r="K4" s="26">
        <v>5689</v>
      </c>
      <c r="L4" s="26">
        <v>7738</v>
      </c>
      <c r="M4" s="26">
        <v>6430</v>
      </c>
      <c r="N4" s="26">
        <v>5925</v>
      </c>
      <c r="O4" s="23">
        <f t="shared" si="0"/>
        <v>-0.39817166074149313</v>
      </c>
      <c r="P4" s="23">
        <f t="shared" ref="P4:P41" si="1">IF(N4=0,"",IFERROR(IF(AND(N4&gt;0,J4&lt;0),"na",IF(AND(N4&lt;0,J4&lt;0),-1,1)*(N4-J4)/J4),""))</f>
        <v>-0.34254327563249004</v>
      </c>
    </row>
    <row r="5" spans="1:17" ht="18" customHeight="1" x14ac:dyDescent="0.2">
      <c r="A5" s="224"/>
      <c r="B5" s="24" t="s">
        <v>52</v>
      </c>
      <c r="C5" s="25"/>
      <c r="D5" s="26">
        <v>1855</v>
      </c>
      <c r="E5" s="26">
        <v>1316</v>
      </c>
      <c r="F5" s="26">
        <v>1852</v>
      </c>
      <c r="G5" s="26">
        <v>1606</v>
      </c>
      <c r="H5" s="26">
        <v>1909</v>
      </c>
      <c r="I5" s="26">
        <v>1313</v>
      </c>
      <c r="J5" s="26">
        <v>1579</v>
      </c>
      <c r="K5" s="26">
        <v>755</v>
      </c>
      <c r="L5" s="26">
        <v>1151</v>
      </c>
      <c r="M5" s="26">
        <v>868</v>
      </c>
      <c r="N5" s="26">
        <v>704</v>
      </c>
      <c r="O5" s="23">
        <f t="shared" si="0"/>
        <v>-0.62048517520215629</v>
      </c>
      <c r="P5" s="23">
        <f t="shared" si="1"/>
        <v>-0.55414819506016466</v>
      </c>
      <c r="Q5" s="27"/>
    </row>
    <row r="6" spans="1:17" ht="18" customHeight="1" x14ac:dyDescent="0.2">
      <c r="A6" s="224"/>
      <c r="B6" s="24" t="s">
        <v>53</v>
      </c>
      <c r="C6" s="25"/>
      <c r="D6" s="26">
        <v>8597.6337890625</v>
      </c>
      <c r="E6" s="26">
        <v>7503.32958984375</v>
      </c>
      <c r="F6" s="26">
        <v>9428.689453125</v>
      </c>
      <c r="G6" s="26">
        <v>8083.3837890625</v>
      </c>
      <c r="H6" s="26">
        <v>8310.9814453125</v>
      </c>
      <c r="I6" s="26">
        <v>6216.43115234375</v>
      </c>
      <c r="J6" s="26">
        <v>7828.29345703125</v>
      </c>
      <c r="K6" s="26">
        <v>4975.67138671875</v>
      </c>
      <c r="L6" s="26">
        <v>6571.06689453125</v>
      </c>
      <c r="M6" s="26">
        <v>5393.41455078125</v>
      </c>
      <c r="N6" s="26">
        <v>4828.685546875</v>
      </c>
      <c r="O6" s="23">
        <f t="shared" si="0"/>
        <v>-0.43837040919120984</v>
      </c>
      <c r="P6" s="23">
        <f t="shared" si="1"/>
        <v>-0.3831751998849825</v>
      </c>
    </row>
    <row r="7" spans="1:17" ht="18" customHeight="1" x14ac:dyDescent="0.2">
      <c r="A7" s="224"/>
      <c r="B7" s="24" t="s">
        <v>54</v>
      </c>
      <c r="C7" s="25"/>
      <c r="D7" s="26">
        <v>4620.9208984375</v>
      </c>
      <c r="E7" s="26">
        <v>236.275390625</v>
      </c>
      <c r="F7" s="26">
        <v>3632.8046875</v>
      </c>
      <c r="G7" s="26">
        <v>5861.65380859375</v>
      </c>
      <c r="H7" s="26">
        <v>1059.5185546875</v>
      </c>
      <c r="I7" s="26">
        <v>160.90910339355469</v>
      </c>
      <c r="J7" s="26">
        <v>2217.45556640625</v>
      </c>
      <c r="K7" s="26">
        <v>110.01380157470703</v>
      </c>
      <c r="L7" s="26">
        <v>1461.8968505859375</v>
      </c>
      <c r="M7" s="26">
        <v>360.97271728515625</v>
      </c>
      <c r="N7" s="26">
        <v>142.61610412597656</v>
      </c>
      <c r="O7" s="23">
        <f t="shared" si="0"/>
        <v>-0.969136865300118</v>
      </c>
      <c r="P7" s="23">
        <f t="shared" si="1"/>
        <v>-0.9356847973476603</v>
      </c>
    </row>
    <row r="8" spans="1:17" ht="18" customHeight="1" x14ac:dyDescent="0.2">
      <c r="A8" s="224"/>
      <c r="B8" s="24" t="s">
        <v>55</v>
      </c>
      <c r="C8" s="27"/>
      <c r="D8" s="28">
        <f ca="1">0.376361625*OFFSET(D$112,MATCH($N$1,$C$112:$C$113,0)-1,0)</f>
        <v>0.37636162499999998</v>
      </c>
      <c r="E8" s="28">
        <f ca="1">0.32746615625*OFFSET(E$112,MATCH($N$1,$C$112:$C$113,0)-1,0)</f>
        <v>0.32746615624999997</v>
      </c>
      <c r="F8" s="28">
        <f ca="1">0.40629475*OFFSET(F$112,MATCH($N$1,$C$112:$C$113,0)-1,0)</f>
        <v>0.40629474999999998</v>
      </c>
      <c r="G8" s="28">
        <f ca="1">0.36514125*OFFSET(G$112,MATCH($N$1,$C$112:$C$113,0)-1,0)</f>
        <v>0.36514124999999997</v>
      </c>
      <c r="H8" s="28">
        <f ca="1">0.29876653125*OFFSET(H$112,MATCH($N$1,$C$112:$C$113,0)-1,0)</f>
        <v>0.29876653125000002</v>
      </c>
      <c r="I8" s="28">
        <f ca="1">0.3071858125*OFFSET(I$112,MATCH($N$1,$C$112:$C$113,0)-1,0)</f>
        <v>0.30718581249999999</v>
      </c>
      <c r="J8" s="28">
        <f ca="1">0.3020788125*OFFSET(J$112,MATCH($N$1,$C$112:$C$113,0)-1,0)</f>
        <v>0.30207881250000002</v>
      </c>
      <c r="K8" s="28">
        <f ca="1">0.259997328125*OFFSET(K$112,MATCH($N$1,$C$112:$C$113,0)-1,0)</f>
        <v>0.25999732812499998</v>
      </c>
      <c r="L8" s="28">
        <f ca="1">0.252237234375*OFFSET(L$112,MATCH($N$1,$C$112:$C$113,0)-1,0)</f>
        <v>0.25223723437500001</v>
      </c>
      <c r="M8" s="28">
        <f ca="1">0.206171765625*OFFSET(M$112,MATCH($N$1,$C$112:$C$113,0)-1,0)</f>
        <v>0.206171765625</v>
      </c>
      <c r="N8" s="28">
        <v>0.191292765625</v>
      </c>
      <c r="O8" s="23">
        <f t="shared" ca="1" si="0"/>
        <v>-0.4917314813246435</v>
      </c>
      <c r="P8" s="23">
        <f t="shared" ca="1" si="1"/>
        <v>-0.36674550577756926</v>
      </c>
    </row>
    <row r="9" spans="1:17" ht="18" customHeight="1" x14ac:dyDescent="0.2">
      <c r="A9" s="224"/>
      <c r="B9" s="24" t="s">
        <v>56</v>
      </c>
      <c r="C9" s="27"/>
      <c r="D9" s="26">
        <v>1494</v>
      </c>
      <c r="E9" s="26">
        <v>1402</v>
      </c>
      <c r="F9" s="26">
        <v>1469</v>
      </c>
      <c r="G9" s="26">
        <v>1305</v>
      </c>
      <c r="H9" s="26">
        <v>1165</v>
      </c>
      <c r="I9" s="26">
        <v>1063</v>
      </c>
      <c r="J9" s="26">
        <v>1943</v>
      </c>
      <c r="K9" s="26">
        <v>1070</v>
      </c>
      <c r="L9" s="26">
        <v>1216</v>
      </c>
      <c r="M9" s="26">
        <v>1121</v>
      </c>
      <c r="N9" s="26">
        <v>957</v>
      </c>
      <c r="O9" s="23">
        <f t="shared" si="0"/>
        <v>-0.35943775100401604</v>
      </c>
      <c r="P9" s="23">
        <f t="shared" si="1"/>
        <v>-0.5074626865671642</v>
      </c>
    </row>
    <row r="10" spans="1:17" ht="18" customHeight="1" x14ac:dyDescent="0.2">
      <c r="A10" s="224"/>
      <c r="B10" s="24" t="s">
        <v>57</v>
      </c>
      <c r="C10" s="27"/>
      <c r="D10" s="26"/>
      <c r="E10" s="26">
        <v>8.7829866409301758</v>
      </c>
      <c r="F10" s="26">
        <v>19.978752136230469</v>
      </c>
      <c r="G10" s="26">
        <v>20.902656555175781</v>
      </c>
      <c r="H10" s="26">
        <v>21.676544189453125</v>
      </c>
      <c r="I10" s="26">
        <v>24.934463500976562</v>
      </c>
      <c r="J10" s="26">
        <v>15.165313720703125</v>
      </c>
      <c r="K10" s="26">
        <v>13.793375015258789</v>
      </c>
      <c r="L10" s="26">
        <v>10.670954704284668</v>
      </c>
      <c r="M10" s="26">
        <v>7.8160223960876465</v>
      </c>
      <c r="N10" s="26">
        <v>13.071495056152344</v>
      </c>
      <c r="O10" s="29" t="str">
        <f t="shared" si="0"/>
        <v/>
      </c>
      <c r="P10" s="29">
        <f t="shared" si="1"/>
        <v>-0.13806629411776544</v>
      </c>
    </row>
    <row r="11" spans="1:17" ht="18" customHeight="1" x14ac:dyDescent="0.2">
      <c r="A11" s="225" t="s">
        <v>23</v>
      </c>
      <c r="B11" s="30" t="s">
        <v>58</v>
      </c>
      <c r="C11" s="31"/>
      <c r="D11" s="32">
        <v>13.067646980285645</v>
      </c>
      <c r="E11" s="32">
        <v>11.945652008056641</v>
      </c>
      <c r="F11" s="32">
        <v>12.706250190734863</v>
      </c>
      <c r="G11" s="32">
        <v>12.567940711975098</v>
      </c>
      <c r="H11" s="32">
        <v>13.215806007385254</v>
      </c>
      <c r="I11" s="32">
        <v>12.51807689666748</v>
      </c>
      <c r="J11" s="32">
        <v>13.086949348449707</v>
      </c>
      <c r="K11" s="32">
        <v>11.71387767791748</v>
      </c>
      <c r="L11" s="32">
        <v>12.393333435058594</v>
      </c>
      <c r="M11" s="32">
        <v>12.076382637023926</v>
      </c>
      <c r="N11" s="32">
        <v>11.923809051513672</v>
      </c>
      <c r="O11" s="23">
        <f t="shared" si="0"/>
        <v>-8.7532049993209224E-2</v>
      </c>
      <c r="P11" s="23">
        <f t="shared" si="1"/>
        <v>-8.8877878714631223E-2</v>
      </c>
    </row>
    <row r="12" spans="1:17" ht="18" customHeight="1" x14ac:dyDescent="0.2">
      <c r="A12" s="226"/>
      <c r="B12" s="33" t="s">
        <v>51</v>
      </c>
      <c r="C12" s="25"/>
      <c r="D12" s="26">
        <v>144.7794189453125</v>
      </c>
      <c r="E12" s="26">
        <v>128.14492797851562</v>
      </c>
      <c r="F12" s="26">
        <v>132.80000305175781</v>
      </c>
      <c r="G12" s="26">
        <v>136.60293579101562</v>
      </c>
      <c r="H12" s="26">
        <v>150.11289978027344</v>
      </c>
      <c r="I12" s="26">
        <v>140.17308044433594</v>
      </c>
      <c r="J12" s="26">
        <v>152.74575805664062</v>
      </c>
      <c r="K12" s="26">
        <v>116.10204315185547</v>
      </c>
      <c r="L12" s="26">
        <v>143.29629516601562</v>
      </c>
      <c r="M12" s="26">
        <v>136.80851745605469</v>
      </c>
      <c r="N12" s="26">
        <v>141.07142639160156</v>
      </c>
      <c r="O12" s="23">
        <f t="shared" si="0"/>
        <v>-2.5611323630961365E-2</v>
      </c>
      <c r="P12" s="23">
        <f t="shared" si="1"/>
        <v>-7.6429825702328369E-2</v>
      </c>
    </row>
    <row r="13" spans="1:17" ht="18" customHeight="1" x14ac:dyDescent="0.2">
      <c r="A13" s="226"/>
      <c r="B13" s="33" t="s">
        <v>52</v>
      </c>
      <c r="C13" s="25"/>
      <c r="D13" s="26">
        <v>27.279411315917969</v>
      </c>
      <c r="E13" s="26">
        <v>19.072463989257812</v>
      </c>
      <c r="F13" s="26">
        <v>23.149999618530273</v>
      </c>
      <c r="G13" s="26">
        <v>23.617647171020508</v>
      </c>
      <c r="H13" s="26">
        <v>30.790323257446289</v>
      </c>
      <c r="I13" s="26">
        <v>25.25</v>
      </c>
      <c r="J13" s="26">
        <v>26.762712478637695</v>
      </c>
      <c r="K13" s="26">
        <v>15.408163070678711</v>
      </c>
      <c r="L13" s="26">
        <v>21.314815521240234</v>
      </c>
      <c r="M13" s="26">
        <v>18.468084335327148</v>
      </c>
      <c r="N13" s="26">
        <v>16.761905670166016</v>
      </c>
      <c r="O13" s="23">
        <f t="shared" si="0"/>
        <v>-0.38554738311434245</v>
      </c>
      <c r="P13" s="23">
        <f t="shared" si="1"/>
        <v>-0.37368434968818792</v>
      </c>
    </row>
    <row r="14" spans="1:17" ht="18" customHeight="1" x14ac:dyDescent="0.2">
      <c r="A14" s="226"/>
      <c r="B14" s="33" t="s">
        <v>53</v>
      </c>
      <c r="C14" s="25"/>
      <c r="D14" s="26">
        <v>126.435791015625</v>
      </c>
      <c r="E14" s="26">
        <v>108.74390411376953</v>
      </c>
      <c r="F14" s="26">
        <v>117.85861968994141</v>
      </c>
      <c r="G14" s="26">
        <v>118.873291015625</v>
      </c>
      <c r="H14" s="26">
        <v>134.048095703125</v>
      </c>
      <c r="I14" s="26">
        <v>119.5467529296875</v>
      </c>
      <c r="J14" s="26">
        <v>132.68293762207031</v>
      </c>
      <c r="K14" s="26">
        <v>101.54431915283203</v>
      </c>
      <c r="L14" s="26">
        <v>121.68642425537109</v>
      </c>
      <c r="M14" s="26">
        <v>114.75350189208984</v>
      </c>
      <c r="N14" s="26">
        <v>114.96870422363281</v>
      </c>
      <c r="O14" s="23">
        <f t="shared" si="0"/>
        <v>-9.0694942467478057E-2</v>
      </c>
      <c r="P14" s="23">
        <f t="shared" si="1"/>
        <v>-0.13350799820919051</v>
      </c>
    </row>
    <row r="15" spans="1:17" ht="18" customHeight="1" x14ac:dyDescent="0.2">
      <c r="A15" s="226"/>
      <c r="B15" s="33" t="s">
        <v>54</v>
      </c>
      <c r="C15" s="27"/>
      <c r="D15" s="28">
        <v>67.954719543457031</v>
      </c>
      <c r="E15" s="28">
        <v>3.424281120300293</v>
      </c>
      <c r="F15" s="28">
        <v>45.410057067871094</v>
      </c>
      <c r="G15" s="28">
        <v>86.200790405273438</v>
      </c>
      <c r="H15" s="28">
        <v>17.089008331298828</v>
      </c>
      <c r="I15" s="28">
        <v>3.0944058895111084</v>
      </c>
      <c r="J15" s="28">
        <v>37.583995819091797</v>
      </c>
      <c r="K15" s="28">
        <v>2.2451796531677246</v>
      </c>
      <c r="L15" s="28">
        <v>27.072162628173828</v>
      </c>
      <c r="M15" s="28">
        <v>7.6802701950073242</v>
      </c>
      <c r="N15" s="28">
        <v>3.3956212997436523</v>
      </c>
      <c r="O15" s="23">
        <f t="shared" si="0"/>
        <v>-0.95003111891923631</v>
      </c>
      <c r="P15" s="23">
        <f t="shared" si="1"/>
        <v>-0.90965246707432967</v>
      </c>
    </row>
    <row r="16" spans="1:17" ht="18" customHeight="1" x14ac:dyDescent="0.2">
      <c r="A16" s="226"/>
      <c r="B16" s="33" t="s">
        <v>59</v>
      </c>
      <c r="C16" s="27"/>
      <c r="D16" s="28">
        <f ca="1">5.53472998046875*OFFSET(D$112,MATCH($N$1,$C$112:$C$113,0)-1,0)</f>
        <v>5.5347299804687502</v>
      </c>
      <c r="E16" s="28">
        <f ca="1">4.74588671875*OFFSET(E$112,MATCH($N$1,$C$112:$C$113,0)-1,0)</f>
        <v>4.7458867187499996</v>
      </c>
      <c r="F16" s="28">
        <f ca="1">5.0786845703125*OFFSET(F$112,MATCH($N$1,$C$112:$C$113,0)-1,0)</f>
        <v>5.0786845703125003</v>
      </c>
      <c r="G16" s="28">
        <f ca="1">5.369724609375*OFFSET(G$112,MATCH($N$1,$C$112:$C$113,0)-1,0)</f>
        <v>5.369724609375</v>
      </c>
      <c r="H16" s="28">
        <f ca="1">4.81881494140625*OFFSET(H$112,MATCH($N$1,$C$112:$C$113,0)-1,0)</f>
        <v>4.8188149414062504</v>
      </c>
      <c r="I16" s="28">
        <f ca="1">5.90741943359375*OFFSET(I$112,MATCH($N$1,$C$112:$C$113,0)-1,0)</f>
        <v>5.9074194335937502</v>
      </c>
      <c r="J16" s="28">
        <f ca="1">5.11997998046875*OFFSET(J$112,MATCH($N$1,$C$112:$C$113,0)-1,0)</f>
        <v>5.1199799804687496</v>
      </c>
      <c r="K16" s="28">
        <f ca="1">5.30606787109375*OFFSET(K$112,MATCH($N$1,$C$112:$C$113,0)-1,0)</f>
        <v>5.3060678710937497</v>
      </c>
      <c r="L16" s="28">
        <f ca="1">4.67106005859375*OFFSET(L$112,MATCH($N$1,$C$112:$C$113,0)-1,0)</f>
        <v>4.6710600585937501</v>
      </c>
      <c r="M16" s="28">
        <f ca="1">4.38663330078125*OFFSET(M$112,MATCH($N$1,$C$112:$C$113,0)-1,0)</f>
        <v>4.3866333007812504</v>
      </c>
      <c r="N16" s="28">
        <v>4.5545898437500005</v>
      </c>
      <c r="O16" s="23">
        <f t="shared" ca="1" si="0"/>
        <v>-0.17708906128709448</v>
      </c>
      <c r="P16" s="23">
        <f t="shared" ca="1" si="1"/>
        <v>-0.11042819285925916</v>
      </c>
    </row>
    <row r="17" spans="1:16" ht="18" customHeight="1" x14ac:dyDescent="0.2">
      <c r="A17" s="226"/>
      <c r="B17" s="33" t="s">
        <v>56</v>
      </c>
      <c r="C17" s="25"/>
      <c r="D17" s="26">
        <v>21.970588684082031</v>
      </c>
      <c r="E17" s="26">
        <v>20.318840026855469</v>
      </c>
      <c r="F17" s="26">
        <v>18.362499237060547</v>
      </c>
      <c r="G17" s="26">
        <v>19.191177368164062</v>
      </c>
      <c r="H17" s="26">
        <v>18.790323257446289</v>
      </c>
      <c r="I17" s="26">
        <v>20.44230842590332</v>
      </c>
      <c r="J17" s="26">
        <v>32.932205200195312</v>
      </c>
      <c r="K17" s="26">
        <v>21.836734771728516</v>
      </c>
      <c r="L17" s="26">
        <v>22.518518447875977</v>
      </c>
      <c r="M17" s="26">
        <v>23.851064682006836</v>
      </c>
      <c r="N17" s="26">
        <v>22.785715103149414</v>
      </c>
      <c r="O17" s="23">
        <f t="shared" si="0"/>
        <v>3.7100800110010351E-2</v>
      </c>
      <c r="P17" s="23">
        <f t="shared" si="1"/>
        <v>-0.30810235862934932</v>
      </c>
    </row>
    <row r="18" spans="1:16" ht="18" customHeight="1" x14ac:dyDescent="0.2">
      <c r="A18" s="226"/>
      <c r="B18" s="33" t="s">
        <v>60</v>
      </c>
      <c r="C18" s="25"/>
      <c r="D18" s="26">
        <v>27.808822631835937</v>
      </c>
      <c r="E18" s="26">
        <v>28.623188018798828</v>
      </c>
      <c r="F18" s="26">
        <v>30.3125</v>
      </c>
      <c r="G18" s="26">
        <v>29.808822631835938</v>
      </c>
      <c r="H18" s="26">
        <v>31.612903594970703</v>
      </c>
      <c r="I18" s="26">
        <v>33.5</v>
      </c>
      <c r="J18" s="26">
        <v>30.644067764282227</v>
      </c>
      <c r="K18" s="26">
        <v>35.979591369628906</v>
      </c>
      <c r="L18" s="26">
        <v>33.462963104248047</v>
      </c>
      <c r="M18" s="26">
        <v>35.638298034667969</v>
      </c>
      <c r="N18" s="26">
        <v>34.571430206298828</v>
      </c>
      <c r="O18" s="23">
        <f t="shared" si="0"/>
        <v>0.24318208879224398</v>
      </c>
      <c r="P18" s="23">
        <f t="shared" si="1"/>
        <v>0.12816061079835533</v>
      </c>
    </row>
    <row r="19" spans="1:16" ht="18" customHeight="1" x14ac:dyDescent="0.2">
      <c r="A19" s="226"/>
      <c r="B19" s="33" t="s">
        <v>61</v>
      </c>
      <c r="C19" s="25"/>
      <c r="D19" s="34">
        <v>3.0929858684539795</v>
      </c>
      <c r="E19" s="34">
        <v>0.16852739453315735</v>
      </c>
      <c r="F19" s="34">
        <v>2.4729781150817871</v>
      </c>
      <c r="G19" s="34">
        <v>4.4916882514953613</v>
      </c>
      <c r="H19" s="34">
        <v>0.90945792198181152</v>
      </c>
      <c r="I19" s="34">
        <v>0.15137262642383575</v>
      </c>
      <c r="J19" s="34">
        <v>1.1412535905838013</v>
      </c>
      <c r="K19" s="34">
        <v>0.10281664133071899</v>
      </c>
      <c r="L19" s="34">
        <v>1.202217698097229</v>
      </c>
      <c r="M19" s="34">
        <v>0.32200953364372253</v>
      </c>
      <c r="N19" s="34">
        <v>0.14902412891387939</v>
      </c>
      <c r="O19" s="23">
        <f t="shared" si="0"/>
        <v>-0.95181868419322302</v>
      </c>
      <c r="P19" s="23">
        <f t="shared" si="1"/>
        <v>-0.86942067026694125</v>
      </c>
    </row>
    <row r="20" spans="1:16" ht="18" customHeight="1" x14ac:dyDescent="0.2">
      <c r="A20" s="227"/>
      <c r="B20" s="35" t="s">
        <v>24</v>
      </c>
      <c r="C20" s="36"/>
      <c r="D20" s="37">
        <f ca="1">81*OFFSET(D$112,MATCH($N$1,$C$112:$C$113,0)-1,0)</f>
        <v>81</v>
      </c>
      <c r="E20" s="37">
        <f ca="1">1386*OFFSET(E$112,MATCH($N$1,$C$112:$C$113,0)-1,0)</f>
        <v>1386</v>
      </c>
      <c r="F20" s="37">
        <f ca="1">112*OFFSET(F$112,MATCH($N$1,$C$112:$C$113,0)-1,0)</f>
        <v>112</v>
      </c>
      <c r="G20" s="37">
        <f ca="1">62*OFFSET(G$112,MATCH($N$1,$C$112:$C$113,0)-1,0)</f>
        <v>62</v>
      </c>
      <c r="H20" s="37">
        <f ca="1">282*OFFSET(H$112,MATCH($N$1,$C$112:$C$113,0)-1,0)</f>
        <v>282</v>
      </c>
      <c r="I20" s="37">
        <f ca="1">1909*OFFSET(I$112,MATCH($N$1,$C$112:$C$113,0)-1,0)</f>
        <v>1909</v>
      </c>
      <c r="J20" s="37">
        <f ca="1">136*OFFSET(J$112,MATCH($N$1,$C$112:$C$113,0)-1,0)</f>
        <v>136</v>
      </c>
      <c r="K20" s="37">
        <f ca="1">2363*OFFSET(K$112,MATCH($N$1,$C$112:$C$113,0)-1,0)</f>
        <v>2363</v>
      </c>
      <c r="L20" s="37">
        <f ca="1">173*OFFSET(L$112,MATCH($N$1,$C$112:$C$113,0)-1,0)</f>
        <v>173</v>
      </c>
      <c r="M20" s="37">
        <f ca="1">571*OFFSET(M$112,MATCH($N$1,$C$112:$C$113,0)-1,0)</f>
        <v>571</v>
      </c>
      <c r="N20" s="37">
        <v>1341</v>
      </c>
      <c r="O20" s="29">
        <f t="shared" ca="1" si="0"/>
        <v>15.555555555555555</v>
      </c>
      <c r="P20" s="29">
        <f t="shared" ca="1" si="1"/>
        <v>8.860294117647058</v>
      </c>
    </row>
    <row r="21" spans="1:16" ht="18" customHeight="1" x14ac:dyDescent="0.2">
      <c r="A21" s="228" t="s">
        <v>25</v>
      </c>
      <c r="B21" s="30" t="s">
        <v>62</v>
      </c>
      <c r="C21" s="38"/>
      <c r="D21" s="39">
        <v>27.352601170980211</v>
      </c>
      <c r="E21" s="39">
        <v>1.3336009058567515</v>
      </c>
      <c r="F21" s="39">
        <v>21.167968395243708</v>
      </c>
      <c r="G21" s="39">
        <v>35.681089353289018</v>
      </c>
      <c r="H21" s="39">
        <v>6.3104517300768848</v>
      </c>
      <c r="I21" s="39">
        <v>1.2256286323442354</v>
      </c>
      <c r="J21" s="39">
        <v>8.8651780236320974</v>
      </c>
      <c r="K21" s="39">
        <v>0.98949288710142169</v>
      </c>
      <c r="L21" s="39">
        <v>10.325150948921557</v>
      </c>
      <c r="M21" s="39">
        <v>3.1263875391613536</v>
      </c>
      <c r="N21" s="39">
        <v>1.2457404002241685</v>
      </c>
      <c r="O21" s="23">
        <f t="shared" si="0"/>
        <v>-0.95445623644943001</v>
      </c>
      <c r="P21" s="23">
        <f t="shared" si="1"/>
        <v>-0.85947937008107778</v>
      </c>
    </row>
    <row r="22" spans="1:16" ht="18" customHeight="1" x14ac:dyDescent="0.2">
      <c r="A22" s="228"/>
      <c r="B22" s="33" t="s">
        <v>63</v>
      </c>
      <c r="C22" s="25"/>
      <c r="D22" s="34">
        <f ca="1">2.22779613780932*OFFSET(D$112,MATCH($N$1,$C$112:$C$113,0)-1,0)</f>
        <v>2.2277961378093201</v>
      </c>
      <c r="E22" s="34">
        <f ca="1">1.84830585015272*OFFSET(E$112,MATCH($N$1,$C$112:$C$113,0)-1,0)</f>
        <v>1.8483058501527201</v>
      </c>
      <c r="F22" s="34">
        <f ca="1">2.36743667406333*OFFSET(F$112,MATCH($N$1,$C$112:$C$113,0)-1,0)</f>
        <v>2.3674366740633301</v>
      </c>
      <c r="G22" s="34">
        <f ca="1">2.22268986965047*OFFSET(G$112,MATCH($N$1,$C$112:$C$113,0)-1,0)</f>
        <v>2.2226898696504702</v>
      </c>
      <c r="H22" s="34">
        <f ca="1">1.77944199536862*OFFSET(H$112,MATCH($N$1,$C$112:$C$113,0)-1,0)</f>
        <v>1.77944199536862</v>
      </c>
      <c r="I22" s="34">
        <f ca="1">2.33980371664274*OFFSET(I$112,MATCH($N$1,$C$112:$C$113,0)-1,0)</f>
        <v>2.3398037166427401</v>
      </c>
      <c r="J22" s="34">
        <f ca="1">1.20768249929485*OFFSET(J$112,MATCH($N$1,$C$112:$C$113,0)-1,0)</f>
        <v>1.2076824992948501</v>
      </c>
      <c r="K22" s="34">
        <f ca="1">2.33848387567426*OFFSET(K$112,MATCH($N$1,$C$112:$C$113,0)-1,0)</f>
        <v>2.3384838756742599</v>
      </c>
      <c r="L22" s="34">
        <f ca="1">1.78151265042516*OFFSET(L$112,MATCH($N$1,$C$112:$C$113,0)-1,0)</f>
        <v>1.7815126504251599</v>
      </c>
      <c r="M22" s="34">
        <f ca="1">1.78565536657134*OFFSET(M$112,MATCH($N$1,$C$112:$C$113,0)-1,0)</f>
        <v>1.7856553665713399</v>
      </c>
      <c r="N22" s="34">
        <v>1.6709273720359794</v>
      </c>
      <c r="O22" s="23">
        <f t="shared" ca="1" si="0"/>
        <v>-0.24996396946846838</v>
      </c>
      <c r="P22" s="23">
        <f t="shared" ca="1" si="1"/>
        <v>0.38358167234485219</v>
      </c>
    </row>
    <row r="23" spans="1:16" ht="18" customHeight="1" x14ac:dyDescent="0.2">
      <c r="A23" s="228"/>
      <c r="B23" s="33" t="s">
        <v>11</v>
      </c>
      <c r="C23" s="25"/>
      <c r="D23" s="34">
        <f ca="1">17.8644424731159*OFFSET(D$112,MATCH($N$1,$C$112:$C$113,0)-1,0)</f>
        <v>17.864442473115901</v>
      </c>
      <c r="E23" s="34">
        <f ca="1">2.22278492178729*OFFSET(E$112,MATCH($N$1,$C$112:$C$113,0)-1,0)</f>
        <v>2.2227849217872899</v>
      </c>
      <c r="F23" s="34">
        <f ca="1">3.06110076649267*OFFSET(F$112,MATCH($N$1,$C$112:$C$113,0)-1,0)</f>
        <v>3.0611007664926699</v>
      </c>
      <c r="G23" s="34">
        <f ca="1">2.94332736397358*OFFSET(G$112,MATCH($N$1,$C$112:$C$113,0)-1,0)</f>
        <v>2.9433273639735802</v>
      </c>
      <c r="H23" s="34">
        <f ca="1">2.83606613104239*OFFSET(H$112,MATCH($N$1,$C$112:$C$113,0)-1,0)</f>
        <v>2.83606613104239</v>
      </c>
      <c r="I23" s="34">
        <f ca="1">3.92924036414496*OFFSET(I$112,MATCH($N$1,$C$112:$C$113,0)-1,0)</f>
        <v>3.92924036414496</v>
      </c>
      <c r="J23" s="34">
        <f ca="1">2.83934916797706*OFFSET(J$112,MATCH($N$1,$C$112:$C$113,0)-1,0)</f>
        <v>2.8393491679770602</v>
      </c>
      <c r="K23" s="34">
        <f ca="1">4.26512697887692*OFFSET(K$112,MATCH($N$1,$C$112:$C$113,0)-1,0)</f>
        <v>4.2651269788769204</v>
      </c>
      <c r="L23" s="34">
        <f ca="1">2.30656608604077*OFFSET(L$112,MATCH($N$1,$C$112:$C$113,0)-1,0)</f>
        <v>2.3065660860407702</v>
      </c>
      <c r="M23" s="34">
        <f ca="1">3.97856494160928*OFFSET(M$112,MATCH($N$1,$C$112:$C$113,0)-1,0)</f>
        <v>3.9785649416092799</v>
      </c>
      <c r="N23" s="34">
        <v>3.4786902370464077</v>
      </c>
      <c r="O23" s="23">
        <f t="shared" ca="1" si="0"/>
        <v>-0.80527294695698071</v>
      </c>
      <c r="P23" s="23">
        <f t="shared" ca="1" si="1"/>
        <v>0.22517169648594376</v>
      </c>
    </row>
    <row r="24" spans="1:16" ht="18" customHeight="1" x14ac:dyDescent="0.2">
      <c r="A24" s="228"/>
      <c r="B24" s="33" t="s">
        <v>12</v>
      </c>
      <c r="C24" s="25"/>
      <c r="D24" s="34">
        <f ca="1">-15.6038651387714*OFFSET(D$112,MATCH($N$1,$C$112:$C$113,0)-1,0)</f>
        <v>-15.6038651387714</v>
      </c>
      <c r="E24" s="34">
        <f ca="1">-0.316107960793289*OFFSET(E$112,MATCH($N$1,$C$112:$C$113,0)-1,0)</f>
        <v>-0.31610796079328901</v>
      </c>
      <c r="F24" s="34">
        <f ca="1">-0.650296374966114*OFFSET(F$112,MATCH($N$1,$C$112:$C$113,0)-1,0)</f>
        <v>-0.65029637496611403</v>
      </c>
      <c r="G24" s="34">
        <f ca="1">-0.665567788407415*OFFSET(G$112,MATCH($N$1,$C$112:$C$113,0)-1,0)</f>
        <v>-0.66556778840741504</v>
      </c>
      <c r="H24" s="34">
        <f ca="1">-0.968836384165185*OFFSET(H$112,MATCH($N$1,$C$112:$C$113,0)-1,0)</f>
        <v>-0.96883638416518503</v>
      </c>
      <c r="I24" s="34">
        <f ca="1">-1.52247998718933*OFFSET(I$112,MATCH($N$1,$C$112:$C$113,0)-1,0)</f>
        <v>-1.52247998718933</v>
      </c>
      <c r="J24" s="34">
        <f ca="1">-1.60123457344665*OFFSET(J$112,MATCH($N$1,$C$112:$C$113,0)-1,0)</f>
        <v>-1.60123457344665</v>
      </c>
      <c r="K24" s="34">
        <f ca="1">-1.75215614357276*OFFSET(K$112,MATCH($N$1,$C$112:$C$113,0)-1,0)</f>
        <v>-1.7521561435727599</v>
      </c>
      <c r="L24" s="34">
        <f ca="1">-0.458846731150997*OFFSET(L$112,MATCH($N$1,$C$112:$C$113,0)-1,0)</f>
        <v>-0.458846731150997</v>
      </c>
      <c r="M24" s="34">
        <f ca="1">-2.10408462708413*OFFSET(M$112,MATCH($N$1,$C$112:$C$113,0)-1,0)</f>
        <v>-2.1040846270841298</v>
      </c>
      <c r="N24" s="34">
        <v>-1.6830859222246166</v>
      </c>
      <c r="O24" s="23">
        <f t="shared" ca="1" si="0"/>
        <v>0.89213660158837171</v>
      </c>
      <c r="P24" s="23">
        <f t="shared" ca="1" si="1"/>
        <v>-5.1117650177751273E-2</v>
      </c>
    </row>
    <row r="25" spans="1:16" ht="18" customHeight="1" x14ac:dyDescent="0.2">
      <c r="A25" s="228"/>
      <c r="B25" s="33" t="s">
        <v>64</v>
      </c>
      <c r="C25" s="25"/>
      <c r="D25" s="28"/>
      <c r="E25" s="28">
        <f ca="1">36.92*OFFSET(E$112,MATCH($N$1,$C$112:$C$113,0)-1,0)</f>
        <v>36.92</v>
      </c>
      <c r="F25" s="28">
        <f ca="1">20.42*OFFSET(F$112,MATCH($N$1,$C$112:$C$113,0)-1,0)</f>
        <v>20.420000000000002</v>
      </c>
      <c r="G25" s="28">
        <f ca="1">17.57*OFFSET(G$112,MATCH($N$1,$C$112:$C$113,0)-1,0)</f>
        <v>17.57</v>
      </c>
      <c r="H25" s="28">
        <f ca="1">13.73*OFFSET(H$112,MATCH($N$1,$C$112:$C$113,0)-1,0)</f>
        <v>13.73</v>
      </c>
      <c r="I25" s="28">
        <f ca="1">12.3*OFFSET(I$112,MATCH($N$1,$C$112:$C$113,0)-1,0)</f>
        <v>12.3</v>
      </c>
      <c r="J25" s="28">
        <f ca="1">19.84*OFFSET(J$112,MATCH($N$1,$C$112:$C$113,0)-1,0)</f>
        <v>19.84</v>
      </c>
      <c r="K25" s="28">
        <f ca="1">18.83*OFFSET(K$112,MATCH($N$1,$C$112:$C$113,0)-1,0)</f>
        <v>18.829999999999998</v>
      </c>
      <c r="L25" s="28">
        <f ca="1">23.78*OFFSET(L$112,MATCH($N$1,$C$112:$C$113,0)-1,0)</f>
        <v>23.78</v>
      </c>
      <c r="M25" s="28">
        <f ca="1">26.46*OFFSET(M$112,MATCH($N$1,$C$112:$C$113,0)-1,0)</f>
        <v>26.46</v>
      </c>
      <c r="N25" s="28">
        <v>14.78</v>
      </c>
      <c r="O25" s="23" t="str">
        <f t="shared" si="0"/>
        <v/>
      </c>
      <c r="P25" s="23">
        <f t="shared" ca="1" si="1"/>
        <v>-0.25504032258064518</v>
      </c>
    </row>
    <row r="26" spans="1:16" ht="18" customHeight="1" x14ac:dyDescent="0.2">
      <c r="A26" s="229"/>
      <c r="B26" s="33" t="s">
        <v>65</v>
      </c>
      <c r="C26" s="40"/>
      <c r="D26" s="28"/>
      <c r="E26" s="28">
        <f ca="1">-6.28*OFFSET(E$112,MATCH($N$1,$C$112:$C$113,0)-1,0)</f>
        <v>-6.28</v>
      </c>
      <c r="F26" s="28">
        <f ca="1">-5.61*OFFSET(F$112,MATCH($N$1,$C$112:$C$113,0)-1,0)</f>
        <v>-5.61</v>
      </c>
      <c r="G26" s="28">
        <f ca="1">-5.21*OFFSET(G$112,MATCH($N$1,$C$112:$C$113,0)-1,0)</f>
        <v>-5.21</v>
      </c>
      <c r="H26" s="28">
        <f ca="1">-7.44*OFFSET(H$112,MATCH($N$1,$C$112:$C$113,0)-1,0)</f>
        <v>-7.44</v>
      </c>
      <c r="I26" s="28">
        <f ca="1">-7.92*OFFSET(I$112,MATCH($N$1,$C$112:$C$113,0)-1,0)</f>
        <v>-7.92</v>
      </c>
      <c r="J26" s="28">
        <f ca="1">-26.46*OFFSET(J$112,MATCH($N$1,$C$112:$C$113,0)-1,0)</f>
        <v>-26.46</v>
      </c>
      <c r="K26" s="28">
        <f ca="1">-14.21*OFFSET(K$112,MATCH($N$1,$C$112:$C$113,0)-1,0)</f>
        <v>-14.21</v>
      </c>
      <c r="L26" s="28">
        <f ca="1">-6.07*OFFSET(L$112,MATCH($N$1,$C$112:$C$113,0)-1,0)</f>
        <v>-6.07</v>
      </c>
      <c r="M26" s="28">
        <f ca="1">-31.27*OFFSET(M$112,MATCH($N$1,$C$112:$C$113,0)-1,0)</f>
        <v>-31.27</v>
      </c>
      <c r="N26" s="28">
        <v>-14.78</v>
      </c>
      <c r="O26" s="29" t="str">
        <f t="shared" si="0"/>
        <v/>
      </c>
      <c r="P26" s="29">
        <f t="shared" ca="1" si="1"/>
        <v>0.44142101284958429</v>
      </c>
    </row>
    <row r="27" spans="1:16" ht="18" customHeight="1" x14ac:dyDescent="0.2">
      <c r="A27" s="230" t="s">
        <v>26</v>
      </c>
      <c r="B27" s="30" t="s">
        <v>59</v>
      </c>
      <c r="C27" s="31"/>
      <c r="D27" s="32">
        <f ca="1">5.5*OFFSET(D$112,MATCH($N$1,$C$112:$C$113,0)-1,0)</f>
        <v>5.5</v>
      </c>
      <c r="E27" s="32">
        <f ca="1">4.7*OFFSET(E$112,MATCH($N$1,$C$112:$C$113,0)-1,0)</f>
        <v>4.7</v>
      </c>
      <c r="F27" s="32">
        <f ca="1">5.1*OFFSET(F$112,MATCH($N$1,$C$112:$C$113,0)-1,0)</f>
        <v>5.0999999999999996</v>
      </c>
      <c r="G27" s="32">
        <f ca="1">5.4*OFFSET(G$112,MATCH($N$1,$C$112:$C$113,0)-1,0)</f>
        <v>5.4</v>
      </c>
      <c r="H27" s="32">
        <f ca="1">4.8*OFFSET(H$112,MATCH($N$1,$C$112:$C$113,0)-1,0)</f>
        <v>4.8</v>
      </c>
      <c r="I27" s="32">
        <f ca="1">5.9*OFFSET(I$112,MATCH($N$1,$C$112:$C$113,0)-1,0)</f>
        <v>5.9</v>
      </c>
      <c r="J27" s="32">
        <f ca="1">5.1*OFFSET(J$112,MATCH($N$1,$C$112:$C$113,0)-1,0)</f>
        <v>5.0999999999999996</v>
      </c>
      <c r="K27" s="32">
        <f ca="1">5.3*OFFSET(K$112,MATCH($N$1,$C$112:$C$113,0)-1,0)</f>
        <v>5.3</v>
      </c>
      <c r="L27" s="32">
        <f ca="1">4.7*OFFSET(L$112,MATCH($N$1,$C$112:$C$113,0)-1,0)</f>
        <v>4.7</v>
      </c>
      <c r="M27" s="32">
        <f ca="1">4.4*OFFSET(M$112,MATCH($N$1,$C$112:$C$113,0)-1,0)</f>
        <v>4.4000000000000004</v>
      </c>
      <c r="N27" s="32">
        <v>4.6000000000000005</v>
      </c>
      <c r="O27" s="23">
        <f t="shared" ca="1" si="0"/>
        <v>-0.16363636363636355</v>
      </c>
      <c r="P27" s="23">
        <f t="shared" ca="1" si="1"/>
        <v>-9.8039215686274342E-2</v>
      </c>
    </row>
    <row r="28" spans="1:16" ht="18" customHeight="1" x14ac:dyDescent="0.2">
      <c r="A28" s="231"/>
      <c r="B28" s="33" t="s">
        <v>66</v>
      </c>
      <c r="C28" s="27"/>
      <c r="D28" s="28">
        <f ca="1">0.1*OFFSET(D$112,MATCH($N$1,$C$112:$C$113,0)-1,0)</f>
        <v>0.1</v>
      </c>
      <c r="E28" s="28">
        <f ca="1">0.1*OFFSET(E$112,MATCH($N$1,$C$112:$C$113,0)-1,0)</f>
        <v>0.1</v>
      </c>
      <c r="F28" s="28">
        <f ca="1">0.1*OFFSET(F$112,MATCH($N$1,$C$112:$C$113,0)-1,0)</f>
        <v>0.1</v>
      </c>
      <c r="G28" s="28">
        <f ca="1">0.1*OFFSET(G$112,MATCH($N$1,$C$112:$C$113,0)-1,0)</f>
        <v>0.1</v>
      </c>
      <c r="H28" s="28">
        <f ca="1">0.2*OFFSET(H$112,MATCH($N$1,$C$112:$C$113,0)-1,0)</f>
        <v>0.2</v>
      </c>
      <c r="I28" s="28">
        <f ca="1">0.2*OFFSET(I$112,MATCH($N$1,$C$112:$C$113,0)-1,0)</f>
        <v>0.2</v>
      </c>
      <c r="J28" s="28">
        <f ca="1">0.1*OFFSET(J$112,MATCH($N$1,$C$112:$C$113,0)-1,0)</f>
        <v>0.1</v>
      </c>
      <c r="K28" s="28">
        <f ca="1">0.4*OFFSET(K$112,MATCH($N$1,$C$112:$C$113,0)-1,0)</f>
        <v>0.4</v>
      </c>
      <c r="L28" s="28">
        <f ca="1">0.2*OFFSET(L$112,MATCH($N$1,$C$112:$C$113,0)-1,0)</f>
        <v>0.2</v>
      </c>
      <c r="M28" s="28">
        <f ca="1">0.2*OFFSET(M$112,MATCH($N$1,$C$112:$C$113,0)-1,0)</f>
        <v>0.2</v>
      </c>
      <c r="N28" s="28">
        <v>0.3</v>
      </c>
      <c r="O28" s="23">
        <f t="shared" ca="1" si="0"/>
        <v>1.9999999999999998</v>
      </c>
      <c r="P28" s="23">
        <f t="shared" ca="1" si="1"/>
        <v>1.9999999999999998</v>
      </c>
    </row>
    <row r="29" spans="1:16" ht="18" customHeight="1" x14ac:dyDescent="0.2">
      <c r="A29" s="231"/>
      <c r="B29" s="41" t="s">
        <v>67</v>
      </c>
      <c r="C29" s="42"/>
      <c r="D29" s="43">
        <f ca="1">5.6*OFFSET(D$112,MATCH($N$1,$C$112:$C$113,0)-1,0)</f>
        <v>5.6</v>
      </c>
      <c r="E29" s="43">
        <f ca="1">4.9*OFFSET(E$112,MATCH($N$1,$C$112:$C$113,0)-1,0)</f>
        <v>4.9000000000000004</v>
      </c>
      <c r="F29" s="43">
        <f ca="1">5.2*OFFSET(F$112,MATCH($N$1,$C$112:$C$113,0)-1,0)</f>
        <v>5.2</v>
      </c>
      <c r="G29" s="43">
        <f ca="1">5.5*OFFSET(G$112,MATCH($N$1,$C$112:$C$113,0)-1,0)</f>
        <v>5.5</v>
      </c>
      <c r="H29" s="43">
        <f ca="1">5.1*OFFSET(H$112,MATCH($N$1,$C$112:$C$113,0)-1,0)</f>
        <v>5.0999999999999996</v>
      </c>
      <c r="I29" s="43">
        <f ca="1">6.1*OFFSET(I$112,MATCH($N$1,$C$112:$C$113,0)-1,0)</f>
        <v>6.1</v>
      </c>
      <c r="J29" s="43">
        <f ca="1">5.2*OFFSET(J$112,MATCH($N$1,$C$112:$C$113,0)-1,0)</f>
        <v>5.2</v>
      </c>
      <c r="K29" s="43">
        <f ca="1">5.7*OFFSET(K$112,MATCH($N$1,$C$112:$C$113,0)-1,0)</f>
        <v>5.7</v>
      </c>
      <c r="L29" s="43">
        <f ca="1">4.8*OFFSET(L$112,MATCH($N$1,$C$112:$C$113,0)-1,0)</f>
        <v>4.8</v>
      </c>
      <c r="M29" s="43">
        <f ca="1">4.6*OFFSET(M$112,MATCH($N$1,$C$112:$C$113,0)-1,0)</f>
        <v>4.5999999999999996</v>
      </c>
      <c r="N29" s="43">
        <v>4.9000000000000004</v>
      </c>
      <c r="O29" s="23">
        <f t="shared" ca="1" si="0"/>
        <v>-0.12499999999999988</v>
      </c>
      <c r="P29" s="23">
        <f t="shared" ca="1" si="1"/>
        <v>-5.7692307692307654E-2</v>
      </c>
    </row>
    <row r="30" spans="1:16" ht="18" customHeight="1" x14ac:dyDescent="0.2">
      <c r="A30" s="231"/>
      <c r="B30" s="33" t="s">
        <v>68</v>
      </c>
      <c r="C30" s="27"/>
      <c r="D30" s="28">
        <f ca="1">4.7*OFFSET(D$112,MATCH($N$1,$C$112:$C$113,0)-1,0)</f>
        <v>4.7</v>
      </c>
      <c r="E30" s="28">
        <f ca="1">2.9*OFFSET(E$112,MATCH($N$1,$C$112:$C$113,0)-1,0)</f>
        <v>2.9</v>
      </c>
      <c r="F30" s="28">
        <f ca="1">3.2*OFFSET(F$112,MATCH($N$1,$C$112:$C$113,0)-1,0)</f>
        <v>3.2</v>
      </c>
      <c r="G30" s="28">
        <f ca="1">4.4*OFFSET(G$112,MATCH($N$1,$C$112:$C$113,0)-1,0)</f>
        <v>4.4000000000000004</v>
      </c>
      <c r="H30" s="28">
        <f ca="1">5.1*OFFSET(H$112,MATCH($N$1,$C$112:$C$113,0)-1,0)</f>
        <v>5.0999999999999996</v>
      </c>
      <c r="I30" s="28">
        <f ca="1">5.1*OFFSET(I$112,MATCH($N$1,$C$112:$C$113,0)-1,0)</f>
        <v>5.0999999999999996</v>
      </c>
      <c r="J30" s="28">
        <f ca="1">7.1*OFFSET(J$112,MATCH($N$1,$C$112:$C$113,0)-1,0)</f>
        <v>7.1</v>
      </c>
      <c r="K30" s="28">
        <f ca="1">3.1*OFFSET(K$112,MATCH($N$1,$C$112:$C$113,0)-1,0)</f>
        <v>3.1</v>
      </c>
      <c r="L30" s="28">
        <f ca="1">3.2*OFFSET(L$112,MATCH($N$1,$C$112:$C$113,0)-1,0)</f>
        <v>3.2</v>
      </c>
      <c r="M30" s="28">
        <f ca="1">3.4*OFFSET(M$112,MATCH($N$1,$C$112:$C$113,0)-1,0)</f>
        <v>3.4</v>
      </c>
      <c r="N30" s="28">
        <v>3.8000000000000003</v>
      </c>
      <c r="O30" s="23">
        <f t="shared" ca="1" si="0"/>
        <v>-0.19148936170212763</v>
      </c>
      <c r="P30" s="23">
        <f t="shared" ca="1" si="1"/>
        <v>-0.46478873239436613</v>
      </c>
    </row>
    <row r="31" spans="1:16" ht="18" customHeight="1" x14ac:dyDescent="0.2">
      <c r="A31" s="231"/>
      <c r="B31" s="33" t="s">
        <v>69</v>
      </c>
      <c r="C31" s="27"/>
      <c r="D31" s="28">
        <f ca="1">17.4*OFFSET(D$112,MATCH($N$1,$C$112:$C$113,0)-1,0)</f>
        <v>17.399999999999999</v>
      </c>
      <c r="E31" s="28">
        <f ca="1">1.1*OFFSET(E$112,MATCH($N$1,$C$112:$C$113,0)-1,0)</f>
        <v>1.1000000000000001</v>
      </c>
      <c r="F31" s="28">
        <f ca="1">1.4*OFFSET(F$112,MATCH($N$1,$C$112:$C$113,0)-1,0)</f>
        <v>1.4</v>
      </c>
      <c r="G31" s="28">
        <f ca="1">0.6*OFFSET(G$112,MATCH($N$1,$C$112:$C$113,0)-1,0)</f>
        <v>0.6</v>
      </c>
      <c r="H31" s="28">
        <f ca="1">1*OFFSET(H$112,MATCH($N$1,$C$112:$C$113,0)-1,0)</f>
        <v>1</v>
      </c>
      <c r="I31" s="28">
        <f ca="1">1*OFFSET(I$112,MATCH($N$1,$C$112:$C$113,0)-1,0)</f>
        <v>1</v>
      </c>
      <c r="J31" s="28">
        <f ca="1">1.8*OFFSET(J$112,MATCH($N$1,$C$112:$C$113,0)-1,0)</f>
        <v>1.8</v>
      </c>
      <c r="K31" s="28">
        <f ca="1">1.9*OFFSET(K$112,MATCH($N$1,$C$112:$C$113,0)-1,0)</f>
        <v>1.9</v>
      </c>
      <c r="L31" s="28">
        <f ca="1">0.5*OFFSET(L$112,MATCH($N$1,$C$112:$C$113,0)-1,0)</f>
        <v>0.5</v>
      </c>
      <c r="M31" s="28">
        <f ca="1">2.5*OFFSET(M$112,MATCH($N$1,$C$112:$C$113,0)-1,0)</f>
        <v>2.5</v>
      </c>
      <c r="N31" s="28">
        <v>1.6</v>
      </c>
      <c r="O31" s="23">
        <f t="shared" ca="1" si="0"/>
        <v>-0.90804597701149425</v>
      </c>
      <c r="P31" s="23">
        <f t="shared" ca="1" si="1"/>
        <v>-0.11111111111111108</v>
      </c>
    </row>
    <row r="32" spans="1:16" ht="18" customHeight="1" x14ac:dyDescent="0.2">
      <c r="A32" s="231"/>
      <c r="B32" s="33" t="s">
        <v>70</v>
      </c>
      <c r="C32" s="27"/>
      <c r="D32" s="28">
        <f ca="1">3.3*OFFSET(D$112,MATCH($N$1,$C$112:$C$113,0)-1,0)</f>
        <v>3.3</v>
      </c>
      <c r="E32" s="28">
        <f ca="1">0.2*OFFSET(E$112,MATCH($N$1,$C$112:$C$113,0)-1,0)</f>
        <v>0.2</v>
      </c>
      <c r="F32" s="28">
        <f ca="1">1.1*OFFSET(F$112,MATCH($N$1,$C$112:$C$113,0)-1,0)</f>
        <v>1.1000000000000001</v>
      </c>
      <c r="G32" s="28">
        <f ca="1">1*OFFSET(G$112,MATCH($N$1,$C$112:$C$113,0)-1,0)</f>
        <v>1</v>
      </c>
      <c r="H32" s="28">
        <f ca="1">0.6*OFFSET(H$112,MATCH($N$1,$C$112:$C$113,0)-1,0)</f>
        <v>0.6</v>
      </c>
      <c r="I32" s="28">
        <f ca="1">2.7*OFFSET(I$112,MATCH($N$1,$C$112:$C$113,0)-1,0)</f>
        <v>2.7</v>
      </c>
      <c r="J32" s="28">
        <f ca="1">1.2*OFFSET(J$112,MATCH($N$1,$C$112:$C$113,0)-1,0)</f>
        <v>1.2</v>
      </c>
      <c r="K32" s="28">
        <f ca="1">1.7*OFFSET(K$112,MATCH($N$1,$C$112:$C$113,0)-1,0)</f>
        <v>1.7</v>
      </c>
      <c r="L32" s="28">
        <f ca="1">1.1*OFFSET(L$112,MATCH($N$1,$C$112:$C$113,0)-1,0)</f>
        <v>1.1000000000000001</v>
      </c>
      <c r="M32" s="28">
        <f ca="1">1.5*OFFSET(M$112,MATCH($N$1,$C$112:$C$113,0)-1,0)</f>
        <v>1.5</v>
      </c>
      <c r="N32" s="28">
        <v>1.5</v>
      </c>
      <c r="O32" s="23">
        <f t="shared" ca="1" si="0"/>
        <v>-0.54545454545454541</v>
      </c>
      <c r="P32" s="23">
        <f t="shared" ca="1" si="1"/>
        <v>0.25000000000000006</v>
      </c>
    </row>
    <row r="33" spans="1:16" ht="18" customHeight="1" x14ac:dyDescent="0.2">
      <c r="A33" s="231"/>
      <c r="B33" s="33" t="s">
        <v>71</v>
      </c>
      <c r="C33" s="27"/>
      <c r="D33" s="28">
        <f ca="1">25.4*OFFSET(D$112,MATCH($N$1,$C$112:$C$113,0)-1,0)</f>
        <v>25.4</v>
      </c>
      <c r="E33" s="28">
        <f ca="1">4.3*OFFSET(E$112,MATCH($N$1,$C$112:$C$113,0)-1,0)</f>
        <v>4.3</v>
      </c>
      <c r="F33" s="28">
        <f ca="1">5.7*OFFSET(F$112,MATCH($N$1,$C$112:$C$113,0)-1,0)</f>
        <v>5.7</v>
      </c>
      <c r="G33" s="28">
        <f ca="1">6*OFFSET(G$112,MATCH($N$1,$C$112:$C$113,0)-1,0)</f>
        <v>6</v>
      </c>
      <c r="H33" s="28">
        <f ca="1">6.7*OFFSET(H$112,MATCH($N$1,$C$112:$C$113,0)-1,0)</f>
        <v>6.7</v>
      </c>
      <c r="I33" s="28">
        <f ca="1">8.8*OFFSET(I$112,MATCH($N$1,$C$112:$C$113,0)-1,0)</f>
        <v>8.8000000000000007</v>
      </c>
      <c r="J33" s="28">
        <f ca="1">10.1*OFFSET(J$112,MATCH($N$1,$C$112:$C$113,0)-1,0)</f>
        <v>10.1</v>
      </c>
      <c r="K33" s="28">
        <f ca="1">6.6*OFFSET(K$112,MATCH($N$1,$C$112:$C$113,0)-1,0)</f>
        <v>6.6</v>
      </c>
      <c r="L33" s="28">
        <f ca="1">4.7*OFFSET(L$112,MATCH($N$1,$C$112:$C$113,0)-1,0)</f>
        <v>4.7</v>
      </c>
      <c r="M33" s="28">
        <f ca="1">7.4*OFFSET(M$112,MATCH($N$1,$C$112:$C$113,0)-1,0)</f>
        <v>7.4</v>
      </c>
      <c r="N33" s="28">
        <v>6.8</v>
      </c>
      <c r="O33" s="23">
        <f t="shared" ca="1" si="0"/>
        <v>-0.73228346456692905</v>
      </c>
      <c r="P33" s="23">
        <f t="shared" ca="1" si="1"/>
        <v>-0.32673267326732675</v>
      </c>
    </row>
    <row r="34" spans="1:16" ht="18" customHeight="1" x14ac:dyDescent="0.2">
      <c r="A34" s="231"/>
      <c r="B34" s="33" t="s">
        <v>72</v>
      </c>
      <c r="C34" s="27"/>
      <c r="D34" s="28">
        <f ca="1">19*OFFSET(D$112,MATCH($N$1,$C$112:$C$113,0)-1,0)</f>
        <v>19</v>
      </c>
      <c r="E34" s="28">
        <f ca="1">1.4*OFFSET(E$112,MATCH($N$1,$C$112:$C$113,0)-1,0)</f>
        <v>1.4</v>
      </c>
      <c r="F34" s="28">
        <f ca="1">0.9*OFFSET(F$112,MATCH($N$1,$C$112:$C$113,0)-1,0)</f>
        <v>0.9</v>
      </c>
      <c r="G34" s="28">
        <f ca="1">1.1*OFFSET(G$112,MATCH($N$1,$C$112:$C$113,0)-1,0)</f>
        <v>1.1000000000000001</v>
      </c>
      <c r="H34" s="28">
        <f ca="1">0.9*OFFSET(H$112,MATCH($N$1,$C$112:$C$113,0)-1,0)</f>
        <v>0.9</v>
      </c>
      <c r="I34" s="28">
        <f ca="1">1.1*OFFSET(I$112,MATCH($N$1,$C$112:$C$113,0)-1,0)</f>
        <v>1.1000000000000001</v>
      </c>
      <c r="J34" s="28">
        <f ca="1">1.9*OFFSET(J$112,MATCH($N$1,$C$112:$C$113,0)-1,0)</f>
        <v>1.9</v>
      </c>
      <c r="K34" s="28">
        <f ca="1">3.1*OFFSET(K$112,MATCH($N$1,$C$112:$C$113,0)-1,0)</f>
        <v>3.1</v>
      </c>
      <c r="L34" s="28">
        <f ca="1">1.3*OFFSET(L$112,MATCH($N$1,$C$112:$C$113,0)-1,0)</f>
        <v>1.3</v>
      </c>
      <c r="M34" s="28">
        <f ca="1">2.4*OFFSET(M$112,MATCH($N$1,$C$112:$C$113,0)-1,0)</f>
        <v>2.4</v>
      </c>
      <c r="N34" s="28">
        <v>2.6</v>
      </c>
      <c r="O34" s="23">
        <f t="shared" ca="1" si="0"/>
        <v>-0.86315789473684201</v>
      </c>
      <c r="P34" s="23">
        <f t="shared" ca="1" si="1"/>
        <v>0.36842105263157904</v>
      </c>
    </row>
    <row r="35" spans="1:16" ht="18" customHeight="1" x14ac:dyDescent="0.2">
      <c r="A35" s="231"/>
      <c r="B35" s="33" t="s">
        <v>73</v>
      </c>
      <c r="C35" s="27"/>
      <c r="D35" s="28">
        <f ca="1">44.4*OFFSET(D$112,MATCH($N$1,$C$112:$C$113,0)-1,0)</f>
        <v>44.4</v>
      </c>
      <c r="E35" s="28">
        <f ca="1">5.7*OFFSET(E$112,MATCH($N$1,$C$112:$C$113,0)-1,0)</f>
        <v>5.7</v>
      </c>
      <c r="F35" s="28">
        <f ca="1">6.6*OFFSET(F$112,MATCH($N$1,$C$112:$C$113,0)-1,0)</f>
        <v>6.6</v>
      </c>
      <c r="G35" s="28">
        <f ca="1">7.1*OFFSET(G$112,MATCH($N$1,$C$112:$C$113,0)-1,0)</f>
        <v>7.1</v>
      </c>
      <c r="H35" s="28">
        <f ca="1">7.7*OFFSET(H$112,MATCH($N$1,$C$112:$C$113,0)-1,0)</f>
        <v>7.7</v>
      </c>
      <c r="I35" s="28">
        <f ca="1">9.9*OFFSET(I$112,MATCH($N$1,$C$112:$C$113,0)-1,0)</f>
        <v>9.9</v>
      </c>
      <c r="J35" s="28">
        <f ca="1">12*OFFSET(J$112,MATCH($N$1,$C$112:$C$113,0)-1,0)</f>
        <v>12</v>
      </c>
      <c r="K35" s="28">
        <f ca="1">9.7*OFFSET(K$112,MATCH($N$1,$C$112:$C$113,0)-1,0)</f>
        <v>9.6999999999999993</v>
      </c>
      <c r="L35" s="28">
        <f ca="1">6*OFFSET(L$112,MATCH($N$1,$C$112:$C$113,0)-1,0)</f>
        <v>6</v>
      </c>
      <c r="M35" s="28">
        <f ca="1">9.8*OFFSET(M$112,MATCH($N$1,$C$112:$C$113,0)-1,0)</f>
        <v>9.8000000000000007</v>
      </c>
      <c r="N35" s="28">
        <v>9.5</v>
      </c>
      <c r="O35" s="23">
        <f t="shared" ca="1" si="0"/>
        <v>-0.786036036036036</v>
      </c>
      <c r="P35" s="23">
        <f t="shared" ca="1" si="1"/>
        <v>-0.20833333333333334</v>
      </c>
    </row>
    <row r="36" spans="1:16" ht="18" customHeight="1" x14ac:dyDescent="0.2">
      <c r="A36" s="231"/>
      <c r="B36" s="41" t="s">
        <v>74</v>
      </c>
      <c r="C36" s="42"/>
      <c r="D36" s="43">
        <f ca="1">-21.4*OFFSET(D$112,MATCH($N$1,$C$112:$C$113,0)-1,0)</f>
        <v>-21.4</v>
      </c>
      <c r="E36" s="43">
        <f ca="1">0.3*OFFSET(E$112,MATCH($N$1,$C$112:$C$113,0)-1,0)</f>
        <v>0.3</v>
      </c>
      <c r="F36" s="43"/>
      <c r="G36" s="43">
        <f ca="1">-1*OFFSET(G$112,MATCH($N$1,$C$112:$C$113,0)-1,0)</f>
        <v>-1</v>
      </c>
      <c r="H36" s="43">
        <f ca="1">-1.6*OFFSET(H$112,MATCH($N$1,$C$112:$C$113,0)-1,0)</f>
        <v>-1.6</v>
      </c>
      <c r="I36" s="43">
        <f ca="1">-2.8*OFFSET(I$112,MATCH($N$1,$C$112:$C$113,0)-1,0)</f>
        <v>-2.8</v>
      </c>
      <c r="J36" s="43">
        <f ca="1">-5*OFFSET(J$112,MATCH($N$1,$C$112:$C$113,0)-1,0)</f>
        <v>-5</v>
      </c>
      <c r="K36" s="43">
        <f ca="1">-2.1*OFFSET(K$112,MATCH($N$1,$C$112:$C$113,0)-1,0)</f>
        <v>-2.1</v>
      </c>
      <c r="L36" s="43">
        <f ca="1">-0.7*OFFSET(L$112,MATCH($N$1,$C$112:$C$113,0)-1,0)</f>
        <v>-0.7</v>
      </c>
      <c r="M36" s="43">
        <f ca="1">-2.7*OFFSET(M$112,MATCH($N$1,$C$112:$C$113,0)-1,0)</f>
        <v>-2.7</v>
      </c>
      <c r="N36" s="43">
        <v>-3.0000000000000004</v>
      </c>
      <c r="O36" s="23">
        <f t="shared" ca="1" si="0"/>
        <v>0.85981308411214952</v>
      </c>
      <c r="P36" s="23">
        <f t="shared" ca="1" si="1"/>
        <v>0.39999999999999991</v>
      </c>
    </row>
    <row r="37" spans="1:16" ht="18" customHeight="1" x14ac:dyDescent="0.2">
      <c r="A37" s="231"/>
      <c r="B37" s="41" t="s">
        <v>75</v>
      </c>
      <c r="C37" s="42"/>
      <c r="D37" s="43">
        <f ca="1">-38.8*OFFSET(D$112,MATCH($N$1,$C$112:$C$113,0)-1,0)</f>
        <v>-38.799999999999997</v>
      </c>
      <c r="E37" s="43">
        <f ca="1">-0.8*OFFSET(E$112,MATCH($N$1,$C$112:$C$113,0)-1,0)</f>
        <v>-0.8</v>
      </c>
      <c r="F37" s="43">
        <f ca="1">-1.4*OFFSET(F$112,MATCH($N$1,$C$112:$C$113,0)-1,0)</f>
        <v>-1.4</v>
      </c>
      <c r="G37" s="43">
        <f ca="1">-1.6*OFFSET(G$112,MATCH($N$1,$C$112:$C$113,0)-1,0)</f>
        <v>-1.6</v>
      </c>
      <c r="H37" s="43">
        <f ca="1">-2.6*OFFSET(H$112,MATCH($N$1,$C$112:$C$113,0)-1,0)</f>
        <v>-2.6</v>
      </c>
      <c r="I37" s="43">
        <f ca="1">-3.8*OFFSET(I$112,MATCH($N$1,$C$112:$C$113,0)-1,0)</f>
        <v>-3.8</v>
      </c>
      <c r="J37" s="43">
        <f ca="1">-6.8*OFFSET(J$112,MATCH($N$1,$C$112:$C$113,0)-1,0)</f>
        <v>-6.8</v>
      </c>
      <c r="K37" s="43">
        <f ca="1">-4*OFFSET(K$112,MATCH($N$1,$C$112:$C$113,0)-1,0)</f>
        <v>-4</v>
      </c>
      <c r="L37" s="43">
        <f ca="1">-1.2*OFFSET(L$112,MATCH($N$1,$C$112:$C$113,0)-1,0)</f>
        <v>-1.2</v>
      </c>
      <c r="M37" s="43">
        <f ca="1">-5.2*OFFSET(M$112,MATCH($N$1,$C$112:$C$113,0)-1,0)</f>
        <v>-5.2</v>
      </c>
      <c r="N37" s="43">
        <v>-4.6000000000000005</v>
      </c>
      <c r="O37" s="23">
        <f t="shared" ca="1" si="0"/>
        <v>0.88144329896907214</v>
      </c>
      <c r="P37" s="23">
        <f t="shared" ca="1" si="1"/>
        <v>0.32352941176470579</v>
      </c>
    </row>
    <row r="38" spans="1:16" ht="18" customHeight="1" x14ac:dyDescent="0.2">
      <c r="A38" s="231"/>
      <c r="B38" s="33" t="s">
        <v>76</v>
      </c>
      <c r="C38" s="27"/>
      <c r="D38" s="28">
        <f ca="1">26.1*OFFSET(D$112,MATCH($N$1,$C$112:$C$113,0)-1,0)</f>
        <v>26.1</v>
      </c>
      <c r="E38" s="28">
        <f ca="1">1.6*OFFSET(E$112,MATCH($N$1,$C$112:$C$113,0)-1,0)</f>
        <v>1.6</v>
      </c>
      <c r="F38" s="28">
        <f ca="1">0.4*OFFSET(F$112,MATCH($N$1,$C$112:$C$113,0)-1,0)</f>
        <v>0.4</v>
      </c>
      <c r="G38" s="28">
        <f ca="1">0.3*OFFSET(G$112,MATCH($N$1,$C$112:$C$113,0)-1,0)</f>
        <v>0.3</v>
      </c>
      <c r="H38" s="28">
        <f ca="1">0.4*OFFSET(H$112,MATCH($N$1,$C$112:$C$113,0)-1,0)</f>
        <v>0.4</v>
      </c>
      <c r="I38" s="28">
        <f ca="1">0.5*OFFSET(I$112,MATCH($N$1,$C$112:$C$113,0)-1,0)</f>
        <v>0.5</v>
      </c>
      <c r="J38" s="28">
        <f ca="1">0.3*OFFSET(J$112,MATCH($N$1,$C$112:$C$113,0)-1,0)</f>
        <v>0.3</v>
      </c>
      <c r="K38" s="28">
        <f ca="1">0.1*OFFSET(K$112,MATCH($N$1,$C$112:$C$113,0)-1,0)</f>
        <v>0.1</v>
      </c>
      <c r="L38" s="28">
        <f ca="1">2.2*OFFSET(L$112,MATCH($N$1,$C$112:$C$113,0)-1,0)</f>
        <v>2.2000000000000002</v>
      </c>
      <c r="M38" s="28">
        <f ca="1">0.4*OFFSET(M$112,MATCH($N$1,$C$112:$C$113,0)-1,0)</f>
        <v>0.4</v>
      </c>
      <c r="N38" s="28"/>
      <c r="O38" s="23" t="str">
        <f t="shared" si="0"/>
        <v/>
      </c>
      <c r="P38" s="23" t="str">
        <f t="shared" si="1"/>
        <v/>
      </c>
    </row>
    <row r="39" spans="1:16" ht="18" customHeight="1" x14ac:dyDescent="0.2">
      <c r="A39" s="231"/>
      <c r="B39" s="33" t="s">
        <v>77</v>
      </c>
      <c r="C39" s="27"/>
      <c r="D39" s="28"/>
      <c r="E39" s="28">
        <f ca="1">0.1*OFFSET(E$112,MATCH($N$1,$C$112:$C$113,0)-1,0)</f>
        <v>0.1</v>
      </c>
      <c r="F39" s="28"/>
      <c r="G39" s="28">
        <f ca="1">0.2*OFFSET(G$112,MATCH($N$1,$C$112:$C$113,0)-1,0)</f>
        <v>0.2</v>
      </c>
      <c r="H39" s="28">
        <f ca="1">0.2*OFFSET(H$112,MATCH($N$1,$C$112:$C$113,0)-1,0)</f>
        <v>0.2</v>
      </c>
      <c r="I39" s="28"/>
      <c r="J39" s="28">
        <f ca="1">0.2*OFFSET(J$112,MATCH($N$1,$C$112:$C$113,0)-1,0)</f>
        <v>0.2</v>
      </c>
      <c r="K39" s="28"/>
      <c r="L39" s="28"/>
      <c r="M39" s="28"/>
      <c r="N39" s="28"/>
      <c r="O39" s="23" t="str">
        <f t="shared" si="0"/>
        <v/>
      </c>
      <c r="P39" s="23" t="str">
        <f t="shared" si="1"/>
        <v/>
      </c>
    </row>
    <row r="40" spans="1:16" ht="18" customHeight="1" x14ac:dyDescent="0.2">
      <c r="A40" s="231"/>
      <c r="B40" s="33" t="s">
        <v>78</v>
      </c>
      <c r="C40" s="27"/>
      <c r="D40" s="28"/>
      <c r="E40" s="28"/>
      <c r="F40" s="28">
        <f ca="1">0.1*OFFSET(F$112,MATCH($N$1,$C$112:$C$113,0)-1,0)</f>
        <v>0.1</v>
      </c>
      <c r="G40" s="28"/>
      <c r="H40" s="28"/>
      <c r="I40" s="28"/>
      <c r="J40" s="28">
        <f ca="1">0.2*OFFSET(J$112,MATCH($N$1,$C$112:$C$113,0)-1,0)</f>
        <v>0.2</v>
      </c>
      <c r="K40" s="28"/>
      <c r="L40" s="28"/>
      <c r="M40" s="28">
        <f ca="1">0.1*OFFSET(M$112,MATCH($N$1,$C$112:$C$113,0)-1,0)</f>
        <v>0.1</v>
      </c>
      <c r="N40" s="28"/>
      <c r="O40" s="23" t="str">
        <f t="shared" si="0"/>
        <v/>
      </c>
      <c r="P40" s="23" t="str">
        <f t="shared" si="1"/>
        <v/>
      </c>
    </row>
    <row r="41" spans="1:16" ht="18" customHeight="1" thickBot="1" x14ac:dyDescent="0.25">
      <c r="A41" s="232"/>
      <c r="B41" s="44" t="s">
        <v>79</v>
      </c>
      <c r="C41" s="45"/>
      <c r="D41" s="46">
        <f ca="1">-64.8*OFFSET(D$112,MATCH($N$1,$C$112:$C$113,0)-1,0)</f>
        <v>-64.8</v>
      </c>
      <c r="E41" s="46">
        <f ca="1">-2.5*OFFSET(E$112,MATCH($N$1,$C$112:$C$113,0)-1,0)</f>
        <v>-2.5</v>
      </c>
      <c r="F41" s="46">
        <f ca="1">-1.9*OFFSET(F$112,MATCH($N$1,$C$112:$C$113,0)-1,0)</f>
        <v>-1.9</v>
      </c>
      <c r="G41" s="46">
        <f ca="1">-2*OFFSET(G$112,MATCH($N$1,$C$112:$C$113,0)-1,0)</f>
        <v>-2</v>
      </c>
      <c r="H41" s="46">
        <f ca="1">-3.2*OFFSET(H$112,MATCH($N$1,$C$112:$C$113,0)-1,0)</f>
        <v>-3.2</v>
      </c>
      <c r="I41" s="46">
        <f ca="1">-4.4*OFFSET(I$112,MATCH($N$1,$C$112:$C$113,0)-1,0)</f>
        <v>-4.4000000000000004</v>
      </c>
      <c r="J41" s="46">
        <f ca="1">-7.5*OFFSET(J$112,MATCH($N$1,$C$112:$C$113,0)-1,0)</f>
        <v>-7.5</v>
      </c>
      <c r="K41" s="46">
        <f ca="1">-4*OFFSET(K$112,MATCH($N$1,$C$112:$C$113,0)-1,0)</f>
        <v>-4</v>
      </c>
      <c r="L41" s="46">
        <f ca="1">-3.4*OFFSET(L$112,MATCH($N$1,$C$112:$C$113,0)-1,0)</f>
        <v>-3.4</v>
      </c>
      <c r="M41" s="46">
        <f ca="1">-5.6*OFFSET(M$112,MATCH($N$1,$C$112:$C$113,0)-1,0)</f>
        <v>-5.6</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17</v>
      </c>
      <c r="F46" s="95" t="s">
        <v>17</v>
      </c>
      <c r="G46" s="95" t="s">
        <v>17</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Low activity over 10m</v>
      </c>
      <c r="C48" s="97"/>
      <c r="D48" s="97"/>
      <c r="E48" s="97"/>
      <c r="F48" s="97"/>
      <c r="G48" s="97"/>
      <c r="K48" s="97" t="str">
        <f>$B24&amp;CHAR(10)&amp;$A$1</f>
        <v>Operating profit per kW day at sea (£)
Low activity over 10m</v>
      </c>
    </row>
    <row r="49" spans="1:11" s="83" customFormat="1" x14ac:dyDescent="0.2">
      <c r="A49" s="97" t="str">
        <f>$B22&amp;CHAR(10)&amp;$A$1</f>
        <v>Fishing income per kW day at sea (£)
Low activity over 10m</v>
      </c>
    </row>
    <row r="50" spans="1:11" s="83" customFormat="1" x14ac:dyDescent="0.2">
      <c r="A50" s="97" t="str">
        <f>$B20&amp;CHAR(10)&amp;$A$1</f>
        <v>Average price per tonne landed (£)
Low activity over 10m</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Low activity over 10m</v>
      </c>
      <c r="F62" s="97" t="str">
        <f>$B20&amp;CHAR(10)&amp;$A$1</f>
        <v>Average price per tonne landed (£)
Low activity over 10m</v>
      </c>
      <c r="K62" s="97" t="str">
        <f>"Average annual operating profit per vessel (£'000)"&amp;CHAR(10)&amp;$A$1</f>
        <v>Average annual operating profit per vessel (£'000)
Low activity over 10m</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Low activity over 10m</v>
      </c>
      <c r="F76" s="97" t="str">
        <f>"Top 5 landed species by value in "&amp;A77&amp;CHAR(10)&amp;A1</f>
        <v>Top 5 landed species by value in 2017
Low activity over 10m</v>
      </c>
    </row>
    <row r="77" spans="1:9" s="97" customFormat="1" x14ac:dyDescent="0.2">
      <c r="A77" s="97">
        <v>2017</v>
      </c>
      <c r="B77" s="97" t="s">
        <v>231</v>
      </c>
      <c r="C77" s="98">
        <v>0.58799457642204489</v>
      </c>
      <c r="D77" s="99">
        <v>11115023</v>
      </c>
      <c r="G77" s="97" t="s">
        <v>232</v>
      </c>
      <c r="H77" s="98">
        <v>0.27163936590076315</v>
      </c>
      <c r="I77" s="99">
        <v>12153634</v>
      </c>
    </row>
    <row r="78" spans="1:9" s="97" customFormat="1" x14ac:dyDescent="0.2">
      <c r="B78" s="97" t="s">
        <v>233</v>
      </c>
      <c r="C78" s="98">
        <v>8.0338481584166316E-2</v>
      </c>
      <c r="D78" s="99">
        <v>1692097</v>
      </c>
      <c r="G78" s="97" t="s">
        <v>234</v>
      </c>
      <c r="H78" s="98">
        <v>0.16165492544617668</v>
      </c>
      <c r="I78" s="99">
        <v>553960</v>
      </c>
    </row>
    <row r="79" spans="1:9" s="97" customFormat="1" x14ac:dyDescent="0.2">
      <c r="B79" s="97" t="s">
        <v>235</v>
      </c>
      <c r="C79" s="98">
        <v>6.6074245199289769E-2</v>
      </c>
      <c r="D79" s="99">
        <v>2480382</v>
      </c>
      <c r="G79" s="97" t="s">
        <v>236</v>
      </c>
      <c r="H79" s="98">
        <v>8.0805352653439924E-2</v>
      </c>
      <c r="I79" s="99">
        <v>3050596</v>
      </c>
    </row>
    <row r="80" spans="1:9" s="97" customFormat="1" x14ac:dyDescent="0.2">
      <c r="B80" s="97" t="s">
        <v>237</v>
      </c>
      <c r="C80" s="98">
        <v>4.2766389981226463E-2</v>
      </c>
      <c r="D80" s="99">
        <v>3050596</v>
      </c>
      <c r="G80" s="97" t="s">
        <v>238</v>
      </c>
      <c r="H80" s="98">
        <v>6.9211513330302343E-2</v>
      </c>
      <c r="I80" s="99">
        <v>1692097</v>
      </c>
    </row>
    <row r="81" spans="1:18" s="97" customFormat="1" x14ac:dyDescent="0.2">
      <c r="B81" s="97" t="s">
        <v>239</v>
      </c>
      <c r="C81" s="98">
        <v>3.8256353124027233E-2</v>
      </c>
      <c r="D81" s="99">
        <v>12153634</v>
      </c>
      <c r="G81" s="97" t="s">
        <v>240</v>
      </c>
      <c r="H81" s="98">
        <v>6.4743195135186463E-2</v>
      </c>
      <c r="I81" s="99">
        <v>3689192</v>
      </c>
    </row>
    <row r="82" spans="1:18" s="97" customFormat="1" x14ac:dyDescent="0.2">
      <c r="B82" s="97" t="s">
        <v>241</v>
      </c>
      <c r="C82" s="98">
        <v>0.18456995368924534</v>
      </c>
      <c r="D82" s="99">
        <v>5920853</v>
      </c>
      <c r="G82" s="97" t="s">
        <v>186</v>
      </c>
      <c r="H82" s="98">
        <v>0.35194564753413138</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93</v>
      </c>
      <c r="D92" s="102">
        <v>0.22730000339288323</v>
      </c>
      <c r="E92" s="102">
        <v>0.14977138604316118</v>
      </c>
      <c r="F92" s="102">
        <v>0.16696679083874869</v>
      </c>
      <c r="G92" s="102">
        <v>0.19721751151913863</v>
      </c>
      <c r="H92" s="102">
        <v>0.18477450972490228</v>
      </c>
      <c r="I92" s="102">
        <v>0.18791105648816606</v>
      </c>
      <c r="J92" s="102">
        <v>0.14709077892440503</v>
      </c>
      <c r="K92" s="102">
        <v>0.16419322315770943</v>
      </c>
      <c r="L92" s="102">
        <v>0.27163936590076315</v>
      </c>
      <c r="M92" s="102">
        <v>0.15012893971339905</v>
      </c>
      <c r="O92" s="97">
        <v>12153634</v>
      </c>
    </row>
    <row r="93" spans="1:18" s="97" customFormat="1" hidden="1" x14ac:dyDescent="0.2">
      <c r="B93" s="97">
        <v>2</v>
      </c>
      <c r="C93" s="97" t="s">
        <v>230</v>
      </c>
      <c r="D93" s="102">
        <v>0.11076027139961313</v>
      </c>
      <c r="E93" s="102">
        <v>0.10591678701064845</v>
      </c>
      <c r="F93" s="102">
        <v>0.11870107997616111</v>
      </c>
      <c r="G93" s="102">
        <v>7.8535344920795627E-2</v>
      </c>
      <c r="H93" s="102">
        <v>0.12892830924304874</v>
      </c>
      <c r="I93" s="102">
        <v>0.11935368911297346</v>
      </c>
      <c r="J93" s="102">
        <v>0.1720271283107114</v>
      </c>
      <c r="K93" s="102">
        <v>0.18220910433646845</v>
      </c>
      <c r="L93" s="102">
        <v>0.16165492544617668</v>
      </c>
      <c r="M93" s="102">
        <v>0.15637272327258195</v>
      </c>
      <c r="O93" s="97">
        <v>553960</v>
      </c>
    </row>
    <row r="94" spans="1:18" s="97" customFormat="1" hidden="1" x14ac:dyDescent="0.2">
      <c r="B94" s="97">
        <v>3</v>
      </c>
      <c r="C94" s="97" t="s">
        <v>242</v>
      </c>
      <c r="D94" s="102"/>
      <c r="E94" s="102">
        <v>9.7803393361413152E-2</v>
      </c>
      <c r="F94" s="102"/>
      <c r="G94" s="102"/>
      <c r="H94" s="102"/>
      <c r="I94" s="102"/>
      <c r="J94" s="102">
        <v>4.832598662521468E-2</v>
      </c>
      <c r="K94" s="102"/>
      <c r="L94" s="102">
        <v>8.0805352653439924E-2</v>
      </c>
      <c r="M94" s="102"/>
      <c r="O94" s="97">
        <v>3050596</v>
      </c>
    </row>
    <row r="95" spans="1:18" s="97" customFormat="1" hidden="1" x14ac:dyDescent="0.2">
      <c r="B95" s="97">
        <v>4</v>
      </c>
      <c r="C95" s="97" t="s">
        <v>243</v>
      </c>
      <c r="D95" s="102"/>
      <c r="E95" s="102"/>
      <c r="F95" s="102">
        <v>8.0102872466757874E-2</v>
      </c>
      <c r="G95" s="102">
        <v>7.3369533793617048E-2</v>
      </c>
      <c r="H95" s="102"/>
      <c r="I95" s="102">
        <v>9.0349804918228582E-2</v>
      </c>
      <c r="J95" s="102"/>
      <c r="K95" s="102"/>
      <c r="L95" s="102">
        <v>6.9211513330302343E-2</v>
      </c>
      <c r="M95" s="102">
        <v>9.5725673924057994E-2</v>
      </c>
      <c r="O95" s="97">
        <v>1692097</v>
      </c>
    </row>
    <row r="96" spans="1:18" s="97" customFormat="1" hidden="1" x14ac:dyDescent="0.2">
      <c r="B96" s="97">
        <v>5</v>
      </c>
      <c r="C96" s="97" t="s">
        <v>244</v>
      </c>
      <c r="D96" s="102">
        <v>0.14666838269682769</v>
      </c>
      <c r="E96" s="102">
        <v>0.17943275581424928</v>
      </c>
      <c r="F96" s="102"/>
      <c r="G96" s="102"/>
      <c r="H96" s="102">
        <v>6.4133275032905085E-2</v>
      </c>
      <c r="I96" s="102"/>
      <c r="J96" s="102"/>
      <c r="K96" s="102">
        <v>0.17535289806685919</v>
      </c>
      <c r="L96" s="102">
        <v>6.4743195135186463E-2</v>
      </c>
      <c r="M96" s="102"/>
      <c r="O96" s="97">
        <v>3689192</v>
      </c>
    </row>
    <row r="97" spans="1:15" s="97" customFormat="1" hidden="1" x14ac:dyDescent="0.2">
      <c r="B97" s="97">
        <v>6</v>
      </c>
      <c r="C97" s="97" t="s">
        <v>98</v>
      </c>
      <c r="D97" s="102"/>
      <c r="E97" s="102"/>
      <c r="F97" s="102"/>
      <c r="G97" s="102"/>
      <c r="H97" s="102"/>
      <c r="I97" s="102"/>
      <c r="J97" s="102"/>
      <c r="K97" s="102"/>
      <c r="L97" s="102"/>
      <c r="M97" s="102">
        <v>0.15358415156676158</v>
      </c>
      <c r="O97" s="97">
        <v>11115023</v>
      </c>
    </row>
    <row r="98" spans="1:15" s="97" customFormat="1" hidden="1" x14ac:dyDescent="0.2">
      <c r="B98" s="97">
        <v>7</v>
      </c>
      <c r="C98" s="97" t="s">
        <v>94</v>
      </c>
      <c r="D98" s="102"/>
      <c r="E98" s="102"/>
      <c r="F98" s="102">
        <v>0.17958023407619411</v>
      </c>
      <c r="G98" s="102"/>
      <c r="H98" s="102">
        <v>0.10849311159885566</v>
      </c>
      <c r="I98" s="102">
        <v>0.11077788842554562</v>
      </c>
      <c r="J98" s="102">
        <v>0.25236445980346506</v>
      </c>
      <c r="K98" s="102">
        <v>4.2140834064960782E-2</v>
      </c>
      <c r="L98" s="102"/>
      <c r="M98" s="102">
        <v>6.1566323976411486E-2</v>
      </c>
      <c r="O98" s="97">
        <v>2480382</v>
      </c>
    </row>
    <row r="99" spans="1:15" s="97" customFormat="1" hidden="1" x14ac:dyDescent="0.2">
      <c r="B99" s="97">
        <v>8</v>
      </c>
      <c r="C99" s="97" t="s">
        <v>245</v>
      </c>
      <c r="D99" s="102">
        <v>6.1930742660007157E-2</v>
      </c>
      <c r="E99" s="102">
        <v>8.2579857660949565E-2</v>
      </c>
      <c r="F99" s="102">
        <v>6.4245869611049833E-2</v>
      </c>
      <c r="G99" s="102">
        <v>8.2953857530992825E-2</v>
      </c>
      <c r="H99" s="102">
        <v>7.666156220489341E-2</v>
      </c>
      <c r="I99" s="102">
        <v>6.9236043148250881E-2</v>
      </c>
      <c r="J99" s="102">
        <v>5.1892385083643008E-2</v>
      </c>
      <c r="K99" s="102">
        <v>8.7964016504096521E-2</v>
      </c>
      <c r="L99" s="102"/>
      <c r="M99" s="102"/>
      <c r="O99" s="97">
        <v>7434864</v>
      </c>
    </row>
    <row r="100" spans="1:15" s="97" customFormat="1" hidden="1" x14ac:dyDescent="0.2">
      <c r="B100" s="97">
        <v>9</v>
      </c>
      <c r="C100" s="97" t="s">
        <v>246</v>
      </c>
      <c r="D100" s="102"/>
      <c r="E100" s="102"/>
      <c r="F100" s="102"/>
      <c r="G100" s="102">
        <v>6.9513282062638446E-2</v>
      </c>
      <c r="H100" s="102"/>
      <c r="I100" s="102"/>
      <c r="J100" s="102"/>
      <c r="K100" s="102"/>
      <c r="L100" s="102"/>
      <c r="M100" s="102"/>
      <c r="O100" s="97">
        <v>8497745</v>
      </c>
    </row>
    <row r="101" spans="1:15" s="97" customFormat="1" hidden="1" x14ac:dyDescent="0.2">
      <c r="B101" s="97">
        <v>10</v>
      </c>
      <c r="C101" s="97" t="s">
        <v>119</v>
      </c>
      <c r="D101" s="102">
        <v>4.7253165111003831E-2</v>
      </c>
      <c r="E101" s="102"/>
      <c r="F101" s="102"/>
      <c r="G101" s="102"/>
      <c r="H101" s="102"/>
      <c r="I101" s="102"/>
      <c r="J101" s="102"/>
      <c r="K101" s="102"/>
      <c r="L101" s="102"/>
      <c r="M101" s="102"/>
      <c r="O101" s="97">
        <v>14393110</v>
      </c>
    </row>
    <row r="102" spans="1:15" s="97" customFormat="1" hidden="1" x14ac:dyDescent="0.2">
      <c r="B102" s="97">
        <v>11</v>
      </c>
      <c r="C102" s="97" t="s">
        <v>101</v>
      </c>
      <c r="D102" s="102">
        <v>0.40608743473966497</v>
      </c>
      <c r="E102" s="102">
        <v>0.38449582010957839</v>
      </c>
      <c r="F102" s="102">
        <v>0.39040315303108836</v>
      </c>
      <c r="G102" s="102">
        <v>0.49841047017281742</v>
      </c>
      <c r="H102" s="102">
        <v>0.43700923219539478</v>
      </c>
      <c r="I102" s="102">
        <v>0.42237151790683541</v>
      </c>
      <c r="J102" s="102">
        <v>0.32829926125256081</v>
      </c>
      <c r="K102" s="102">
        <v>0.34813992386990561</v>
      </c>
      <c r="L102" s="102">
        <v>0.35194564753413143</v>
      </c>
      <c r="M102" s="102">
        <v>0.38262218754678795</v>
      </c>
      <c r="O102" s="97">
        <v>5920853</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12</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12</v>
      </c>
      <c r="D120" s="56">
        <v>23</v>
      </c>
      <c r="E120" s="56">
        <v>12</v>
      </c>
      <c r="F120" s="57">
        <v>47</v>
      </c>
    </row>
    <row r="121" spans="1:14" ht="18" customHeight="1" x14ac:dyDescent="0.2">
      <c r="A121" s="225" t="s">
        <v>23</v>
      </c>
      <c r="B121" s="30" t="s">
        <v>58</v>
      </c>
      <c r="C121" s="58">
        <v>11.574166297912598</v>
      </c>
      <c r="D121" s="58">
        <v>12.291739132093346</v>
      </c>
      <c r="E121" s="58">
        <v>12.165833473205566</v>
      </c>
      <c r="F121" s="59">
        <v>12.076382637023926</v>
      </c>
    </row>
    <row r="122" spans="1:14" ht="18" customHeight="1" x14ac:dyDescent="0.2">
      <c r="A122" s="226"/>
      <c r="B122" s="33" t="s">
        <v>51</v>
      </c>
      <c r="C122" s="60">
        <v>127.58333587646484</v>
      </c>
      <c r="D122" s="60">
        <v>131.99999668287194</v>
      </c>
      <c r="E122" s="60">
        <v>155.25</v>
      </c>
      <c r="F122" s="61">
        <v>136.80851745605469</v>
      </c>
    </row>
    <row r="123" spans="1:14" ht="18" customHeight="1" x14ac:dyDescent="0.2">
      <c r="A123" s="226"/>
      <c r="B123" s="33" t="s">
        <v>52</v>
      </c>
      <c r="C123" s="60">
        <v>14.666666984558105</v>
      </c>
      <c r="D123" s="60">
        <v>19.565217723017152</v>
      </c>
      <c r="E123" s="60">
        <v>20.166666030883789</v>
      </c>
      <c r="F123" s="61">
        <v>18.468084335327148</v>
      </c>
    </row>
    <row r="124" spans="1:14" ht="18" customHeight="1" x14ac:dyDescent="0.2">
      <c r="A124" s="226"/>
      <c r="B124" s="33" t="s">
        <v>53</v>
      </c>
      <c r="C124" s="60">
        <v>106.55860900878906</v>
      </c>
      <c r="D124" s="60">
        <v>114.22379833719005</v>
      </c>
      <c r="E124" s="60">
        <v>123.96365356445312</v>
      </c>
      <c r="F124" s="61">
        <v>114.75350189208984</v>
      </c>
    </row>
    <row r="125" spans="1:14" ht="18" customHeight="1" x14ac:dyDescent="0.2">
      <c r="A125" s="226"/>
      <c r="B125" s="33" t="s">
        <v>54</v>
      </c>
      <c r="C125" s="28">
        <v>4.3828082084655762</v>
      </c>
      <c r="D125" s="28">
        <v>2.0880130166592807</v>
      </c>
      <c r="E125" s="28">
        <v>21.696226119995117</v>
      </c>
      <c r="F125" s="62">
        <v>7.6802701950073242</v>
      </c>
    </row>
    <row r="126" spans="1:14" ht="18" customHeight="1" x14ac:dyDescent="0.2">
      <c r="A126" s="226"/>
      <c r="B126" s="33" t="s">
        <v>59</v>
      </c>
      <c r="C126" s="28">
        <f ca="1">6.03085595703125*OFFSET($L$112,MATCH($N$1,$C$112:$C$113,0)-1,0)</f>
        <v>6.0308559570312497</v>
      </c>
      <c r="D126" s="28">
        <f ca="1">4.3234982591712*OFFSET($L$112,MATCH($N$1,$C$112:$C$113,0)-1,0)</f>
        <v>4.3234982591711999</v>
      </c>
      <c r="E126" s="28">
        <f ca="1">2.863419921875*OFFSET($L$112,MATCH($N$1,$C$112:$C$113,0)-1,0)</f>
        <v>2.8634199218749998</v>
      </c>
      <c r="F126" s="62">
        <f ca="1">4.38663330078125*OFFSET($L$112,MATCH($N$1,$C$112:$C$113,0)-1,0)</f>
        <v>4.3866333007812504</v>
      </c>
    </row>
    <row r="127" spans="1:14" ht="18" customHeight="1" x14ac:dyDescent="0.2">
      <c r="A127" s="226"/>
      <c r="B127" s="33" t="s">
        <v>56</v>
      </c>
      <c r="C127" s="60">
        <v>15.083333015441895</v>
      </c>
      <c r="D127" s="60">
        <v>17.782608861508578</v>
      </c>
      <c r="E127" s="60">
        <v>44.25</v>
      </c>
      <c r="F127" s="61">
        <v>23.851064682006836</v>
      </c>
    </row>
    <row r="128" spans="1:14" ht="18" customHeight="1" x14ac:dyDescent="0.2">
      <c r="A128" s="226"/>
      <c r="B128" s="33" t="s">
        <v>60</v>
      </c>
      <c r="C128" s="60">
        <v>33.416667938232422</v>
      </c>
      <c r="D128" s="60">
        <v>41.043478758438773</v>
      </c>
      <c r="E128" s="60">
        <v>27.5</v>
      </c>
      <c r="F128" s="61">
        <v>35.638298034667969</v>
      </c>
    </row>
    <row r="129" spans="1:14" ht="18" customHeight="1" x14ac:dyDescent="0.2">
      <c r="A129" s="226"/>
      <c r="B129" s="33" t="s">
        <v>61</v>
      </c>
      <c r="C129" s="63">
        <v>0.29057291150093079</v>
      </c>
      <c r="D129" s="63">
        <v>0.11741882380255791</v>
      </c>
      <c r="E129" s="63">
        <v>0.4903101921081543</v>
      </c>
      <c r="F129" s="64">
        <v>0.32200953364372253</v>
      </c>
    </row>
    <row r="130" spans="1:14" ht="18" customHeight="1" x14ac:dyDescent="0.2">
      <c r="A130" s="227"/>
      <c r="B130" s="35" t="s">
        <v>24</v>
      </c>
      <c r="C130" s="37">
        <f ca="1">1376.02552294723*OFFSET($L$112,MATCH($N$1,$C$112:$C$113,0)-1,0)</f>
        <v>1376.02552294723</v>
      </c>
      <c r="D130" s="37">
        <f ca="1">2070.62802036004*OFFSET($L$112,MATCH($N$1,$C$112:$C$113,0)-1,0)</f>
        <v>2070.62802036004</v>
      </c>
      <c r="E130" s="37">
        <f ca="1">131.977787567216*OFFSET($L$112,MATCH($N$1,$C$112:$C$113,0)-1,0)</f>
        <v>131.97778756721601</v>
      </c>
      <c r="F130" s="65">
        <f ca="1">571*OFFSET($L$112,MATCH($N$1,$C$112:$C$113,0)-1,0)</f>
        <v>571</v>
      </c>
    </row>
    <row r="131" spans="1:14" ht="18" customHeight="1" x14ac:dyDescent="0.2">
      <c r="A131" s="239" t="s">
        <v>25</v>
      </c>
      <c r="B131" s="30" t="s">
        <v>62</v>
      </c>
      <c r="C131" s="66">
        <v>2.8409063091658249</v>
      </c>
      <c r="D131" s="66">
        <v>1.1087733457520073</v>
      </c>
      <c r="E131" s="66">
        <v>4.8542848461785697</v>
      </c>
      <c r="F131" s="67">
        <v>3.1263875391613536</v>
      </c>
    </row>
    <row r="132" spans="1:14" ht="18" customHeight="1" x14ac:dyDescent="0.2">
      <c r="A132" s="228"/>
      <c r="B132" s="33" t="s">
        <v>63</v>
      </c>
      <c r="C132" s="63">
        <f ca="1">3.90915958971398*OFFSET($L$112,MATCH($N$1,$C$112:$C$113,0)-1,0)</f>
        <v>3.9091595897139801</v>
      </c>
      <c r="D132" s="63">
        <f ca="1">2.29585715794245*OFFSET($L$112,MATCH($N$1,$C$112:$C$113,0)-1,0)</f>
        <v>2.29585715794245</v>
      </c>
      <c r="E132" s="63">
        <f ca="1">0.640657774219711*OFFSET($L$112,MATCH($N$1,$C$112:$C$113,0)-1,0)</f>
        <v>0.64065777421971104</v>
      </c>
      <c r="F132" s="64">
        <f ca="1">1.78565536657134*OFFSET($L$112,MATCH($N$1,$C$112:$C$113,0)-1,0)</f>
        <v>1.7856553665713399</v>
      </c>
    </row>
    <row r="133" spans="1:14" ht="18" customHeight="1" x14ac:dyDescent="0.2">
      <c r="A133" s="228"/>
      <c r="B133" s="33" t="s">
        <v>11</v>
      </c>
      <c r="C133" s="63">
        <f ca="1">6.29876276763288*OFFSET($L$112,MATCH($N$1,$C$112:$C$113,0)-1,0)</f>
        <v>6.2987627676328799</v>
      </c>
      <c r="D133" s="63">
        <f ca="1">4.58621687071768*OFFSET($L$112,MATCH($N$1,$C$112:$C$113,0)-1,0)</f>
        <v>4.5862168707176796</v>
      </c>
      <c r="E133" s="63">
        <f ca="1">2.49575988994854*OFFSET($L$112,MATCH($N$1,$C$112:$C$113,0)-1,0)</f>
        <v>2.4957598899485398</v>
      </c>
      <c r="F133" s="64">
        <f ca="1">3.88973999365547*OFFSET($L$112,MATCH($N$1,$C$112:$C$113,0)-1,0)</f>
        <v>3.88973999365547</v>
      </c>
    </row>
    <row r="134" spans="1:14" ht="18" customHeight="1" x14ac:dyDescent="0.2">
      <c r="A134" s="229"/>
      <c r="B134" s="35" t="s">
        <v>12</v>
      </c>
      <c r="C134" s="68">
        <f ca="1">-2.38960317791889*OFFSET($L$112,MATCH($N$1,$C$112:$C$113,0)-1,0)</f>
        <v>-2.38960317791889</v>
      </c>
      <c r="D134" s="68">
        <f ca="1">-2.29035971277523*OFFSET($L$112,MATCH($N$1,$C$112:$C$113,0)-1,0)</f>
        <v>-2.29035971277523</v>
      </c>
      <c r="E134" s="68">
        <f ca="1">-1.85510211572883*OFFSET($L$112,MATCH($N$1,$C$112:$C$113,0)-1,0)</f>
        <v>-1.8551021157288301</v>
      </c>
      <c r="F134" s="69">
        <f ca="1">-2.10408462708413*OFFSET($L$112,MATCH($N$1,$C$112:$C$113,0)-1,0)</f>
        <v>-2.1040846270841298</v>
      </c>
    </row>
    <row r="135" spans="1:14" ht="18" customHeight="1" x14ac:dyDescent="0.2">
      <c r="A135" s="240" t="s">
        <v>45</v>
      </c>
      <c r="B135" s="33" t="s">
        <v>102</v>
      </c>
      <c r="C135" s="70">
        <f ca="1">1.30977075195312*OFFSET($L$112,MATCH($N$1,$C$112:$C$113,0)-1,0)</f>
        <v>1.3097707519531201</v>
      </c>
      <c r="D135" s="70">
        <f ca="1">2.60923399286685*OFFSET($L$112,MATCH($N$1,$C$112:$C$113,0)-1,0)</f>
        <v>2.6092339928668502</v>
      </c>
      <c r="E135" s="70">
        <f ca="1">7.162890625*OFFSET($L$112,MATCH($N$1,$C$112:$C$113,0)-1,0)</f>
        <v>7.1628906250000002</v>
      </c>
      <c r="F135" s="71">
        <f ca="1">3.44009204101563*OFFSET($L$112,MATCH($N$1,$C$112:$C$113,0)-1,0)</f>
        <v>3.4400920410156299</v>
      </c>
    </row>
    <row r="136" spans="1:14" ht="18" customHeight="1" x14ac:dyDescent="0.2">
      <c r="A136" s="241"/>
      <c r="B136" s="33" t="s">
        <v>103</v>
      </c>
      <c r="C136" s="26">
        <v>3037.4998584171262</v>
      </c>
      <c r="D136" s="26">
        <v>6136.9567276331118</v>
      </c>
      <c r="E136" s="26">
        <v>16891.66641998291</v>
      </c>
      <c r="F136" s="72">
        <v>8091.489361702128</v>
      </c>
    </row>
    <row r="137" spans="1:14" ht="18" customHeight="1" x14ac:dyDescent="0.2">
      <c r="A137" s="241"/>
      <c r="B137" s="33" t="s">
        <v>104</v>
      </c>
      <c r="C137" s="26">
        <v>201.38121032714844</v>
      </c>
      <c r="D137" s="26">
        <v>345.11003280946517</v>
      </c>
      <c r="E137" s="26">
        <v>381.73257446289062</v>
      </c>
      <c r="F137" s="72">
        <v>339.25067138671875</v>
      </c>
    </row>
    <row r="138" spans="1:14" ht="18" customHeight="1" x14ac:dyDescent="0.2">
      <c r="A138" s="241"/>
      <c r="B138" s="33" t="s">
        <v>105</v>
      </c>
      <c r="C138" s="26">
        <f ca="1">86.8356317938627*OFFSET($L$112,MATCH($N$1,$C$112:$C$113,0)-1,0)</f>
        <v>86.835631793862703</v>
      </c>
      <c r="D138" s="26">
        <f ca="1">146.729538572637*OFFSET($L$112,MATCH($N$1,$C$112:$C$113,0)-1,0)</f>
        <v>146.72953857263701</v>
      </c>
      <c r="E138" s="26">
        <f ca="1">161.873234463277*OFFSET($L$112,MATCH($N$1,$C$112:$C$113,0)-1,0)</f>
        <v>161.87323446327699</v>
      </c>
      <c r="F138" s="72">
        <f ca="1">144.232221365398*OFFSET($L$112,MATCH($N$1,$C$112:$C$113,0)-1,0)</f>
        <v>144.232221365398</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298.84281712881*OFFSET($L$112,MATCH($N$1,$C$112:$C$113,0)-1,0)</f>
        <v>298.84281712881</v>
      </c>
      <c r="D139" s="26">
        <f ca="1">1249.62534814151*OFFSET($L$112,MATCH($N$1,$C$112:$C$113,0)-1,0)</f>
        <v>1249.6253481415099</v>
      </c>
      <c r="E139" s="26">
        <f ca="1">330.144541515389*OFFSET($L$112,MATCH($N$1,$C$112:$C$113,0)-1,0)</f>
        <v>330.14454151538899</v>
      </c>
      <c r="F139" s="72">
        <f ca="1">447.912892863054*OFFSET($L$112,MATCH($N$1,$C$112:$C$113,0)-1,0)</f>
        <v>447.91289286305403</v>
      </c>
      <c r="I139" s="49"/>
      <c r="K139" s="73" t="s">
        <v>107</v>
      </c>
      <c r="L139" s="74">
        <f t="shared" ref="L139:M141" ca="1" si="2">C140</f>
        <v>6.3308525390624997</v>
      </c>
      <c r="M139" s="74">
        <f t="shared" ca="1" si="2"/>
        <v>4.5385646866508198</v>
      </c>
      <c r="N139" s="74">
        <f ca="1">E140</f>
        <v>3.00585668945312</v>
      </c>
    </row>
    <row r="140" spans="1:14" ht="18" customHeight="1" x14ac:dyDescent="0.2">
      <c r="A140" s="230" t="s">
        <v>46</v>
      </c>
      <c r="B140" s="30" t="s">
        <v>108</v>
      </c>
      <c r="C140" s="75">
        <f ca="1">6.3308525390625*OFFSET($L$112,MATCH($N$1,$C$112:$C$113,0)-1,0)</f>
        <v>6.3308525390624997</v>
      </c>
      <c r="D140" s="75">
        <f ca="1">4.53856468665082*OFFSET($L$112,MATCH($N$1,$C$112:$C$113,0)-1,0)</f>
        <v>4.5385646866508198</v>
      </c>
      <c r="E140" s="75">
        <f ca="1">3.00585668945312*OFFSET($L$112,MATCH($N$1,$C$112:$C$113,0)-1,0)</f>
        <v>3.00585668945312</v>
      </c>
      <c r="F140" s="76">
        <f ca="1">4.60484033203125*OFFSET($L$112,MATCH($N$1,$C$112:$C$113,0)-1,0)</f>
        <v>4.6048403320312499</v>
      </c>
      <c r="I140" s="49"/>
      <c r="K140" s="73" t="s">
        <v>109</v>
      </c>
      <c r="L140" s="74">
        <f t="shared" ca="1" si="2"/>
        <v>10.0174130859375</v>
      </c>
      <c r="M140" s="74">
        <f t="shared" ca="1" si="2"/>
        <v>8.8517103006114102</v>
      </c>
      <c r="N140" s="74">
        <f ca="1">E141</f>
        <v>11.297235351562501</v>
      </c>
    </row>
    <row r="141" spans="1:14" ht="18" customHeight="1" x14ac:dyDescent="0.2">
      <c r="A141" s="237"/>
      <c r="B141" s="33" t="s">
        <v>110</v>
      </c>
      <c r="C141" s="26">
        <f ca="1">10.0174130859375*OFFSET($L$112,MATCH($N$1,$C$112:$C$113,0)-1,0)</f>
        <v>10.0174130859375</v>
      </c>
      <c r="D141" s="26">
        <f ca="1">8.85171030061141*OFFSET($L$112,MATCH($N$1,$C$112:$C$113,0)-1,0)</f>
        <v>8.8517103006114102</v>
      </c>
      <c r="E141" s="26">
        <f ca="1">11.2972353515625*OFFSET($L$112,MATCH($N$1,$C$112:$C$113,0)-1,0)</f>
        <v>11.297235351562501</v>
      </c>
      <c r="F141" s="72">
        <f ca="1">9.7737255859375*OFFSET($L$112,MATCH($N$1,$C$112:$C$113,0)-1,0)</f>
        <v>9.7737255859375001</v>
      </c>
      <c r="I141" s="49"/>
      <c r="K141" s="73" t="s">
        <v>111</v>
      </c>
      <c r="L141" s="74">
        <f t="shared" ca="1" si="2"/>
        <v>-3.686560546875</v>
      </c>
      <c r="M141" s="74">
        <f t="shared" ca="1" si="2"/>
        <v>-4.3131456139606001</v>
      </c>
      <c r="N141" s="74">
        <f ca="1">E142</f>
        <v>-8.2913786621093806</v>
      </c>
    </row>
    <row r="142" spans="1:14" ht="18" customHeight="1" x14ac:dyDescent="0.2">
      <c r="A142" s="238"/>
      <c r="B142" s="35" t="s">
        <v>112</v>
      </c>
      <c r="C142" s="37">
        <f ca="1">-3.686560546875*OFFSET($L$112,MATCH($N$1,$C$112:$C$113,0)-1,0)</f>
        <v>-3.686560546875</v>
      </c>
      <c r="D142" s="37">
        <f ca="1">-4.3131456139606*OFFSET($L$112,MATCH($N$1,$C$112:$C$113,0)-1,0)</f>
        <v>-4.3131456139606001</v>
      </c>
      <c r="E142" s="37">
        <f ca="1">-8.29137866210938*OFFSET($L$112,MATCH($N$1,$C$112:$C$113,0)-1,0)</f>
        <v>-8.2913786621093806</v>
      </c>
      <c r="F142" s="65">
        <f ca="1">-5.16888525390625*OFFSET($L$112,MATCH($N$1,$C$112:$C$113,0)-1,0)</f>
        <v>-5.1688852539062502</v>
      </c>
      <c r="I142" s="49"/>
      <c r="K142" s="73" t="s">
        <v>113</v>
      </c>
      <c r="L142" s="77">
        <f ca="1">IFERROR(L140/L$139,"")</f>
        <v>1.5823166033529068</v>
      </c>
      <c r="M142" s="77">
        <f t="shared" ref="M142:N143" ca="1" si="3">IFERROR(M140/M$139,"")</f>
        <v>1.9503325195841652</v>
      </c>
      <c r="N142" s="77">
        <f t="shared" ca="1" si="3"/>
        <v>3.7584078413325481</v>
      </c>
    </row>
    <row r="143" spans="1:14" ht="18" customHeight="1" x14ac:dyDescent="0.2">
      <c r="I143" s="49"/>
      <c r="K143" s="73" t="s">
        <v>114</v>
      </c>
      <c r="L143" s="77">
        <f ca="1">IFERROR(L141/L$139,"")</f>
        <v>-0.58231660335290669</v>
      </c>
      <c r="M143" s="77">
        <f t="shared" ca="1" si="3"/>
        <v>-0.95033251958416731</v>
      </c>
      <c r="N143" s="77">
        <f t="shared" ca="1" si="3"/>
        <v>-2.7584078413325481</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14</v>
      </c>
      <c r="B161" s="53"/>
      <c r="C161" s="79" t="s">
        <v>41</v>
      </c>
      <c r="D161" s="79" t="s">
        <v>115</v>
      </c>
      <c r="E161" s="79" t="s">
        <v>43</v>
      </c>
      <c r="F161" s="79" t="s">
        <v>116</v>
      </c>
      <c r="G161" s="80">
        <v>13</v>
      </c>
      <c r="H161" s="79"/>
      <c r="I161" s="79" t="s">
        <v>41</v>
      </c>
      <c r="J161" s="79" t="s">
        <v>115</v>
      </c>
      <c r="K161" s="79" t="s">
        <v>43</v>
      </c>
      <c r="L161" s="53" t="s">
        <v>116</v>
      </c>
    </row>
    <row r="162" spans="1:14" s="49" customFormat="1" x14ac:dyDescent="0.2">
      <c r="A162" s="50">
        <v>1</v>
      </c>
      <c r="B162" s="53" t="s">
        <v>242</v>
      </c>
      <c r="C162" s="53">
        <v>0.17284389208684076</v>
      </c>
      <c r="D162" s="53">
        <v>0.16653413815857171</v>
      </c>
      <c r="E162" s="53">
        <v>0</v>
      </c>
      <c r="F162" s="50">
        <v>3050596</v>
      </c>
      <c r="G162" s="50">
        <v>1</v>
      </c>
      <c r="H162" s="53" t="s">
        <v>93</v>
      </c>
      <c r="I162" s="53">
        <v>0.11530255386527856</v>
      </c>
      <c r="J162" s="53">
        <v>0.44279495285203413</v>
      </c>
      <c r="K162" s="53">
        <v>0.16024273949077175</v>
      </c>
      <c r="L162" s="50">
        <v>12153634</v>
      </c>
    </row>
    <row r="163" spans="1:14" s="49" customFormat="1" x14ac:dyDescent="0.2">
      <c r="A163" s="50">
        <v>2</v>
      </c>
      <c r="B163" s="53" t="s">
        <v>93</v>
      </c>
      <c r="C163" s="53">
        <v>4.4157381492861129E-2</v>
      </c>
      <c r="D163" s="53">
        <v>0.16257394324637781</v>
      </c>
      <c r="E163" s="53">
        <v>0</v>
      </c>
      <c r="F163" s="50">
        <v>12153634</v>
      </c>
      <c r="G163" s="50">
        <v>2</v>
      </c>
      <c r="H163" s="53" t="s">
        <v>230</v>
      </c>
      <c r="I163" s="53">
        <v>0.18201133452058443</v>
      </c>
      <c r="J163" s="53">
        <v>0.18702428936791515</v>
      </c>
      <c r="K163" s="53">
        <v>0</v>
      </c>
      <c r="L163" s="50">
        <v>553960</v>
      </c>
      <c r="N163" s="49" t="s">
        <v>117</v>
      </c>
    </row>
    <row r="164" spans="1:14" s="49" customFormat="1" x14ac:dyDescent="0.2">
      <c r="A164" s="50">
        <v>3</v>
      </c>
      <c r="B164" s="53" t="s">
        <v>120</v>
      </c>
      <c r="C164" s="53">
        <v>0</v>
      </c>
      <c r="D164" s="53">
        <v>0.14130354292198</v>
      </c>
      <c r="E164" s="53">
        <v>0</v>
      </c>
      <c r="F164" s="50">
        <v>7434864</v>
      </c>
      <c r="G164" s="50">
        <v>3</v>
      </c>
      <c r="H164" s="53" t="s">
        <v>242</v>
      </c>
      <c r="I164" s="53">
        <v>0.13025181037099781</v>
      </c>
      <c r="J164" s="53">
        <v>7.5981878002404177E-2</v>
      </c>
      <c r="K164" s="53">
        <v>0</v>
      </c>
      <c r="L164" s="50">
        <v>3050596</v>
      </c>
      <c r="N164" s="49" t="s">
        <v>118</v>
      </c>
    </row>
    <row r="165" spans="1:14" s="49" customFormat="1" x14ac:dyDescent="0.2">
      <c r="A165" s="50">
        <v>4</v>
      </c>
      <c r="B165" s="53" t="s">
        <v>244</v>
      </c>
      <c r="C165" s="53">
        <v>0</v>
      </c>
      <c r="D165" s="53">
        <v>0.12905413842735872</v>
      </c>
      <c r="E165" s="53">
        <v>0</v>
      </c>
      <c r="F165" s="50">
        <v>3689192</v>
      </c>
      <c r="G165" s="50">
        <v>4</v>
      </c>
      <c r="H165" s="53" t="s">
        <v>100</v>
      </c>
      <c r="I165" s="53">
        <v>0</v>
      </c>
      <c r="J165" s="53">
        <v>6.5648112611453507E-2</v>
      </c>
      <c r="K165" s="53">
        <v>0</v>
      </c>
      <c r="L165" s="50">
        <v>8497745</v>
      </c>
    </row>
    <row r="166" spans="1:14" s="49" customFormat="1" x14ac:dyDescent="0.2">
      <c r="A166" s="50">
        <v>5</v>
      </c>
      <c r="B166" s="53" t="s">
        <v>100</v>
      </c>
      <c r="C166" s="53">
        <v>0</v>
      </c>
      <c r="D166" s="53">
        <v>9.9222831416977839E-2</v>
      </c>
      <c r="E166" s="53">
        <v>0</v>
      </c>
      <c r="F166" s="50">
        <v>8497745</v>
      </c>
      <c r="G166" s="50">
        <v>5</v>
      </c>
      <c r="H166" s="53" t="s">
        <v>170</v>
      </c>
      <c r="I166" s="53">
        <v>0</v>
      </c>
      <c r="J166" s="53">
        <v>4.8326420485462949E-2</v>
      </c>
      <c r="K166" s="53">
        <v>0</v>
      </c>
      <c r="L166" s="50">
        <v>14393110</v>
      </c>
    </row>
    <row r="167" spans="1:14" s="49" customFormat="1" x14ac:dyDescent="0.2">
      <c r="A167" s="50">
        <v>6</v>
      </c>
      <c r="B167" s="53" t="s">
        <v>192</v>
      </c>
      <c r="C167" s="53">
        <v>0</v>
      </c>
      <c r="D167" s="53">
        <v>0</v>
      </c>
      <c r="E167" s="53">
        <v>0.81523396836333206</v>
      </c>
      <c r="F167" s="50">
        <v>11115023</v>
      </c>
      <c r="G167" s="50">
        <v>6</v>
      </c>
      <c r="H167" s="53" t="s">
        <v>246</v>
      </c>
      <c r="I167" s="53">
        <v>0</v>
      </c>
      <c r="J167" s="53">
        <v>0</v>
      </c>
      <c r="K167" s="53">
        <v>0.17638235700396956</v>
      </c>
      <c r="L167" s="50">
        <v>10931653</v>
      </c>
    </row>
    <row r="168" spans="1:14" s="49" customFormat="1" x14ac:dyDescent="0.2">
      <c r="A168" s="50">
        <v>7</v>
      </c>
      <c r="B168" s="53" t="s">
        <v>247</v>
      </c>
      <c r="C168" s="53">
        <v>0</v>
      </c>
      <c r="D168" s="53">
        <v>0</v>
      </c>
      <c r="E168" s="53">
        <v>9.1605797203545572E-2</v>
      </c>
      <c r="F168" s="50">
        <v>2480382</v>
      </c>
      <c r="G168" s="50">
        <v>7</v>
      </c>
      <c r="H168" s="53" t="s">
        <v>94</v>
      </c>
      <c r="I168" s="53">
        <v>0</v>
      </c>
      <c r="J168" s="53">
        <v>0</v>
      </c>
      <c r="K168" s="53">
        <v>0.15823956539706391</v>
      </c>
      <c r="L168" s="50">
        <v>15057844</v>
      </c>
    </row>
    <row r="169" spans="1:14" s="49" customFormat="1" x14ac:dyDescent="0.2">
      <c r="A169" s="50">
        <v>8</v>
      </c>
      <c r="B169" s="53" t="s">
        <v>248</v>
      </c>
      <c r="C169" s="53">
        <v>0</v>
      </c>
      <c r="D169" s="53">
        <v>0</v>
      </c>
      <c r="E169" s="53">
        <v>3.8140275875795292E-2</v>
      </c>
      <c r="F169" s="50">
        <v>2887140</v>
      </c>
      <c r="G169" s="50">
        <v>8</v>
      </c>
      <c r="H169" s="53" t="s">
        <v>244</v>
      </c>
      <c r="I169" s="53">
        <v>0</v>
      </c>
      <c r="J169" s="53">
        <v>0</v>
      </c>
      <c r="K169" s="53">
        <v>0.1036241279868502</v>
      </c>
      <c r="L169" s="50">
        <v>3689192</v>
      </c>
    </row>
    <row r="170" spans="1:14" s="49" customFormat="1" x14ac:dyDescent="0.2">
      <c r="A170" s="50">
        <v>9</v>
      </c>
      <c r="B170" s="53" t="s">
        <v>94</v>
      </c>
      <c r="C170" s="53">
        <v>0</v>
      </c>
      <c r="D170" s="53">
        <v>0</v>
      </c>
      <c r="E170" s="53">
        <v>1.0910115371590952E-2</v>
      </c>
      <c r="F170" s="50">
        <v>15057844</v>
      </c>
      <c r="G170" s="50">
        <v>9</v>
      </c>
      <c r="H170" s="53" t="s">
        <v>98</v>
      </c>
      <c r="I170" s="53">
        <v>0</v>
      </c>
      <c r="J170" s="53">
        <v>0</v>
      </c>
      <c r="K170" s="53">
        <v>9.4872118632577315E-2</v>
      </c>
      <c r="L170" s="50">
        <v>10603512</v>
      </c>
    </row>
    <row r="171" spans="1:14" s="49" customFormat="1" x14ac:dyDescent="0.2">
      <c r="A171" s="50">
        <v>10</v>
      </c>
      <c r="B171" s="53" t="s">
        <v>98</v>
      </c>
      <c r="C171" s="53">
        <v>7.2141718761775026E-2</v>
      </c>
      <c r="D171" s="53">
        <v>0</v>
      </c>
      <c r="E171" s="53">
        <v>8.1008718348768056E-3</v>
      </c>
      <c r="F171" s="50">
        <v>10603512</v>
      </c>
      <c r="G171" s="50">
        <v>10</v>
      </c>
      <c r="H171" s="53" t="s">
        <v>243</v>
      </c>
      <c r="I171" s="53">
        <v>0.19717296141741816</v>
      </c>
      <c r="J171" s="53">
        <v>0</v>
      </c>
      <c r="K171" s="53">
        <v>0</v>
      </c>
      <c r="L171" s="50">
        <v>1692097</v>
      </c>
    </row>
    <row r="172" spans="1:14" s="49" customFormat="1" x14ac:dyDescent="0.2">
      <c r="A172" s="50">
        <v>11</v>
      </c>
      <c r="B172" s="53" t="s">
        <v>243</v>
      </c>
      <c r="C172" s="53">
        <v>0.55139683601865308</v>
      </c>
      <c r="D172" s="53">
        <v>0</v>
      </c>
      <c r="E172" s="53">
        <v>0</v>
      </c>
      <c r="F172" s="50">
        <v>1692097</v>
      </c>
      <c r="G172" s="50">
        <v>11</v>
      </c>
      <c r="H172" s="53" t="s">
        <v>249</v>
      </c>
      <c r="I172" s="53">
        <v>9.9155621537161412E-2</v>
      </c>
      <c r="J172" s="53">
        <v>0</v>
      </c>
      <c r="K172" s="53">
        <v>0</v>
      </c>
      <c r="L172" s="50">
        <v>10479842</v>
      </c>
    </row>
    <row r="173" spans="1:14" s="49" customFormat="1" x14ac:dyDescent="0.2">
      <c r="A173" s="50">
        <v>12</v>
      </c>
      <c r="B173" s="53" t="s">
        <v>249</v>
      </c>
      <c r="C173" s="53">
        <v>3.7418931146838974E-2</v>
      </c>
      <c r="D173" s="53">
        <v>0</v>
      </c>
      <c r="E173" s="53">
        <v>0</v>
      </c>
      <c r="F173" s="50">
        <v>10479842</v>
      </c>
      <c r="G173" s="50">
        <v>12</v>
      </c>
      <c r="H173" s="53" t="s">
        <v>101</v>
      </c>
      <c r="I173" s="53">
        <v>0.27610571828855957</v>
      </c>
      <c r="J173" s="53">
        <v>0.18022434668072995</v>
      </c>
      <c r="K173" s="53">
        <v>0.30663909148876733</v>
      </c>
      <c r="L173" s="50">
        <v>5920853</v>
      </c>
    </row>
    <row r="174" spans="1:14" s="49" customFormat="1" x14ac:dyDescent="0.2">
      <c r="A174" s="50">
        <v>13</v>
      </c>
      <c r="B174" s="53" t="s">
        <v>101</v>
      </c>
      <c r="C174" s="53">
        <v>0.12204124049303111</v>
      </c>
      <c r="D174" s="53">
        <v>0.30131140582873395</v>
      </c>
      <c r="E174" s="53">
        <v>3.6008971350859342E-2</v>
      </c>
      <c r="F174" s="50">
        <v>5920853</v>
      </c>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'Low activity over 10m'!D3:N3</xm:f>
              <xm:sqref>C3</xm:sqref>
            </x14:sparkline>
            <x14:sparkline>
              <xm:f>'Low activity over 10m'!D4:N4</xm:f>
              <xm:sqref>C4</xm:sqref>
            </x14:sparkline>
            <x14:sparkline>
              <xm:f>'Low activity over 10m'!D5:N5</xm:f>
              <xm:sqref>C5</xm:sqref>
            </x14:sparkline>
            <x14:sparkline>
              <xm:f>'Low activity over 10m'!D6:N6</xm:f>
              <xm:sqref>C6</xm:sqref>
            </x14:sparkline>
            <x14:sparkline>
              <xm:f>'Low activity over 10m'!D7:N7</xm:f>
              <xm:sqref>C7</xm:sqref>
            </x14:sparkline>
            <x14:sparkline>
              <xm:f>'Low activity over 10m'!D8:N8</xm:f>
              <xm:sqref>C8</xm:sqref>
            </x14:sparkline>
            <x14:sparkline>
              <xm:f>'Low activity over 10m'!D9:N9</xm:f>
              <xm:sqref>C9</xm:sqref>
            </x14:sparkline>
            <x14:sparkline>
              <xm:f>'Low activity over 10m'!F10:M10</xm:f>
              <xm:sqref>C10</xm:sqref>
            </x14:sparkline>
            <x14:sparkline>
              <xm:f>'Low activity over 10m'!D11:N11</xm:f>
              <xm:sqref>C11</xm:sqref>
            </x14:sparkline>
            <x14:sparkline>
              <xm:f>'Low activity over 10m'!D12:N12</xm:f>
              <xm:sqref>C12</xm:sqref>
            </x14:sparkline>
            <x14:sparkline>
              <xm:f>'Low activity over 10m'!D13:N13</xm:f>
              <xm:sqref>C13</xm:sqref>
            </x14:sparkline>
            <x14:sparkline>
              <xm:f>'Low activity over 10m'!D14:N14</xm:f>
              <xm:sqref>C14</xm:sqref>
            </x14:sparkline>
            <x14:sparkline>
              <xm:f>'Low activity over 10m'!D15:N15</xm:f>
              <xm:sqref>C15</xm:sqref>
            </x14:sparkline>
            <x14:sparkline>
              <xm:f>'Low activity over 10m'!D16:N16</xm:f>
              <xm:sqref>C16</xm:sqref>
            </x14:sparkline>
            <x14:sparkline>
              <xm:f>'Low activity over 10m'!D17:N17</xm:f>
              <xm:sqref>C17</xm:sqref>
            </x14:sparkline>
            <x14:sparkline>
              <xm:f>'Low activity over 10m'!D18:N18</xm:f>
              <xm:sqref>C18</xm:sqref>
            </x14:sparkline>
            <x14:sparkline>
              <xm:f>'Low activity over 10m'!D19:N19</xm:f>
              <xm:sqref>C19</xm:sqref>
            </x14:sparkline>
            <x14:sparkline>
              <xm:f>'Low activity over 10m'!D20:N20</xm:f>
              <xm:sqref>C20</xm:sqref>
            </x14:sparkline>
            <x14:sparkline>
              <xm:f>'Low activity over 10m'!D21:N21</xm:f>
              <xm:sqref>C21</xm:sqref>
            </x14:sparkline>
            <x14:sparkline>
              <xm:f>'Low activity over 10m'!D22:N22</xm:f>
              <xm:sqref>C22</xm:sqref>
            </x14:sparkline>
            <x14:sparkline>
              <xm:f>'Low activity over 10m'!D23:N23</xm:f>
              <xm:sqref>C23</xm:sqref>
            </x14:sparkline>
            <x14:sparkline>
              <xm:f>'Low activity over 10m'!D24:N24</xm:f>
              <xm:sqref>C24</xm:sqref>
            </x14:sparkline>
            <x14:sparkline>
              <xm:f>'Low activity over 10m'!F25:M25</xm:f>
              <xm:sqref>C25</xm:sqref>
            </x14:sparkline>
            <x14:sparkline>
              <xm:f>'Low activity over 10m'!F26:M26</xm:f>
              <xm:sqref>C26</xm:sqref>
            </x14:sparkline>
            <x14:sparkline>
              <xm:f>'Low activity over 10m'!D27:N27</xm:f>
              <xm:sqref>C27</xm:sqref>
            </x14:sparkline>
            <x14:sparkline>
              <xm:f>'Low activity over 10m'!D28:N28</xm:f>
              <xm:sqref>C28</xm:sqref>
            </x14:sparkline>
            <x14:sparkline>
              <xm:f>'Low activity over 10m'!D29:N29</xm:f>
              <xm:sqref>C29</xm:sqref>
            </x14:sparkline>
            <x14:sparkline>
              <xm:f>'Low activity over 10m'!D30:N30</xm:f>
              <xm:sqref>C30</xm:sqref>
            </x14:sparkline>
            <x14:sparkline>
              <xm:f>'Low activity over 10m'!D31:N31</xm:f>
              <xm:sqref>C31</xm:sqref>
            </x14:sparkline>
            <x14:sparkline>
              <xm:f>'Low activity over 10m'!D32:N32</xm:f>
              <xm:sqref>C32</xm:sqref>
            </x14:sparkline>
            <x14:sparkline>
              <xm:f>'Low activity over 10m'!D33:N33</xm:f>
              <xm:sqref>C33</xm:sqref>
            </x14:sparkline>
            <x14:sparkline>
              <xm:f>'Low activity over 10m'!D34:N34</xm:f>
              <xm:sqref>C34</xm:sqref>
            </x14:sparkline>
            <x14:sparkline>
              <xm:f>'Low activity over 10m'!D35:N35</xm:f>
              <xm:sqref>C35</xm:sqref>
            </x14:sparkline>
            <x14:sparkline>
              <xm:f>'Low activity over 10m'!D36:N36</xm:f>
              <xm:sqref>C36</xm:sqref>
            </x14:sparkline>
            <x14:sparkline>
              <xm:f>'Low activity over 10m'!D37:N37</xm:f>
              <xm:sqref>C37</xm:sqref>
            </x14:sparkline>
            <x14:sparkline>
              <xm:f>'Low activity over 10m'!D38:M38</xm:f>
              <xm:sqref>C38</xm:sqref>
            </x14:sparkline>
            <x14:sparkline>
              <xm:f>'Low activity over 10m'!D39:M39</xm:f>
              <xm:sqref>C39</xm:sqref>
            </x14:sparkline>
            <x14:sparkline>
              <xm:f>'Low activity over 10m'!D40:M40</xm:f>
              <xm:sqref>C40</xm:sqref>
            </x14:sparkline>
            <x14:sparkline>
              <xm:f>'Low activity over 10m'!D41:M41</xm:f>
              <xm:sqref>C41</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250</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1816</v>
      </c>
      <c r="E3" s="22">
        <v>1848</v>
      </c>
      <c r="F3" s="22">
        <v>1753</v>
      </c>
      <c r="G3" s="22">
        <v>1694</v>
      </c>
      <c r="H3" s="22">
        <v>1710</v>
      </c>
      <c r="I3" s="22">
        <v>1677</v>
      </c>
      <c r="J3" s="22">
        <v>1575</v>
      </c>
      <c r="K3" s="22">
        <v>1683</v>
      </c>
      <c r="L3" s="22">
        <v>1669</v>
      </c>
      <c r="M3" s="22">
        <v>1633</v>
      </c>
      <c r="N3" s="22">
        <v>1552</v>
      </c>
      <c r="O3" s="23">
        <f t="shared" ref="O3:O41" si="0">IF(N3=0,"",IFERROR(IF(AND(N3&gt;0,D3&lt;0),"na",IF(AND(N3&lt;0,D3&lt;0),-1,1)*(N3-D3)/D3),""))</f>
        <v>-0.14537444933920704</v>
      </c>
      <c r="P3" s="23">
        <f>IF(N3=0,"",IFERROR(IF(AND(N3&gt;0,J3&lt;0),"na",IF(AND(N3&lt;0,J3&lt;0),-1,1)*(N3-J3)/J3),""))</f>
        <v>-1.4603174603174604E-2</v>
      </c>
    </row>
    <row r="4" spans="1:17" ht="18" customHeight="1" x14ac:dyDescent="0.2">
      <c r="A4" s="224"/>
      <c r="B4" s="24" t="s">
        <v>51</v>
      </c>
      <c r="C4" s="25"/>
      <c r="D4" s="26">
        <v>70066</v>
      </c>
      <c r="E4" s="26">
        <v>73239</v>
      </c>
      <c r="F4" s="26">
        <v>63909</v>
      </c>
      <c r="G4" s="26">
        <v>63311</v>
      </c>
      <c r="H4" s="26">
        <v>62466</v>
      </c>
      <c r="I4" s="26">
        <v>63282</v>
      </c>
      <c r="J4" s="26">
        <v>59630</v>
      </c>
      <c r="K4" s="26">
        <v>63914</v>
      </c>
      <c r="L4" s="26">
        <v>64633</v>
      </c>
      <c r="M4" s="26">
        <v>63718</v>
      </c>
      <c r="N4" s="26">
        <v>59372</v>
      </c>
      <c r="O4" s="23">
        <f t="shared" si="0"/>
        <v>-0.15262752262152826</v>
      </c>
      <c r="P4" s="23">
        <f t="shared" ref="P4:P41" si="1">IF(N4=0,"",IFERROR(IF(AND(N4&gt;0,J4&lt;0),"na",IF(AND(N4&lt;0,J4&lt;0),-1,1)*(N4-J4)/J4),""))</f>
        <v>-4.3266812007378835E-3</v>
      </c>
    </row>
    <row r="5" spans="1:17" ht="18" customHeight="1" x14ac:dyDescent="0.2">
      <c r="A5" s="224"/>
      <c r="B5" s="24" t="s">
        <v>52</v>
      </c>
      <c r="C5" s="25"/>
      <c r="D5" s="26">
        <v>4593.4501953125</v>
      </c>
      <c r="E5" s="26">
        <v>4823.85009765625</v>
      </c>
      <c r="F5" s="26">
        <v>4124.31982421875</v>
      </c>
      <c r="G5" s="26">
        <v>3995.2900390625</v>
      </c>
      <c r="H5" s="26">
        <v>3863.2099609375</v>
      </c>
      <c r="I5" s="26">
        <v>3874.8798828125</v>
      </c>
      <c r="J5" s="26">
        <v>3670.6298828125</v>
      </c>
      <c r="K5" s="26">
        <v>3930.97998046875</v>
      </c>
      <c r="L5" s="26">
        <v>3810.300048828125</v>
      </c>
      <c r="M5" s="26">
        <v>3785.1201171875</v>
      </c>
      <c r="N5" s="26">
        <v>3633.860107421875</v>
      </c>
      <c r="O5" s="23">
        <f t="shared" si="0"/>
        <v>-0.20890399309648822</v>
      </c>
      <c r="P5" s="23">
        <f t="shared" si="1"/>
        <v>-1.0017293098058518E-2</v>
      </c>
      <c r="Q5" s="27"/>
    </row>
    <row r="6" spans="1:17" ht="18" customHeight="1" x14ac:dyDescent="0.2">
      <c r="A6" s="224"/>
      <c r="B6" s="24" t="s">
        <v>53</v>
      </c>
      <c r="C6" s="25"/>
      <c r="D6" s="26">
        <v>62223.58984375</v>
      </c>
      <c r="E6" s="26">
        <v>64522.98046875</v>
      </c>
      <c r="F6" s="26">
        <v>56881.65234375</v>
      </c>
      <c r="G6" s="26">
        <v>55946.02734375</v>
      </c>
      <c r="H6" s="26">
        <v>55287.5859375</v>
      </c>
      <c r="I6" s="26">
        <v>55569.05078125</v>
      </c>
      <c r="J6" s="26">
        <v>52510.90234375</v>
      </c>
      <c r="K6" s="26">
        <v>56152.51171875</v>
      </c>
      <c r="L6" s="26">
        <v>56273.796875</v>
      </c>
      <c r="M6" s="26">
        <v>55206.50390625</v>
      </c>
      <c r="N6" s="26">
        <v>52326.7109375</v>
      </c>
      <c r="O6" s="23">
        <f t="shared" si="0"/>
        <v>-0.15905348648482204</v>
      </c>
      <c r="P6" s="23">
        <f t="shared" si="1"/>
        <v>-3.5076793204625437E-3</v>
      </c>
    </row>
    <row r="7" spans="1:17" ht="18" customHeight="1" x14ac:dyDescent="0.2">
      <c r="A7" s="224"/>
      <c r="B7" s="24" t="s">
        <v>54</v>
      </c>
      <c r="C7" s="25"/>
      <c r="D7" s="26">
        <v>2731.264892578125</v>
      </c>
      <c r="E7" s="26">
        <v>2792.211669921875</v>
      </c>
      <c r="F7" s="26">
        <v>2642.0390625</v>
      </c>
      <c r="G7" s="26">
        <v>2443.5263671875</v>
      </c>
      <c r="H7" s="26">
        <v>2287.05908203125</v>
      </c>
      <c r="I7" s="26">
        <v>2324.213623046875</v>
      </c>
      <c r="J7" s="26">
        <v>2221.367919921875</v>
      </c>
      <c r="K7" s="26">
        <v>2280.47900390625</v>
      </c>
      <c r="L7" s="26">
        <v>2178.38427734375</v>
      </c>
      <c r="M7" s="26">
        <v>1833.1580810546875</v>
      </c>
      <c r="N7" s="26">
        <v>1745.8304443359375</v>
      </c>
      <c r="O7" s="23">
        <f t="shared" si="0"/>
        <v>-0.36079783067544413</v>
      </c>
      <c r="P7" s="23">
        <f t="shared" si="1"/>
        <v>-0.21407416183567737</v>
      </c>
    </row>
    <row r="8" spans="1:17" ht="18" customHeight="1" x14ac:dyDescent="0.2">
      <c r="A8" s="224"/>
      <c r="B8" s="24" t="s">
        <v>55</v>
      </c>
      <c r="C8" s="27"/>
      <c r="D8" s="28">
        <f ca="1">6.9614755*OFFSET(D$112,MATCH($N$1,$C$112:$C$113,0)-1,0)</f>
        <v>6.9614754999999997</v>
      </c>
      <c r="E8" s="28">
        <f ca="1">6.7945155*OFFSET(E$112,MATCH($N$1,$C$112:$C$113,0)-1,0)</f>
        <v>6.7945155000000002</v>
      </c>
      <c r="F8" s="28">
        <f ca="1">6.360409*OFFSET(F$112,MATCH($N$1,$C$112:$C$113,0)-1,0)</f>
        <v>6.3604089999999998</v>
      </c>
      <c r="G8" s="28">
        <f ca="1">6.45137*OFFSET(G$112,MATCH($N$1,$C$112:$C$113,0)-1,0)</f>
        <v>6.4513699999999998</v>
      </c>
      <c r="H8" s="28">
        <f ca="1">6.2719565*OFFSET(H$112,MATCH($N$1,$C$112:$C$113,0)-1,0)</f>
        <v>6.2719564999999999</v>
      </c>
      <c r="I8" s="28">
        <f ca="1">6.1677735*OFFSET(I$112,MATCH($N$1,$C$112:$C$113,0)-1,0)</f>
        <v>6.1677735</v>
      </c>
      <c r="J8" s="28">
        <f ca="1">5.252695*OFFSET(J$112,MATCH($N$1,$C$112:$C$113,0)-1,0)</f>
        <v>5.2526950000000001</v>
      </c>
      <c r="K8" s="28">
        <f ca="1">5.6848215*OFFSET(K$112,MATCH($N$1,$C$112:$C$113,0)-1,0)</f>
        <v>5.6848215</v>
      </c>
      <c r="L8" s="28">
        <f ca="1">5.8278265*OFFSET(L$112,MATCH($N$1,$C$112:$C$113,0)-1,0)</f>
        <v>5.8278264999999996</v>
      </c>
      <c r="M8" s="28">
        <f ca="1">5.42603*OFFSET(M$112,MATCH($N$1,$C$112:$C$113,0)-1,0)</f>
        <v>5.4260299999999999</v>
      </c>
      <c r="N8" s="28">
        <v>5.3110365000000002</v>
      </c>
      <c r="O8" s="23">
        <f t="shared" ca="1" si="0"/>
        <v>-0.23708177957388482</v>
      </c>
      <c r="P8" s="23">
        <f t="shared" ca="1" si="1"/>
        <v>1.1106965091253165E-2</v>
      </c>
    </row>
    <row r="9" spans="1:17" ht="18" customHeight="1" x14ac:dyDescent="0.2">
      <c r="A9" s="224"/>
      <c r="B9" s="24" t="s">
        <v>56</v>
      </c>
      <c r="C9" s="27"/>
      <c r="D9" s="26">
        <v>52176</v>
      </c>
      <c r="E9" s="26">
        <v>46093</v>
      </c>
      <c r="F9" s="26">
        <v>43034</v>
      </c>
      <c r="G9" s="26">
        <v>41412</v>
      </c>
      <c r="H9" s="26">
        <v>39933</v>
      </c>
      <c r="I9" s="26">
        <v>42274</v>
      </c>
      <c r="J9" s="26">
        <v>43363</v>
      </c>
      <c r="K9" s="26">
        <v>50098</v>
      </c>
      <c r="L9" s="26">
        <v>42080</v>
      </c>
      <c r="M9" s="26">
        <v>30576</v>
      </c>
      <c r="N9" s="26">
        <v>29128</v>
      </c>
      <c r="O9" s="23">
        <f t="shared" si="0"/>
        <v>-0.44173566390677704</v>
      </c>
      <c r="P9" s="23">
        <f t="shared" si="1"/>
        <v>-0.32827525770818439</v>
      </c>
    </row>
    <row r="10" spans="1:17" ht="18" customHeight="1" x14ac:dyDescent="0.2">
      <c r="A10" s="224"/>
      <c r="B10" s="24" t="s">
        <v>57</v>
      </c>
      <c r="C10" s="27"/>
      <c r="D10" s="26"/>
      <c r="E10" s="26">
        <v>258.37393188476562</v>
      </c>
      <c r="F10" s="26">
        <v>303.41909790039062</v>
      </c>
      <c r="G10" s="26">
        <v>277.67306518554687</v>
      </c>
      <c r="H10" s="26">
        <v>291.1826171875</v>
      </c>
      <c r="I10" s="26">
        <v>172.29412841796875</v>
      </c>
      <c r="J10" s="26">
        <v>208.80149841308594</v>
      </c>
      <c r="K10" s="26">
        <v>193.18704223632812</v>
      </c>
      <c r="L10" s="26">
        <v>205.54214477539062</v>
      </c>
      <c r="M10" s="26">
        <v>185.36650085449219</v>
      </c>
      <c r="N10" s="26">
        <v>136.80436706542969</v>
      </c>
      <c r="O10" s="29" t="str">
        <f t="shared" si="0"/>
        <v/>
      </c>
      <c r="P10" s="29">
        <f t="shared" si="1"/>
        <v>-0.344811372977887</v>
      </c>
    </row>
    <row r="11" spans="1:17" ht="18" customHeight="1" x14ac:dyDescent="0.2">
      <c r="A11" s="225" t="s">
        <v>23</v>
      </c>
      <c r="B11" s="30" t="s">
        <v>58</v>
      </c>
      <c r="C11" s="31"/>
      <c r="D11" s="32">
        <v>6.5723128318786621</v>
      </c>
      <c r="E11" s="32">
        <v>6.6094751358032227</v>
      </c>
      <c r="F11" s="32">
        <v>6.4747004508972168</v>
      </c>
      <c r="G11" s="32">
        <v>6.4654960632324219</v>
      </c>
      <c r="H11" s="32">
        <v>6.4091811180114746</v>
      </c>
      <c r="I11" s="32">
        <v>6.4506735801696777</v>
      </c>
      <c r="J11" s="32">
        <v>6.4696507453918457</v>
      </c>
      <c r="K11" s="32">
        <v>6.4632916450500488</v>
      </c>
      <c r="L11" s="32">
        <v>6.4445476531982422</v>
      </c>
      <c r="M11" s="32">
        <v>6.4270420074462891</v>
      </c>
      <c r="N11" s="32">
        <v>6.458376407623291</v>
      </c>
      <c r="O11" s="23">
        <f t="shared" si="0"/>
        <v>-1.7335818785546603E-2</v>
      </c>
      <c r="P11" s="23">
        <f t="shared" si="1"/>
        <v>-1.7426501386624445E-3</v>
      </c>
    </row>
    <row r="12" spans="1:17" ht="18" customHeight="1" x14ac:dyDescent="0.2">
      <c r="A12" s="226"/>
      <c r="B12" s="33" t="s">
        <v>51</v>
      </c>
      <c r="C12" s="25"/>
      <c r="D12" s="26">
        <v>38.625137329101563</v>
      </c>
      <c r="E12" s="26">
        <v>39.782184600830078</v>
      </c>
      <c r="F12" s="26">
        <v>36.813941955566406</v>
      </c>
      <c r="G12" s="26">
        <v>37.797611236572266</v>
      </c>
      <c r="H12" s="26">
        <v>37.115863800048828</v>
      </c>
      <c r="I12" s="26">
        <v>38.190704345703125</v>
      </c>
      <c r="J12" s="26">
        <v>38.396652221679688</v>
      </c>
      <c r="K12" s="26">
        <v>38.595409393310547</v>
      </c>
      <c r="L12" s="26">
        <v>39.314476013183594</v>
      </c>
      <c r="M12" s="26">
        <v>39.429454803466797</v>
      </c>
      <c r="N12" s="26">
        <v>38.578296661376953</v>
      </c>
      <c r="O12" s="23">
        <f t="shared" si="0"/>
        <v>-1.2126990598249068E-3</v>
      </c>
      <c r="P12" s="23">
        <f t="shared" si="1"/>
        <v>4.7307363842180161E-3</v>
      </c>
    </row>
    <row r="13" spans="1:17" ht="18" customHeight="1" x14ac:dyDescent="0.2">
      <c r="A13" s="226"/>
      <c r="B13" s="33" t="s">
        <v>52</v>
      </c>
      <c r="C13" s="25"/>
      <c r="D13" s="26">
        <v>2.5294327735900879</v>
      </c>
      <c r="E13" s="26">
        <v>2.6173901557922363</v>
      </c>
      <c r="F13" s="26">
        <v>2.3743927478790283</v>
      </c>
      <c r="G13" s="26">
        <v>2.3852477073669434</v>
      </c>
      <c r="H13" s="26">
        <v>2.2967953681945801</v>
      </c>
      <c r="I13" s="26">
        <v>2.3399033546447754</v>
      </c>
      <c r="J13" s="26">
        <v>2.3620526790618896</v>
      </c>
      <c r="K13" s="26">
        <v>2.3766505718231201</v>
      </c>
      <c r="L13" s="26">
        <v>2.320523738861084</v>
      </c>
      <c r="M13" s="26">
        <v>2.3422772884368896</v>
      </c>
      <c r="N13" s="26">
        <v>2.3673355579376221</v>
      </c>
      <c r="O13" s="23">
        <f t="shared" si="0"/>
        <v>-6.4084413448315183E-2</v>
      </c>
      <c r="P13" s="23">
        <f t="shared" si="1"/>
        <v>2.2365626823490511E-3</v>
      </c>
    </row>
    <row r="14" spans="1:17" ht="18" customHeight="1" x14ac:dyDescent="0.2">
      <c r="A14" s="226"/>
      <c r="B14" s="33" t="s">
        <v>53</v>
      </c>
      <c r="C14" s="25"/>
      <c r="D14" s="26">
        <v>34.264091491699219</v>
      </c>
      <c r="E14" s="26">
        <v>35.009757995605469</v>
      </c>
      <c r="F14" s="26">
        <v>32.728221893310547</v>
      </c>
      <c r="G14" s="26">
        <v>33.36077880859375</v>
      </c>
      <c r="H14" s="26">
        <v>32.811622619628906</v>
      </c>
      <c r="I14" s="26">
        <v>33.535938262939453</v>
      </c>
      <c r="J14" s="26">
        <v>33.769069671630859</v>
      </c>
      <c r="K14" s="26">
        <v>33.888057708740234</v>
      </c>
      <c r="L14" s="26">
        <v>34.188209533691406</v>
      </c>
      <c r="M14" s="26">
        <v>34.120212554931641</v>
      </c>
      <c r="N14" s="26">
        <v>34.000461578369141</v>
      </c>
      <c r="O14" s="23">
        <f t="shared" si="0"/>
        <v>-7.6940581773179313E-3</v>
      </c>
      <c r="P14" s="23">
        <f t="shared" si="1"/>
        <v>6.8521848244066921E-3</v>
      </c>
    </row>
    <row r="15" spans="1:17" ht="18" customHeight="1" x14ac:dyDescent="0.2">
      <c r="A15" s="226"/>
      <c r="B15" s="33" t="s">
        <v>54</v>
      </c>
      <c r="C15" s="27"/>
      <c r="D15" s="28">
        <v>1.5040005445480347</v>
      </c>
      <c r="E15" s="28">
        <v>1.5109370946884155</v>
      </c>
      <c r="F15" s="28">
        <v>1.5071529150009155</v>
      </c>
      <c r="G15" s="28">
        <v>1.4424595832824707</v>
      </c>
      <c r="H15" s="28">
        <v>1.3374613523483276</v>
      </c>
      <c r="I15" s="28">
        <v>1.3859354257583618</v>
      </c>
      <c r="J15" s="28">
        <v>1.4103924036026001</v>
      </c>
      <c r="K15" s="28">
        <v>1.3550083637237549</v>
      </c>
      <c r="L15" s="28">
        <v>1.3052033185958862</v>
      </c>
      <c r="M15" s="28">
        <v>1.1225707530975342</v>
      </c>
      <c r="N15" s="28">
        <v>1.1248908042907715</v>
      </c>
      <c r="O15" s="23">
        <f t="shared" si="0"/>
        <v>-0.25206755518242779</v>
      </c>
      <c r="P15" s="23">
        <f t="shared" si="1"/>
        <v>-0.20242706822765411</v>
      </c>
    </row>
    <row r="16" spans="1:17" ht="18" customHeight="1" x14ac:dyDescent="0.2">
      <c r="A16" s="226"/>
      <c r="B16" s="33" t="s">
        <v>59</v>
      </c>
      <c r="C16" s="27"/>
      <c r="D16" s="28">
        <f ca="1">3.83341162109375*OFFSET(D$112,MATCH($N$1,$C$112:$C$113,0)-1,0)</f>
        <v>3.8334116210937501</v>
      </c>
      <c r="E16" s="28">
        <f ca="1">3.67668603515625*OFFSET(E$112,MATCH($N$1,$C$112:$C$113,0)-1,0)</f>
        <v>3.67668603515625</v>
      </c>
      <c r="F16" s="28">
        <f ca="1">3.62829931640625*OFFSET(F$112,MATCH($N$1,$C$112:$C$113,0)-1,0)</f>
        <v>3.6282993164062498</v>
      </c>
      <c r="G16" s="28">
        <f ca="1">3.80836474609375*OFFSET(G$112,MATCH($N$1,$C$112:$C$113,0)-1,0)</f>
        <v>3.80836474609375</v>
      </c>
      <c r="H16" s="28">
        <f ca="1">3.66781079101563*OFFSET(H$112,MATCH($N$1,$C$112:$C$113,0)-1,0)</f>
        <v>3.6678107910156301</v>
      </c>
      <c r="I16" s="28">
        <f ca="1">3.677861328125*OFFSET(I$112,MATCH($N$1,$C$112:$C$113,0)-1,0)</f>
        <v>3.6778613281250001</v>
      </c>
      <c r="J16" s="28">
        <f ca="1">3.33504443359375*OFFSET(J$112,MATCH($N$1,$C$112:$C$113,0)-1,0)</f>
        <v>3.3350444335937501</v>
      </c>
      <c r="K16" s="28">
        <f ca="1">3.37779052734375*OFFSET(K$112,MATCH($N$1,$C$112:$C$113,0)-1,0)</f>
        <v>3.3777905273437501</v>
      </c>
      <c r="L16" s="28">
        <f ca="1">3.49180737304688*OFFSET(L$112,MATCH($N$1,$C$112:$C$113,0)-1,0)</f>
        <v>3.4918073730468802</v>
      </c>
      <c r="M16" s="28">
        <f ca="1">3.32273706054688*OFFSET(M$112,MATCH($N$1,$C$112:$C$113,0)-1,0)</f>
        <v>3.32273706054688</v>
      </c>
      <c r="N16" s="28">
        <v>3.4220595703124999</v>
      </c>
      <c r="O16" s="23">
        <f t="shared" ca="1" si="0"/>
        <v>-0.10730703911829932</v>
      </c>
      <c r="P16" s="23">
        <f t="shared" ca="1" si="1"/>
        <v>2.6091147644766055E-2</v>
      </c>
    </row>
    <row r="17" spans="1:16" ht="18" customHeight="1" x14ac:dyDescent="0.2">
      <c r="A17" s="226"/>
      <c r="B17" s="33" t="s">
        <v>56</v>
      </c>
      <c r="C17" s="25"/>
      <c r="D17" s="26">
        <v>28.731277465820313</v>
      </c>
      <c r="E17" s="26">
        <v>24.942098617553711</v>
      </c>
      <c r="F17" s="26">
        <v>24.548772811889648</v>
      </c>
      <c r="G17" s="26">
        <v>24.446281433105469</v>
      </c>
      <c r="H17" s="26">
        <v>23.352632522583008</v>
      </c>
      <c r="I17" s="26">
        <v>25.208108901977539</v>
      </c>
      <c r="J17" s="26">
        <v>27.532064437866211</v>
      </c>
      <c r="K17" s="26">
        <v>29.767082214355469</v>
      </c>
      <c r="L17" s="26">
        <v>25.212701797485352</v>
      </c>
      <c r="M17" s="26">
        <v>18.723821640014648</v>
      </c>
      <c r="N17" s="26">
        <v>18.768041610717773</v>
      </c>
      <c r="O17" s="23">
        <f t="shared" si="0"/>
        <v>-0.3467731592149057</v>
      </c>
      <c r="P17" s="23">
        <f t="shared" si="1"/>
        <v>-0.31832058387509959</v>
      </c>
    </row>
    <row r="18" spans="1:16" ht="18" customHeight="1" x14ac:dyDescent="0.2">
      <c r="A18" s="226"/>
      <c r="B18" s="33" t="s">
        <v>60</v>
      </c>
      <c r="C18" s="25"/>
      <c r="D18" s="26">
        <v>21.345264434814453</v>
      </c>
      <c r="E18" s="26">
        <v>21.661420822143555</v>
      </c>
      <c r="F18" s="26">
        <v>21.894130706787109</v>
      </c>
      <c r="G18" s="26">
        <v>22.492546081542969</v>
      </c>
      <c r="H18" s="26">
        <v>22.807714462280273</v>
      </c>
      <c r="I18" s="26">
        <v>23.524442672729492</v>
      </c>
      <c r="J18" s="26">
        <v>24.085531234741211</v>
      </c>
      <c r="K18" s="26">
        <v>24.446590423583984</v>
      </c>
      <c r="L18" s="26">
        <v>24.922235488891602</v>
      </c>
      <c r="M18" s="26">
        <v>25.880716323852539</v>
      </c>
      <c r="N18" s="26">
        <v>26.537206649780273</v>
      </c>
      <c r="O18" s="23">
        <f t="shared" si="0"/>
        <v>0.24323625649245567</v>
      </c>
      <c r="P18" s="23">
        <f t="shared" si="1"/>
        <v>0.10179038158405829</v>
      </c>
    </row>
    <row r="19" spans="1:16" ht="18" customHeight="1" x14ac:dyDescent="0.2">
      <c r="A19" s="226"/>
      <c r="B19" s="33" t="s">
        <v>61</v>
      </c>
      <c r="C19" s="25"/>
      <c r="D19" s="34">
        <v>5.2347153425216675E-2</v>
      </c>
      <c r="E19" s="34">
        <v>6.0577783733606339E-2</v>
      </c>
      <c r="F19" s="34">
        <v>6.1394225805997849E-2</v>
      </c>
      <c r="G19" s="34">
        <v>5.9005275368690491E-2</v>
      </c>
      <c r="H19" s="34">
        <v>5.7272400707006454E-2</v>
      </c>
      <c r="I19" s="34">
        <v>5.4979745298624039E-2</v>
      </c>
      <c r="J19" s="34">
        <v>5.122726783156395E-2</v>
      </c>
      <c r="K19" s="34">
        <v>4.5520361512899399E-2</v>
      </c>
      <c r="L19" s="34">
        <v>5.1767688244581223E-2</v>
      </c>
      <c r="M19" s="34">
        <v>5.9954147785902023E-2</v>
      </c>
      <c r="N19" s="34">
        <v>5.9936504811048508E-2</v>
      </c>
      <c r="O19" s="23">
        <f t="shared" si="0"/>
        <v>0.14498116686849088</v>
      </c>
      <c r="P19" s="23">
        <f t="shared" si="1"/>
        <v>0.17001174078072373</v>
      </c>
    </row>
    <row r="20" spans="1:16" ht="18" customHeight="1" x14ac:dyDescent="0.2">
      <c r="A20" s="227"/>
      <c r="B20" s="35" t="s">
        <v>24</v>
      </c>
      <c r="C20" s="36"/>
      <c r="D20" s="37">
        <f ca="1">2549*OFFSET(D$112,MATCH($N$1,$C$112:$C$113,0)-1,0)</f>
        <v>2549</v>
      </c>
      <c r="E20" s="37">
        <f ca="1">2433*OFFSET(E$112,MATCH($N$1,$C$112:$C$113,0)-1,0)</f>
        <v>2433</v>
      </c>
      <c r="F20" s="37">
        <f ca="1">2407*OFFSET(F$112,MATCH($N$1,$C$112:$C$113,0)-1,0)</f>
        <v>2407</v>
      </c>
      <c r="G20" s="37">
        <f ca="1">2640*OFFSET(G$112,MATCH($N$1,$C$112:$C$113,0)-1,0)</f>
        <v>2640</v>
      </c>
      <c r="H20" s="37">
        <f ca="1">2742*OFFSET(H$112,MATCH($N$1,$C$112:$C$113,0)-1,0)</f>
        <v>2742</v>
      </c>
      <c r="I20" s="37">
        <f ca="1">2654*OFFSET(I$112,MATCH($N$1,$C$112:$C$113,0)-1,0)</f>
        <v>2654</v>
      </c>
      <c r="J20" s="37">
        <f ca="1">2365*OFFSET(J$112,MATCH($N$1,$C$112:$C$113,0)-1,0)</f>
        <v>2365</v>
      </c>
      <c r="K20" s="37">
        <f ca="1">2493*OFFSET(K$112,MATCH($N$1,$C$112:$C$113,0)-1,0)</f>
        <v>2493</v>
      </c>
      <c r="L20" s="37">
        <f ca="1">2675*OFFSET(L$112,MATCH($N$1,$C$112:$C$113,0)-1,0)</f>
        <v>2675</v>
      </c>
      <c r="M20" s="37">
        <f ca="1">2960*OFFSET(M$112,MATCH($N$1,$C$112:$C$113,0)-1,0)</f>
        <v>2960</v>
      </c>
      <c r="N20" s="37">
        <v>3042</v>
      </c>
      <c r="O20" s="29">
        <f t="shared" ca="1" si="0"/>
        <v>0.19340918007061592</v>
      </c>
      <c r="P20" s="29">
        <f t="shared" ca="1" si="1"/>
        <v>0.28625792811839323</v>
      </c>
    </row>
    <row r="21" spans="1:16" ht="18" customHeight="1" x14ac:dyDescent="0.2">
      <c r="A21" s="228" t="s">
        <v>25</v>
      </c>
      <c r="B21" s="30" t="s">
        <v>62</v>
      </c>
      <c r="C21" s="38"/>
      <c r="D21" s="39">
        <v>1.5846812679636058</v>
      </c>
      <c r="E21" s="39">
        <v>1.8036272448809043</v>
      </c>
      <c r="F21" s="39">
        <v>1.8920472160945732</v>
      </c>
      <c r="G21" s="39">
        <v>1.8179928335339672</v>
      </c>
      <c r="H21" s="39">
        <v>1.686291108698645</v>
      </c>
      <c r="I21" s="39">
        <v>1.578146415751422</v>
      </c>
      <c r="J21" s="39">
        <v>1.4114384911024449</v>
      </c>
      <c r="K21" s="39">
        <v>1.2774888671582787</v>
      </c>
      <c r="L21" s="39">
        <v>1.4833753076686749</v>
      </c>
      <c r="M21" s="39">
        <v>1.6343070694611188</v>
      </c>
      <c r="N21" s="39">
        <v>1.6368120716572669</v>
      </c>
      <c r="O21" s="23">
        <f t="shared" si="0"/>
        <v>3.2896712258517362E-2</v>
      </c>
      <c r="P21" s="23">
        <f t="shared" si="1"/>
        <v>0.15967651582095332</v>
      </c>
    </row>
    <row r="22" spans="1:16" ht="18" customHeight="1" x14ac:dyDescent="0.2">
      <c r="A22" s="228"/>
      <c r="B22" s="33" t="s">
        <v>63</v>
      </c>
      <c r="C22" s="25"/>
      <c r="D22" s="34">
        <f ca="1">4.03905145537482*OFFSET(D$112,MATCH($N$1,$C$112:$C$113,0)-1,0)</f>
        <v>4.0390514553748202</v>
      </c>
      <c r="E22" s="34">
        <f ca="1">4.38891276625152*OFFSET(E$112,MATCH($N$1,$C$112:$C$113,0)-1,0)</f>
        <v>4.3889127662515204</v>
      </c>
      <c r="F22" s="34">
        <f ca="1">4.55488859321227*OFFSET(F$112,MATCH($N$1,$C$112:$C$113,0)-1,0)</f>
        <v>4.5548885932122696</v>
      </c>
      <c r="G22" s="34">
        <f ca="1">4.79984319569391*OFFSET(G$112,MATCH($N$1,$C$112:$C$113,0)-1,0)</f>
        <v>4.79984319569391</v>
      </c>
      <c r="H22" s="34">
        <f ca="1">4.62443024197964*OFFSET(H$112,MATCH($N$1,$C$112:$C$113,0)-1,0)</f>
        <v>4.6244302419796401</v>
      </c>
      <c r="I22" s="34">
        <f ca="1">4.18793225480564*OFFSET(I$112,MATCH($N$1,$C$112:$C$113,0)-1,0)</f>
        <v>4.1879322548056397</v>
      </c>
      <c r="J22" s="34">
        <f ca="1">3.33751803475928*OFFSET(J$112,MATCH($N$1,$C$112:$C$113,0)-1,0)</f>
        <v>3.3375180347592801</v>
      </c>
      <c r="K22" s="34">
        <f ca="1">3.18454845726255*OFFSET(K$112,MATCH($N$1,$C$112:$C$113,0)-1,0)</f>
        <v>3.18454845726255</v>
      </c>
      <c r="L22" s="34">
        <f ca="1">3.96847047698694*OFFSET(L$112,MATCH($N$1,$C$112:$C$113,0)-1,0)</f>
        <v>3.9684704769869401</v>
      </c>
      <c r="M22" s="34">
        <f ca="1">4.83744356694495*OFFSET(M$112,MATCH($N$1,$C$112:$C$113,0)-1,0)</f>
        <v>4.83744356694495</v>
      </c>
      <c r="N22" s="34">
        <v>4.9793885710971786</v>
      </c>
      <c r="O22" s="23">
        <f t="shared" ca="1" si="0"/>
        <v>0.23281137319284187</v>
      </c>
      <c r="P22" s="23">
        <f t="shared" ca="1" si="1"/>
        <v>0.49194356981394383</v>
      </c>
    </row>
    <row r="23" spans="1:16" ht="18" customHeight="1" x14ac:dyDescent="0.2">
      <c r="A23" s="228"/>
      <c r="B23" s="33" t="s">
        <v>11</v>
      </c>
      <c r="C23" s="25"/>
      <c r="D23" s="34">
        <f ca="1">4.02719860258396*OFFSET(D$112,MATCH($N$1,$C$112:$C$113,0)-1,0)</f>
        <v>4.0271986025839599</v>
      </c>
      <c r="E23" s="34">
        <f ca="1">3.37468393054629*OFFSET(E$112,MATCH($N$1,$C$112:$C$113,0)-1,0)</f>
        <v>3.3746839305462899</v>
      </c>
      <c r="F23" s="34">
        <f ca="1">4.20552995528806*OFFSET(F$112,MATCH($N$1,$C$112:$C$113,0)-1,0)</f>
        <v>4.2055299552880596</v>
      </c>
      <c r="G23" s="34">
        <f ca="1">4.01720383782847*OFFSET(G$112,MATCH($N$1,$C$112:$C$113,0)-1,0)</f>
        <v>4.01720383782847</v>
      </c>
      <c r="H23" s="34">
        <f ca="1">4.57982891733914*OFFSET(H$112,MATCH($N$1,$C$112:$C$113,0)-1,0)</f>
        <v>4.5798289173391398</v>
      </c>
      <c r="I23" s="34">
        <f ca="1">4.75849701565569*OFFSET(I$112,MATCH($N$1,$C$112:$C$113,0)-1,0)</f>
        <v>4.7584970156556903</v>
      </c>
      <c r="J23" s="34">
        <f ca="1">3.69093121201828*OFFSET(J$112,MATCH($N$1,$C$112:$C$113,0)-1,0)</f>
        <v>3.6909312120182798</v>
      </c>
      <c r="K23" s="34">
        <f ca="1">3.88896581636763*OFFSET(K$112,MATCH($N$1,$C$112:$C$113,0)-1,0)</f>
        <v>3.8889658163676302</v>
      </c>
      <c r="L23" s="34">
        <f ca="1">3.95929856363132*OFFSET(L$112,MATCH($N$1,$C$112:$C$113,0)-1,0)</f>
        <v>3.9592985636313198</v>
      </c>
      <c r="M23" s="34">
        <f ca="1">4.07509253968052*OFFSET(M$112,MATCH($N$1,$C$112:$C$113,0)-1,0)</f>
        <v>4.0750925396805204</v>
      </c>
      <c r="N23" s="34">
        <v>4.2993205664637131</v>
      </c>
      <c r="O23" s="23">
        <f t="shared" ca="1" si="0"/>
        <v>6.7571031561530728E-2</v>
      </c>
      <c r="P23" s="23">
        <f t="shared" ca="1" si="1"/>
        <v>0.16483356624594286</v>
      </c>
    </row>
    <row r="24" spans="1:16" ht="18" customHeight="1" x14ac:dyDescent="0.2">
      <c r="A24" s="228"/>
      <c r="B24" s="33" t="s">
        <v>12</v>
      </c>
      <c r="C24" s="25"/>
      <c r="D24" s="34">
        <f ca="1">1.22339177315166*OFFSET(D$112,MATCH($N$1,$C$112:$C$113,0)-1,0)</f>
        <v>1.2233917731516599</v>
      </c>
      <c r="E24" s="34">
        <f ca="1">1.40807332366889*OFFSET(E$112,MATCH($N$1,$C$112:$C$113,0)-1,0)</f>
        <v>1.40807332366889</v>
      </c>
      <c r="F24" s="34">
        <f ca="1">0.356732200371694*OFFSET(F$112,MATCH($N$1,$C$112:$C$113,0)-1,0)</f>
        <v>0.35673220037169401</v>
      </c>
      <c r="G24" s="34">
        <f ca="1">0.89347969017303*OFFSET(G$112,MATCH($N$1,$C$112:$C$113,0)-1,0)</f>
        <v>0.89347969017302997</v>
      </c>
      <c r="H24" s="34">
        <f ca="1">1.01394306987018*OFFSET(H$112,MATCH($N$1,$C$112:$C$113,0)-1,0)</f>
        <v>1.0139430698701799</v>
      </c>
      <c r="I24" s="34">
        <f ca="1">0.0318099544087419*OFFSET(I$112,MATCH($N$1,$C$112:$C$113,0)-1,0)</f>
        <v>3.1809954408741903E-2</v>
      </c>
      <c r="J24" s="34">
        <f ca="1">0.663138213337681*OFFSET(J$112,MATCH($N$1,$C$112:$C$113,0)-1,0)</f>
        <v>0.66313821333768097</v>
      </c>
      <c r="K24" s="34">
        <f ca="1">-0.50118757984141*OFFSET(K$112,MATCH($N$1,$C$112:$C$113,0)-1,0)</f>
        <v>-0.50118757984141005</v>
      </c>
      <c r="L24" s="34">
        <f ca="1">0.719507652429135*OFFSET(L$112,MATCH($N$1,$C$112:$C$113,0)-1,0)</f>
        <v>0.71950765242913495</v>
      </c>
      <c r="M24" s="34">
        <f ca="1">1.66229727663164*OFFSET(M$112,MATCH($N$1,$C$112:$C$113,0)-1,0)</f>
        <v>1.66229727663164</v>
      </c>
      <c r="N24" s="34">
        <v>1.6064212743701698</v>
      </c>
      <c r="O24" s="23">
        <f t="shared" ca="1" si="0"/>
        <v>0.31308817798550531</v>
      </c>
      <c r="P24" s="23">
        <f t="shared" ca="1" si="1"/>
        <v>1.4224531810416925</v>
      </c>
    </row>
    <row r="25" spans="1:16" ht="18" customHeight="1" x14ac:dyDescent="0.2">
      <c r="A25" s="228"/>
      <c r="B25" s="33" t="s">
        <v>64</v>
      </c>
      <c r="C25" s="25"/>
      <c r="D25" s="28"/>
      <c r="E25" s="28">
        <f ca="1">26.46*OFFSET(E$112,MATCH($N$1,$C$112:$C$113,0)-1,0)</f>
        <v>26.46</v>
      </c>
      <c r="F25" s="28">
        <f ca="1">20.8*OFFSET(F$112,MATCH($N$1,$C$112:$C$113,0)-1,0)</f>
        <v>20.8</v>
      </c>
      <c r="G25" s="28">
        <f ca="1">23.18*OFFSET(G$112,MATCH($N$1,$C$112:$C$113,0)-1,0)</f>
        <v>23.18</v>
      </c>
      <c r="H25" s="28">
        <f ca="1">21.73*OFFSET(H$112,MATCH($N$1,$C$112:$C$113,0)-1,0)</f>
        <v>21.73</v>
      </c>
      <c r="I25" s="28">
        <f ca="1">36.01*OFFSET(I$112,MATCH($N$1,$C$112:$C$113,0)-1,0)</f>
        <v>36.01</v>
      </c>
      <c r="J25" s="28">
        <f ca="1">24.89*OFFSET(J$112,MATCH($N$1,$C$112:$C$113,0)-1,0)</f>
        <v>24.89</v>
      </c>
      <c r="K25" s="28">
        <f ca="1">29.62*OFFSET(K$112,MATCH($N$1,$C$112:$C$113,0)-1,0)</f>
        <v>29.62</v>
      </c>
      <c r="L25" s="28">
        <f ca="1">28.42*OFFSET(L$112,MATCH($N$1,$C$112:$C$113,0)-1,0)</f>
        <v>28.42</v>
      </c>
      <c r="M25" s="28">
        <f ca="1">29.07*OFFSET(M$112,MATCH($N$1,$C$112:$C$113,0)-1,0)</f>
        <v>29.07</v>
      </c>
      <c r="N25" s="28">
        <v>38.57</v>
      </c>
      <c r="O25" s="23" t="str">
        <f t="shared" si="0"/>
        <v/>
      </c>
      <c r="P25" s="23">
        <f t="shared" ca="1" si="1"/>
        <v>0.54961832061068705</v>
      </c>
    </row>
    <row r="26" spans="1:16" ht="18" customHeight="1" x14ac:dyDescent="0.2">
      <c r="A26" s="229"/>
      <c r="B26" s="33" t="s">
        <v>65</v>
      </c>
      <c r="C26" s="40"/>
      <c r="D26" s="28"/>
      <c r="E26" s="28">
        <f ca="1">8.58*OFFSET(E$112,MATCH($N$1,$C$112:$C$113,0)-1,0)</f>
        <v>8.58</v>
      </c>
      <c r="F26" s="28">
        <f ca="1">1.73*OFFSET(F$112,MATCH($N$1,$C$112:$C$113,0)-1,0)</f>
        <v>1.73</v>
      </c>
      <c r="G26" s="28">
        <f ca="1">4.27*OFFSET(G$112,MATCH($N$1,$C$112:$C$113,0)-1,0)</f>
        <v>4.2699999999999996</v>
      </c>
      <c r="H26" s="28">
        <f ca="1">4.7*OFFSET(H$112,MATCH($N$1,$C$112:$C$113,0)-1,0)</f>
        <v>4.7</v>
      </c>
      <c r="I26" s="28"/>
      <c r="J26" s="28">
        <f ca="1">5.28*OFFSET(J$112,MATCH($N$1,$C$112:$C$113,0)-1,0)</f>
        <v>5.28</v>
      </c>
      <c r="K26" s="28">
        <f ca="1">-4.36*OFFSET(K$112,MATCH($N$1,$C$112:$C$113,0)-1,0)</f>
        <v>-4.3600000000000003</v>
      </c>
      <c r="L26" s="28">
        <f ca="1">4.87*OFFSET(L$112,MATCH($N$1,$C$112:$C$113,0)-1,0)</f>
        <v>4.87</v>
      </c>
      <c r="M26" s="28">
        <f ca="1">9.69*OFFSET(M$112,MATCH($N$1,$C$112:$C$113,0)-1,0)</f>
        <v>9.69</v>
      </c>
      <c r="N26" s="28">
        <v>12.48</v>
      </c>
      <c r="O26" s="29" t="str">
        <f t="shared" si="0"/>
        <v/>
      </c>
      <c r="P26" s="29">
        <f t="shared" ca="1" si="1"/>
        <v>1.3636363636363635</v>
      </c>
    </row>
    <row r="27" spans="1:16" ht="18" customHeight="1" x14ac:dyDescent="0.2">
      <c r="A27" s="230" t="s">
        <v>26</v>
      </c>
      <c r="B27" s="30" t="s">
        <v>59</v>
      </c>
      <c r="C27" s="31"/>
      <c r="D27" s="32">
        <f ca="1">3.8*OFFSET(D$112,MATCH($N$1,$C$112:$C$113,0)-1,0)</f>
        <v>3.8</v>
      </c>
      <c r="E27" s="32">
        <f ca="1">3.7*OFFSET(E$112,MATCH($N$1,$C$112:$C$113,0)-1,0)</f>
        <v>3.7</v>
      </c>
      <c r="F27" s="32">
        <f ca="1">3.6*OFFSET(F$112,MATCH($N$1,$C$112:$C$113,0)-1,0)</f>
        <v>3.6</v>
      </c>
      <c r="G27" s="32">
        <f ca="1">3.8*OFFSET(G$112,MATCH($N$1,$C$112:$C$113,0)-1,0)</f>
        <v>3.8</v>
      </c>
      <c r="H27" s="32">
        <f ca="1">3.7*OFFSET(H$112,MATCH($N$1,$C$112:$C$113,0)-1,0)</f>
        <v>3.7</v>
      </c>
      <c r="I27" s="32">
        <f ca="1">3.7*OFFSET(I$112,MATCH($N$1,$C$112:$C$113,0)-1,0)</f>
        <v>3.7</v>
      </c>
      <c r="J27" s="32">
        <f ca="1">3.3*OFFSET(J$112,MATCH($N$1,$C$112:$C$113,0)-1,0)</f>
        <v>3.3</v>
      </c>
      <c r="K27" s="32">
        <f ca="1">3.4*OFFSET(K$112,MATCH($N$1,$C$112:$C$113,0)-1,0)</f>
        <v>3.4</v>
      </c>
      <c r="L27" s="32">
        <f ca="1">3.5*OFFSET(L$112,MATCH($N$1,$C$112:$C$113,0)-1,0)</f>
        <v>3.5</v>
      </c>
      <c r="M27" s="32">
        <f ca="1">3.3*OFFSET(M$112,MATCH($N$1,$C$112:$C$113,0)-1,0)</f>
        <v>3.3</v>
      </c>
      <c r="N27" s="32">
        <v>3.4</v>
      </c>
      <c r="O27" s="23">
        <f t="shared" ca="1" si="0"/>
        <v>-0.10526315789473682</v>
      </c>
      <c r="P27" s="23">
        <f t="shared" ca="1" si="1"/>
        <v>3.0303030303030332E-2</v>
      </c>
    </row>
    <row r="28" spans="1:16" ht="18" customHeight="1" x14ac:dyDescent="0.2">
      <c r="A28" s="231"/>
      <c r="B28" s="33" t="s">
        <v>66</v>
      </c>
      <c r="C28" s="27"/>
      <c r="D28" s="28">
        <f ca="1">1.1*OFFSET(D$112,MATCH($N$1,$C$112:$C$113,0)-1,0)</f>
        <v>1.1000000000000001</v>
      </c>
      <c r="E28" s="28">
        <f ca="1">0.3*OFFSET(E$112,MATCH($N$1,$C$112:$C$113,0)-1,0)</f>
        <v>0.3</v>
      </c>
      <c r="F28" s="28"/>
      <c r="G28" s="28">
        <f ca="1">0.1*OFFSET(G$112,MATCH($N$1,$C$112:$C$113,0)-1,0)</f>
        <v>0.1</v>
      </c>
      <c r="H28" s="28">
        <f ca="1">0.8*OFFSET(H$112,MATCH($N$1,$C$112:$C$113,0)-1,0)</f>
        <v>0.8</v>
      </c>
      <c r="I28" s="28">
        <f ca="1">0.5*OFFSET(I$112,MATCH($N$1,$C$112:$C$113,0)-1,0)</f>
        <v>0.5</v>
      </c>
      <c r="J28" s="28">
        <f ca="1">1*OFFSET(J$112,MATCH($N$1,$C$112:$C$113,0)-1,0)</f>
        <v>1</v>
      </c>
      <c r="K28" s="28">
        <f ca="1">0.2*OFFSET(K$112,MATCH($N$1,$C$112:$C$113,0)-1,0)</f>
        <v>0.2</v>
      </c>
      <c r="L28" s="28">
        <f ca="1">0.6*OFFSET(L$112,MATCH($N$1,$C$112:$C$113,0)-1,0)</f>
        <v>0.6</v>
      </c>
      <c r="M28" s="28">
        <f ca="1">0.6*OFFSET(M$112,MATCH($N$1,$C$112:$C$113,0)-1,0)</f>
        <v>0.6</v>
      </c>
      <c r="N28" s="28">
        <v>0.6</v>
      </c>
      <c r="O28" s="23">
        <f t="shared" ca="1" si="0"/>
        <v>-0.45454545454545459</v>
      </c>
      <c r="P28" s="23">
        <f t="shared" ca="1" si="1"/>
        <v>-0.4</v>
      </c>
    </row>
    <row r="29" spans="1:16" ht="18" customHeight="1" x14ac:dyDescent="0.2">
      <c r="A29" s="231"/>
      <c r="B29" s="41" t="s">
        <v>67</v>
      </c>
      <c r="C29" s="42"/>
      <c r="D29" s="43">
        <f ca="1">5*OFFSET(D$112,MATCH($N$1,$C$112:$C$113,0)-1,0)</f>
        <v>5</v>
      </c>
      <c r="E29" s="43">
        <f ca="1">4*OFFSET(E$112,MATCH($N$1,$C$112:$C$113,0)-1,0)</f>
        <v>4</v>
      </c>
      <c r="F29" s="43">
        <f ca="1">3.6*OFFSET(F$112,MATCH($N$1,$C$112:$C$113,0)-1,0)</f>
        <v>3.6</v>
      </c>
      <c r="G29" s="43">
        <f ca="1">3.9*OFFSET(G$112,MATCH($N$1,$C$112:$C$113,0)-1,0)</f>
        <v>3.9</v>
      </c>
      <c r="H29" s="43">
        <f ca="1">4.4*OFFSET(H$112,MATCH($N$1,$C$112:$C$113,0)-1,0)</f>
        <v>4.4000000000000004</v>
      </c>
      <c r="I29" s="43">
        <f ca="1">4.2*OFFSET(I$112,MATCH($N$1,$C$112:$C$113,0)-1,0)</f>
        <v>4.2</v>
      </c>
      <c r="J29" s="43">
        <f ca="1">4.4*OFFSET(J$112,MATCH($N$1,$C$112:$C$113,0)-1,0)</f>
        <v>4.4000000000000004</v>
      </c>
      <c r="K29" s="43">
        <f ca="1">3.6*OFFSET(K$112,MATCH($N$1,$C$112:$C$113,0)-1,0)</f>
        <v>3.6</v>
      </c>
      <c r="L29" s="43">
        <f ca="1">4.1*OFFSET(L$112,MATCH($N$1,$C$112:$C$113,0)-1,0)</f>
        <v>4.0999999999999996</v>
      </c>
      <c r="M29" s="43">
        <f ca="1">3.9*OFFSET(M$112,MATCH($N$1,$C$112:$C$113,0)-1,0)</f>
        <v>3.9</v>
      </c>
      <c r="N29" s="43">
        <v>4.0999999999999996</v>
      </c>
      <c r="O29" s="23">
        <f t="shared" ca="1" si="0"/>
        <v>-0.18000000000000008</v>
      </c>
      <c r="P29" s="23">
        <f t="shared" ca="1" si="1"/>
        <v>-6.8181818181818343E-2</v>
      </c>
    </row>
    <row r="30" spans="1:16" ht="18" customHeight="1" x14ac:dyDescent="0.2">
      <c r="A30" s="231"/>
      <c r="B30" s="33" t="s">
        <v>68</v>
      </c>
      <c r="C30" s="27"/>
      <c r="D30" s="28">
        <f ca="1">0.9*OFFSET(D$112,MATCH($N$1,$C$112:$C$113,0)-1,0)</f>
        <v>0.9</v>
      </c>
      <c r="E30" s="28">
        <f ca="1">0.5*OFFSET(E$112,MATCH($N$1,$C$112:$C$113,0)-1,0)</f>
        <v>0.5</v>
      </c>
      <c r="F30" s="28">
        <f ca="1">0.6*OFFSET(F$112,MATCH($N$1,$C$112:$C$113,0)-1,0)</f>
        <v>0.6</v>
      </c>
      <c r="G30" s="28">
        <f ca="1">0.8*OFFSET(G$112,MATCH($N$1,$C$112:$C$113,0)-1,0)</f>
        <v>0.8</v>
      </c>
      <c r="H30" s="28">
        <f ca="1">0.8*OFFSET(H$112,MATCH($N$1,$C$112:$C$113,0)-1,0)</f>
        <v>0.8</v>
      </c>
      <c r="I30" s="28">
        <f ca="1">0.8*OFFSET(I$112,MATCH($N$1,$C$112:$C$113,0)-1,0)</f>
        <v>0.8</v>
      </c>
      <c r="J30" s="28">
        <f ca="1">0.9*OFFSET(J$112,MATCH($N$1,$C$112:$C$113,0)-1,0)</f>
        <v>0.9</v>
      </c>
      <c r="K30" s="28">
        <f ca="1">0.6*OFFSET(K$112,MATCH($N$1,$C$112:$C$113,0)-1,0)</f>
        <v>0.6</v>
      </c>
      <c r="L30" s="28">
        <f ca="1">0.5*OFFSET(L$112,MATCH($N$1,$C$112:$C$113,0)-1,0)</f>
        <v>0.5</v>
      </c>
      <c r="M30" s="28">
        <f ca="1">0.5*OFFSET(M$112,MATCH($N$1,$C$112:$C$113,0)-1,0)</f>
        <v>0.5</v>
      </c>
      <c r="N30" s="28">
        <v>0.6</v>
      </c>
      <c r="O30" s="23">
        <f t="shared" ca="1" si="0"/>
        <v>-0.33333333333333337</v>
      </c>
      <c r="P30" s="23">
        <f t="shared" ca="1" si="1"/>
        <v>-0.33333333333333337</v>
      </c>
    </row>
    <row r="31" spans="1:16" ht="18" customHeight="1" x14ac:dyDescent="0.2">
      <c r="A31" s="231"/>
      <c r="B31" s="33" t="s">
        <v>69</v>
      </c>
      <c r="C31" s="27"/>
      <c r="D31" s="28">
        <f ca="1">1.3*OFFSET(D$112,MATCH($N$1,$C$112:$C$113,0)-1,0)</f>
        <v>1.3</v>
      </c>
      <c r="E31" s="28">
        <f ca="1">1*OFFSET(E$112,MATCH($N$1,$C$112:$C$113,0)-1,0)</f>
        <v>1</v>
      </c>
      <c r="F31" s="28">
        <f ca="1">0.9*OFFSET(F$112,MATCH($N$1,$C$112:$C$113,0)-1,0)</f>
        <v>0.9</v>
      </c>
      <c r="G31" s="28">
        <f ca="1">0.5*OFFSET(G$112,MATCH($N$1,$C$112:$C$113,0)-1,0)</f>
        <v>0.5</v>
      </c>
      <c r="H31" s="28">
        <f ca="1">1*OFFSET(H$112,MATCH($N$1,$C$112:$C$113,0)-1,0)</f>
        <v>1</v>
      </c>
      <c r="I31" s="28">
        <f ca="1">1.1*OFFSET(I$112,MATCH($N$1,$C$112:$C$113,0)-1,0)</f>
        <v>1.1000000000000001</v>
      </c>
      <c r="J31" s="28">
        <f ca="1">0.8*OFFSET(J$112,MATCH($N$1,$C$112:$C$113,0)-1,0)</f>
        <v>0.8</v>
      </c>
      <c r="K31" s="28">
        <f ca="1">1.3*OFFSET(K$112,MATCH($N$1,$C$112:$C$113,0)-1,0)</f>
        <v>1.3</v>
      </c>
      <c r="L31" s="28">
        <f ca="1">1.2*OFFSET(L$112,MATCH($N$1,$C$112:$C$113,0)-1,0)</f>
        <v>1.2</v>
      </c>
      <c r="M31" s="28">
        <f ca="1">0.6*OFFSET(M$112,MATCH($N$1,$C$112:$C$113,0)-1,0)</f>
        <v>0.6</v>
      </c>
      <c r="N31" s="28">
        <v>0.6</v>
      </c>
      <c r="O31" s="23">
        <f t="shared" ca="1" si="0"/>
        <v>-0.53846153846153855</v>
      </c>
      <c r="P31" s="23">
        <f t="shared" ca="1" si="1"/>
        <v>-0.25000000000000006</v>
      </c>
    </row>
    <row r="32" spans="1:16" ht="18" customHeight="1" x14ac:dyDescent="0.2">
      <c r="A32" s="231"/>
      <c r="B32" s="33" t="s">
        <v>70</v>
      </c>
      <c r="C32" s="27"/>
      <c r="D32" s="28">
        <f ca="1">0.8*OFFSET(D$112,MATCH($N$1,$C$112:$C$113,0)-1,0)</f>
        <v>0.8</v>
      </c>
      <c r="E32" s="28">
        <f ca="1">0.6*OFFSET(E$112,MATCH($N$1,$C$112:$C$113,0)-1,0)</f>
        <v>0.6</v>
      </c>
      <c r="F32" s="28">
        <f ca="1">0.6*OFFSET(F$112,MATCH($N$1,$C$112:$C$113,0)-1,0)</f>
        <v>0.6</v>
      </c>
      <c r="G32" s="28">
        <f ca="1">0.5*OFFSET(G$112,MATCH($N$1,$C$112:$C$113,0)-1,0)</f>
        <v>0.5</v>
      </c>
      <c r="H32" s="28">
        <f ca="1">0.6*OFFSET(H$112,MATCH($N$1,$C$112:$C$113,0)-1,0)</f>
        <v>0.6</v>
      </c>
      <c r="I32" s="28">
        <f ca="1">0.9*OFFSET(I$112,MATCH($N$1,$C$112:$C$113,0)-1,0)</f>
        <v>0.9</v>
      </c>
      <c r="J32" s="28">
        <f ca="1">0.9*OFFSET(J$112,MATCH($N$1,$C$112:$C$113,0)-1,0)</f>
        <v>0.9</v>
      </c>
      <c r="K32" s="28">
        <f ca="1">0.9*OFFSET(K$112,MATCH($N$1,$C$112:$C$113,0)-1,0)</f>
        <v>0.9</v>
      </c>
      <c r="L32" s="28">
        <f ca="1">0.7*OFFSET(L$112,MATCH($N$1,$C$112:$C$113,0)-1,0)</f>
        <v>0.7</v>
      </c>
      <c r="M32" s="28">
        <f ca="1">0.8*OFFSET(M$112,MATCH($N$1,$C$112:$C$113,0)-1,0)</f>
        <v>0.8</v>
      </c>
      <c r="N32" s="28">
        <v>0.8</v>
      </c>
      <c r="O32" s="23">
        <f t="shared" ca="1" si="0"/>
        <v>0</v>
      </c>
      <c r="P32" s="23">
        <f t="shared" ca="1" si="1"/>
        <v>-0.11111111111111108</v>
      </c>
    </row>
    <row r="33" spans="1:16" ht="18" customHeight="1" x14ac:dyDescent="0.2">
      <c r="A33" s="231"/>
      <c r="B33" s="33" t="s">
        <v>71</v>
      </c>
      <c r="C33" s="27"/>
      <c r="D33" s="28">
        <f ca="1">2.9*OFFSET(D$112,MATCH($N$1,$C$112:$C$113,0)-1,0)</f>
        <v>2.9</v>
      </c>
      <c r="E33" s="28">
        <f ca="1">2.1*OFFSET(E$112,MATCH($N$1,$C$112:$C$113,0)-1,0)</f>
        <v>2.1</v>
      </c>
      <c r="F33" s="28">
        <f ca="1">2.1*OFFSET(F$112,MATCH($N$1,$C$112:$C$113,0)-1,0)</f>
        <v>2.1</v>
      </c>
      <c r="G33" s="28">
        <f ca="1">1.9*OFFSET(G$112,MATCH($N$1,$C$112:$C$113,0)-1,0)</f>
        <v>1.9</v>
      </c>
      <c r="H33" s="28">
        <f ca="1">2.4*OFFSET(H$112,MATCH($N$1,$C$112:$C$113,0)-1,0)</f>
        <v>2.4</v>
      </c>
      <c r="I33" s="28">
        <f ca="1">2.8*OFFSET(I$112,MATCH($N$1,$C$112:$C$113,0)-1,0)</f>
        <v>2.8</v>
      </c>
      <c r="J33" s="28">
        <f ca="1">2.5*OFFSET(J$112,MATCH($N$1,$C$112:$C$113,0)-1,0)</f>
        <v>2.5</v>
      </c>
      <c r="K33" s="28">
        <f ca="1">2.8*OFFSET(K$112,MATCH($N$1,$C$112:$C$113,0)-1,0)</f>
        <v>2.8</v>
      </c>
      <c r="L33" s="28">
        <f ca="1">2.5*OFFSET(L$112,MATCH($N$1,$C$112:$C$113,0)-1,0)</f>
        <v>2.5</v>
      </c>
      <c r="M33" s="28">
        <f ca="1">1.8*OFFSET(M$112,MATCH($N$1,$C$112:$C$113,0)-1,0)</f>
        <v>1.8</v>
      </c>
      <c r="N33" s="28">
        <v>2</v>
      </c>
      <c r="O33" s="23">
        <f t="shared" ca="1" si="0"/>
        <v>-0.31034482758620685</v>
      </c>
      <c r="P33" s="23">
        <f t="shared" ca="1" si="1"/>
        <v>-0.2</v>
      </c>
    </row>
    <row r="34" spans="1:16" ht="18" customHeight="1" x14ac:dyDescent="0.2">
      <c r="A34" s="231"/>
      <c r="B34" s="33" t="s">
        <v>72</v>
      </c>
      <c r="C34" s="27"/>
      <c r="D34" s="28">
        <f ca="1">0.9*OFFSET(D$112,MATCH($N$1,$C$112:$C$113,0)-1,0)</f>
        <v>0.9</v>
      </c>
      <c r="E34" s="28">
        <f ca="1">0.8*OFFSET(E$112,MATCH($N$1,$C$112:$C$113,0)-1,0)</f>
        <v>0.8</v>
      </c>
      <c r="F34" s="28">
        <f ca="1">1.3*OFFSET(F$112,MATCH($N$1,$C$112:$C$113,0)-1,0)</f>
        <v>1.3</v>
      </c>
      <c r="G34" s="28">
        <f ca="1">1.3*OFFSET(G$112,MATCH($N$1,$C$112:$C$113,0)-1,0)</f>
        <v>1.3</v>
      </c>
      <c r="H34" s="28">
        <f ca="1">1.2*OFFSET(H$112,MATCH($N$1,$C$112:$C$113,0)-1,0)</f>
        <v>1.2</v>
      </c>
      <c r="I34" s="28">
        <f ca="1">1.3*OFFSET(I$112,MATCH($N$1,$C$112:$C$113,0)-1,0)</f>
        <v>1.3</v>
      </c>
      <c r="J34" s="28">
        <f ca="1">1.1*OFFSET(J$112,MATCH($N$1,$C$112:$C$113,0)-1,0)</f>
        <v>1.1000000000000001</v>
      </c>
      <c r="K34" s="28">
        <f ca="1">1.4*OFFSET(K$112,MATCH($N$1,$C$112:$C$113,0)-1,0)</f>
        <v>1.4</v>
      </c>
      <c r="L34" s="28">
        <f ca="1">1*OFFSET(L$112,MATCH($N$1,$C$112:$C$113,0)-1,0)</f>
        <v>1</v>
      </c>
      <c r="M34" s="28">
        <f ca="1">1*OFFSET(M$112,MATCH($N$1,$C$112:$C$113,0)-1,0)</f>
        <v>1</v>
      </c>
      <c r="N34" s="28">
        <v>1</v>
      </c>
      <c r="O34" s="23">
        <f t="shared" ca="1" si="0"/>
        <v>0.11111111111111108</v>
      </c>
      <c r="P34" s="23">
        <f t="shared" ca="1" si="1"/>
        <v>-9.0909090909090981E-2</v>
      </c>
    </row>
    <row r="35" spans="1:16" ht="18" customHeight="1" x14ac:dyDescent="0.2">
      <c r="A35" s="231"/>
      <c r="B35" s="33" t="s">
        <v>73</v>
      </c>
      <c r="C35" s="27"/>
      <c r="D35" s="28">
        <f ca="1">3.8*OFFSET(D$112,MATCH($N$1,$C$112:$C$113,0)-1,0)</f>
        <v>3.8</v>
      </c>
      <c r="E35" s="28">
        <f ca="1">2.8*OFFSET(E$112,MATCH($N$1,$C$112:$C$113,0)-1,0)</f>
        <v>2.8</v>
      </c>
      <c r="F35" s="28">
        <f ca="1">3.4*OFFSET(F$112,MATCH($N$1,$C$112:$C$113,0)-1,0)</f>
        <v>3.4</v>
      </c>
      <c r="G35" s="28">
        <f ca="1">3.2*OFFSET(G$112,MATCH($N$1,$C$112:$C$113,0)-1,0)</f>
        <v>3.2</v>
      </c>
      <c r="H35" s="28">
        <f ca="1">3.6*OFFSET(H$112,MATCH($N$1,$C$112:$C$113,0)-1,0)</f>
        <v>3.6</v>
      </c>
      <c r="I35" s="28">
        <f ca="1">4.2*OFFSET(I$112,MATCH($N$1,$C$112:$C$113,0)-1,0)</f>
        <v>4.2</v>
      </c>
      <c r="J35" s="28">
        <f ca="1">3.7*OFFSET(J$112,MATCH($N$1,$C$112:$C$113,0)-1,0)</f>
        <v>3.7</v>
      </c>
      <c r="K35" s="28">
        <f ca="1">4.1*OFFSET(K$112,MATCH($N$1,$C$112:$C$113,0)-1,0)</f>
        <v>4.0999999999999996</v>
      </c>
      <c r="L35" s="28">
        <f ca="1">3.5*OFFSET(L$112,MATCH($N$1,$C$112:$C$113,0)-1,0)</f>
        <v>3.5</v>
      </c>
      <c r="M35" s="28">
        <f ca="1">2.8*OFFSET(M$112,MATCH($N$1,$C$112:$C$113,0)-1,0)</f>
        <v>2.8</v>
      </c>
      <c r="N35" s="28">
        <v>3</v>
      </c>
      <c r="O35" s="23">
        <f t="shared" ca="1" si="0"/>
        <v>-0.21052631578947364</v>
      </c>
      <c r="P35" s="23">
        <f t="shared" ca="1" si="1"/>
        <v>-0.18918918918918923</v>
      </c>
    </row>
    <row r="36" spans="1:16" ht="18" customHeight="1" x14ac:dyDescent="0.2">
      <c r="A36" s="231"/>
      <c r="B36" s="41" t="s">
        <v>74</v>
      </c>
      <c r="C36" s="42"/>
      <c r="D36" s="43">
        <f ca="1">2.5*OFFSET(D$112,MATCH($N$1,$C$112:$C$113,0)-1,0)</f>
        <v>2.5</v>
      </c>
      <c r="E36" s="43">
        <f ca="1">2.2*OFFSET(E$112,MATCH($N$1,$C$112:$C$113,0)-1,0)</f>
        <v>2.2000000000000002</v>
      </c>
      <c r="F36" s="43">
        <f ca="1">1.2*OFFSET(F$112,MATCH($N$1,$C$112:$C$113,0)-1,0)</f>
        <v>1.2</v>
      </c>
      <c r="G36" s="43">
        <f ca="1">1.2*OFFSET(G$112,MATCH($N$1,$C$112:$C$113,0)-1,0)</f>
        <v>1.2</v>
      </c>
      <c r="H36" s="43">
        <f ca="1">1.8*OFFSET(H$112,MATCH($N$1,$C$112:$C$113,0)-1,0)</f>
        <v>1.8</v>
      </c>
      <c r="I36" s="43">
        <f ca="1">1.1*OFFSET(I$112,MATCH($N$1,$C$112:$C$113,0)-1,0)</f>
        <v>1.1000000000000001</v>
      </c>
      <c r="J36" s="43">
        <f ca="1">1.5*OFFSET(J$112,MATCH($N$1,$C$112:$C$113,0)-1,0)</f>
        <v>1.5</v>
      </c>
      <c r="K36" s="43">
        <f ca="1">0.8*OFFSET(K$112,MATCH($N$1,$C$112:$C$113,0)-1,0)</f>
        <v>0.8</v>
      </c>
      <c r="L36" s="43">
        <f ca="1">1.8*OFFSET(L$112,MATCH($N$1,$C$112:$C$113,0)-1,0)</f>
        <v>1.8</v>
      </c>
      <c r="M36" s="43">
        <f ca="1">1.7*OFFSET(M$112,MATCH($N$1,$C$112:$C$113,0)-1,0)</f>
        <v>1.7</v>
      </c>
      <c r="N36" s="43">
        <v>1.7000000000000002</v>
      </c>
      <c r="O36" s="23">
        <f t="shared" ca="1" si="0"/>
        <v>-0.31999999999999995</v>
      </c>
      <c r="P36" s="23">
        <f t="shared" ca="1" si="1"/>
        <v>0.13333333333333344</v>
      </c>
    </row>
    <row r="37" spans="1:16" ht="18" customHeight="1" x14ac:dyDescent="0.2">
      <c r="A37" s="231"/>
      <c r="B37" s="41" t="s">
        <v>75</v>
      </c>
      <c r="C37" s="42"/>
      <c r="D37" s="43">
        <f ca="1">1.2*OFFSET(D$112,MATCH($N$1,$C$112:$C$113,0)-1,0)</f>
        <v>1.2</v>
      </c>
      <c r="E37" s="43">
        <f ca="1">1.2*OFFSET(E$112,MATCH($N$1,$C$112:$C$113,0)-1,0)</f>
        <v>1.2</v>
      </c>
      <c r="F37" s="43">
        <f ca="1">0.3*OFFSET(F$112,MATCH($N$1,$C$112:$C$113,0)-1,0)</f>
        <v>0.3</v>
      </c>
      <c r="G37" s="43">
        <f ca="1">0.7*OFFSET(G$112,MATCH($N$1,$C$112:$C$113,0)-1,0)</f>
        <v>0.7</v>
      </c>
      <c r="H37" s="43">
        <f ca="1">0.8*OFFSET(H$112,MATCH($N$1,$C$112:$C$113,0)-1,0)</f>
        <v>0.8</v>
      </c>
      <c r="I37" s="43">
        <f ca="1">0.028*OFFSET(I$112,MATCH($N$1,$C$112:$C$113,0)-1,0)</f>
        <v>2.8000000000000001E-2</v>
      </c>
      <c r="J37" s="43">
        <f ca="1">0.7*OFFSET(J$112,MATCH($N$1,$C$112:$C$113,0)-1,0)</f>
        <v>0.7</v>
      </c>
      <c r="K37" s="43">
        <f ca="1">-0.5*OFFSET(K$112,MATCH($N$1,$C$112:$C$113,0)-1,0)</f>
        <v>-0.5</v>
      </c>
      <c r="L37" s="43">
        <f ca="1">0.6*OFFSET(L$112,MATCH($N$1,$C$112:$C$113,0)-1,0)</f>
        <v>0.6</v>
      </c>
      <c r="M37" s="43">
        <f ca="1">1.1*OFFSET(M$112,MATCH($N$1,$C$112:$C$113,0)-1,0)</f>
        <v>1.1000000000000001</v>
      </c>
      <c r="N37" s="43">
        <v>1.1000000000000001</v>
      </c>
      <c r="O37" s="23">
        <f t="shared" ca="1" si="0"/>
        <v>-8.3333333333333232E-2</v>
      </c>
      <c r="P37" s="23">
        <f t="shared" ca="1" si="1"/>
        <v>0.57142857142857162</v>
      </c>
    </row>
    <row r="38" spans="1:16" ht="18" customHeight="1" x14ac:dyDescent="0.2">
      <c r="A38" s="231"/>
      <c r="B38" s="33" t="s">
        <v>76</v>
      </c>
      <c r="C38" s="27"/>
      <c r="D38" s="28"/>
      <c r="E38" s="28">
        <f ca="1">0.4*OFFSET(E$112,MATCH($N$1,$C$112:$C$113,0)-1,0)</f>
        <v>0.4</v>
      </c>
      <c r="F38" s="28">
        <f ca="1">0.1*OFFSET(F$112,MATCH($N$1,$C$112:$C$113,0)-1,0)</f>
        <v>0.1</v>
      </c>
      <c r="G38" s="28">
        <f ca="1">0.2*OFFSET(G$112,MATCH($N$1,$C$112:$C$113,0)-1,0)</f>
        <v>0.2</v>
      </c>
      <c r="H38" s="28">
        <f ca="1">1*OFFSET(H$112,MATCH($N$1,$C$112:$C$113,0)-1,0)</f>
        <v>1</v>
      </c>
      <c r="I38" s="28">
        <f ca="1">0.3*OFFSET(I$112,MATCH($N$1,$C$112:$C$113,0)-1,0)</f>
        <v>0.3</v>
      </c>
      <c r="J38" s="28">
        <f ca="1">0.3*OFFSET(J$112,MATCH($N$1,$C$112:$C$113,0)-1,0)</f>
        <v>0.3</v>
      </c>
      <c r="K38" s="28">
        <f ca="1">0.4*OFFSET(K$112,MATCH($N$1,$C$112:$C$113,0)-1,0)</f>
        <v>0.4</v>
      </c>
      <c r="L38" s="28">
        <f ca="1">0.4*OFFSET(L$112,MATCH($N$1,$C$112:$C$113,0)-1,0)</f>
        <v>0.4</v>
      </c>
      <c r="M38" s="28">
        <f ca="1">0.4*OFFSET(M$112,MATCH($N$1,$C$112:$C$113,0)-1,0)</f>
        <v>0.4</v>
      </c>
      <c r="N38" s="28"/>
      <c r="O38" s="23" t="str">
        <f t="shared" si="0"/>
        <v/>
      </c>
      <c r="P38" s="23" t="str">
        <f t="shared" si="1"/>
        <v/>
      </c>
    </row>
    <row r="39" spans="1:16" ht="18" customHeight="1" x14ac:dyDescent="0.2">
      <c r="A39" s="231"/>
      <c r="B39" s="33" t="s">
        <v>77</v>
      </c>
      <c r="C39" s="27"/>
      <c r="D39" s="28"/>
      <c r="E39" s="28"/>
      <c r="F39" s="28"/>
      <c r="G39" s="28"/>
      <c r="H39" s="28"/>
      <c r="I39" s="28"/>
      <c r="J39" s="28"/>
      <c r="K39" s="28">
        <f ca="1">0.1*OFFSET(K$112,MATCH($N$1,$C$112:$C$113,0)-1,0)</f>
        <v>0.1</v>
      </c>
      <c r="L39" s="28"/>
      <c r="M39" s="28"/>
      <c r="N39" s="28"/>
      <c r="O39" s="23" t="str">
        <f t="shared" si="0"/>
        <v/>
      </c>
      <c r="P39" s="23" t="str">
        <f t="shared" si="1"/>
        <v/>
      </c>
    </row>
    <row r="40" spans="1:16" ht="18" customHeight="1" x14ac:dyDescent="0.2">
      <c r="A40" s="231"/>
      <c r="B40" s="33" t="s">
        <v>78</v>
      </c>
      <c r="C40" s="27"/>
      <c r="D40" s="28"/>
      <c r="E40" s="28"/>
      <c r="F40" s="28"/>
      <c r="G40" s="28">
        <f ca="1">0.1*OFFSET(G$112,MATCH($N$1,$C$112:$C$113,0)-1,0)</f>
        <v>0.1</v>
      </c>
      <c r="H40" s="28">
        <f ca="1">0.1*OFFSET(H$112,MATCH($N$1,$C$112:$C$113,0)-1,0)</f>
        <v>0.1</v>
      </c>
      <c r="I40" s="28"/>
      <c r="J40" s="28">
        <f ca="1">0.1*OFFSET(J$112,MATCH($N$1,$C$112:$C$113,0)-1,0)</f>
        <v>0.1</v>
      </c>
      <c r="K40" s="28"/>
      <c r="L40" s="28"/>
      <c r="M40" s="28"/>
      <c r="N40" s="28"/>
      <c r="O40" s="23" t="str">
        <f t="shared" si="0"/>
        <v/>
      </c>
      <c r="P40" s="23" t="str">
        <f t="shared" si="1"/>
        <v/>
      </c>
    </row>
    <row r="41" spans="1:16" ht="18" customHeight="1" thickBot="1" x14ac:dyDescent="0.25">
      <c r="A41" s="232"/>
      <c r="B41" s="44" t="s">
        <v>79</v>
      </c>
      <c r="C41" s="45"/>
      <c r="D41" s="46"/>
      <c r="E41" s="46">
        <f ca="1">0.7*OFFSET(E$112,MATCH($N$1,$C$112:$C$113,0)-1,0)</f>
        <v>0.7</v>
      </c>
      <c r="F41" s="46">
        <f ca="1">0.2*OFFSET(F$112,MATCH($N$1,$C$112:$C$113,0)-1,0)</f>
        <v>0.2</v>
      </c>
      <c r="G41" s="46">
        <f ca="1">0.4*OFFSET(G$112,MATCH($N$1,$C$112:$C$113,0)-1,0)</f>
        <v>0.4</v>
      </c>
      <c r="H41" s="46">
        <f ca="1">-0.4*OFFSET(H$112,MATCH($N$1,$C$112:$C$113,0)-1,0)</f>
        <v>-0.4</v>
      </c>
      <c r="I41" s="46">
        <f ca="1">-0.3*OFFSET(I$112,MATCH($N$1,$C$112:$C$113,0)-1,0)</f>
        <v>-0.3</v>
      </c>
      <c r="J41" s="46">
        <f ca="1">0.3*OFFSET(J$112,MATCH($N$1,$C$112:$C$113,0)-1,0)</f>
        <v>0.3</v>
      </c>
      <c r="K41" s="46">
        <f ca="1">-1*OFFSET(K$112,MATCH($N$1,$C$112:$C$113,0)-1,0)</f>
        <v>-1</v>
      </c>
      <c r="L41" s="46">
        <f ca="1">0.2*OFFSET(L$112,MATCH($N$1,$C$112:$C$113,0)-1,0)</f>
        <v>0.2</v>
      </c>
      <c r="M41" s="46">
        <f ca="1">0.6*OFFSET(M$112,MATCH($N$1,$C$112:$C$113,0)-1,0)</f>
        <v>0.6</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174</v>
      </c>
      <c r="F46" s="95" t="s">
        <v>174</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Low activity under 10m</v>
      </c>
      <c r="C48" s="97"/>
      <c r="D48" s="97"/>
      <c r="E48" s="97"/>
      <c r="F48" s="97"/>
      <c r="G48" s="97"/>
      <c r="K48" s="97" t="str">
        <f>$B24&amp;CHAR(10)&amp;$A$1</f>
        <v>Operating profit per kW day at sea (£)
Low activity under 10m</v>
      </c>
    </row>
    <row r="49" spans="1:11" s="83" customFormat="1" x14ac:dyDescent="0.2">
      <c r="A49" s="97" t="str">
        <f>$B22&amp;CHAR(10)&amp;$A$1</f>
        <v>Fishing income per kW day at sea (£)
Low activity under 10m</v>
      </c>
    </row>
    <row r="50" spans="1:11" s="83" customFormat="1" x14ac:dyDescent="0.2">
      <c r="A50" s="97" t="str">
        <f>$B20&amp;CHAR(10)&amp;$A$1</f>
        <v>Average price per tonne landed (£)
Low activity under 10m</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Low activity under 10m</v>
      </c>
      <c r="F62" s="97" t="str">
        <f>$B20&amp;CHAR(10)&amp;$A$1</f>
        <v>Average price per tonne landed (£)
Low activity under 10m</v>
      </c>
      <c r="K62" s="97" t="str">
        <f>"Average annual operating profit per vessel (£'000)"&amp;CHAR(10)&amp;$A$1</f>
        <v>Average annual operating profit per vessel (£'000)
Low activity under 10m</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Low activity under 10m</v>
      </c>
      <c r="F76" s="97" t="str">
        <f>"Top 5 landed species by value in "&amp;A77&amp;CHAR(10)&amp;A1</f>
        <v>Top 5 landed species by value in 2017
Low activity under 10m</v>
      </c>
    </row>
    <row r="77" spans="1:9" s="97" customFormat="1" x14ac:dyDescent="0.2">
      <c r="A77" s="97">
        <v>2017</v>
      </c>
      <c r="B77" s="97" t="s">
        <v>251</v>
      </c>
      <c r="C77" s="98">
        <v>0.20980717084261405</v>
      </c>
      <c r="D77" s="99">
        <v>3050596</v>
      </c>
      <c r="G77" s="97" t="s">
        <v>252</v>
      </c>
      <c r="H77" s="98">
        <v>0.31954819720092575</v>
      </c>
      <c r="I77" s="99">
        <v>12153634</v>
      </c>
    </row>
    <row r="78" spans="1:9" s="97" customFormat="1" x14ac:dyDescent="0.2">
      <c r="B78" s="97" t="s">
        <v>253</v>
      </c>
      <c r="C78" s="98">
        <v>0.12524402801022372</v>
      </c>
      <c r="D78" s="99">
        <v>1692097</v>
      </c>
      <c r="G78" s="97" t="s">
        <v>254</v>
      </c>
      <c r="H78" s="98">
        <v>0.13342767165440123</v>
      </c>
      <c r="I78" s="99">
        <v>553960</v>
      </c>
    </row>
    <row r="79" spans="1:9" s="97" customFormat="1" x14ac:dyDescent="0.2">
      <c r="B79" s="97" t="s">
        <v>255</v>
      </c>
      <c r="C79" s="98">
        <v>7.4524607765572765E-2</v>
      </c>
      <c r="D79" s="99">
        <v>12153634</v>
      </c>
      <c r="G79" s="97" t="s">
        <v>256</v>
      </c>
      <c r="H79" s="98">
        <v>9.7850010281811742E-2</v>
      </c>
      <c r="I79" s="99">
        <v>3050596</v>
      </c>
    </row>
    <row r="80" spans="1:9" s="97" customFormat="1" x14ac:dyDescent="0.2">
      <c r="B80" s="97" t="s">
        <v>257</v>
      </c>
      <c r="C80" s="98">
        <v>6.6506160489906554E-2</v>
      </c>
      <c r="D80" s="99">
        <v>11115023</v>
      </c>
      <c r="G80" s="97" t="s">
        <v>258</v>
      </c>
      <c r="H80" s="98">
        <v>6.0314581204585341E-2</v>
      </c>
      <c r="I80" s="99">
        <v>1692097</v>
      </c>
    </row>
    <row r="81" spans="1:18" s="97" customFormat="1" x14ac:dyDescent="0.2">
      <c r="B81" s="97" t="s">
        <v>259</v>
      </c>
      <c r="C81" s="98">
        <v>5.8964199192247893E-2</v>
      </c>
      <c r="D81" s="99">
        <v>3689192</v>
      </c>
      <c r="G81" s="97" t="s">
        <v>260</v>
      </c>
      <c r="H81" s="98">
        <v>5.5236434977231255E-2</v>
      </c>
      <c r="I81" s="99">
        <v>3689192</v>
      </c>
    </row>
    <row r="82" spans="1:18" s="97" customFormat="1" x14ac:dyDescent="0.2">
      <c r="B82" s="97" t="s">
        <v>261</v>
      </c>
      <c r="C82" s="98">
        <v>0.46495383369943499</v>
      </c>
      <c r="D82" s="99">
        <v>5920853</v>
      </c>
      <c r="G82" s="97" t="s">
        <v>262</v>
      </c>
      <c r="H82" s="98">
        <v>0.33362310468104461</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230</v>
      </c>
      <c r="D92" s="102">
        <v>0.29862858495251698</v>
      </c>
      <c r="E92" s="102">
        <v>0.29924687184294307</v>
      </c>
      <c r="F92" s="102">
        <v>0.29911999319149057</v>
      </c>
      <c r="G92" s="102">
        <v>0.29392680593150605</v>
      </c>
      <c r="H92" s="102">
        <v>0.29127752498544085</v>
      </c>
      <c r="I92" s="102">
        <v>0.32215767914698457</v>
      </c>
      <c r="J92" s="102">
        <v>0.31567737278454844</v>
      </c>
      <c r="K92" s="102">
        <v>0.32309955935616591</v>
      </c>
      <c r="L92" s="102">
        <v>0.31954819720092575</v>
      </c>
      <c r="M92" s="102">
        <v>0.30914958878554122</v>
      </c>
      <c r="O92" s="97">
        <v>12153634</v>
      </c>
    </row>
    <row r="93" spans="1:18" s="97" customFormat="1" hidden="1" x14ac:dyDescent="0.2">
      <c r="B93" s="97">
        <v>2</v>
      </c>
      <c r="C93" s="97" t="s">
        <v>189</v>
      </c>
      <c r="D93" s="102">
        <v>0.11011282863373986</v>
      </c>
      <c r="E93" s="102">
        <v>0.10823814745811657</v>
      </c>
      <c r="F93" s="102">
        <v>0.11124423726332729</v>
      </c>
      <c r="G93" s="102">
        <v>0.12724226594686294</v>
      </c>
      <c r="H93" s="102">
        <v>0.13347699340446478</v>
      </c>
      <c r="I93" s="102">
        <v>0.14574882516785168</v>
      </c>
      <c r="J93" s="102">
        <v>0.11662315773244283</v>
      </c>
      <c r="K93" s="102">
        <v>0.11982789633250505</v>
      </c>
      <c r="L93" s="102">
        <v>0.13342767165440123</v>
      </c>
      <c r="M93" s="102">
        <v>0.13385500410324802</v>
      </c>
      <c r="O93" s="97">
        <v>553960</v>
      </c>
    </row>
    <row r="94" spans="1:18" s="97" customFormat="1" hidden="1" x14ac:dyDescent="0.2">
      <c r="B94" s="97">
        <v>3</v>
      </c>
      <c r="C94" s="97" t="s">
        <v>263</v>
      </c>
      <c r="D94" s="102">
        <v>8.3858441000791997E-2</v>
      </c>
      <c r="E94" s="102">
        <v>9.3610285472163018E-2</v>
      </c>
      <c r="F94" s="102">
        <v>0.10968145199818091</v>
      </c>
      <c r="G94" s="102">
        <v>9.8031245394875538E-2</v>
      </c>
      <c r="H94" s="102">
        <v>9.1279294561127197E-2</v>
      </c>
      <c r="I94" s="102">
        <v>8.0525123841482499E-2</v>
      </c>
      <c r="J94" s="102">
        <v>0.11715140875504879</v>
      </c>
      <c r="K94" s="102">
        <v>9.9322156655858224E-2</v>
      </c>
      <c r="L94" s="102">
        <v>9.7850010281811742E-2</v>
      </c>
      <c r="M94" s="102">
        <v>0.1150057761794708</v>
      </c>
      <c r="O94" s="97">
        <v>3050596</v>
      </c>
    </row>
    <row r="95" spans="1:18" s="97" customFormat="1" hidden="1" x14ac:dyDescent="0.2">
      <c r="B95" s="97">
        <v>4</v>
      </c>
      <c r="C95" s="97" t="s">
        <v>98</v>
      </c>
      <c r="D95" s="102"/>
      <c r="E95" s="102"/>
      <c r="F95" s="102"/>
      <c r="G95" s="102">
        <v>6.3755265486086093E-2</v>
      </c>
      <c r="H95" s="102">
        <v>8.3041639292683544E-2</v>
      </c>
      <c r="I95" s="102">
        <v>6.9446674041986303E-2</v>
      </c>
      <c r="J95" s="102">
        <v>6.8097806916110101E-2</v>
      </c>
      <c r="K95" s="102"/>
      <c r="L95" s="102">
        <v>6.0314581204585341E-2</v>
      </c>
      <c r="M95" s="102">
        <v>7.1756502944387596E-2</v>
      </c>
      <c r="O95" s="97">
        <v>1692097</v>
      </c>
    </row>
    <row r="96" spans="1:18" s="97" customFormat="1" hidden="1" x14ac:dyDescent="0.2">
      <c r="B96" s="97">
        <v>5</v>
      </c>
      <c r="C96" s="97" t="s">
        <v>246</v>
      </c>
      <c r="D96" s="102">
        <v>7.5347226111367668E-2</v>
      </c>
      <c r="E96" s="102">
        <v>7.5577704869660492E-2</v>
      </c>
      <c r="F96" s="102">
        <v>7.8633133640841735E-2</v>
      </c>
      <c r="G96" s="102"/>
      <c r="H96" s="102">
        <v>6.7225685414182779E-2</v>
      </c>
      <c r="I96" s="102">
        <v>6.1977925029117517E-2</v>
      </c>
      <c r="J96" s="102"/>
      <c r="K96" s="102">
        <v>6.4357668370903898E-2</v>
      </c>
      <c r="L96" s="102">
        <v>5.5236434977231255E-2</v>
      </c>
      <c r="M96" s="102">
        <v>5.2228429187033451E-2</v>
      </c>
      <c r="O96" s="97">
        <v>3689192</v>
      </c>
    </row>
    <row r="97" spans="1:15" s="97" customFormat="1" hidden="1" x14ac:dyDescent="0.2">
      <c r="B97" s="97">
        <v>6</v>
      </c>
      <c r="C97" s="97" t="s">
        <v>245</v>
      </c>
      <c r="D97" s="102">
        <v>6.7075074320322489E-2</v>
      </c>
      <c r="E97" s="102">
        <v>7.007415907023859E-2</v>
      </c>
      <c r="F97" s="102">
        <v>6.8594209877873236E-2</v>
      </c>
      <c r="G97" s="102">
        <v>6.4012287617829497E-2</v>
      </c>
      <c r="H97" s="102"/>
      <c r="I97" s="102"/>
      <c r="J97" s="102">
        <v>5.9667124532497964E-2</v>
      </c>
      <c r="K97" s="102">
        <v>6.0117600138896853E-2</v>
      </c>
      <c r="L97" s="102"/>
      <c r="M97" s="102"/>
      <c r="O97" s="97">
        <v>11115023</v>
      </c>
    </row>
    <row r="98" spans="1:15" s="97" customFormat="1" hidden="1" x14ac:dyDescent="0.2">
      <c r="B98" s="97">
        <v>7</v>
      </c>
      <c r="C98" s="97" t="s">
        <v>101</v>
      </c>
      <c r="D98" s="102">
        <v>0.36497784498126101</v>
      </c>
      <c r="E98" s="102">
        <v>0.35325283128687823</v>
      </c>
      <c r="F98" s="102">
        <v>0.33272697402828627</v>
      </c>
      <c r="G98" s="102">
        <v>0.35303212962283986</v>
      </c>
      <c r="H98" s="102">
        <v>0.33369886234210083</v>
      </c>
      <c r="I98" s="102">
        <v>0.32014377277257744</v>
      </c>
      <c r="J98" s="102">
        <v>0.32278312927935188</v>
      </c>
      <c r="K98" s="102">
        <v>0.33327511914567004</v>
      </c>
      <c r="L98" s="102">
        <v>0.33362310468104467</v>
      </c>
      <c r="M98" s="102">
        <v>0.3180046988003189</v>
      </c>
      <c r="O98" s="97">
        <v>5920853</v>
      </c>
    </row>
    <row r="99" spans="1:15" s="97" customFormat="1" hidden="1" x14ac:dyDescent="0.2">
      <c r="B99" s="97">
        <v>8</v>
      </c>
      <c r="D99" s="102"/>
      <c r="E99" s="102"/>
      <c r="F99" s="102"/>
      <c r="G99" s="102"/>
      <c r="H99" s="102"/>
      <c r="I99" s="102"/>
      <c r="J99" s="102"/>
      <c r="K99" s="102"/>
      <c r="L99" s="102"/>
      <c r="M99" s="102"/>
      <c r="O99" s="97">
        <v>7434864</v>
      </c>
    </row>
    <row r="100" spans="1:15" s="97" customFormat="1" hidden="1" x14ac:dyDescent="0.2">
      <c r="B100" s="97">
        <v>9</v>
      </c>
      <c r="D100" s="102"/>
      <c r="E100" s="102"/>
      <c r="F100" s="102"/>
      <c r="G100" s="102"/>
      <c r="H100" s="102"/>
      <c r="I100" s="102"/>
      <c r="J100" s="102"/>
      <c r="K100" s="102"/>
      <c r="L100" s="102"/>
      <c r="M100" s="102"/>
      <c r="O100" s="97">
        <v>8497745</v>
      </c>
    </row>
    <row r="101" spans="1:15" s="97" customFormat="1" hidden="1" x14ac:dyDescent="0.2">
      <c r="B101" s="97">
        <v>10</v>
      </c>
      <c r="D101" s="102"/>
      <c r="E101" s="102"/>
      <c r="F101" s="102"/>
      <c r="G101" s="102"/>
      <c r="H101" s="102"/>
      <c r="I101" s="102"/>
      <c r="J101" s="102"/>
      <c r="K101" s="102"/>
      <c r="L101" s="102"/>
      <c r="M101" s="102"/>
      <c r="O101" s="97">
        <v>14393110</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8</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408</v>
      </c>
      <c r="D120" s="56">
        <v>817</v>
      </c>
      <c r="E120" s="56">
        <v>408</v>
      </c>
      <c r="F120" s="57">
        <v>1633</v>
      </c>
    </row>
    <row r="121" spans="1:14" ht="18" customHeight="1" x14ac:dyDescent="0.2">
      <c r="A121" s="225" t="s">
        <v>23</v>
      </c>
      <c r="B121" s="30" t="s">
        <v>58</v>
      </c>
      <c r="C121" s="58">
        <v>6.0304903984069824</v>
      </c>
      <c r="D121" s="58">
        <v>6.2983720696541496</v>
      </c>
      <c r="E121" s="58">
        <v>7.0812501907348633</v>
      </c>
      <c r="F121" s="59">
        <v>6.4270420074462891</v>
      </c>
    </row>
    <row r="122" spans="1:14" ht="18" customHeight="1" x14ac:dyDescent="0.2">
      <c r="A122" s="226"/>
      <c r="B122" s="33" t="s">
        <v>51</v>
      </c>
      <c r="C122" s="60">
        <v>27.041666030883789</v>
      </c>
      <c r="D122" s="60">
        <v>36.684875124087384</v>
      </c>
      <c r="E122" s="60">
        <v>57.893669128417969</v>
      </c>
      <c r="F122" s="61">
        <v>39.429454803466797</v>
      </c>
    </row>
    <row r="123" spans="1:14" ht="18" customHeight="1" x14ac:dyDescent="0.2">
      <c r="A123" s="226"/>
      <c r="B123" s="33" t="s">
        <v>52</v>
      </c>
      <c r="C123" s="60">
        <v>1.8226470947265625</v>
      </c>
      <c r="D123" s="60">
        <v>2.1446238080611866</v>
      </c>
      <c r="E123" s="60">
        <v>3.285822868347168</v>
      </c>
      <c r="F123" s="61">
        <v>2.3422772884368896</v>
      </c>
    </row>
    <row r="124" spans="1:14" ht="18" customHeight="1" x14ac:dyDescent="0.2">
      <c r="A124" s="226"/>
      <c r="B124" s="33" t="s">
        <v>53</v>
      </c>
      <c r="C124" s="60">
        <v>26.212137222290039</v>
      </c>
      <c r="D124" s="60">
        <v>32.103284763443575</v>
      </c>
      <c r="E124" s="60">
        <v>46.450042724609375</v>
      </c>
      <c r="F124" s="61">
        <v>34.120212554931641</v>
      </c>
    </row>
    <row r="125" spans="1:14" ht="18" customHeight="1" x14ac:dyDescent="0.2">
      <c r="A125" s="226"/>
      <c r="B125" s="33" t="s">
        <v>54</v>
      </c>
      <c r="C125" s="28">
        <v>1.2012137174606323</v>
      </c>
      <c r="D125" s="28">
        <v>1.266624604473791</v>
      </c>
      <c r="E125" s="28">
        <v>0.75546711683273315</v>
      </c>
      <c r="F125" s="62">
        <v>1.1225707530975342</v>
      </c>
    </row>
    <row r="126" spans="1:14" ht="18" customHeight="1" x14ac:dyDescent="0.2">
      <c r="A126" s="226"/>
      <c r="B126" s="33" t="s">
        <v>59</v>
      </c>
      <c r="C126" s="28">
        <f ca="1">4.4353125*OFFSET($L$112,MATCH($N$1,$C$112:$C$113,0)-1,0)</f>
        <v>4.4353125000000002</v>
      </c>
      <c r="D126" s="28">
        <f ca="1">3.49378845498728*OFFSET($L$112,MATCH($N$1,$C$112:$C$113,0)-1,0)</f>
        <v>3.4937884549872802</v>
      </c>
      <c r="E126" s="28">
        <f ca="1">1.86764013671875*OFFSET($L$112,MATCH($N$1,$C$112:$C$113,0)-1,0)</f>
        <v>1.8676401367187501</v>
      </c>
      <c r="F126" s="62">
        <f ca="1">3.32273706054688*OFFSET($L$112,MATCH($N$1,$C$112:$C$113,0)-1,0)</f>
        <v>3.32273706054688</v>
      </c>
    </row>
    <row r="127" spans="1:14" ht="18" customHeight="1" x14ac:dyDescent="0.2">
      <c r="A127" s="226"/>
      <c r="B127" s="33" t="s">
        <v>56</v>
      </c>
      <c r="C127" s="60">
        <v>11.311274528503418</v>
      </c>
      <c r="D127" s="60">
        <v>21.350061400283945</v>
      </c>
      <c r="E127" s="60">
        <v>20.877450942993164</v>
      </c>
      <c r="F127" s="61">
        <v>18.723821640014648</v>
      </c>
    </row>
    <row r="128" spans="1:14" ht="18" customHeight="1" x14ac:dyDescent="0.2">
      <c r="A128" s="226"/>
      <c r="B128" s="33" t="s">
        <v>60</v>
      </c>
      <c r="C128" s="60">
        <v>24.958333969116211</v>
      </c>
      <c r="D128" s="60">
        <v>25.438035920608876</v>
      </c>
      <c r="E128" s="60">
        <v>27.746835708618164</v>
      </c>
      <c r="F128" s="61">
        <v>25.880716323852539</v>
      </c>
    </row>
    <row r="129" spans="1:14" ht="18" customHeight="1" x14ac:dyDescent="0.2">
      <c r="A129" s="226"/>
      <c r="B129" s="33" t="s">
        <v>61</v>
      </c>
      <c r="C129" s="63">
        <v>0.10619614273309708</v>
      </c>
      <c r="D129" s="63">
        <v>5.9326508749850508E-2</v>
      </c>
      <c r="E129" s="63">
        <v>3.6185793578624725E-2</v>
      </c>
      <c r="F129" s="64">
        <v>5.9954147785902023E-2</v>
      </c>
    </row>
    <row r="130" spans="1:14" ht="18" customHeight="1" x14ac:dyDescent="0.2">
      <c r="A130" s="227"/>
      <c r="B130" s="35" t="s">
        <v>24</v>
      </c>
      <c r="C130" s="37">
        <f ca="1">3692.35918265757*OFFSET($L$112,MATCH($N$1,$C$112:$C$113,0)-1,0)</f>
        <v>3692.3591826575698</v>
      </c>
      <c r="D130" s="37">
        <f ca="1">2758.34563977916*OFFSET($L$112,MATCH($N$1,$C$112:$C$113,0)-1,0)</f>
        <v>2758.3456397791601</v>
      </c>
      <c r="E130" s="37">
        <f ca="1">2472.16602166453*OFFSET($L$112,MATCH($N$1,$C$112:$C$113,0)-1,0)</f>
        <v>2472.16602166453</v>
      </c>
      <c r="F130" s="65">
        <f ca="1">2960*OFFSET($L$112,MATCH($N$1,$C$112:$C$113,0)-1,0)</f>
        <v>2960</v>
      </c>
    </row>
    <row r="131" spans="1:14" ht="18" customHeight="1" x14ac:dyDescent="0.2">
      <c r="A131" s="239" t="s">
        <v>25</v>
      </c>
      <c r="B131" s="30" t="s">
        <v>62</v>
      </c>
      <c r="C131" s="66">
        <v>4.2424034246891305</v>
      </c>
      <c r="D131" s="66">
        <v>2.0301656667931254</v>
      </c>
      <c r="E131" s="66">
        <v>0.61220749822199971</v>
      </c>
      <c r="F131" s="67">
        <v>1.6343070694611188</v>
      </c>
    </row>
    <row r="132" spans="1:14" ht="18" customHeight="1" x14ac:dyDescent="0.2">
      <c r="A132" s="228"/>
      <c r="B132" s="33" t="s">
        <v>63</v>
      </c>
      <c r="C132" s="63">
        <f ca="1">15.6644772416888*OFFSET($L$112,MATCH($N$1,$C$112:$C$113,0)-1,0)</f>
        <v>15.6644772416888</v>
      </c>
      <c r="D132" s="63">
        <f ca="1">5.59989861502816*OFFSET($L$112,MATCH($N$1,$C$112:$C$113,0)-1,0)</f>
        <v>5.5998986150281604</v>
      </c>
      <c r="E132" s="63">
        <f ca="1">1.51347857531268*OFFSET($L$112,MATCH($N$1,$C$112:$C$113,0)-1,0)</f>
        <v>1.51347857531268</v>
      </c>
      <c r="F132" s="64">
        <f ca="1">4.83744356694495*OFFSET($L$112,MATCH($N$1,$C$112:$C$113,0)-1,0)</f>
        <v>4.83744356694495</v>
      </c>
    </row>
    <row r="133" spans="1:14" ht="18" customHeight="1" x14ac:dyDescent="0.2">
      <c r="A133" s="228"/>
      <c r="B133" s="33" t="s">
        <v>11</v>
      </c>
      <c r="C133" s="63">
        <f ca="1">8.74974022112111*OFFSET($L$112,MATCH($N$1,$C$112:$C$113,0)-1,0)</f>
        <v>8.7497402211211099</v>
      </c>
      <c r="D133" s="63">
        <f ca="1">3.59228777275644*OFFSET($L$112,MATCH($N$1,$C$112:$C$113,0)-1,0)</f>
        <v>3.59228777275644</v>
      </c>
      <c r="E133" s="63">
        <f ca="1">1.429249436812*OFFSET($L$112,MATCH($N$1,$C$112:$C$113,0)-1,0)</f>
        <v>1.4292494368119999</v>
      </c>
      <c r="F133" s="64">
        <f ca="1">3.17514629031331*OFFSET($L$112,MATCH($N$1,$C$112:$C$113,0)-1,0)</f>
        <v>3.1751462903133101</v>
      </c>
    </row>
    <row r="134" spans="1:14" ht="18" customHeight="1" x14ac:dyDescent="0.2">
      <c r="A134" s="229"/>
      <c r="B134" s="35" t="s">
        <v>12</v>
      </c>
      <c r="C134" s="68">
        <f ca="1">6.91473702056772*OFFSET($L$112,MATCH($N$1,$C$112:$C$113,0)-1,0)</f>
        <v>6.9147370205677197</v>
      </c>
      <c r="D134" s="68">
        <f ca="1">2.00761084227172*OFFSET($L$112,MATCH($N$1,$C$112:$C$113,0)-1,0)</f>
        <v>2.00761084227172</v>
      </c>
      <c r="E134" s="68">
        <f ca="1">0.084229138500672*OFFSET($L$112,MATCH($N$1,$C$112:$C$113,0)-1,0)</f>
        <v>8.4229138500671999E-2</v>
      </c>
      <c r="F134" s="69">
        <f ca="1">1.66229727663164*OFFSET($L$112,MATCH($N$1,$C$112:$C$113,0)-1,0)</f>
        <v>1.66229727663164</v>
      </c>
    </row>
    <row r="135" spans="1:14" ht="18" customHeight="1" x14ac:dyDescent="0.2">
      <c r="A135" s="240" t="s">
        <v>45</v>
      </c>
      <c r="B135" s="33" t="s">
        <v>102</v>
      </c>
      <c r="C135" s="70">
        <f ca="1">0.17619596862793*OFFSET($L$112,MATCH($N$1,$C$112:$C$113,0)-1,0)</f>
        <v>0.17619596862792999</v>
      </c>
      <c r="D135" s="70">
        <f ca="1">0.428496293178824*OFFSET($L$112,MATCH($N$1,$C$112:$C$113,0)-1,0)</f>
        <v>0.42849629317882398</v>
      </c>
      <c r="E135" s="70">
        <f ca="1">0.7946826171875*OFFSET($L$112,MATCH($N$1,$C$112:$C$113,0)-1,0)</f>
        <v>0.7946826171875</v>
      </c>
      <c r="F135" s="71">
        <f ca="1">0.456950347900391*OFFSET($L$112,MATCH($N$1,$C$112:$C$113,0)-1,0)</f>
        <v>0.45695034790039102</v>
      </c>
    </row>
    <row r="136" spans="1:14" ht="18" customHeight="1" x14ac:dyDescent="0.2">
      <c r="A136" s="241"/>
      <c r="B136" s="33" t="s">
        <v>103</v>
      </c>
      <c r="C136" s="26">
        <v>425.49017962505241</v>
      </c>
      <c r="D136" s="26">
        <v>1025.1958511635569</v>
      </c>
      <c r="E136" s="26">
        <v>1900.9681090166559</v>
      </c>
      <c r="F136" s="72">
        <v>1094.1702388242497</v>
      </c>
    </row>
    <row r="137" spans="1:14" ht="18" customHeight="1" x14ac:dyDescent="0.2">
      <c r="A137" s="241"/>
      <c r="B137" s="33" t="s">
        <v>104</v>
      </c>
      <c r="C137" s="26">
        <v>37.616466522216797</v>
      </c>
      <c r="D137" s="26">
        <v>48.018402942387894</v>
      </c>
      <c r="E137" s="26">
        <v>91.05364990234375</v>
      </c>
      <c r="F137" s="72">
        <v>58.437335968017578</v>
      </c>
    </row>
    <row r="138" spans="1:14" ht="18" customHeight="1" x14ac:dyDescent="0.2">
      <c r="A138" s="241"/>
      <c r="B138" s="33" t="s">
        <v>105</v>
      </c>
      <c r="C138" s="26">
        <f ca="1">15.5770216861001*OFFSET($L$112,MATCH($N$1,$C$112:$C$113,0)-1,0)</f>
        <v>15.5770216861001</v>
      </c>
      <c r="D138" s="26">
        <f ca="1">20.0700262704221*OFFSET($L$112,MATCH($N$1,$C$112:$C$113,0)-1,0)</f>
        <v>20.070026270422101</v>
      </c>
      <c r="E138" s="26">
        <f ca="1">38.064159238473*OFFSET($L$112,MATCH($N$1,$C$112:$C$113,0)-1,0)</f>
        <v>38.064159238473003</v>
      </c>
      <c r="F138" s="72">
        <f ca="1">24.4047586377261*OFFSET($L$112,MATCH($N$1,$C$112:$C$113,0)-1,0)</f>
        <v>24.404758637726101</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146.681615491711*OFFSET($L$112,MATCH($N$1,$C$112:$C$113,0)-1,0)</f>
        <v>146.681615491711</v>
      </c>
      <c r="D139" s="26">
        <f ca="1">338.297781098955*OFFSET($L$112,MATCH($N$1,$C$112:$C$113,0)-1,0)</f>
        <v>338.297781098955</v>
      </c>
      <c r="E139" s="26">
        <f ca="1">1051.90894412344*OFFSET($L$112,MATCH($N$1,$C$112:$C$113,0)-1,0)</f>
        <v>1051.9089441234401</v>
      </c>
      <c r="F139" s="72">
        <f ca="1">407.057057775216*OFFSET($L$112,MATCH($N$1,$C$112:$C$113,0)-1,0)</f>
        <v>407.05705777521598</v>
      </c>
      <c r="I139" s="49"/>
      <c r="K139" s="73" t="s">
        <v>107</v>
      </c>
      <c r="L139" s="74">
        <f t="shared" ref="L139:M141" ca="1" si="2">C140</f>
        <v>5.2604472656250003</v>
      </c>
      <c r="M139" s="74">
        <f t="shared" ca="1" si="2"/>
        <v>4.1437642614581698</v>
      </c>
      <c r="N139" s="74">
        <f ca="1">E140</f>
        <v>2.2150913085937498</v>
      </c>
    </row>
    <row r="140" spans="1:14" ht="18" customHeight="1" x14ac:dyDescent="0.2">
      <c r="A140" s="230" t="s">
        <v>46</v>
      </c>
      <c r="B140" s="30" t="s">
        <v>108</v>
      </c>
      <c r="C140" s="75">
        <f ca="1">5.260447265625*OFFSET($L$112,MATCH($N$1,$C$112:$C$113,0)-1,0)</f>
        <v>5.2604472656250003</v>
      </c>
      <c r="D140" s="75">
        <f ca="1">4.14376426145817*OFFSET($L$112,MATCH($N$1,$C$112:$C$113,0)-1,0)</f>
        <v>4.1437642614581698</v>
      </c>
      <c r="E140" s="75">
        <f ca="1">2.21509130859375*OFFSET($L$112,MATCH($N$1,$C$112:$C$113,0)-1,0)</f>
        <v>2.2150913085937498</v>
      </c>
      <c r="F140" s="76">
        <f ca="1">3.94089111328125*OFFSET($L$112,MATCH($N$1,$C$112:$C$113,0)-1,0)</f>
        <v>3.9408911132812499</v>
      </c>
      <c r="I140" s="49"/>
      <c r="K140" s="73" t="s">
        <v>109</v>
      </c>
      <c r="L140" s="74">
        <f t="shared" ca="1" si="2"/>
        <v>3.3025764160156301</v>
      </c>
      <c r="M140" s="74">
        <f t="shared" ca="1" si="2"/>
        <v>2.8912116591641501</v>
      </c>
      <c r="N140" s="74">
        <f ca="1">E141</f>
        <v>2.11115209960938</v>
      </c>
    </row>
    <row r="141" spans="1:14" ht="18" customHeight="1" x14ac:dyDescent="0.2">
      <c r="A141" s="237"/>
      <c r="B141" s="33" t="s">
        <v>110</v>
      </c>
      <c r="C141" s="26">
        <f ca="1">3.30257641601563*OFFSET($L$112,MATCH($N$1,$C$112:$C$113,0)-1,0)</f>
        <v>3.3025764160156301</v>
      </c>
      <c r="D141" s="26">
        <f ca="1">2.89121165916415*OFFSET($L$112,MATCH($N$1,$C$112:$C$113,0)-1,0)</f>
        <v>2.8912116591641501</v>
      </c>
      <c r="E141" s="26">
        <f ca="1">2.11115209960938*OFFSET($L$112,MATCH($N$1,$C$112:$C$113,0)-1,0)</f>
        <v>2.11115209960938</v>
      </c>
      <c r="F141" s="72">
        <f ca="1">2.79909448242188*OFFSET($L$112,MATCH($N$1,$C$112:$C$113,0)-1,0)</f>
        <v>2.79909448242188</v>
      </c>
      <c r="I141" s="49"/>
      <c r="K141" s="73" t="s">
        <v>111</v>
      </c>
      <c r="L141" s="74">
        <f t="shared" ca="1" si="2"/>
        <v>1.95787084960938</v>
      </c>
      <c r="M141" s="74">
        <f t="shared" ca="1" si="2"/>
        <v>1.2525526022940301</v>
      </c>
      <c r="N141" s="74">
        <f ca="1">E142</f>
        <v>0.103939208984375</v>
      </c>
    </row>
    <row r="142" spans="1:14" ht="18" customHeight="1" x14ac:dyDescent="0.2">
      <c r="A142" s="238"/>
      <c r="B142" s="35" t="s">
        <v>112</v>
      </c>
      <c r="C142" s="37">
        <f ca="1">1.95787084960938*OFFSET($L$112,MATCH($N$1,$C$112:$C$113,0)-1,0)</f>
        <v>1.95787084960938</v>
      </c>
      <c r="D142" s="37">
        <f ca="1">1.25255260229403*OFFSET($L$112,MATCH($N$1,$C$112:$C$113,0)-1,0)</f>
        <v>1.2525526022940301</v>
      </c>
      <c r="E142" s="37">
        <f ca="1">0.103939208984375*OFFSET($L$112,MATCH($N$1,$C$112:$C$113,0)-1,0)</f>
        <v>0.103939208984375</v>
      </c>
      <c r="F142" s="65">
        <f ca="1">1.14179663085937*OFFSET($L$112,MATCH($N$1,$C$112:$C$113,0)-1,0)</f>
        <v>1.1417966308593701</v>
      </c>
      <c r="I142" s="49"/>
      <c r="K142" s="73" t="s">
        <v>113</v>
      </c>
      <c r="L142" s="77">
        <f ca="1">IFERROR(L140/L$139,"")</f>
        <v>0.62781285492522598</v>
      </c>
      <c r="M142" s="77">
        <f t="shared" ref="M142:N143" ca="1" si="3">IFERROR(M140/M$139,"")</f>
        <v>0.69772590252196132</v>
      </c>
      <c r="N142" s="77">
        <f t="shared" ca="1" si="3"/>
        <v>0.95307678352530056</v>
      </c>
    </row>
    <row r="143" spans="1:14" ht="18" customHeight="1" x14ac:dyDescent="0.2">
      <c r="I143" s="49"/>
      <c r="K143" s="73" t="s">
        <v>114</v>
      </c>
      <c r="L143" s="77">
        <f ca="1">IFERROR(L141/L$139,"")</f>
        <v>0.37218714507477585</v>
      </c>
      <c r="M143" s="77">
        <f t="shared" ca="1" si="3"/>
        <v>0.30227409747804118</v>
      </c>
      <c r="N143" s="77">
        <f t="shared" ca="1" si="3"/>
        <v>4.6923216474701795E-2</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10</v>
      </c>
      <c r="B161" s="53"/>
      <c r="C161" s="79" t="s">
        <v>41</v>
      </c>
      <c r="D161" s="79" t="s">
        <v>115</v>
      </c>
      <c r="E161" s="79" t="s">
        <v>43</v>
      </c>
      <c r="F161" s="79" t="s">
        <v>116</v>
      </c>
      <c r="G161" s="80">
        <v>9</v>
      </c>
      <c r="H161" s="79"/>
      <c r="I161" s="79" t="s">
        <v>41</v>
      </c>
      <c r="J161" s="79" t="s">
        <v>115</v>
      </c>
      <c r="K161" s="79" t="s">
        <v>43</v>
      </c>
      <c r="L161" s="53" t="s">
        <v>116</v>
      </c>
    </row>
    <row r="162" spans="1:14" s="49" customFormat="1" x14ac:dyDescent="0.2">
      <c r="A162" s="50">
        <v>1</v>
      </c>
      <c r="B162" s="53" t="s">
        <v>263</v>
      </c>
      <c r="C162" s="53">
        <v>0.23915007242781022</v>
      </c>
      <c r="D162" s="53">
        <v>0.43213076182855803</v>
      </c>
      <c r="E162" s="53">
        <v>0.1547601137612499</v>
      </c>
      <c r="F162" s="50">
        <v>3050596</v>
      </c>
      <c r="G162" s="50">
        <v>1</v>
      </c>
      <c r="H162" s="53" t="s">
        <v>230</v>
      </c>
      <c r="I162" s="53">
        <v>0.39773701689674162</v>
      </c>
      <c r="J162" s="53">
        <v>0.34669644300258878</v>
      </c>
      <c r="K162" s="53">
        <v>0.25580872493341628</v>
      </c>
      <c r="L162" s="50">
        <v>12153634</v>
      </c>
    </row>
    <row r="163" spans="1:14" s="49" customFormat="1" x14ac:dyDescent="0.2">
      <c r="A163" s="50">
        <v>2</v>
      </c>
      <c r="B163" s="53" t="s">
        <v>98</v>
      </c>
      <c r="C163" s="53">
        <v>0.13720253553066206</v>
      </c>
      <c r="D163" s="53">
        <v>0.14772682958073158</v>
      </c>
      <c r="E163" s="53">
        <v>0.12449316095880239</v>
      </c>
      <c r="F163" s="50">
        <v>1692097</v>
      </c>
      <c r="G163" s="50">
        <v>2</v>
      </c>
      <c r="H163" s="53" t="s">
        <v>189</v>
      </c>
      <c r="I163" s="53">
        <v>0.13617182221175339</v>
      </c>
      <c r="J163" s="53">
        <v>0.16234254840130355</v>
      </c>
      <c r="K163" s="53">
        <v>0.12331781140423828</v>
      </c>
      <c r="L163" s="50">
        <v>553960</v>
      </c>
      <c r="N163" s="49" t="s">
        <v>117</v>
      </c>
    </row>
    <row r="164" spans="1:14" s="49" customFormat="1" x14ac:dyDescent="0.2">
      <c r="A164" s="50">
        <v>3</v>
      </c>
      <c r="B164" s="53" t="s">
        <v>230</v>
      </c>
      <c r="C164" s="53">
        <v>0.11537289689882692</v>
      </c>
      <c r="D164" s="53">
        <v>9.1397997010273124E-2</v>
      </c>
      <c r="E164" s="53">
        <v>0</v>
      </c>
      <c r="F164" s="50">
        <v>12153634</v>
      </c>
      <c r="G164" s="50">
        <v>3</v>
      </c>
      <c r="H164" s="53" t="s">
        <v>263</v>
      </c>
      <c r="I164" s="53">
        <v>0.1044105523234462</v>
      </c>
      <c r="J164" s="53">
        <v>0.12265748004202513</v>
      </c>
      <c r="K164" s="53">
        <v>6.8463718317441316E-2</v>
      </c>
      <c r="L164" s="50">
        <v>3050596</v>
      </c>
      <c r="N164" s="49" t="s">
        <v>118</v>
      </c>
    </row>
    <row r="165" spans="1:14" s="49" customFormat="1" x14ac:dyDescent="0.2">
      <c r="A165" s="50">
        <v>4</v>
      </c>
      <c r="B165" s="53" t="s">
        <v>246</v>
      </c>
      <c r="C165" s="53">
        <v>7.6464128043327043E-2</v>
      </c>
      <c r="D165" s="53">
        <v>8.5953206152557263E-2</v>
      </c>
      <c r="E165" s="53">
        <v>0</v>
      </c>
      <c r="F165" s="50">
        <v>3689192</v>
      </c>
      <c r="G165" s="50">
        <v>4</v>
      </c>
      <c r="H165" s="53" t="s">
        <v>98</v>
      </c>
      <c r="I165" s="53">
        <v>6.0828043867477047E-2</v>
      </c>
      <c r="J165" s="53">
        <v>7.1497413977765975E-2</v>
      </c>
      <c r="K165" s="53">
        <v>0</v>
      </c>
      <c r="L165" s="50">
        <v>1692097</v>
      </c>
    </row>
    <row r="166" spans="1:14" s="49" customFormat="1" x14ac:dyDescent="0.2">
      <c r="A166" s="50">
        <v>5</v>
      </c>
      <c r="B166" s="53" t="s">
        <v>242</v>
      </c>
      <c r="C166" s="53">
        <v>7.8852030572176282E-2</v>
      </c>
      <c r="D166" s="53">
        <v>5.8863411963916507E-2</v>
      </c>
      <c r="E166" s="53">
        <v>0</v>
      </c>
      <c r="F166" s="50">
        <v>11115023</v>
      </c>
      <c r="G166" s="50">
        <v>5</v>
      </c>
      <c r="H166" s="53" t="s">
        <v>246</v>
      </c>
      <c r="I166" s="53">
        <v>6.2215607443785639E-2</v>
      </c>
      <c r="J166" s="53">
        <v>6.8609508135928129E-2</v>
      </c>
      <c r="K166" s="53">
        <v>0</v>
      </c>
      <c r="L166" s="50">
        <v>3689192</v>
      </c>
    </row>
    <row r="167" spans="1:14" s="49" customFormat="1" x14ac:dyDescent="0.2">
      <c r="A167" s="50">
        <v>6</v>
      </c>
      <c r="B167" s="53" t="s">
        <v>100</v>
      </c>
      <c r="C167" s="53">
        <v>0</v>
      </c>
      <c r="D167" s="53">
        <v>0</v>
      </c>
      <c r="E167" s="53">
        <v>9.9869060702369283E-2</v>
      </c>
      <c r="F167" s="50">
        <v>2480382</v>
      </c>
      <c r="G167" s="50">
        <v>6</v>
      </c>
      <c r="H167" s="53" t="s">
        <v>93</v>
      </c>
      <c r="I167" s="53">
        <v>0</v>
      </c>
      <c r="J167" s="53">
        <v>0</v>
      </c>
      <c r="K167" s="53">
        <v>0.11576310440475482</v>
      </c>
      <c r="L167" s="50">
        <v>8497745</v>
      </c>
    </row>
    <row r="168" spans="1:14" s="49" customFormat="1" x14ac:dyDescent="0.2">
      <c r="A168" s="50">
        <v>7</v>
      </c>
      <c r="B168" s="53" t="s">
        <v>245</v>
      </c>
      <c r="C168" s="53">
        <v>0</v>
      </c>
      <c r="D168" s="53">
        <v>0</v>
      </c>
      <c r="E168" s="53">
        <v>7.9690015445391629E-2</v>
      </c>
      <c r="F168" s="50">
        <v>7434864</v>
      </c>
      <c r="G168" s="50">
        <v>7</v>
      </c>
      <c r="H168" s="53" t="s">
        <v>245</v>
      </c>
      <c r="I168" s="53">
        <v>0</v>
      </c>
      <c r="J168" s="53">
        <v>0</v>
      </c>
      <c r="K168" s="53">
        <v>8.5757795000262732E-2</v>
      </c>
      <c r="L168" s="50">
        <v>7434864</v>
      </c>
    </row>
    <row r="169" spans="1:14" s="49" customFormat="1" x14ac:dyDescent="0.2">
      <c r="A169" s="50">
        <v>8</v>
      </c>
      <c r="B169" s="53" t="s">
        <v>93</v>
      </c>
      <c r="C169" s="53">
        <v>0</v>
      </c>
      <c r="D169" s="53">
        <v>0</v>
      </c>
      <c r="E169" s="53">
        <v>6.15321754240057E-2</v>
      </c>
      <c r="F169" s="50">
        <v>8497745</v>
      </c>
      <c r="G169" s="50">
        <v>8</v>
      </c>
      <c r="H169" s="53" t="s">
        <v>101</v>
      </c>
      <c r="I169" s="53">
        <v>0.23863695725679612</v>
      </c>
      <c r="J169" s="53">
        <v>0.22819660644038842</v>
      </c>
      <c r="K169" s="53">
        <v>0.35088884593988656</v>
      </c>
      <c r="L169" s="50">
        <v>5920853</v>
      </c>
    </row>
    <row r="170" spans="1:14" s="49" customFormat="1" x14ac:dyDescent="0.2">
      <c r="A170" s="50">
        <v>9</v>
      </c>
      <c r="B170" s="53" t="s">
        <v>101</v>
      </c>
      <c r="C170" s="53">
        <v>0.35295833652719755</v>
      </c>
      <c r="D170" s="53">
        <v>0.18392779346396337</v>
      </c>
      <c r="E170" s="53">
        <v>0.47965547370818107</v>
      </c>
      <c r="F170" s="50">
        <v>5920853</v>
      </c>
      <c r="G170" s="50">
        <v>9</v>
      </c>
      <c r="H170" s="53"/>
      <c r="I170" s="53">
        <v>0</v>
      </c>
      <c r="J170" s="53">
        <v>0</v>
      </c>
      <c r="K170" s="53">
        <v>0</v>
      </c>
      <c r="L170" s="50"/>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r:id="rId1"/>
  <headerFooter>
    <oddHeader>&amp;C&amp;F  |  &amp;A</oddHeader>
    <oddFooter>&amp;C&amp;D -- &amp;T</oddFooter>
  </headerFooter>
  <rowBreaks count="2" manualBreakCount="2">
    <brk id="43" max="16383" man="1"/>
    <brk id="114" max="16383" man="1"/>
  </rowBreaks>
  <drawing r:id="rId2"/>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'Low activity under 10m'!D3:N3</xm:f>
              <xm:sqref>C3</xm:sqref>
            </x14:sparkline>
            <x14:sparkline>
              <xm:f>'Low activity under 10m'!D4:N4</xm:f>
              <xm:sqref>C4</xm:sqref>
            </x14:sparkline>
            <x14:sparkline>
              <xm:f>'Low activity under 10m'!D5:N5</xm:f>
              <xm:sqref>C5</xm:sqref>
            </x14:sparkline>
            <x14:sparkline>
              <xm:f>'Low activity under 10m'!D6:N6</xm:f>
              <xm:sqref>C6</xm:sqref>
            </x14:sparkline>
            <x14:sparkline>
              <xm:f>'Low activity under 10m'!D7:N7</xm:f>
              <xm:sqref>C7</xm:sqref>
            </x14:sparkline>
            <x14:sparkline>
              <xm:f>'Low activity under 10m'!D8:N8</xm:f>
              <xm:sqref>C8</xm:sqref>
            </x14:sparkline>
            <x14:sparkline>
              <xm:f>'Low activity under 10m'!D9:N9</xm:f>
              <xm:sqref>C9</xm:sqref>
            </x14:sparkline>
            <x14:sparkline>
              <xm:f>'Low activity under 10m'!F10:M10</xm:f>
              <xm:sqref>C10</xm:sqref>
            </x14:sparkline>
            <x14:sparkline>
              <xm:f>'Low activity under 10m'!D11:N11</xm:f>
              <xm:sqref>C11</xm:sqref>
            </x14:sparkline>
            <x14:sparkline>
              <xm:f>'Low activity under 10m'!D12:N12</xm:f>
              <xm:sqref>C12</xm:sqref>
            </x14:sparkline>
            <x14:sparkline>
              <xm:f>'Low activity under 10m'!D13:N13</xm:f>
              <xm:sqref>C13</xm:sqref>
            </x14:sparkline>
            <x14:sparkline>
              <xm:f>'Low activity under 10m'!D14:N14</xm:f>
              <xm:sqref>C14</xm:sqref>
            </x14:sparkline>
            <x14:sparkline>
              <xm:f>'Low activity under 10m'!D15:N15</xm:f>
              <xm:sqref>C15</xm:sqref>
            </x14:sparkline>
            <x14:sparkline>
              <xm:f>'Low activity under 10m'!D16:N16</xm:f>
              <xm:sqref>C16</xm:sqref>
            </x14:sparkline>
            <x14:sparkline>
              <xm:f>'Low activity under 10m'!D17:N17</xm:f>
              <xm:sqref>C17</xm:sqref>
            </x14:sparkline>
            <x14:sparkline>
              <xm:f>'Low activity under 10m'!D18:N18</xm:f>
              <xm:sqref>C18</xm:sqref>
            </x14:sparkline>
            <x14:sparkline>
              <xm:f>'Low activity under 10m'!D19:N19</xm:f>
              <xm:sqref>C19</xm:sqref>
            </x14:sparkline>
            <x14:sparkline>
              <xm:f>'Low activity under 10m'!D20:N20</xm:f>
              <xm:sqref>C20</xm:sqref>
            </x14:sparkline>
            <x14:sparkline>
              <xm:f>'Low activity under 10m'!D21:N21</xm:f>
              <xm:sqref>C21</xm:sqref>
            </x14:sparkline>
            <x14:sparkline>
              <xm:f>'Low activity under 10m'!D22:N22</xm:f>
              <xm:sqref>C22</xm:sqref>
            </x14:sparkline>
            <x14:sparkline>
              <xm:f>'Low activity under 10m'!D23:N23</xm:f>
              <xm:sqref>C23</xm:sqref>
            </x14:sparkline>
            <x14:sparkline>
              <xm:f>'Low activity under 10m'!D24:N24</xm:f>
              <xm:sqref>C24</xm:sqref>
            </x14:sparkline>
            <x14:sparkline>
              <xm:f>'Low activity under 10m'!F25:M25</xm:f>
              <xm:sqref>C25</xm:sqref>
            </x14:sparkline>
            <x14:sparkline>
              <xm:f>'Low activity under 10m'!F26:M26</xm:f>
              <xm:sqref>C26</xm:sqref>
            </x14:sparkline>
            <x14:sparkline>
              <xm:f>'Low activity under 10m'!D27:N27</xm:f>
              <xm:sqref>C27</xm:sqref>
            </x14:sparkline>
            <x14:sparkline>
              <xm:f>'Low activity under 10m'!D28:N28</xm:f>
              <xm:sqref>C28</xm:sqref>
            </x14:sparkline>
            <x14:sparkline>
              <xm:f>'Low activity under 10m'!D29:N29</xm:f>
              <xm:sqref>C29</xm:sqref>
            </x14:sparkline>
            <x14:sparkline>
              <xm:f>'Low activity under 10m'!D30:N30</xm:f>
              <xm:sqref>C30</xm:sqref>
            </x14:sparkline>
            <x14:sparkline>
              <xm:f>'Low activity under 10m'!D31:N31</xm:f>
              <xm:sqref>C31</xm:sqref>
            </x14:sparkline>
            <x14:sparkline>
              <xm:f>'Low activity under 10m'!D32:N32</xm:f>
              <xm:sqref>C32</xm:sqref>
            </x14:sparkline>
            <x14:sparkline>
              <xm:f>'Low activity under 10m'!D33:N33</xm:f>
              <xm:sqref>C33</xm:sqref>
            </x14:sparkline>
            <x14:sparkline>
              <xm:f>'Low activity under 10m'!D34:N34</xm:f>
              <xm:sqref>C34</xm:sqref>
            </x14:sparkline>
            <x14:sparkline>
              <xm:f>'Low activity under 10m'!D35:N35</xm:f>
              <xm:sqref>C35</xm:sqref>
            </x14:sparkline>
            <x14:sparkline>
              <xm:f>'Low activity under 10m'!D36:N36</xm:f>
              <xm:sqref>C36</xm:sqref>
            </x14:sparkline>
            <x14:sparkline>
              <xm:f>'Low activity under 10m'!D37:N37</xm:f>
              <xm:sqref>C37</xm:sqref>
            </x14:sparkline>
            <x14:sparkline>
              <xm:f>'Low activity under 10m'!D38:M38</xm:f>
              <xm:sqref>C38</xm:sqref>
            </x14:sparkline>
            <x14:sparkline>
              <xm:f>'Low activity under 10m'!D39:M39</xm:f>
              <xm:sqref>C39</xm:sqref>
            </x14:sparkline>
            <x14:sparkline>
              <xm:f>'Low activity under 10m'!D40:M40</xm:f>
              <xm:sqref>C40</xm:sqref>
            </x14:sparkline>
            <x14:sparkline>
              <xm:f>'Low activity under 10m'!D41:M41</xm:f>
              <xm:sqref>C41</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R153"/>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265</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14</v>
      </c>
      <c r="E3" s="22">
        <v>9</v>
      </c>
      <c r="F3" s="22">
        <v>10</v>
      </c>
      <c r="G3" s="22">
        <v>9</v>
      </c>
      <c r="H3" s="22">
        <v>8</v>
      </c>
      <c r="I3" s="22">
        <v>11</v>
      </c>
      <c r="J3" s="22">
        <v>11</v>
      </c>
      <c r="K3" s="22">
        <v>10</v>
      </c>
      <c r="L3" s="22">
        <v>9</v>
      </c>
      <c r="M3" s="22">
        <v>9</v>
      </c>
      <c r="N3" s="22">
        <v>7</v>
      </c>
      <c r="O3" s="23">
        <f t="shared" ref="O3:O41" si="0">IF(N3=0,"",IFERROR(IF(AND(N3&gt;0,D3&lt;0),"na",IF(AND(N3&lt;0,D3&lt;0),-1,1)*(N3-D3)/D3),""))</f>
        <v>-0.5</v>
      </c>
      <c r="P3" s="23">
        <f>IF(N3=0,"",IFERROR(IF(AND(N3&gt;0,J3&lt;0),"na",IF(AND(N3&lt;0,J3&lt;0),-1,1)*(N3-J3)/J3),""))</f>
        <v>-0.36363636363636365</v>
      </c>
    </row>
    <row r="4" spans="1:17" ht="18" customHeight="1" x14ac:dyDescent="0.2">
      <c r="A4" s="224"/>
      <c r="B4" s="24" t="s">
        <v>51</v>
      </c>
      <c r="C4" s="25"/>
      <c r="D4" s="26">
        <v>20568</v>
      </c>
      <c r="E4" s="26">
        <v>12669</v>
      </c>
      <c r="F4" s="26">
        <v>14161</v>
      </c>
      <c r="G4" s="26">
        <v>13042</v>
      </c>
      <c r="H4" s="26">
        <v>11550</v>
      </c>
      <c r="I4" s="26">
        <v>16004</v>
      </c>
      <c r="J4" s="26">
        <v>16004</v>
      </c>
      <c r="K4" s="26">
        <v>14534</v>
      </c>
      <c r="L4" s="26">
        <v>13209</v>
      </c>
      <c r="M4" s="26">
        <v>13188</v>
      </c>
      <c r="N4" s="26">
        <v>10226</v>
      </c>
      <c r="O4" s="23">
        <f t="shared" si="0"/>
        <v>-0.50281991443018281</v>
      </c>
      <c r="P4" s="23">
        <f t="shared" ref="P4:P41" si="1">IF(N4=0,"",IFERROR(IF(AND(N4&gt;0,J4&lt;0),"na",IF(AND(N4&lt;0,J4&lt;0),-1,1)*(N4-J4)/J4),""))</f>
        <v>-0.36103474131467134</v>
      </c>
    </row>
    <row r="5" spans="1:17" ht="18" customHeight="1" x14ac:dyDescent="0.2">
      <c r="A5" s="224"/>
      <c r="B5" s="24" t="s">
        <v>52</v>
      </c>
      <c r="C5" s="25"/>
      <c r="D5" s="26">
        <v>5967</v>
      </c>
      <c r="E5" s="26">
        <v>3922</v>
      </c>
      <c r="F5" s="26">
        <v>4295</v>
      </c>
      <c r="G5" s="26">
        <v>3992</v>
      </c>
      <c r="H5" s="26">
        <v>3619</v>
      </c>
      <c r="I5" s="26">
        <v>4932</v>
      </c>
      <c r="J5" s="26">
        <v>4932</v>
      </c>
      <c r="K5" s="26">
        <v>4542</v>
      </c>
      <c r="L5" s="26">
        <v>4230</v>
      </c>
      <c r="M5" s="26">
        <v>4413</v>
      </c>
      <c r="N5" s="26">
        <v>3495</v>
      </c>
      <c r="O5" s="23">
        <f t="shared" si="0"/>
        <v>-0.41427853192559078</v>
      </c>
      <c r="P5" s="23">
        <f t="shared" si="1"/>
        <v>-0.29136253041362531</v>
      </c>
      <c r="Q5" s="27"/>
    </row>
    <row r="6" spans="1:17" ht="18" customHeight="1" x14ac:dyDescent="0.2">
      <c r="A6" s="224"/>
      <c r="B6" s="24" t="s">
        <v>53</v>
      </c>
      <c r="C6" s="25"/>
      <c r="D6" s="26">
        <v>14208.419921875</v>
      </c>
      <c r="E6" s="26">
        <v>8883.2197265625</v>
      </c>
      <c r="F6" s="26">
        <v>9875.4951171875</v>
      </c>
      <c r="G6" s="26">
        <v>9081.544921875</v>
      </c>
      <c r="H6" s="26">
        <v>8089.27001953125</v>
      </c>
      <c r="I6" s="26">
        <v>11120.625</v>
      </c>
      <c r="J6" s="26">
        <v>11120.625</v>
      </c>
      <c r="K6" s="26">
        <v>10101.955078125</v>
      </c>
      <c r="L6" s="26">
        <v>9213.705078125</v>
      </c>
      <c r="M6" s="26">
        <v>9280.6396484375</v>
      </c>
      <c r="N6" s="26">
        <v>7223.61962890625</v>
      </c>
      <c r="O6" s="23">
        <f t="shared" si="0"/>
        <v>-0.49159585171149756</v>
      </c>
      <c r="P6" s="23">
        <f t="shared" si="1"/>
        <v>-0.35043042734502333</v>
      </c>
    </row>
    <row r="7" spans="1:17" ht="18" customHeight="1" x14ac:dyDescent="0.2">
      <c r="A7" s="224"/>
      <c r="B7" s="24" t="s">
        <v>54</v>
      </c>
      <c r="C7" s="25"/>
      <c r="D7" s="26">
        <v>7496.57275390625</v>
      </c>
      <c r="E7" s="26">
        <v>7642.61865234375</v>
      </c>
      <c r="F7" s="26">
        <v>9776.9794921875</v>
      </c>
      <c r="G7" s="26">
        <v>9154.0185546875</v>
      </c>
      <c r="H7" s="26">
        <v>9349.4169921875</v>
      </c>
      <c r="I7" s="26">
        <v>11582.8134765625</v>
      </c>
      <c r="J7" s="26">
        <v>10948.8837890625</v>
      </c>
      <c r="K7" s="26">
        <v>10653.53125</v>
      </c>
      <c r="L7" s="26">
        <v>10781.927734375</v>
      </c>
      <c r="M7" s="26">
        <v>7171.7607421875</v>
      </c>
      <c r="N7" s="26">
        <v>5015.64111328125</v>
      </c>
      <c r="O7" s="23">
        <f t="shared" si="0"/>
        <v>-0.33094211475934215</v>
      </c>
      <c r="P7" s="23">
        <f t="shared" si="1"/>
        <v>-0.54190388628549735</v>
      </c>
    </row>
    <row r="8" spans="1:17" ht="18" customHeight="1" x14ac:dyDescent="0.2">
      <c r="A8" s="224"/>
      <c r="B8" s="24" t="s">
        <v>55</v>
      </c>
      <c r="C8" s="27"/>
      <c r="D8" s="28">
        <f ca="1">15.5764*OFFSET(D$112,MATCH($N$1,$C$112:$C$113,0)-1,0)</f>
        <v>15.5764</v>
      </c>
      <c r="E8" s="28">
        <f ca="1">15.306768*OFFSET(E$112,MATCH($N$1,$C$112:$C$113,0)-1,0)</f>
        <v>15.306768</v>
      </c>
      <c r="F8" s="28">
        <f ca="1">20.080144*OFFSET(F$112,MATCH($N$1,$C$112:$C$113,0)-1,0)</f>
        <v>20.080144000000001</v>
      </c>
      <c r="G8" s="28">
        <f ca="1">18.554724*OFFSET(G$112,MATCH($N$1,$C$112:$C$113,0)-1,0)</f>
        <v>18.554724</v>
      </c>
      <c r="H8" s="28">
        <f ca="1">16.546521*OFFSET(H$112,MATCH($N$1,$C$112:$C$113,0)-1,0)</f>
        <v>16.546520999999998</v>
      </c>
      <c r="I8" s="28">
        <f ca="1">18.898764*OFFSET(I$112,MATCH($N$1,$C$112:$C$113,0)-1,0)</f>
        <v>18.898764</v>
      </c>
      <c r="J8" s="28">
        <f ca="1">18.609722*OFFSET(J$112,MATCH($N$1,$C$112:$C$113,0)-1,0)</f>
        <v>18.609722000000001</v>
      </c>
      <c r="K8" s="28">
        <f ca="1">19.79661*OFFSET(K$112,MATCH($N$1,$C$112:$C$113,0)-1,0)</f>
        <v>19.796610000000001</v>
      </c>
      <c r="L8" s="28">
        <f ca="1">21.23672*OFFSET(L$112,MATCH($N$1,$C$112:$C$113,0)-1,0)</f>
        <v>21.236719999999998</v>
      </c>
      <c r="M8" s="28">
        <f ca="1">13.58528*OFFSET(M$112,MATCH($N$1,$C$112:$C$113,0)-1,0)</f>
        <v>13.585279999999999</v>
      </c>
      <c r="N8" s="28">
        <v>11.616539</v>
      </c>
      <c r="O8" s="23">
        <f t="shared" ca="1" si="0"/>
        <v>-0.25422183559744227</v>
      </c>
      <c r="P8" s="23">
        <f t="shared" ca="1" si="1"/>
        <v>-0.3757811642753181</v>
      </c>
    </row>
    <row r="9" spans="1:17" ht="18" customHeight="1" x14ac:dyDescent="0.2">
      <c r="A9" s="224"/>
      <c r="B9" s="24" t="s">
        <v>56</v>
      </c>
      <c r="C9" s="27"/>
      <c r="D9" s="26">
        <v>2285</v>
      </c>
      <c r="E9" s="26">
        <v>2066</v>
      </c>
      <c r="F9" s="26">
        <v>2355</v>
      </c>
      <c r="G9" s="26">
        <v>1883</v>
      </c>
      <c r="H9" s="26">
        <v>1735</v>
      </c>
      <c r="I9" s="26">
        <v>2599</v>
      </c>
      <c r="J9" s="26">
        <v>2461</v>
      </c>
      <c r="K9" s="26">
        <v>2298</v>
      </c>
      <c r="L9" s="26">
        <v>2219</v>
      </c>
      <c r="M9" s="26">
        <v>1713</v>
      </c>
      <c r="N9" s="26">
        <v>1683</v>
      </c>
      <c r="O9" s="23">
        <f t="shared" si="0"/>
        <v>-0.26345733041575492</v>
      </c>
      <c r="P9" s="23">
        <f t="shared" si="1"/>
        <v>-0.31613165379926861</v>
      </c>
    </row>
    <row r="10" spans="1:17" ht="18" customHeight="1" x14ac:dyDescent="0.2">
      <c r="A10" s="224"/>
      <c r="B10" s="24" t="s">
        <v>57</v>
      </c>
      <c r="C10" s="27"/>
      <c r="D10" s="26"/>
      <c r="E10" s="26">
        <v>219.10867309570312</v>
      </c>
      <c r="F10" s="26">
        <v>193.42674255371094</v>
      </c>
      <c r="G10" s="26">
        <v>217.80044555664062</v>
      </c>
      <c r="H10" s="26">
        <v>172.5718994140625</v>
      </c>
      <c r="I10" s="26">
        <v>156.40692138671875</v>
      </c>
      <c r="J10" s="26">
        <v>263.24639892578125</v>
      </c>
      <c r="K10" s="26">
        <v>247.14073181152344</v>
      </c>
      <c r="L10" s="26">
        <v>232.21147155761719</v>
      </c>
      <c r="M10" s="26">
        <v>229.68624877929687</v>
      </c>
      <c r="N10" s="26">
        <v>173.92874145507812</v>
      </c>
      <c r="O10" s="29" t="str">
        <f t="shared" si="0"/>
        <v/>
      </c>
      <c r="P10" s="29">
        <f t="shared" si="1"/>
        <v>-0.33929298875569813</v>
      </c>
    </row>
    <row r="11" spans="1:17" ht="18" customHeight="1" x14ac:dyDescent="0.2">
      <c r="A11" s="225" t="s">
        <v>23</v>
      </c>
      <c r="B11" s="30" t="s">
        <v>58</v>
      </c>
      <c r="C11" s="31"/>
      <c r="D11" s="32">
        <v>40.52642822265625</v>
      </c>
      <c r="E11" s="32">
        <v>40.691112518310547</v>
      </c>
      <c r="F11" s="32">
        <v>40.396999359130859</v>
      </c>
      <c r="G11" s="32">
        <v>40.852222442626953</v>
      </c>
      <c r="H11" s="32">
        <v>41.240001678466797</v>
      </c>
      <c r="I11" s="32">
        <v>40.977272033691406</v>
      </c>
      <c r="J11" s="32">
        <v>40.977272033691406</v>
      </c>
      <c r="K11" s="32">
        <v>40.873001098632813</v>
      </c>
      <c r="L11" s="32">
        <v>41.358890533447266</v>
      </c>
      <c r="M11" s="32">
        <v>42.068889617919922</v>
      </c>
      <c r="N11" s="32">
        <v>42.271427154541016</v>
      </c>
      <c r="O11" s="23">
        <f t="shared" si="0"/>
        <v>4.3058295744632782E-2</v>
      </c>
      <c r="P11" s="23">
        <f t="shared" si="1"/>
        <v>3.1582266378922405E-2</v>
      </c>
    </row>
    <row r="12" spans="1:17" ht="18" customHeight="1" x14ac:dyDescent="0.2">
      <c r="A12" s="226"/>
      <c r="B12" s="33" t="s">
        <v>51</v>
      </c>
      <c r="C12" s="25"/>
      <c r="D12" s="26">
        <v>1469.142822265625</v>
      </c>
      <c r="E12" s="26">
        <v>1407.6666259765625</v>
      </c>
      <c r="F12" s="26">
        <v>1416.0999755859375</v>
      </c>
      <c r="G12" s="26">
        <v>1449.111083984375</v>
      </c>
      <c r="H12" s="26">
        <v>1443.75</v>
      </c>
      <c r="I12" s="26">
        <v>1454.9090576171875</v>
      </c>
      <c r="J12" s="26">
        <v>1454.9090576171875</v>
      </c>
      <c r="K12" s="26">
        <v>1453.4000244140625</v>
      </c>
      <c r="L12" s="26">
        <v>1467.6666259765625</v>
      </c>
      <c r="M12" s="26">
        <v>1465.3333740234375</v>
      </c>
      <c r="N12" s="26">
        <v>1460.857177734375</v>
      </c>
      <c r="O12" s="23">
        <f t="shared" si="0"/>
        <v>-5.6397815145517102E-3</v>
      </c>
      <c r="P12" s="23">
        <f t="shared" si="1"/>
        <v>4.0883105964912873E-3</v>
      </c>
    </row>
    <row r="13" spans="1:17" ht="18" customHeight="1" x14ac:dyDescent="0.2">
      <c r="A13" s="226"/>
      <c r="B13" s="33" t="s">
        <v>52</v>
      </c>
      <c r="C13" s="25"/>
      <c r="D13" s="26">
        <v>426.21429443359375</v>
      </c>
      <c r="E13" s="26">
        <v>435.77777099609375</v>
      </c>
      <c r="F13" s="26">
        <v>429.5</v>
      </c>
      <c r="G13" s="26">
        <v>443.5555419921875</v>
      </c>
      <c r="H13" s="26">
        <v>452.375</v>
      </c>
      <c r="I13" s="26">
        <v>448.3636474609375</v>
      </c>
      <c r="J13" s="26">
        <v>448.3636474609375</v>
      </c>
      <c r="K13" s="26">
        <v>454.20001220703125</v>
      </c>
      <c r="L13" s="26">
        <v>470</v>
      </c>
      <c r="M13" s="26">
        <v>490.33334350585937</v>
      </c>
      <c r="N13" s="26">
        <v>499.28570556640625</v>
      </c>
      <c r="O13" s="23">
        <f t="shared" si="0"/>
        <v>0.17144289172637633</v>
      </c>
      <c r="P13" s="23">
        <f t="shared" si="1"/>
        <v>0.11357311948423561</v>
      </c>
    </row>
    <row r="14" spans="1:17" ht="18" customHeight="1" x14ac:dyDescent="0.2">
      <c r="A14" s="226"/>
      <c r="B14" s="33" t="s">
        <v>53</v>
      </c>
      <c r="C14" s="25"/>
      <c r="D14" s="26">
        <v>1014.8871459960937</v>
      </c>
      <c r="E14" s="26">
        <v>987.0244140625</v>
      </c>
      <c r="F14" s="26">
        <v>987.54949951171875</v>
      </c>
      <c r="G14" s="26">
        <v>1009.060546875</v>
      </c>
      <c r="H14" s="26">
        <v>1011.1587524414062</v>
      </c>
      <c r="I14" s="26">
        <v>1010.9658813476562</v>
      </c>
      <c r="J14" s="26">
        <v>1010.9658813476562</v>
      </c>
      <c r="K14" s="26">
        <v>1010.1954956054687</v>
      </c>
      <c r="L14" s="26">
        <v>1023.7449951171875</v>
      </c>
      <c r="M14" s="26">
        <v>1031.1822509765625</v>
      </c>
      <c r="N14" s="26">
        <v>1031.9456787109375</v>
      </c>
      <c r="O14" s="23">
        <f t="shared" si="0"/>
        <v>1.680830502400452E-2</v>
      </c>
      <c r="P14" s="23">
        <f t="shared" si="1"/>
        <v>2.0752230861949938E-2</v>
      </c>
    </row>
    <row r="15" spans="1:17" ht="18" customHeight="1" x14ac:dyDescent="0.2">
      <c r="A15" s="226"/>
      <c r="B15" s="33" t="s">
        <v>54</v>
      </c>
      <c r="C15" s="27"/>
      <c r="D15" s="28">
        <v>535.469482421875</v>
      </c>
      <c r="E15" s="28">
        <v>849.17987060546875</v>
      </c>
      <c r="F15" s="28">
        <v>977.69793701171875</v>
      </c>
      <c r="G15" s="28">
        <v>1017.1131591796875</v>
      </c>
      <c r="H15" s="28">
        <v>1168.6771240234375</v>
      </c>
      <c r="I15" s="28">
        <v>1052.9830322265625</v>
      </c>
      <c r="J15" s="28">
        <v>995.35308837890625</v>
      </c>
      <c r="K15" s="28">
        <v>1065.3531494140625</v>
      </c>
      <c r="L15" s="28">
        <v>1197.9920654296875</v>
      </c>
      <c r="M15" s="28">
        <v>796.8623046875</v>
      </c>
      <c r="N15" s="28">
        <v>716.5201416015625</v>
      </c>
      <c r="O15" s="23">
        <f t="shared" si="0"/>
        <v>0.33811573791435029</v>
      </c>
      <c r="P15" s="23">
        <f t="shared" si="1"/>
        <v>-0.28013470800745532</v>
      </c>
    </row>
    <row r="16" spans="1:17" ht="18" customHeight="1" x14ac:dyDescent="0.2">
      <c r="A16" s="226"/>
      <c r="B16" s="33" t="s">
        <v>59</v>
      </c>
      <c r="C16" s="27"/>
      <c r="D16" s="28">
        <f ca="1">1112.6*OFFSET(D$112,MATCH($N$1,$C$112:$C$113,0)-1,0)</f>
        <v>1112.5999999999999</v>
      </c>
      <c r="E16" s="28">
        <f ca="1">1700.752*OFFSET(E$112,MATCH($N$1,$C$112:$C$113,0)-1,0)</f>
        <v>1700.752</v>
      </c>
      <c r="F16" s="28">
        <f ca="1">2008.0145*OFFSET(F$112,MATCH($N$1,$C$112:$C$113,0)-1,0)</f>
        <v>2008.0145</v>
      </c>
      <c r="G16" s="28">
        <f ca="1">2061.636*OFFSET(G$112,MATCH($N$1,$C$112:$C$113,0)-1,0)</f>
        <v>2061.636</v>
      </c>
      <c r="H16" s="28">
        <f ca="1">2068.315125*OFFSET(H$112,MATCH($N$1,$C$112:$C$113,0)-1,0)</f>
        <v>2068.3151250000001</v>
      </c>
      <c r="I16" s="28">
        <f ca="1">1718.069375*OFFSET(I$112,MATCH($N$1,$C$112:$C$113,0)-1,0)</f>
        <v>1718.069375</v>
      </c>
      <c r="J16" s="28">
        <f ca="1">1691.792875*OFFSET(J$112,MATCH($N$1,$C$112:$C$113,0)-1,0)</f>
        <v>1691.7928750000001</v>
      </c>
      <c r="K16" s="28">
        <f ca="1">1979.660875*OFFSET(K$112,MATCH($N$1,$C$112:$C$113,0)-1,0)</f>
        <v>1979.660875</v>
      </c>
      <c r="L16" s="28">
        <f ca="1">2359.6355*OFFSET(L$112,MATCH($N$1,$C$112:$C$113,0)-1,0)</f>
        <v>2359.6354999999999</v>
      </c>
      <c r="M16" s="28">
        <f ca="1">1509.4755*OFFSET(M$112,MATCH($N$1,$C$112:$C$113,0)-1,0)</f>
        <v>1509.4755</v>
      </c>
      <c r="N16" s="28">
        <v>1659.5055</v>
      </c>
      <c r="O16" s="23">
        <f t="shared" ca="1" si="0"/>
        <v>0.49155626460542884</v>
      </c>
      <c r="P16" s="23">
        <f t="shared" ca="1" si="1"/>
        <v>-1.9084709172805865E-2</v>
      </c>
    </row>
    <row r="17" spans="1:16" ht="18" customHeight="1" x14ac:dyDescent="0.2">
      <c r="A17" s="226"/>
      <c r="B17" s="33" t="s">
        <v>56</v>
      </c>
      <c r="C17" s="25"/>
      <c r="D17" s="26">
        <v>163.21427917480469</v>
      </c>
      <c r="E17" s="26">
        <v>229.55555725097656</v>
      </c>
      <c r="F17" s="26">
        <v>235.5</v>
      </c>
      <c r="G17" s="26">
        <v>209.22222900390625</v>
      </c>
      <c r="H17" s="26">
        <v>216.875</v>
      </c>
      <c r="I17" s="26">
        <v>236.27272033691406</v>
      </c>
      <c r="J17" s="26">
        <v>223.72727966308594</v>
      </c>
      <c r="K17" s="26">
        <v>229.80000305175781</v>
      </c>
      <c r="L17" s="26">
        <v>246.55555725097656</v>
      </c>
      <c r="M17" s="26">
        <v>190.33332824707031</v>
      </c>
      <c r="N17" s="26">
        <v>240.42857360839844</v>
      </c>
      <c r="O17" s="23">
        <f t="shared" si="0"/>
        <v>0.47308541154598494</v>
      </c>
      <c r="P17" s="23">
        <f t="shared" si="1"/>
        <v>7.4650234743224936E-2</v>
      </c>
    </row>
    <row r="18" spans="1:16" ht="18" customHeight="1" x14ac:dyDescent="0.2">
      <c r="A18" s="226"/>
      <c r="B18" s="33" t="s">
        <v>60</v>
      </c>
      <c r="C18" s="25"/>
      <c r="D18" s="26">
        <v>21.285715103149414</v>
      </c>
      <c r="E18" s="26">
        <v>20.55555534362793</v>
      </c>
      <c r="F18" s="26">
        <v>21.700000762939453</v>
      </c>
      <c r="G18" s="26">
        <v>21.888889312744141</v>
      </c>
      <c r="H18" s="26">
        <v>22.625</v>
      </c>
      <c r="I18" s="26">
        <v>21.909090042114258</v>
      </c>
      <c r="J18" s="26">
        <v>22.909090042114258</v>
      </c>
      <c r="K18" s="26">
        <v>24.600000381469727</v>
      </c>
      <c r="L18" s="26">
        <v>25.111110687255859</v>
      </c>
      <c r="M18" s="26">
        <v>25.44444465637207</v>
      </c>
      <c r="N18" s="26">
        <v>27</v>
      </c>
      <c r="O18" s="23">
        <f t="shared" si="0"/>
        <v>0.26845632712640721</v>
      </c>
      <c r="P18" s="23">
        <f t="shared" si="1"/>
        <v>0.17857147317354541</v>
      </c>
    </row>
    <row r="19" spans="1:16" ht="18" customHeight="1" x14ac:dyDescent="0.2">
      <c r="A19" s="226"/>
      <c r="B19" s="33" t="s">
        <v>61</v>
      </c>
      <c r="C19" s="25"/>
      <c r="D19" s="34">
        <v>3.2807760238647461</v>
      </c>
      <c r="E19" s="34">
        <v>3.6992347240447998</v>
      </c>
      <c r="F19" s="34">
        <v>4.1515836715698242</v>
      </c>
      <c r="G19" s="34">
        <v>4.8614010810852051</v>
      </c>
      <c r="H19" s="34">
        <v>5.3887128829956055</v>
      </c>
      <c r="I19" s="34">
        <v>4.4566426277160645</v>
      </c>
      <c r="J19" s="34">
        <v>4.4489569664001465</v>
      </c>
      <c r="K19" s="34">
        <v>4.6360015869140625</v>
      </c>
      <c r="L19" s="34">
        <v>4.8589134216308594</v>
      </c>
      <c r="M19" s="34">
        <v>4.1866674423217773</v>
      </c>
      <c r="N19" s="34">
        <v>2.9801788330078125</v>
      </c>
      <c r="O19" s="23">
        <f t="shared" si="0"/>
        <v>-9.1623807498699902E-2</v>
      </c>
      <c r="P19" s="23">
        <f t="shared" si="1"/>
        <v>-0.33013988323217908</v>
      </c>
    </row>
    <row r="20" spans="1:16" ht="18" customHeight="1" x14ac:dyDescent="0.2">
      <c r="A20" s="227"/>
      <c r="B20" s="35" t="s">
        <v>24</v>
      </c>
      <c r="C20" s="36"/>
      <c r="D20" s="37">
        <f ca="1">2078*OFFSET(D$112,MATCH($N$1,$C$112:$C$113,0)-1,0)</f>
        <v>2078</v>
      </c>
      <c r="E20" s="37">
        <f ca="1">2003*OFFSET(E$112,MATCH($N$1,$C$112:$C$113,0)-1,0)</f>
        <v>2003</v>
      </c>
      <c r="F20" s="37">
        <f ca="1">2054*OFFSET(F$112,MATCH($N$1,$C$112:$C$113,0)-1,0)</f>
        <v>2054</v>
      </c>
      <c r="G20" s="37">
        <f ca="1">2027*OFFSET(G$112,MATCH($N$1,$C$112:$C$113,0)-1,0)</f>
        <v>2027</v>
      </c>
      <c r="H20" s="37">
        <f ca="1">1770*OFFSET(H$112,MATCH($N$1,$C$112:$C$113,0)-1,0)</f>
        <v>1770</v>
      </c>
      <c r="I20" s="37">
        <f ca="1">1632*OFFSET(I$112,MATCH($N$1,$C$112:$C$113,0)-1,0)</f>
        <v>1632</v>
      </c>
      <c r="J20" s="37">
        <f ca="1">1700*OFFSET(J$112,MATCH($N$1,$C$112:$C$113,0)-1,0)</f>
        <v>1700</v>
      </c>
      <c r="K20" s="37">
        <f ca="1">1858*OFFSET(K$112,MATCH($N$1,$C$112:$C$113,0)-1,0)</f>
        <v>1858</v>
      </c>
      <c r="L20" s="37">
        <f ca="1">1970*OFFSET(L$112,MATCH($N$1,$C$112:$C$113,0)-1,0)</f>
        <v>1970</v>
      </c>
      <c r="M20" s="37">
        <f ca="1">1894*OFFSET(M$112,MATCH($N$1,$C$112:$C$113,0)-1,0)</f>
        <v>1894</v>
      </c>
      <c r="N20" s="37">
        <v>2316</v>
      </c>
      <c r="O20" s="29">
        <f t="shared" ca="1" si="0"/>
        <v>0.11453320500481232</v>
      </c>
      <c r="P20" s="29">
        <f t="shared" ca="1" si="1"/>
        <v>0.3623529411764706</v>
      </c>
    </row>
    <row r="21" spans="1:16" ht="18" customHeight="1" x14ac:dyDescent="0.2">
      <c r="A21" s="228" t="s">
        <v>25</v>
      </c>
      <c r="B21" s="30" t="s">
        <v>62</v>
      </c>
      <c r="C21" s="38"/>
      <c r="D21" s="39">
        <v>2.3238918180675254</v>
      </c>
      <c r="E21" s="39">
        <v>2.6305645870565071</v>
      </c>
      <c r="F21" s="39">
        <v>2.9324405182709454</v>
      </c>
      <c r="G21" s="39">
        <v>3.3281555950026775</v>
      </c>
      <c r="H21" s="39">
        <v>3.6989979213846667</v>
      </c>
      <c r="I21" s="39">
        <v>3.0654884837860195</v>
      </c>
      <c r="J21" s="39">
        <v>3.0560596484096374</v>
      </c>
      <c r="K21" s="39">
        <v>3.1873325317702004</v>
      </c>
      <c r="L21" s="39">
        <v>3.3147402027274158</v>
      </c>
      <c r="M21" s="39">
        <v>2.8714850070622764</v>
      </c>
      <c r="N21" s="39">
        <v>2.0381493835144768</v>
      </c>
      <c r="O21" s="23">
        <f t="shared" si="0"/>
        <v>-0.12295857850674947</v>
      </c>
      <c r="P21" s="23">
        <f t="shared" si="1"/>
        <v>-0.33307931846974176</v>
      </c>
    </row>
    <row r="22" spans="1:16" ht="18" customHeight="1" x14ac:dyDescent="0.2">
      <c r="A22" s="228"/>
      <c r="B22" s="33" t="s">
        <v>63</v>
      </c>
      <c r="C22" s="25"/>
      <c r="D22" s="34">
        <f ca="1">4.8285889703512*OFFSET(D$112,MATCH($N$1,$C$112:$C$113,0)-1,0)</f>
        <v>4.8285889703512002</v>
      </c>
      <c r="E22" s="34">
        <f ca="1">5.26853984347932*OFFSET(E$112,MATCH($N$1,$C$112:$C$113,0)-1,0)</f>
        <v>5.2685398434793198</v>
      </c>
      <c r="F22" s="34">
        <f ca="1">6.02270175497465*OFFSET(F$112,MATCH($N$1,$C$112:$C$113,0)-1,0)</f>
        <v>6.0227017549746504</v>
      </c>
      <c r="G22" s="34">
        <f ca="1">6.74600001615628*OFFSET(G$112,MATCH($N$1,$C$112:$C$113,0)-1,0)</f>
        <v>6.7460000161562803</v>
      </c>
      <c r="H22" s="34">
        <f ca="1">6.54645598076243*OFFSET(H$112,MATCH($N$1,$C$112:$C$113,0)-1,0)</f>
        <v>6.5464559807624303</v>
      </c>
      <c r="I22" s="34">
        <f ca="1">5.00171581328458*OFFSET(I$112,MATCH($N$1,$C$112:$C$113,0)-1,0)</f>
        <v>5.00171581328458</v>
      </c>
      <c r="J22" s="34">
        <f ca="1">5.19435765972753*OFFSET(J$112,MATCH($N$1,$C$112:$C$113,0)-1,0)</f>
        <v>5.1943576597275296</v>
      </c>
      <c r="K22" s="34">
        <f ca="1">5.92276609144163*OFFSET(K$112,MATCH($N$1,$C$112:$C$113,0)-1,0)</f>
        <v>5.9227660914416296</v>
      </c>
      <c r="L22" s="34">
        <f ca="1">6.52890689457732*OFFSET(L$112,MATCH($N$1,$C$112:$C$113,0)-1,0)</f>
        <v>6.5289068945773199</v>
      </c>
      <c r="M22" s="34">
        <f ca="1">5.43937922685104*OFFSET(M$112,MATCH($N$1,$C$112:$C$113,0)-1,0)</f>
        <v>5.4393792268510399</v>
      </c>
      <c r="N22" s="34">
        <v>4.7204815543687824</v>
      </c>
      <c r="O22" s="23">
        <f t="shared" ca="1" si="0"/>
        <v>-2.2389028481451956E-2</v>
      </c>
      <c r="P22" s="23">
        <f t="shared" ca="1" si="1"/>
        <v>-9.1229009706583139E-2</v>
      </c>
    </row>
    <row r="23" spans="1:16" ht="18" customHeight="1" x14ac:dyDescent="0.2">
      <c r="A23" s="228"/>
      <c r="B23" s="33" t="s">
        <v>11</v>
      </c>
      <c r="C23" s="25"/>
      <c r="D23" s="34">
        <f ca="1">5.02935356328009*OFFSET(D$112,MATCH($N$1,$C$112:$C$113,0)-1,0)</f>
        <v>5.0293535632800896</v>
      </c>
      <c r="E23" s="34">
        <f ca="1">4.42365107087516*OFFSET(E$112,MATCH($N$1,$C$112:$C$113,0)-1,0)</f>
        <v>4.4236510708751604</v>
      </c>
      <c r="F23" s="34">
        <f ca="1">5.60570449887117*OFFSET(F$112,MATCH($N$1,$C$112:$C$113,0)-1,0)</f>
        <v>5.6057044988711704</v>
      </c>
      <c r="G23" s="34">
        <f ca="1">6.35898856573567*OFFSET(G$112,MATCH($N$1,$C$112:$C$113,0)-1,0)</f>
        <v>6.35898856573567</v>
      </c>
      <c r="H23" s="34">
        <f ca="1">6.55322799545034*OFFSET(H$112,MATCH($N$1,$C$112:$C$113,0)-1,0)</f>
        <v>6.5532279954503396</v>
      </c>
      <c r="I23" s="34">
        <f ca="1">5.3419349884169*OFFSET(I$112,MATCH($N$1,$C$112:$C$113,0)-1,0)</f>
        <v>5.3419349884168996</v>
      </c>
      <c r="J23" s="34">
        <f ca="1">5.31809002987284*OFFSET(J$112,MATCH($N$1,$C$112:$C$113,0)-1,0)</f>
        <v>5.31809002987284</v>
      </c>
      <c r="K23" s="34">
        <f ca="1">6.1707114355952*OFFSET(K$112,MATCH($N$1,$C$112:$C$113,0)-1,0)</f>
        <v>6.1707114355951997</v>
      </c>
      <c r="L23" s="34">
        <f ca="1">5.82777242728617*OFFSET(L$112,MATCH($N$1,$C$112:$C$113,0)-1,0)</f>
        <v>5.8277724272861704</v>
      </c>
      <c r="M23" s="34">
        <f ca="1">5.768909875246*OFFSET(M$112,MATCH($N$1,$C$112:$C$113,0)-1,0)</f>
        <v>5.768909875246</v>
      </c>
      <c r="N23" s="34">
        <v>5.1807323098419991</v>
      </c>
      <c r="O23" s="23">
        <f t="shared" ca="1" si="0"/>
        <v>3.0099046459398621E-2</v>
      </c>
      <c r="P23" s="23">
        <f t="shared" ca="1" si="1"/>
        <v>-2.5828393137249172E-2</v>
      </c>
    </row>
    <row r="24" spans="1:16" ht="18" customHeight="1" x14ac:dyDescent="0.2">
      <c r="A24" s="228"/>
      <c r="B24" s="33" t="s">
        <v>12</v>
      </c>
      <c r="C24" s="25"/>
      <c r="D24" s="34">
        <f ca="1">-0.0470364944095797*OFFSET(D$112,MATCH($N$1,$C$112:$C$113,0)-1,0)</f>
        <v>-4.7036494409579702E-2</v>
      </c>
      <c r="E24" s="34">
        <f ca="1">1.01262360952444*OFFSET(E$112,MATCH($N$1,$C$112:$C$113,0)-1,0)</f>
        <v>1.0126236095244401</v>
      </c>
      <c r="F24" s="34">
        <f ca="1">0.434748271236699*OFFSET(F$112,MATCH($N$1,$C$112:$C$113,0)-1,0)</f>
        <v>0.43474827123669901</v>
      </c>
      <c r="G24" s="34">
        <f ca="1">0.406894279724775*OFFSET(G$112,MATCH($N$1,$C$112:$C$113,0)-1,0)</f>
        <v>0.40689427972477499</v>
      </c>
      <c r="H24" s="34">
        <f ca="1">0.0125226893025827*OFFSET(H$112,MATCH($N$1,$C$112:$C$113,0)-1,0)</f>
        <v>1.25226893025827E-2</v>
      </c>
      <c r="I24" s="34">
        <f ca="1">-0.27291106555826*OFFSET(I$112,MATCH($N$1,$C$112:$C$113,0)-1,0)</f>
        <v>-0.27291106555826</v>
      </c>
      <c r="J24" s="34">
        <f ca="1">-0.102214010536212*OFFSET(J$112,MATCH($N$1,$C$112:$C$113,0)-1,0)</f>
        <v>-0.102214010536212</v>
      </c>
      <c r="K24" s="34">
        <f ca="1">-0.246275338747509*OFFSET(K$112,MATCH($N$1,$C$112:$C$113,0)-1,0)</f>
        <v>-0.24627533874750901</v>
      </c>
      <c r="L24" s="34">
        <f ca="1">0.702553273024999*OFFSET(L$112,MATCH($N$1,$C$112:$C$113,0)-1,0)</f>
        <v>0.70255327302499904</v>
      </c>
      <c r="M24" s="34">
        <f ca="1">-0.327996940637351*OFFSET(M$112,MATCH($N$1,$C$112:$C$113,0)-1,0)</f>
        <v>-0.32799694063735102</v>
      </c>
      <c r="N24" s="34">
        <v>-0.45891975074617297</v>
      </c>
      <c r="O24" s="23">
        <f t="shared" ca="1" si="0"/>
        <v>-8.7566741847306329</v>
      </c>
      <c r="P24" s="23">
        <f t="shared" ca="1" si="1"/>
        <v>-3.4897930170109959</v>
      </c>
    </row>
    <row r="25" spans="1:16" ht="18" customHeight="1" x14ac:dyDescent="0.2">
      <c r="A25" s="228"/>
      <c r="B25" s="33" t="s">
        <v>64</v>
      </c>
      <c r="C25" s="25"/>
      <c r="D25" s="28"/>
      <c r="E25" s="28">
        <f ca="1">69.86*OFFSET(E$112,MATCH($N$1,$C$112:$C$113,0)-1,0)</f>
        <v>69.86</v>
      </c>
      <c r="F25" s="28">
        <f ca="1">103.81*OFFSET(F$112,MATCH($N$1,$C$112:$C$113,0)-1,0)</f>
        <v>103.81</v>
      </c>
      <c r="G25" s="28">
        <f ca="1">85.19*OFFSET(G$112,MATCH($N$1,$C$112:$C$113,0)-1,0)</f>
        <v>85.19</v>
      </c>
      <c r="H25" s="28">
        <f ca="1">95.88*OFFSET(H$112,MATCH($N$1,$C$112:$C$113,0)-1,0)</f>
        <v>95.88</v>
      </c>
      <c r="I25" s="28">
        <f ca="1">120.83*OFFSET(I$112,MATCH($N$1,$C$112:$C$113,0)-1,0)</f>
        <v>120.83</v>
      </c>
      <c r="J25" s="28">
        <f ca="1">70.69*OFFSET(J$112,MATCH($N$1,$C$112:$C$113,0)-1,0)</f>
        <v>70.69</v>
      </c>
      <c r="K25" s="28">
        <f ca="1">80.1*OFFSET(K$112,MATCH($N$1,$C$112:$C$113,0)-1,0)</f>
        <v>80.099999999999994</v>
      </c>
      <c r="L25" s="28">
        <f ca="1">91.45*OFFSET(L$112,MATCH($N$1,$C$112:$C$113,0)-1,0)</f>
        <v>91.45</v>
      </c>
      <c r="M25" s="28">
        <f ca="1">59.15*OFFSET(M$112,MATCH($N$1,$C$112:$C$113,0)-1,0)</f>
        <v>59.15</v>
      </c>
      <c r="N25" s="28">
        <v>66.790000000000006</v>
      </c>
      <c r="O25" s="23" t="str">
        <f t="shared" si="0"/>
        <v/>
      </c>
      <c r="P25" s="23">
        <f t="shared" ca="1" si="1"/>
        <v>-5.5170462583109231E-2</v>
      </c>
    </row>
    <row r="26" spans="1:16" ht="18" customHeight="1" x14ac:dyDescent="0.2">
      <c r="A26" s="229"/>
      <c r="B26" s="33" t="s">
        <v>65</v>
      </c>
      <c r="C26" s="40"/>
      <c r="D26" s="28"/>
      <c r="E26" s="28">
        <f ca="1">13.43*OFFSET(E$112,MATCH($N$1,$C$112:$C$113,0)-1,0)</f>
        <v>13.43</v>
      </c>
      <c r="F26" s="28">
        <f ca="1">7.49*OFFSET(F$112,MATCH($N$1,$C$112:$C$113,0)-1,0)</f>
        <v>7.49</v>
      </c>
      <c r="G26" s="28">
        <f ca="1">5.14*OFFSET(G$112,MATCH($N$1,$C$112:$C$113,0)-1,0)</f>
        <v>5.14</v>
      </c>
      <c r="H26" s="28">
        <f ca="1">0.19*OFFSET(H$112,MATCH($N$1,$C$112:$C$113,0)-1,0)</f>
        <v>0.19</v>
      </c>
      <c r="I26" s="28">
        <f ca="1">-6.59*OFFSET(I$112,MATCH($N$1,$C$112:$C$113,0)-1,0)</f>
        <v>-6.59</v>
      </c>
      <c r="J26" s="28">
        <f ca="1">-1.39*OFFSET(J$112,MATCH($N$1,$C$112:$C$113,0)-1,0)</f>
        <v>-1.39</v>
      </c>
      <c r="K26" s="28">
        <f ca="1">-3.33*OFFSET(K$112,MATCH($N$1,$C$112:$C$113,0)-1,0)</f>
        <v>-3.33</v>
      </c>
      <c r="L26" s="28">
        <f ca="1">9.84*OFFSET(L$112,MATCH($N$1,$C$112:$C$113,0)-1,0)</f>
        <v>9.84</v>
      </c>
      <c r="M26" s="28">
        <f ca="1">-3.57*OFFSET(M$112,MATCH($N$1,$C$112:$C$113,0)-1,0)</f>
        <v>-3.57</v>
      </c>
      <c r="N26" s="28">
        <v>-6.49</v>
      </c>
      <c r="O26" s="29" t="str">
        <f t="shared" si="0"/>
        <v/>
      </c>
      <c r="P26" s="29">
        <f t="shared" ca="1" si="1"/>
        <v>-3.6690647482014396</v>
      </c>
    </row>
    <row r="27" spans="1:16" ht="18" customHeight="1" x14ac:dyDescent="0.2">
      <c r="A27" s="230" t="s">
        <v>26</v>
      </c>
      <c r="B27" s="30" t="s">
        <v>59</v>
      </c>
      <c r="C27" s="31"/>
      <c r="D27" s="32">
        <f ca="1">1112.6*OFFSET(D$112,MATCH($N$1,$C$112:$C$113,0)-1,0)</f>
        <v>1112.5999999999999</v>
      </c>
      <c r="E27" s="32">
        <f ca="1">1700.8*OFFSET(E$112,MATCH($N$1,$C$112:$C$113,0)-1,0)</f>
        <v>1700.8</v>
      </c>
      <c r="F27" s="32">
        <f ca="1">2008*OFFSET(F$112,MATCH($N$1,$C$112:$C$113,0)-1,0)</f>
        <v>2008</v>
      </c>
      <c r="G27" s="32">
        <f ca="1">2061.6*OFFSET(G$112,MATCH($N$1,$C$112:$C$113,0)-1,0)</f>
        <v>2061.6</v>
      </c>
      <c r="H27" s="32">
        <f ca="1">2068.3*OFFSET(H$112,MATCH($N$1,$C$112:$C$113,0)-1,0)</f>
        <v>2068.3000000000002</v>
      </c>
      <c r="I27" s="32">
        <f ca="1">1718.1*OFFSET(I$112,MATCH($N$1,$C$112:$C$113,0)-1,0)</f>
        <v>1718.1</v>
      </c>
      <c r="J27" s="32">
        <f ca="1">1691.8*OFFSET(J$112,MATCH($N$1,$C$112:$C$113,0)-1,0)</f>
        <v>1691.8</v>
      </c>
      <c r="K27" s="32">
        <f ca="1">1979.7*OFFSET(K$112,MATCH($N$1,$C$112:$C$113,0)-1,0)</f>
        <v>1979.7</v>
      </c>
      <c r="L27" s="32">
        <f ca="1">2359.6*OFFSET(L$112,MATCH($N$1,$C$112:$C$113,0)-1,0)</f>
        <v>2359.6</v>
      </c>
      <c r="M27" s="32">
        <f ca="1">1509.5*OFFSET(M$112,MATCH($N$1,$C$112:$C$113,0)-1,0)</f>
        <v>1509.5</v>
      </c>
      <c r="N27" s="32">
        <v>1659.5</v>
      </c>
      <c r="O27" s="23">
        <f t="shared" ca="1" si="0"/>
        <v>0.49155132122955253</v>
      </c>
      <c r="P27" s="23">
        <f t="shared" ca="1" si="1"/>
        <v>-1.9092091263742735E-2</v>
      </c>
    </row>
    <row r="28" spans="1:16" ht="18" customHeight="1" x14ac:dyDescent="0.2">
      <c r="A28" s="231"/>
      <c r="B28" s="33" t="s">
        <v>66</v>
      </c>
      <c r="C28" s="27"/>
      <c r="D28" s="28">
        <f ca="1">35.4*OFFSET(D$112,MATCH($N$1,$C$112:$C$113,0)-1,0)</f>
        <v>35.4</v>
      </c>
      <c r="E28" s="28">
        <f ca="1">54.1*OFFSET(E$112,MATCH($N$1,$C$112:$C$113,0)-1,0)</f>
        <v>54.1</v>
      </c>
      <c r="F28" s="28">
        <f ca="1">5.9*OFFSET(F$112,MATCH($N$1,$C$112:$C$113,0)-1,0)</f>
        <v>5.9</v>
      </c>
      <c r="G28" s="28">
        <f ca="1">6.1*OFFSET(G$112,MATCH($N$1,$C$112:$C$113,0)-1,0)</f>
        <v>6.1</v>
      </c>
      <c r="H28" s="28">
        <f ca="1">6.1*OFFSET(H$112,MATCH($N$1,$C$112:$C$113,0)-1,0)</f>
        <v>6.1</v>
      </c>
      <c r="I28" s="28">
        <f ca="1">23.1*OFFSET(I$112,MATCH($N$1,$C$112:$C$113,0)-1,0)</f>
        <v>23.1</v>
      </c>
      <c r="J28" s="28">
        <f ca="1">7*OFFSET(J$112,MATCH($N$1,$C$112:$C$113,0)-1,0)</f>
        <v>7</v>
      </c>
      <c r="K28" s="28">
        <f ca="1">0.6*OFFSET(K$112,MATCH($N$1,$C$112:$C$113,0)-1,0)</f>
        <v>0.6</v>
      </c>
      <c r="L28" s="28">
        <f ca="1">0.5*OFFSET(L$112,MATCH($N$1,$C$112:$C$113,0)-1,0)</f>
        <v>0.5</v>
      </c>
      <c r="M28" s="28">
        <f ca="1">0.4*OFFSET(M$112,MATCH($N$1,$C$112:$C$113,0)-1,0)</f>
        <v>0.4</v>
      </c>
      <c r="N28" s="28">
        <v>0.5</v>
      </c>
      <c r="O28" s="23">
        <f t="shared" ca="1" si="0"/>
        <v>-0.98587570621468923</v>
      </c>
      <c r="P28" s="23">
        <f t="shared" ca="1" si="1"/>
        <v>-0.9285714285714286</v>
      </c>
    </row>
    <row r="29" spans="1:16" ht="18" customHeight="1" x14ac:dyDescent="0.2">
      <c r="A29" s="231"/>
      <c r="B29" s="41" t="s">
        <v>67</v>
      </c>
      <c r="C29" s="42"/>
      <c r="D29" s="43">
        <f ca="1">1148*OFFSET(D$112,MATCH($N$1,$C$112:$C$113,0)-1,0)</f>
        <v>1148</v>
      </c>
      <c r="E29" s="43">
        <f ca="1">1754.9*OFFSET(E$112,MATCH($N$1,$C$112:$C$113,0)-1,0)</f>
        <v>1754.9</v>
      </c>
      <c r="F29" s="43">
        <f ca="1">2013.9*OFFSET(F$112,MATCH($N$1,$C$112:$C$113,0)-1,0)</f>
        <v>2013.9</v>
      </c>
      <c r="G29" s="43">
        <f ca="1">2067.7*OFFSET(G$112,MATCH($N$1,$C$112:$C$113,0)-1,0)</f>
        <v>2067.6999999999998</v>
      </c>
      <c r="H29" s="43">
        <f ca="1">2074.4*OFFSET(H$112,MATCH($N$1,$C$112:$C$113,0)-1,0)</f>
        <v>2074.4</v>
      </c>
      <c r="I29" s="43">
        <f ca="1">1741.2*OFFSET(I$112,MATCH($N$1,$C$112:$C$113,0)-1,0)</f>
        <v>1741.2</v>
      </c>
      <c r="J29" s="43">
        <f ca="1">1698.8*OFFSET(J$112,MATCH($N$1,$C$112:$C$113,0)-1,0)</f>
        <v>1698.8</v>
      </c>
      <c r="K29" s="43">
        <f ca="1">1980.2*OFFSET(K$112,MATCH($N$1,$C$112:$C$113,0)-1,0)</f>
        <v>1980.2</v>
      </c>
      <c r="L29" s="43">
        <f ca="1">2360.1*OFFSET(L$112,MATCH($N$1,$C$112:$C$113,0)-1,0)</f>
        <v>2360.1</v>
      </c>
      <c r="M29" s="43">
        <f ca="1">1509.9*OFFSET(M$112,MATCH($N$1,$C$112:$C$113,0)-1,0)</f>
        <v>1509.9</v>
      </c>
      <c r="N29" s="43">
        <v>1660</v>
      </c>
      <c r="O29" s="23">
        <f t="shared" ca="1" si="0"/>
        <v>0.44599303135888502</v>
      </c>
      <c r="P29" s="23">
        <f t="shared" ca="1" si="1"/>
        <v>-2.283965151871907E-2</v>
      </c>
    </row>
    <row r="30" spans="1:16" ht="18" customHeight="1" x14ac:dyDescent="0.2">
      <c r="A30" s="231"/>
      <c r="B30" s="33" t="s">
        <v>68</v>
      </c>
      <c r="C30" s="27"/>
      <c r="D30" s="28">
        <f ca="1">547.3*OFFSET(D$112,MATCH($N$1,$C$112:$C$113,0)-1,0)</f>
        <v>547.29999999999995</v>
      </c>
      <c r="E30" s="28">
        <f ca="1">532.1*OFFSET(E$112,MATCH($N$1,$C$112:$C$113,0)-1,0)</f>
        <v>532.1</v>
      </c>
      <c r="F30" s="28">
        <f ca="1">693.8*OFFSET(F$112,MATCH($N$1,$C$112:$C$113,0)-1,0)</f>
        <v>693.8</v>
      </c>
      <c r="G30" s="28">
        <f ca="1">836.1*OFFSET(G$112,MATCH($N$1,$C$112:$C$113,0)-1,0)</f>
        <v>836.1</v>
      </c>
      <c r="H30" s="28">
        <f ca="1">881.8*OFFSET(H$112,MATCH($N$1,$C$112:$C$113,0)-1,0)</f>
        <v>881.8</v>
      </c>
      <c r="I30" s="28">
        <f ca="1">917.4*OFFSET(I$112,MATCH($N$1,$C$112:$C$113,0)-1,0)</f>
        <v>917.4</v>
      </c>
      <c r="J30" s="28">
        <f ca="1">783.8*OFFSET(J$112,MATCH($N$1,$C$112:$C$113,0)-1,0)</f>
        <v>783.8</v>
      </c>
      <c r="K30" s="28">
        <f ca="1">559.1*OFFSET(K$112,MATCH($N$1,$C$112:$C$113,0)-1,0)</f>
        <v>559.1</v>
      </c>
      <c r="L30" s="28">
        <f ca="1">559.9*OFFSET(L$112,MATCH($N$1,$C$112:$C$113,0)-1,0)</f>
        <v>559.9</v>
      </c>
      <c r="M30" s="28">
        <f ca="1">523.5*OFFSET(M$112,MATCH($N$1,$C$112:$C$113,0)-1,0)</f>
        <v>523.5</v>
      </c>
      <c r="N30" s="28">
        <v>786.30000000000007</v>
      </c>
      <c r="O30" s="23">
        <f t="shared" ca="1" si="0"/>
        <v>0.4366892015348075</v>
      </c>
      <c r="P30" s="23">
        <f t="shared" ca="1" si="1"/>
        <v>3.1895891809136435E-3</v>
      </c>
    </row>
    <row r="31" spans="1:16" ht="18" customHeight="1" x14ac:dyDescent="0.2">
      <c r="A31" s="231"/>
      <c r="B31" s="33" t="s">
        <v>69</v>
      </c>
      <c r="C31" s="27"/>
      <c r="D31" s="28">
        <f ca="1">9.1*OFFSET(D$112,MATCH($N$1,$C$112:$C$113,0)-1,0)</f>
        <v>9.1</v>
      </c>
      <c r="E31" s="28">
        <f ca="1">34.4*OFFSET(E$112,MATCH($N$1,$C$112:$C$113,0)-1,0)</f>
        <v>34.4</v>
      </c>
      <c r="F31" s="28">
        <f ca="1">280.8*OFFSET(F$112,MATCH($N$1,$C$112:$C$113,0)-1,0)</f>
        <v>280.8</v>
      </c>
      <c r="G31" s="28">
        <f ca="1">240.5*OFFSET(G$112,MATCH($N$1,$C$112:$C$113,0)-1,0)</f>
        <v>240.5</v>
      </c>
      <c r="H31" s="28">
        <f ca="1">224.6*OFFSET(H$112,MATCH($N$1,$C$112:$C$113,0)-1,0)</f>
        <v>224.6</v>
      </c>
      <c r="I31" s="28">
        <f ca="1">183.1*OFFSET(I$112,MATCH($N$1,$C$112:$C$113,0)-1,0)</f>
        <v>183.1</v>
      </c>
      <c r="J31" s="28">
        <f ca="1">245.4*OFFSET(J$112,MATCH($N$1,$C$112:$C$113,0)-1,0)</f>
        <v>245.4</v>
      </c>
      <c r="K31" s="28">
        <f ca="1">476.8*OFFSET(K$112,MATCH($N$1,$C$112:$C$113,0)-1,0)</f>
        <v>476.8</v>
      </c>
      <c r="L31" s="28">
        <f ca="1">652.7*OFFSET(L$112,MATCH($N$1,$C$112:$C$113,0)-1,0)</f>
        <v>652.70000000000005</v>
      </c>
      <c r="M31" s="28">
        <f ca="1">294.6*OFFSET(M$112,MATCH($N$1,$C$112:$C$113,0)-1,0)</f>
        <v>294.60000000000002</v>
      </c>
      <c r="N31" s="28">
        <v>174.5</v>
      </c>
      <c r="O31" s="23">
        <f t="shared" ca="1" si="0"/>
        <v>18.175824175824179</v>
      </c>
      <c r="P31" s="23">
        <f t="shared" ca="1" si="1"/>
        <v>-0.28891605541972293</v>
      </c>
    </row>
    <row r="32" spans="1:16" ht="18" customHeight="1" x14ac:dyDescent="0.2">
      <c r="A32" s="231"/>
      <c r="B32" s="33" t="s">
        <v>70</v>
      </c>
      <c r="C32" s="27"/>
      <c r="D32" s="28">
        <f ca="1">464.3*OFFSET(D$112,MATCH($N$1,$C$112:$C$113,0)-1,0)</f>
        <v>464.3</v>
      </c>
      <c r="E32" s="28">
        <f ca="1">663.9*OFFSET(E$112,MATCH($N$1,$C$112:$C$113,0)-1,0)</f>
        <v>663.9</v>
      </c>
      <c r="F32" s="28">
        <f ca="1">587.9*OFFSET(F$112,MATCH($N$1,$C$112:$C$113,0)-1,0)</f>
        <v>587.9</v>
      </c>
      <c r="G32" s="28">
        <f ca="1">569.8*OFFSET(G$112,MATCH($N$1,$C$112:$C$113,0)-1,0)</f>
        <v>569.79999999999995</v>
      </c>
      <c r="H32" s="28">
        <f ca="1">633.7*OFFSET(H$112,MATCH($N$1,$C$112:$C$113,0)-1,0)</f>
        <v>633.70000000000005</v>
      </c>
      <c r="I32" s="28">
        <f ca="1">457.5*OFFSET(I$112,MATCH($N$1,$C$112:$C$113,0)-1,0)</f>
        <v>457.5</v>
      </c>
      <c r="J32" s="28">
        <f ca="1">447.3*OFFSET(J$112,MATCH($N$1,$C$112:$C$113,0)-1,0)</f>
        <v>447.3</v>
      </c>
      <c r="K32" s="28">
        <f ca="1">748.3*OFFSET(K$112,MATCH($N$1,$C$112:$C$113,0)-1,0)</f>
        <v>748.3</v>
      </c>
      <c r="L32" s="28">
        <f ca="1">566.9*OFFSET(L$112,MATCH($N$1,$C$112:$C$113,0)-1,0)</f>
        <v>566.9</v>
      </c>
      <c r="M32" s="28">
        <f ca="1">570.6*OFFSET(M$112,MATCH($N$1,$C$112:$C$113,0)-1,0)</f>
        <v>570.6</v>
      </c>
      <c r="N32" s="28">
        <v>627.30000000000007</v>
      </c>
      <c r="O32" s="23">
        <f t="shared" ca="1" si="0"/>
        <v>0.35106612104242957</v>
      </c>
      <c r="P32" s="23">
        <f t="shared" ca="1" si="1"/>
        <v>0.40241448692152931</v>
      </c>
    </row>
    <row r="33" spans="1:16" ht="18" customHeight="1" x14ac:dyDescent="0.2">
      <c r="A33" s="231"/>
      <c r="B33" s="33" t="s">
        <v>71</v>
      </c>
      <c r="C33" s="27"/>
      <c r="D33" s="28">
        <f ca="1">1020.7*OFFSET(D$112,MATCH($N$1,$C$112:$C$113,0)-1,0)</f>
        <v>1020.7</v>
      </c>
      <c r="E33" s="28">
        <f ca="1">1230.4*OFFSET(E$112,MATCH($N$1,$C$112:$C$113,0)-1,0)</f>
        <v>1230.4000000000001</v>
      </c>
      <c r="F33" s="28">
        <f ca="1">1562.5*OFFSET(F$112,MATCH($N$1,$C$112:$C$113,0)-1,0)</f>
        <v>1562.5</v>
      </c>
      <c r="G33" s="28">
        <f ca="1">1646.3*OFFSET(G$112,MATCH($N$1,$C$112:$C$113,0)-1,0)</f>
        <v>1646.3</v>
      </c>
      <c r="H33" s="28">
        <f ca="1">1740.1*OFFSET(H$112,MATCH($N$1,$C$112:$C$113,0)-1,0)</f>
        <v>1740.1</v>
      </c>
      <c r="I33" s="28">
        <f ca="1">1558*OFFSET(I$112,MATCH($N$1,$C$112:$C$113,0)-1,0)</f>
        <v>1558</v>
      </c>
      <c r="J33" s="28">
        <f ca="1">1476.5*OFFSET(J$112,MATCH($N$1,$C$112:$C$113,0)-1,0)</f>
        <v>1476.5</v>
      </c>
      <c r="K33" s="28">
        <f ca="1">1784.2*OFFSET(K$112,MATCH($N$1,$C$112:$C$113,0)-1,0)</f>
        <v>1784.2</v>
      </c>
      <c r="L33" s="28">
        <f ca="1">1779.4*OFFSET(L$112,MATCH($N$1,$C$112:$C$113,0)-1,0)</f>
        <v>1779.4</v>
      </c>
      <c r="M33" s="28">
        <f ca="1">1388.7*OFFSET(M$112,MATCH($N$1,$C$112:$C$113,0)-1,0)</f>
        <v>1388.7</v>
      </c>
      <c r="N33" s="28">
        <v>1588</v>
      </c>
      <c r="O33" s="23">
        <f t="shared" ca="1" si="0"/>
        <v>0.55579504261781121</v>
      </c>
      <c r="P33" s="23">
        <f t="shared" ca="1" si="1"/>
        <v>7.5516423975618016E-2</v>
      </c>
    </row>
    <row r="34" spans="1:16" ht="18" customHeight="1" x14ac:dyDescent="0.2">
      <c r="A34" s="231"/>
      <c r="B34" s="33" t="s">
        <v>72</v>
      </c>
      <c r="C34" s="27"/>
      <c r="D34" s="28">
        <f ca="1">138.2*OFFSET(D$112,MATCH($N$1,$C$112:$C$113,0)-1,0)</f>
        <v>138.19999999999999</v>
      </c>
      <c r="E34" s="28">
        <f ca="1">197.6*OFFSET(E$112,MATCH($N$1,$C$112:$C$113,0)-1,0)</f>
        <v>197.6</v>
      </c>
      <c r="F34" s="28">
        <f ca="1">306.5*OFFSET(F$112,MATCH($N$1,$C$112:$C$113,0)-1,0)</f>
        <v>306.5</v>
      </c>
      <c r="G34" s="28">
        <f ca="1">297.1*OFFSET(G$112,MATCH($N$1,$C$112:$C$113,0)-1,0)</f>
        <v>297.10000000000002</v>
      </c>
      <c r="H34" s="28">
        <f ca="1">330.4*OFFSET(H$112,MATCH($N$1,$C$112:$C$113,0)-1,0)</f>
        <v>330.4</v>
      </c>
      <c r="I34" s="28">
        <f ca="1">276.9*OFFSET(I$112,MATCH($N$1,$C$112:$C$113,0)-1,0)</f>
        <v>276.89999999999998</v>
      </c>
      <c r="J34" s="28">
        <f ca="1">255.6*OFFSET(J$112,MATCH($N$1,$C$112:$C$113,0)-1,0)</f>
        <v>255.6</v>
      </c>
      <c r="K34" s="28">
        <f ca="1">278.3*OFFSET(K$112,MATCH($N$1,$C$112:$C$113,0)-1,0)</f>
        <v>278.3</v>
      </c>
      <c r="L34" s="28">
        <f ca="1">326.8*OFFSET(L$112,MATCH($N$1,$C$112:$C$113,0)-1,0)</f>
        <v>326.8</v>
      </c>
      <c r="M34" s="28">
        <f ca="1">212.2*OFFSET(M$112,MATCH($N$1,$C$112:$C$113,0)-1,0)</f>
        <v>212.2</v>
      </c>
      <c r="N34" s="28">
        <v>233.3</v>
      </c>
      <c r="O34" s="23">
        <f t="shared" ca="1" si="0"/>
        <v>0.68813314037626649</v>
      </c>
      <c r="P34" s="23">
        <f t="shared" ca="1" si="1"/>
        <v>-8.7245696400625919E-2</v>
      </c>
    </row>
    <row r="35" spans="1:16" ht="18" customHeight="1" x14ac:dyDescent="0.2">
      <c r="A35" s="231"/>
      <c r="B35" s="33" t="s">
        <v>73</v>
      </c>
      <c r="C35" s="27"/>
      <c r="D35" s="28">
        <f ca="1">1158.9*OFFSET(D$112,MATCH($N$1,$C$112:$C$113,0)-1,0)</f>
        <v>1158.9000000000001</v>
      </c>
      <c r="E35" s="28">
        <f ca="1">1428*OFFSET(E$112,MATCH($N$1,$C$112:$C$113,0)-1,0)</f>
        <v>1428</v>
      </c>
      <c r="F35" s="28">
        <f ca="1">1869*OFFSET(F$112,MATCH($N$1,$C$112:$C$113,0)-1,0)</f>
        <v>1869</v>
      </c>
      <c r="G35" s="28">
        <f ca="1">1943.4*OFFSET(G$112,MATCH($N$1,$C$112:$C$113,0)-1,0)</f>
        <v>1943.4</v>
      </c>
      <c r="H35" s="28">
        <f ca="1">2070.5*OFFSET(H$112,MATCH($N$1,$C$112:$C$113,0)-1,0)</f>
        <v>2070.5</v>
      </c>
      <c r="I35" s="28">
        <f ca="1">1834.9*OFFSET(I$112,MATCH($N$1,$C$112:$C$113,0)-1,0)</f>
        <v>1834.9</v>
      </c>
      <c r="J35" s="28">
        <f ca="1">1732.1*OFFSET(J$112,MATCH($N$1,$C$112:$C$113,0)-1,0)</f>
        <v>1732.1</v>
      </c>
      <c r="K35" s="28">
        <f ca="1">2062.5*OFFSET(K$112,MATCH($N$1,$C$112:$C$113,0)-1,0)</f>
        <v>2062.5</v>
      </c>
      <c r="L35" s="28">
        <f ca="1">2106.2*OFFSET(L$112,MATCH($N$1,$C$112:$C$113,0)-1,0)</f>
        <v>2106.1999999999998</v>
      </c>
      <c r="M35" s="28">
        <f ca="1">1600.9*OFFSET(M$112,MATCH($N$1,$C$112:$C$113,0)-1,0)</f>
        <v>1600.9</v>
      </c>
      <c r="N35" s="28">
        <v>1821.3</v>
      </c>
      <c r="O35" s="23">
        <f t="shared" ca="1" si="0"/>
        <v>0.5715764949521096</v>
      </c>
      <c r="P35" s="23">
        <f t="shared" ca="1" si="1"/>
        <v>5.1498181398302666E-2</v>
      </c>
    </row>
    <row r="36" spans="1:16" ht="18" customHeight="1" x14ac:dyDescent="0.2">
      <c r="A36" s="231"/>
      <c r="B36" s="41" t="s">
        <v>74</v>
      </c>
      <c r="C36" s="42"/>
      <c r="D36" s="43">
        <f ca="1">-1.7*OFFSET(D$112,MATCH($N$1,$C$112:$C$113,0)-1,0)</f>
        <v>-1.7</v>
      </c>
      <c r="E36" s="43">
        <f ca="1">361.3*OFFSET(E$112,MATCH($N$1,$C$112:$C$113,0)-1,0)</f>
        <v>361.3</v>
      </c>
      <c r="F36" s="43">
        <f ca="1">425.7*OFFSET(F$112,MATCH($N$1,$C$112:$C$113,0)-1,0)</f>
        <v>425.7</v>
      </c>
      <c r="G36" s="43">
        <f ca="1">364.9*OFFSET(G$112,MATCH($N$1,$C$112:$C$113,0)-1,0)</f>
        <v>364.9</v>
      </c>
      <c r="H36" s="43">
        <f ca="1">228.6*OFFSET(H$112,MATCH($N$1,$C$112:$C$113,0)-1,0)</f>
        <v>228.6</v>
      </c>
      <c r="I36" s="43">
        <f ca="1">89.4*OFFSET(I$112,MATCH($N$1,$C$112:$C$113,0)-1,0)</f>
        <v>89.4</v>
      </c>
      <c r="J36" s="43">
        <f ca="1">212.1*OFFSET(J$112,MATCH($N$1,$C$112:$C$113,0)-1,0)</f>
        <v>212.1</v>
      </c>
      <c r="K36" s="43">
        <f ca="1">394.5*OFFSET(K$112,MATCH($N$1,$C$112:$C$113,0)-1,0)</f>
        <v>394.5</v>
      </c>
      <c r="L36" s="43">
        <f ca="1">906.6*OFFSET(L$112,MATCH($N$1,$C$112:$C$113,0)-1,0)</f>
        <v>906.6</v>
      </c>
      <c r="M36" s="43">
        <f ca="1">203.6*OFFSET(M$112,MATCH($N$1,$C$112:$C$113,0)-1,0)</f>
        <v>203.6</v>
      </c>
      <c r="N36" s="43">
        <v>13.199999999999989</v>
      </c>
      <c r="O36" s="23" t="str">
        <f t="shared" ca="1" si="0"/>
        <v>na</v>
      </c>
      <c r="P36" s="23">
        <f t="shared" ca="1" si="1"/>
        <v>-0.93776520509193784</v>
      </c>
    </row>
    <row r="37" spans="1:16" ht="18" customHeight="1" x14ac:dyDescent="0.2">
      <c r="A37" s="231"/>
      <c r="B37" s="41" t="s">
        <v>75</v>
      </c>
      <c r="C37" s="42"/>
      <c r="D37" s="43">
        <f ca="1">-10.8*OFFSET(D$112,MATCH($N$1,$C$112:$C$113,0)-1,0)</f>
        <v>-10.8</v>
      </c>
      <c r="E37" s="43">
        <f ca="1">326.9*OFFSET(E$112,MATCH($N$1,$C$112:$C$113,0)-1,0)</f>
        <v>326.89999999999998</v>
      </c>
      <c r="F37" s="43">
        <f ca="1">144.9*OFFSET(F$112,MATCH($N$1,$C$112:$C$113,0)-1,0)</f>
        <v>144.9</v>
      </c>
      <c r="G37" s="43">
        <f ca="1">124.4*OFFSET(G$112,MATCH($N$1,$C$112:$C$113,0)-1,0)</f>
        <v>124.4</v>
      </c>
      <c r="H37" s="43">
        <f ca="1">4*OFFSET(H$112,MATCH($N$1,$C$112:$C$113,0)-1,0)</f>
        <v>4</v>
      </c>
      <c r="I37" s="43">
        <f ca="1">-93.7*OFFSET(I$112,MATCH($N$1,$C$112:$C$113,0)-1,0)</f>
        <v>-93.7</v>
      </c>
      <c r="J37" s="43">
        <f ca="1">-33.3*OFFSET(J$112,MATCH($N$1,$C$112:$C$113,0)-1,0)</f>
        <v>-33.299999999999997</v>
      </c>
      <c r="K37" s="43">
        <f ca="1">-82.3*OFFSET(K$112,MATCH($N$1,$C$112:$C$113,0)-1,0)</f>
        <v>-82.3</v>
      </c>
      <c r="L37" s="43">
        <f ca="1">253.9*OFFSET(L$112,MATCH($N$1,$C$112:$C$113,0)-1,0)</f>
        <v>253.9</v>
      </c>
      <c r="M37" s="43">
        <f ca="1">-91*OFFSET(M$112,MATCH($N$1,$C$112:$C$113,0)-1,0)</f>
        <v>-91</v>
      </c>
      <c r="N37" s="43">
        <v>-161.30000000000001</v>
      </c>
      <c r="O37" s="23">
        <f t="shared" ca="1" si="0"/>
        <v>-13.935185185185185</v>
      </c>
      <c r="P37" s="23">
        <f t="shared" ca="1" si="1"/>
        <v>-3.8438438438438443</v>
      </c>
    </row>
    <row r="38" spans="1:16" ht="18" customHeight="1" x14ac:dyDescent="0.2">
      <c r="A38" s="231"/>
      <c r="B38" s="33" t="s">
        <v>76</v>
      </c>
      <c r="C38" s="27"/>
      <c r="D38" s="28">
        <f ca="1">93.5*OFFSET(D$112,MATCH($N$1,$C$112:$C$113,0)-1,0)</f>
        <v>93.5</v>
      </c>
      <c r="E38" s="28">
        <f ca="1">140*OFFSET(E$112,MATCH($N$1,$C$112:$C$113,0)-1,0)</f>
        <v>140</v>
      </c>
      <c r="F38" s="28">
        <f ca="1">89.7*OFFSET(F$112,MATCH($N$1,$C$112:$C$113,0)-1,0)</f>
        <v>89.7</v>
      </c>
      <c r="G38" s="28">
        <f ca="1">119.6*OFFSET(G$112,MATCH($N$1,$C$112:$C$113,0)-1,0)</f>
        <v>119.6</v>
      </c>
      <c r="H38" s="28">
        <f ca="1">111*OFFSET(H$112,MATCH($N$1,$C$112:$C$113,0)-1,0)</f>
        <v>111</v>
      </c>
      <c r="I38" s="28">
        <f ca="1">100.8*OFFSET(I$112,MATCH($N$1,$C$112:$C$113,0)-1,0)</f>
        <v>100.8</v>
      </c>
      <c r="J38" s="28">
        <f ca="1">199.8*OFFSET(J$112,MATCH($N$1,$C$112:$C$113,0)-1,0)</f>
        <v>199.8</v>
      </c>
      <c r="K38" s="28">
        <f ca="1">151.1*OFFSET(K$112,MATCH($N$1,$C$112:$C$113,0)-1,0)</f>
        <v>151.1</v>
      </c>
      <c r="L38" s="28">
        <f ca="1">54.2*OFFSET(L$112,MATCH($N$1,$C$112:$C$113,0)-1,0)</f>
        <v>54.2</v>
      </c>
      <c r="M38" s="28"/>
      <c r="N38" s="28"/>
      <c r="O38" s="23" t="str">
        <f t="shared" si="0"/>
        <v/>
      </c>
      <c r="P38" s="23" t="str">
        <f t="shared" si="1"/>
        <v/>
      </c>
    </row>
    <row r="39" spans="1:16" ht="18" customHeight="1" x14ac:dyDescent="0.2">
      <c r="A39" s="231"/>
      <c r="B39" s="33" t="s">
        <v>77</v>
      </c>
      <c r="C39" s="27"/>
      <c r="D39" s="28">
        <f ca="1">84.1*OFFSET(D$112,MATCH($N$1,$C$112:$C$113,0)-1,0)</f>
        <v>84.1</v>
      </c>
      <c r="E39" s="28">
        <f ca="1">118.4*OFFSET(E$112,MATCH($N$1,$C$112:$C$113,0)-1,0)</f>
        <v>118.4</v>
      </c>
      <c r="F39" s="28">
        <f ca="1">74.2*OFFSET(F$112,MATCH($N$1,$C$112:$C$113,0)-1,0)</f>
        <v>74.2</v>
      </c>
      <c r="G39" s="28">
        <f ca="1">94.5*OFFSET(G$112,MATCH($N$1,$C$112:$C$113,0)-1,0)</f>
        <v>94.5</v>
      </c>
      <c r="H39" s="28">
        <f ca="1">85*OFFSET(H$112,MATCH($N$1,$C$112:$C$113,0)-1,0)</f>
        <v>85</v>
      </c>
      <c r="I39" s="28">
        <f ca="1">11.1*OFFSET(I$112,MATCH($N$1,$C$112:$C$113,0)-1,0)</f>
        <v>11.1</v>
      </c>
      <c r="J39" s="28">
        <f ca="1">4.3*OFFSET(J$112,MATCH($N$1,$C$112:$C$113,0)-1,0)</f>
        <v>4.3</v>
      </c>
      <c r="K39" s="28">
        <f ca="1">54.1*OFFSET(K$112,MATCH($N$1,$C$112:$C$113,0)-1,0)</f>
        <v>54.1</v>
      </c>
      <c r="L39" s="28">
        <f ca="1">68*OFFSET(L$112,MATCH($N$1,$C$112:$C$113,0)-1,0)</f>
        <v>68</v>
      </c>
      <c r="M39" s="28"/>
      <c r="N39" s="28"/>
      <c r="O39" s="23" t="str">
        <f t="shared" si="0"/>
        <v/>
      </c>
      <c r="P39" s="23" t="str">
        <f t="shared" si="1"/>
        <v/>
      </c>
    </row>
    <row r="40" spans="1:16" ht="18" customHeight="1" x14ac:dyDescent="0.2">
      <c r="A40" s="231"/>
      <c r="B40" s="33" t="s">
        <v>78</v>
      </c>
      <c r="C40" s="27"/>
      <c r="D40" s="28"/>
      <c r="E40" s="28"/>
      <c r="F40" s="28"/>
      <c r="G40" s="28"/>
      <c r="H40" s="28"/>
      <c r="I40" s="28">
        <f ca="1">11.1*OFFSET(I$112,MATCH($N$1,$C$112:$C$113,0)-1,0)</f>
        <v>11.1</v>
      </c>
      <c r="J40" s="28">
        <f ca="1">4.3*OFFSET(J$112,MATCH($N$1,$C$112:$C$113,0)-1,0)</f>
        <v>4.3</v>
      </c>
      <c r="K40" s="28">
        <f ca="1">64.8*OFFSET(K$112,MATCH($N$1,$C$112:$C$113,0)-1,0)</f>
        <v>64.8</v>
      </c>
      <c r="L40" s="28">
        <f ca="1">27.4*OFFSET(L$112,MATCH($N$1,$C$112:$C$113,0)-1,0)</f>
        <v>27.4</v>
      </c>
      <c r="M40" s="28"/>
      <c r="N40" s="28"/>
      <c r="O40" s="23" t="str">
        <f t="shared" si="0"/>
        <v/>
      </c>
      <c r="P40" s="23" t="str">
        <f t="shared" si="1"/>
        <v/>
      </c>
    </row>
    <row r="41" spans="1:16" ht="18" customHeight="1" thickBot="1" x14ac:dyDescent="0.25">
      <c r="A41" s="232"/>
      <c r="B41" s="44" t="s">
        <v>79</v>
      </c>
      <c r="C41" s="45"/>
      <c r="D41" s="46">
        <f ca="1">-188.4*OFFSET(D$112,MATCH($N$1,$C$112:$C$113,0)-1,0)</f>
        <v>-188.4</v>
      </c>
      <c r="E41" s="46">
        <f ca="1">68.5*OFFSET(E$112,MATCH($N$1,$C$112:$C$113,0)-1,0)</f>
        <v>68.5</v>
      </c>
      <c r="F41" s="46">
        <f ca="1">-19*OFFSET(F$112,MATCH($N$1,$C$112:$C$113,0)-1,0)</f>
        <v>-19</v>
      </c>
      <c r="G41" s="46">
        <f ca="1">-89.7*OFFSET(G$112,MATCH($N$1,$C$112:$C$113,0)-1,0)</f>
        <v>-89.7</v>
      </c>
      <c r="H41" s="46">
        <f ca="1">-192*OFFSET(H$112,MATCH($N$1,$C$112:$C$113,0)-1,0)</f>
        <v>-192</v>
      </c>
      <c r="I41" s="46">
        <f ca="1">-216.7*OFFSET(I$112,MATCH($N$1,$C$112:$C$113,0)-1,0)</f>
        <v>-216.7</v>
      </c>
      <c r="J41" s="46">
        <f ca="1">-241.6*OFFSET(J$112,MATCH($N$1,$C$112:$C$113,0)-1,0)</f>
        <v>-241.6</v>
      </c>
      <c r="K41" s="46">
        <f ca="1">-352.4*OFFSET(K$112,MATCH($N$1,$C$112:$C$113,0)-1,0)</f>
        <v>-352.4</v>
      </c>
      <c r="L41" s="46">
        <f ca="1">104.4*OFFSET(L$112,MATCH($N$1,$C$112:$C$113,0)-1,0)</f>
        <v>104.4</v>
      </c>
      <c r="M41" s="46"/>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174</v>
      </c>
      <c r="F46" s="95" t="s">
        <v>174</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North Sea beam trawl over 300kW</v>
      </c>
      <c r="C48" s="97"/>
      <c r="D48" s="97"/>
      <c r="E48" s="97"/>
      <c r="F48" s="97"/>
      <c r="G48" s="97"/>
      <c r="K48" s="97" t="str">
        <f>$B24&amp;CHAR(10)&amp;$A$1</f>
        <v>Operating profit per kW day at sea (£)
North Sea beam trawl over 300kW</v>
      </c>
    </row>
    <row r="49" spans="1:11" s="83" customFormat="1" x14ac:dyDescent="0.2">
      <c r="A49" s="97" t="str">
        <f>$B22&amp;CHAR(10)&amp;$A$1</f>
        <v>Fishing income per kW day at sea (£)
North Sea beam trawl over 300kW</v>
      </c>
    </row>
    <row r="50" spans="1:11" s="83" customFormat="1" x14ac:dyDescent="0.2">
      <c r="A50" s="97" t="str">
        <f>$B20&amp;CHAR(10)&amp;$A$1</f>
        <v>Average price per tonne landed (£)
North Sea beam trawl over 300kW</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North Sea beam trawl over 300kW</v>
      </c>
      <c r="F62" s="97" t="str">
        <f>$B20&amp;CHAR(10)&amp;$A$1</f>
        <v>Average price per tonne landed (£)
North Sea beam trawl over 300kW</v>
      </c>
      <c r="K62" s="97" t="str">
        <f>"Average annual operating profit per vessel (£'000)"&amp;CHAR(10)&amp;$A$1</f>
        <v>Average annual operating profit per vessel (£'000)
North Sea beam trawl over 300kW</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North Sea beam trawl over 300kW</v>
      </c>
      <c r="F76" s="97" t="str">
        <f>"Top 5 landed species by value in "&amp;A77&amp;CHAR(10)&amp;A1</f>
        <v>Top 5 landed species by value in 2017
North Sea beam trawl over 300kW</v>
      </c>
    </row>
    <row r="77" spans="1:9" s="97" customFormat="1" x14ac:dyDescent="0.2">
      <c r="A77" s="97">
        <v>2017</v>
      </c>
      <c r="B77" s="97" t="s">
        <v>266</v>
      </c>
      <c r="C77" s="98">
        <v>0.84892052337979784</v>
      </c>
      <c r="D77" s="99">
        <v>12153634</v>
      </c>
      <c r="G77" s="97" t="s">
        <v>267</v>
      </c>
      <c r="H77" s="98">
        <v>0.63293068211295922</v>
      </c>
      <c r="I77" s="99">
        <v>12153634</v>
      </c>
    </row>
    <row r="78" spans="1:9" s="97" customFormat="1" x14ac:dyDescent="0.2">
      <c r="B78" s="97" t="s">
        <v>268</v>
      </c>
      <c r="C78" s="98">
        <v>3.9594529726304194E-2</v>
      </c>
      <c r="D78" s="99">
        <v>553960</v>
      </c>
      <c r="G78" s="97" t="s">
        <v>269</v>
      </c>
      <c r="H78" s="98">
        <v>0.18955508439631555</v>
      </c>
      <c r="I78" s="99">
        <v>553960</v>
      </c>
    </row>
    <row r="79" spans="1:9" s="97" customFormat="1" x14ac:dyDescent="0.2">
      <c r="B79" s="97" t="s">
        <v>270</v>
      </c>
      <c r="C79" s="98">
        <v>2.3531084475338183E-2</v>
      </c>
      <c r="D79" s="99">
        <v>3050596</v>
      </c>
      <c r="G79" s="97" t="s">
        <v>271</v>
      </c>
      <c r="H79" s="98">
        <v>8.7207823584185648E-2</v>
      </c>
      <c r="I79" s="99">
        <v>3050596</v>
      </c>
    </row>
    <row r="80" spans="1:9" s="97" customFormat="1" x14ac:dyDescent="0.2">
      <c r="B80" s="97" t="s">
        <v>272</v>
      </c>
      <c r="C80" s="98">
        <v>2.1892586490008078E-2</v>
      </c>
      <c r="D80" s="99">
        <v>11115023</v>
      </c>
      <c r="G80" s="97" t="s">
        <v>273</v>
      </c>
      <c r="H80" s="98">
        <v>2.8807824258936323E-2</v>
      </c>
      <c r="I80" s="99">
        <v>1692097</v>
      </c>
    </row>
    <row r="81" spans="1:18" s="97" customFormat="1" x14ac:dyDescent="0.2">
      <c r="B81" s="97" t="s">
        <v>274</v>
      </c>
      <c r="C81" s="98">
        <v>1.8096142480074913E-2</v>
      </c>
      <c r="D81" s="99">
        <v>1692097</v>
      </c>
      <c r="G81" s="97" t="s">
        <v>275</v>
      </c>
      <c r="H81" s="98">
        <v>2.8480392120111619E-2</v>
      </c>
      <c r="I81" s="99">
        <v>3689192</v>
      </c>
    </row>
    <row r="82" spans="1:18" s="97" customFormat="1" x14ac:dyDescent="0.2">
      <c r="B82" s="97" t="s">
        <v>276</v>
      </c>
      <c r="C82" s="98">
        <v>4.796513344847686E-2</v>
      </c>
      <c r="D82" s="99">
        <v>5920853</v>
      </c>
      <c r="G82" s="97" t="s">
        <v>277</v>
      </c>
      <c r="H82" s="98">
        <v>3.3018193527491579E-2</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170</v>
      </c>
      <c r="D92" s="102">
        <v>0.58189989129394371</v>
      </c>
      <c r="E92" s="102">
        <v>0.54895972781439406</v>
      </c>
      <c r="F92" s="102">
        <v>0.6367355124121491</v>
      </c>
      <c r="G92" s="102">
        <v>0.76015630434031656</v>
      </c>
      <c r="H92" s="102">
        <v>0.6068543318097529</v>
      </c>
      <c r="I92" s="102">
        <v>0.56732239820548225</v>
      </c>
      <c r="J92" s="102">
        <v>0.61144307623912608</v>
      </c>
      <c r="K92" s="102">
        <v>0.63308344299469987</v>
      </c>
      <c r="L92" s="102">
        <v>0.63293068211295922</v>
      </c>
      <c r="M92" s="102">
        <v>0.56985122677244915</v>
      </c>
      <c r="O92" s="97">
        <v>12153634</v>
      </c>
    </row>
    <row r="93" spans="1:18" s="97" customFormat="1" hidden="1" x14ac:dyDescent="0.2">
      <c r="B93" s="97">
        <v>2</v>
      </c>
      <c r="C93" s="97" t="s">
        <v>245</v>
      </c>
      <c r="D93" s="102">
        <v>0.24629848325409806</v>
      </c>
      <c r="E93" s="102">
        <v>0.26342562910151962</v>
      </c>
      <c r="F93" s="102">
        <v>0.19560138420474157</v>
      </c>
      <c r="G93" s="102">
        <v>0.10861708256263695</v>
      </c>
      <c r="H93" s="102">
        <v>0.21421393470254574</v>
      </c>
      <c r="I93" s="102">
        <v>0.24871472857069629</v>
      </c>
      <c r="J93" s="102">
        <v>0.24349591157324815</v>
      </c>
      <c r="K93" s="102">
        <v>0.21811155627052076</v>
      </c>
      <c r="L93" s="102">
        <v>0.18955508439631555</v>
      </c>
      <c r="M93" s="102">
        <v>0.21833566348806646</v>
      </c>
      <c r="O93" s="97">
        <v>553960</v>
      </c>
    </row>
    <row r="94" spans="1:18" s="97" customFormat="1" hidden="1" x14ac:dyDescent="0.2">
      <c r="B94" s="97">
        <v>3</v>
      </c>
      <c r="C94" s="97" t="s">
        <v>138</v>
      </c>
      <c r="D94" s="102">
        <v>9.7190195899380744E-2</v>
      </c>
      <c r="E94" s="102">
        <v>0.10624006588077062</v>
      </c>
      <c r="F94" s="102">
        <v>8.1915330921960211E-2</v>
      </c>
      <c r="G94" s="102">
        <v>6.3870453386953741E-2</v>
      </c>
      <c r="H94" s="102">
        <v>9.1200497274152026E-2</v>
      </c>
      <c r="I94" s="102">
        <v>9.8087758821706089E-2</v>
      </c>
      <c r="J94" s="102">
        <v>6.7248349211095654E-2</v>
      </c>
      <c r="K94" s="102">
        <v>6.9567226968196449E-2</v>
      </c>
      <c r="L94" s="102">
        <v>8.7207823584185648E-2</v>
      </c>
      <c r="M94" s="102">
        <v>0.11038482503265387</v>
      </c>
      <c r="O94" s="97">
        <v>3050596</v>
      </c>
    </row>
    <row r="95" spans="1:18" s="97" customFormat="1" hidden="1" x14ac:dyDescent="0.2">
      <c r="B95" s="97">
        <v>4</v>
      </c>
      <c r="C95" s="97" t="s">
        <v>187</v>
      </c>
      <c r="D95" s="102"/>
      <c r="E95" s="102">
        <v>2.193976589815266E-2</v>
      </c>
      <c r="F95" s="102">
        <v>2.8452452620984028E-2</v>
      </c>
      <c r="G95" s="102">
        <v>1.7076442904636727E-2</v>
      </c>
      <c r="H95" s="102">
        <v>2.2625828550967585E-2</v>
      </c>
      <c r="I95" s="102">
        <v>2.5202441287532809E-2</v>
      </c>
      <c r="J95" s="102">
        <v>2.7082498270080774E-2</v>
      </c>
      <c r="K95" s="102">
        <v>2.3046375667735031E-2</v>
      </c>
      <c r="L95" s="102">
        <v>2.8807824258936323E-2</v>
      </c>
      <c r="M95" s="102">
        <v>2.2489271546370222E-2</v>
      </c>
      <c r="O95" s="97">
        <v>1692097</v>
      </c>
    </row>
    <row r="96" spans="1:18" s="97" customFormat="1" hidden="1" x14ac:dyDescent="0.2">
      <c r="B96" s="97">
        <v>5</v>
      </c>
      <c r="C96" s="97" t="s">
        <v>136</v>
      </c>
      <c r="D96" s="102">
        <v>2.0878134920300568E-2</v>
      </c>
      <c r="E96" s="102">
        <v>2.4303177992061255E-2</v>
      </c>
      <c r="F96" s="102">
        <v>2.3430422311218415E-2</v>
      </c>
      <c r="G96" s="102">
        <v>1.6391885416594979E-2</v>
      </c>
      <c r="H96" s="102">
        <v>2.6840674214506116E-2</v>
      </c>
      <c r="I96" s="102">
        <v>2.9303678645102822E-2</v>
      </c>
      <c r="J96" s="102">
        <v>2.2720030122114532E-2</v>
      </c>
      <c r="K96" s="102">
        <v>2.5137627751856531E-2</v>
      </c>
      <c r="L96" s="102">
        <v>2.8480392120111619E-2</v>
      </c>
      <c r="M96" s="102">
        <v>3.1032645566807807E-2</v>
      </c>
      <c r="O96" s="97">
        <v>3689192</v>
      </c>
    </row>
    <row r="97" spans="1:15" s="97" customFormat="1" hidden="1" x14ac:dyDescent="0.2">
      <c r="B97" s="97">
        <v>6</v>
      </c>
      <c r="C97" s="97" t="s">
        <v>278</v>
      </c>
      <c r="D97" s="102">
        <v>1.7483706046860729E-2</v>
      </c>
      <c r="E97" s="102"/>
      <c r="F97" s="102"/>
      <c r="G97" s="102"/>
      <c r="H97" s="102"/>
      <c r="I97" s="102"/>
      <c r="J97" s="102"/>
      <c r="K97" s="102"/>
      <c r="L97" s="102"/>
      <c r="M97" s="102"/>
      <c r="O97" s="97">
        <v>11115023</v>
      </c>
    </row>
    <row r="98" spans="1:15" s="97" customFormat="1" hidden="1" x14ac:dyDescent="0.2">
      <c r="B98" s="97">
        <v>7</v>
      </c>
      <c r="C98" s="97" t="s">
        <v>101</v>
      </c>
      <c r="D98" s="102">
        <v>3.6249588585416236E-2</v>
      </c>
      <c r="E98" s="102">
        <v>3.5131633313101783E-2</v>
      </c>
      <c r="F98" s="102">
        <v>3.3864897528946676E-2</v>
      </c>
      <c r="G98" s="102">
        <v>3.3887831388861069E-2</v>
      </c>
      <c r="H98" s="102">
        <v>3.8264733448075655E-2</v>
      </c>
      <c r="I98" s="102">
        <v>3.1368994469479793E-2</v>
      </c>
      <c r="J98" s="102">
        <v>2.8010134584334784E-2</v>
      </c>
      <c r="K98" s="102">
        <v>3.105377034699134E-2</v>
      </c>
      <c r="L98" s="102">
        <v>3.3018193527491593E-2</v>
      </c>
      <c r="M98" s="102">
        <v>4.7906367593652466E-2</v>
      </c>
      <c r="O98" s="97">
        <v>5920853</v>
      </c>
    </row>
    <row r="99" spans="1:15" s="97" customFormat="1" hidden="1" x14ac:dyDescent="0.2">
      <c r="B99" s="97">
        <v>8</v>
      </c>
      <c r="D99" s="102"/>
      <c r="E99" s="102"/>
      <c r="F99" s="102"/>
      <c r="G99" s="102"/>
      <c r="H99" s="102"/>
      <c r="I99" s="102"/>
      <c r="J99" s="102"/>
      <c r="K99" s="102"/>
      <c r="L99" s="102"/>
      <c r="M99" s="102"/>
      <c r="O99" s="97">
        <v>7434864</v>
      </c>
    </row>
    <row r="100" spans="1:15" s="97" customFormat="1" hidden="1" x14ac:dyDescent="0.2">
      <c r="B100" s="97">
        <v>9</v>
      </c>
      <c r="D100" s="102"/>
      <c r="E100" s="102"/>
      <c r="F100" s="102"/>
      <c r="G100" s="102"/>
      <c r="H100" s="102"/>
      <c r="I100" s="102"/>
      <c r="J100" s="102"/>
      <c r="K100" s="102"/>
      <c r="L100" s="102"/>
      <c r="M100" s="102"/>
      <c r="O100" s="97">
        <v>8497745</v>
      </c>
    </row>
    <row r="101" spans="1:15" s="97" customFormat="1" hidden="1" x14ac:dyDescent="0.2">
      <c r="B101" s="97">
        <v>10</v>
      </c>
      <c r="D101" s="102"/>
      <c r="E101" s="102"/>
      <c r="F101" s="102"/>
      <c r="G101" s="102"/>
      <c r="H101" s="102"/>
      <c r="I101" s="102"/>
      <c r="J101" s="102"/>
      <c r="K101" s="102"/>
      <c r="L101" s="102"/>
      <c r="M101" s="102"/>
      <c r="O101" s="97">
        <v>14393110</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8</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"&amp;B121&amp;""</f>
        <v xml:space="preserve">All values are adjusted to 2017 prices. </v>
      </c>
    </row>
    <row r="115" spans="1:14" ht="18" customHeight="1" x14ac:dyDescent="0.2"/>
    <row r="116" spans="1:14" ht="18" customHeight="1" x14ac:dyDescent="0.2"/>
    <row r="117" spans="1:14" ht="18" customHeight="1" x14ac:dyDescent="0.2"/>
    <row r="118" spans="1:14" s="78" customFormat="1" ht="18" customHeight="1" x14ac:dyDescent="0.2"/>
    <row r="119" spans="1:14" s="78" customFormat="1" ht="18" customHeight="1" x14ac:dyDescent="0.2"/>
    <row r="120" spans="1:14" s="78" customFormat="1" x14ac:dyDescent="0.2"/>
    <row r="121" spans="1:14" s="49" customFormat="1" x14ac:dyDescent="0.2"/>
    <row r="122" spans="1:14" s="49" customFormat="1" x14ac:dyDescent="0.2">
      <c r="A122" s="50"/>
      <c r="B122" s="53"/>
      <c r="C122" s="79"/>
      <c r="D122" s="79"/>
      <c r="E122" s="79"/>
      <c r="F122" s="79"/>
      <c r="G122" s="80"/>
      <c r="H122" s="79"/>
      <c r="I122" s="79"/>
      <c r="J122" s="79"/>
      <c r="K122" s="79"/>
      <c r="L122" s="53"/>
    </row>
    <row r="123" spans="1:14" s="49" customFormat="1" x14ac:dyDescent="0.2">
      <c r="A123" s="50"/>
      <c r="B123" s="53"/>
      <c r="C123" s="53"/>
      <c r="D123" s="53"/>
      <c r="E123" s="53"/>
      <c r="F123" s="50"/>
      <c r="G123" s="50"/>
      <c r="H123" s="53"/>
      <c r="I123" s="53"/>
      <c r="J123" s="53"/>
      <c r="K123" s="53"/>
      <c r="L123" s="50"/>
    </row>
    <row r="124" spans="1:14" s="49" customFormat="1" x14ac:dyDescent="0.2">
      <c r="A124" s="50"/>
      <c r="B124" s="53"/>
      <c r="C124" s="53"/>
      <c r="D124" s="53"/>
      <c r="E124" s="53"/>
      <c r="F124" s="50"/>
      <c r="G124" s="50"/>
      <c r="H124" s="53"/>
      <c r="I124" s="53"/>
      <c r="J124" s="53"/>
      <c r="K124" s="53"/>
      <c r="L124" s="50"/>
    </row>
    <row r="125" spans="1:14" s="49" customFormat="1" x14ac:dyDescent="0.2">
      <c r="A125" s="50"/>
      <c r="B125" s="53"/>
      <c r="C125" s="53"/>
      <c r="D125" s="53"/>
      <c r="E125" s="53"/>
      <c r="F125" s="50"/>
      <c r="G125" s="50"/>
      <c r="H125" s="53"/>
      <c r="I125" s="53"/>
      <c r="J125" s="53"/>
      <c r="K125" s="53"/>
      <c r="L125" s="50"/>
    </row>
    <row r="126" spans="1:14" s="49" customFormat="1" x14ac:dyDescent="0.2">
      <c r="A126" s="50"/>
      <c r="B126" s="53"/>
      <c r="C126" s="53"/>
      <c r="D126" s="53"/>
      <c r="E126" s="53"/>
      <c r="F126" s="50"/>
      <c r="G126" s="50"/>
      <c r="H126" s="53"/>
      <c r="I126" s="53"/>
      <c r="J126" s="53"/>
      <c r="K126" s="53"/>
      <c r="L126" s="50"/>
    </row>
    <row r="127" spans="1:14" s="49" customFormat="1" x14ac:dyDescent="0.2">
      <c r="A127" s="50"/>
      <c r="B127" s="53"/>
      <c r="C127" s="53"/>
      <c r="D127" s="53"/>
      <c r="E127" s="53"/>
      <c r="F127" s="50"/>
      <c r="G127" s="50"/>
      <c r="H127" s="53"/>
      <c r="I127" s="53"/>
      <c r="J127" s="53"/>
      <c r="K127" s="53"/>
      <c r="L127" s="50"/>
    </row>
    <row r="128" spans="1:14" s="49" customFormat="1" x14ac:dyDescent="0.2">
      <c r="A128" s="50"/>
      <c r="B128" s="53"/>
      <c r="C128" s="53"/>
      <c r="D128" s="53"/>
      <c r="E128" s="53"/>
      <c r="F128" s="50"/>
      <c r="G128" s="50"/>
      <c r="H128" s="53"/>
      <c r="I128" s="53"/>
      <c r="J128" s="53"/>
      <c r="K128" s="53"/>
      <c r="L128" s="50"/>
    </row>
    <row r="129" spans="1:12" s="49" customFormat="1" x14ac:dyDescent="0.2">
      <c r="A129" s="50"/>
      <c r="B129" s="53"/>
      <c r="C129" s="53"/>
      <c r="D129" s="53"/>
      <c r="E129" s="53"/>
      <c r="F129" s="50"/>
      <c r="G129" s="50"/>
      <c r="H129" s="53"/>
      <c r="I129" s="53"/>
      <c r="J129" s="53"/>
      <c r="K129" s="53"/>
      <c r="L129" s="50"/>
    </row>
    <row r="130" spans="1:12" s="49" customFormat="1" x14ac:dyDescent="0.2">
      <c r="A130" s="50"/>
      <c r="B130" s="53"/>
      <c r="C130" s="53"/>
      <c r="D130" s="53"/>
      <c r="E130" s="53"/>
      <c r="F130" s="50"/>
      <c r="G130" s="50"/>
      <c r="H130" s="53"/>
      <c r="I130" s="53"/>
      <c r="J130" s="53"/>
      <c r="K130" s="53"/>
      <c r="L130" s="50"/>
    </row>
    <row r="131" spans="1:12" s="49" customFormat="1" x14ac:dyDescent="0.2">
      <c r="A131" s="50"/>
      <c r="B131" s="53"/>
      <c r="C131" s="53"/>
      <c r="D131" s="53"/>
      <c r="E131" s="53"/>
      <c r="F131" s="50"/>
      <c r="G131" s="50"/>
      <c r="H131" s="53"/>
      <c r="I131" s="53"/>
      <c r="J131" s="53"/>
      <c r="K131" s="53"/>
      <c r="L131" s="50"/>
    </row>
    <row r="132" spans="1:12" s="49" customFormat="1" x14ac:dyDescent="0.2">
      <c r="A132" s="50"/>
      <c r="B132" s="53"/>
      <c r="C132" s="53"/>
      <c r="D132" s="53"/>
      <c r="E132" s="53"/>
      <c r="F132" s="50"/>
      <c r="G132" s="50"/>
      <c r="H132" s="53"/>
      <c r="I132" s="53"/>
      <c r="J132" s="53"/>
      <c r="K132" s="53"/>
      <c r="L132" s="50"/>
    </row>
    <row r="133" spans="1:12" s="49" customFormat="1" x14ac:dyDescent="0.2">
      <c r="A133" s="50"/>
      <c r="B133" s="53"/>
      <c r="C133" s="53"/>
      <c r="D133" s="53"/>
      <c r="E133" s="53"/>
      <c r="F133" s="50"/>
      <c r="G133" s="50"/>
      <c r="H133" s="53"/>
      <c r="I133" s="53"/>
      <c r="J133" s="53"/>
      <c r="K133" s="53"/>
      <c r="L133" s="50"/>
    </row>
    <row r="134" spans="1:12" s="49" customFormat="1" x14ac:dyDescent="0.2">
      <c r="A134" s="50"/>
      <c r="B134" s="53"/>
      <c r="C134" s="53"/>
      <c r="D134" s="53"/>
      <c r="E134" s="53"/>
      <c r="F134" s="50"/>
      <c r="G134" s="50"/>
      <c r="H134" s="53"/>
      <c r="I134" s="53"/>
      <c r="J134" s="53"/>
      <c r="K134" s="53"/>
      <c r="L134" s="50"/>
    </row>
    <row r="135" spans="1:12" s="49" customFormat="1" x14ac:dyDescent="0.2">
      <c r="A135" s="50"/>
      <c r="B135" s="53"/>
      <c r="C135" s="53"/>
      <c r="D135" s="53"/>
      <c r="E135" s="53"/>
      <c r="F135" s="50"/>
      <c r="G135" s="50"/>
      <c r="H135" s="53"/>
      <c r="I135" s="53"/>
      <c r="J135" s="53"/>
      <c r="K135" s="53"/>
      <c r="L135" s="50"/>
    </row>
    <row r="136" spans="1:12" s="49" customFormat="1" x14ac:dyDescent="0.2">
      <c r="A136" s="50"/>
      <c r="B136" s="53"/>
      <c r="C136" s="53"/>
      <c r="D136" s="53"/>
      <c r="E136" s="53"/>
      <c r="F136" s="50"/>
      <c r="G136" s="50"/>
      <c r="H136" s="53"/>
      <c r="I136" s="53"/>
      <c r="J136" s="53"/>
      <c r="K136" s="53"/>
      <c r="L136" s="50"/>
    </row>
    <row r="137" spans="1:12" s="49" customFormat="1" x14ac:dyDescent="0.2">
      <c r="A137" s="50"/>
      <c r="B137" s="53"/>
      <c r="C137" s="53"/>
      <c r="D137" s="53"/>
      <c r="E137" s="53"/>
      <c r="F137" s="50"/>
      <c r="G137" s="50"/>
      <c r="H137" s="53"/>
      <c r="I137" s="53"/>
      <c r="J137" s="53"/>
      <c r="K137" s="53"/>
      <c r="L137" s="50"/>
    </row>
    <row r="138" spans="1:12" s="49" customFormat="1" x14ac:dyDescent="0.2">
      <c r="A138" s="50"/>
      <c r="B138" s="53"/>
      <c r="C138" s="53"/>
      <c r="D138" s="53"/>
      <c r="E138" s="53"/>
      <c r="F138" s="50"/>
      <c r="G138" s="50"/>
      <c r="H138" s="53"/>
      <c r="I138" s="53"/>
      <c r="J138" s="53"/>
      <c r="K138" s="53"/>
      <c r="L138" s="50"/>
    </row>
    <row r="139" spans="1:12" s="78" customFormat="1" x14ac:dyDescent="0.2"/>
    <row r="140" spans="1:12" s="78" customFormat="1" x14ac:dyDescent="0.2"/>
    <row r="141" spans="1:12" s="78" customFormat="1" x14ac:dyDescent="0.2"/>
    <row r="142" spans="1:12" s="78" customFormat="1" x14ac:dyDescent="0.2"/>
    <row r="143" spans="1:12" s="78" customFormat="1" x14ac:dyDescent="0.2"/>
    <row r="144" spans="1:12" s="78" customFormat="1" x14ac:dyDescent="0.2"/>
    <row r="145" s="78" customFormat="1" x14ac:dyDescent="0.2"/>
    <row r="146" s="78" customFormat="1" x14ac:dyDescent="0.2"/>
    <row r="147" s="78" customFormat="1" x14ac:dyDescent="0.2"/>
    <row r="148" s="78" customFormat="1" x14ac:dyDescent="0.2"/>
    <row r="149" s="78" customFormat="1" x14ac:dyDescent="0.2"/>
    <row r="150" s="78" customFormat="1" x14ac:dyDescent="0.2"/>
    <row r="151" s="78" customFormat="1" x14ac:dyDescent="0.2"/>
    <row r="152" s="78" customFormat="1" x14ac:dyDescent="0.2"/>
    <row r="153" s="78" customFormat="1" x14ac:dyDescent="0.2"/>
  </sheetData>
  <mergeCells count="8">
    <mergeCell ref="B44:C44"/>
    <mergeCell ref="B45:C45"/>
    <mergeCell ref="B46:C46"/>
    <mergeCell ref="O1:P1"/>
    <mergeCell ref="A3:A10"/>
    <mergeCell ref="A11:A20"/>
    <mergeCell ref="A21:A26"/>
    <mergeCell ref="A27:A41"/>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1" manualBreakCount="1">
    <brk id="43"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'NS beam trawl over 300kW'!D3:N3</xm:f>
              <xm:sqref>C3</xm:sqref>
            </x14:sparkline>
            <x14:sparkline>
              <xm:f>'NS beam trawl over 300kW'!D4:N4</xm:f>
              <xm:sqref>C4</xm:sqref>
            </x14:sparkline>
            <x14:sparkline>
              <xm:f>'NS beam trawl over 300kW'!D5:N5</xm:f>
              <xm:sqref>C5</xm:sqref>
            </x14:sparkline>
            <x14:sparkline>
              <xm:f>'NS beam trawl over 300kW'!D6:N6</xm:f>
              <xm:sqref>C6</xm:sqref>
            </x14:sparkline>
            <x14:sparkline>
              <xm:f>'NS beam trawl over 300kW'!D7:N7</xm:f>
              <xm:sqref>C7</xm:sqref>
            </x14:sparkline>
            <x14:sparkline>
              <xm:f>'NS beam trawl over 300kW'!D8:N8</xm:f>
              <xm:sqref>C8</xm:sqref>
            </x14:sparkline>
            <x14:sparkline>
              <xm:f>'NS beam trawl over 300kW'!D9:N9</xm:f>
              <xm:sqref>C9</xm:sqref>
            </x14:sparkline>
            <x14:sparkline>
              <xm:f>'NS beam trawl over 300kW'!F10:M10</xm:f>
              <xm:sqref>C10</xm:sqref>
            </x14:sparkline>
            <x14:sparkline>
              <xm:f>'NS beam trawl over 300kW'!D11:N11</xm:f>
              <xm:sqref>C11</xm:sqref>
            </x14:sparkline>
            <x14:sparkline>
              <xm:f>'NS beam trawl over 300kW'!D12:N12</xm:f>
              <xm:sqref>C12</xm:sqref>
            </x14:sparkline>
            <x14:sparkline>
              <xm:f>'NS beam trawl over 300kW'!D13:N13</xm:f>
              <xm:sqref>C13</xm:sqref>
            </x14:sparkline>
            <x14:sparkline>
              <xm:f>'NS beam trawl over 300kW'!D14:N14</xm:f>
              <xm:sqref>C14</xm:sqref>
            </x14:sparkline>
            <x14:sparkline>
              <xm:f>'NS beam trawl over 300kW'!D15:N15</xm:f>
              <xm:sqref>C15</xm:sqref>
            </x14:sparkline>
            <x14:sparkline>
              <xm:f>'NS beam trawl over 300kW'!D16:N16</xm:f>
              <xm:sqref>C16</xm:sqref>
            </x14:sparkline>
            <x14:sparkline>
              <xm:f>'NS beam trawl over 300kW'!D17:N17</xm:f>
              <xm:sqref>C17</xm:sqref>
            </x14:sparkline>
            <x14:sparkline>
              <xm:f>'NS beam trawl over 300kW'!D18:N18</xm:f>
              <xm:sqref>C18</xm:sqref>
            </x14:sparkline>
            <x14:sparkline>
              <xm:f>'NS beam trawl over 300kW'!D19:N19</xm:f>
              <xm:sqref>C19</xm:sqref>
            </x14:sparkline>
            <x14:sparkline>
              <xm:f>'NS beam trawl over 300kW'!D20:N20</xm:f>
              <xm:sqref>C20</xm:sqref>
            </x14:sparkline>
            <x14:sparkline>
              <xm:f>'NS beam trawl over 300kW'!D21:N21</xm:f>
              <xm:sqref>C21</xm:sqref>
            </x14:sparkline>
            <x14:sparkline>
              <xm:f>'NS beam trawl over 300kW'!D22:N22</xm:f>
              <xm:sqref>C22</xm:sqref>
            </x14:sparkline>
            <x14:sparkline>
              <xm:f>'NS beam trawl over 300kW'!D23:N23</xm:f>
              <xm:sqref>C23</xm:sqref>
            </x14:sparkline>
            <x14:sparkline>
              <xm:f>'NS beam trawl over 300kW'!D24:N24</xm:f>
              <xm:sqref>C24</xm:sqref>
            </x14:sparkline>
            <x14:sparkline>
              <xm:f>'NS beam trawl over 300kW'!F25:M25</xm:f>
              <xm:sqref>C25</xm:sqref>
            </x14:sparkline>
            <x14:sparkline>
              <xm:f>'NS beam trawl over 300kW'!F26:M26</xm:f>
              <xm:sqref>C26</xm:sqref>
            </x14:sparkline>
            <x14:sparkline>
              <xm:f>'NS beam trawl over 300kW'!D27:N27</xm:f>
              <xm:sqref>C27</xm:sqref>
            </x14:sparkline>
            <x14:sparkline>
              <xm:f>'NS beam trawl over 300kW'!D28:N28</xm:f>
              <xm:sqref>C28</xm:sqref>
            </x14:sparkline>
            <x14:sparkline>
              <xm:f>'NS beam trawl over 300kW'!D29:N29</xm:f>
              <xm:sqref>C29</xm:sqref>
            </x14:sparkline>
            <x14:sparkline>
              <xm:f>'NS beam trawl over 300kW'!D30:N30</xm:f>
              <xm:sqref>C30</xm:sqref>
            </x14:sparkline>
            <x14:sparkline>
              <xm:f>'NS beam trawl over 300kW'!D31:N31</xm:f>
              <xm:sqref>C31</xm:sqref>
            </x14:sparkline>
            <x14:sparkline>
              <xm:f>'NS beam trawl over 300kW'!D32:N32</xm:f>
              <xm:sqref>C32</xm:sqref>
            </x14:sparkline>
            <x14:sparkline>
              <xm:f>'NS beam trawl over 300kW'!D33:N33</xm:f>
              <xm:sqref>C33</xm:sqref>
            </x14:sparkline>
            <x14:sparkline>
              <xm:f>'NS beam trawl over 300kW'!D34:N34</xm:f>
              <xm:sqref>C34</xm:sqref>
            </x14:sparkline>
            <x14:sparkline>
              <xm:f>'NS beam trawl over 300kW'!D35:N35</xm:f>
              <xm:sqref>C35</xm:sqref>
            </x14:sparkline>
            <x14:sparkline>
              <xm:f>'NS beam trawl over 300kW'!D36:N36</xm:f>
              <xm:sqref>C36</xm:sqref>
            </x14:sparkline>
            <x14:sparkline>
              <xm:f>'NS beam trawl over 300kW'!D37:N37</xm:f>
              <xm:sqref>C37</xm:sqref>
            </x14:sparkline>
            <x14:sparkline>
              <xm:f>'NS beam trawl over 300kW'!D38:M38</xm:f>
              <xm:sqref>C38</xm:sqref>
            </x14:sparkline>
            <x14:sparkline>
              <xm:f>'NS beam trawl over 300kW'!D39:M39</xm:f>
              <xm:sqref>C39</xm:sqref>
            </x14:sparkline>
            <x14:sparkline>
              <xm:f>'NS beam trawl over 300kW'!D40:M40</xm:f>
              <xm:sqref>C40</xm:sqref>
            </x14:sparkline>
            <x14:sparkline>
              <xm:f>'NS beam trawl over 300kW'!D41:M41</xm:f>
              <xm:sqref>C41</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279</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29</v>
      </c>
      <c r="E3" s="22">
        <v>27</v>
      </c>
      <c r="F3" s="22">
        <v>27</v>
      </c>
      <c r="G3" s="22">
        <v>13</v>
      </c>
      <c r="H3" s="22">
        <v>25</v>
      </c>
      <c r="I3" s="22">
        <v>18</v>
      </c>
      <c r="J3" s="22">
        <v>20</v>
      </c>
      <c r="K3" s="22">
        <v>8</v>
      </c>
      <c r="L3" s="22">
        <v>22</v>
      </c>
      <c r="M3" s="22">
        <v>20</v>
      </c>
      <c r="N3" s="22">
        <v>21</v>
      </c>
      <c r="O3" s="23">
        <f t="shared" ref="O3:O41" si="0">IF(N3=0,"",IFERROR(IF(AND(N3&gt;0,D3&lt;0),"na",IF(AND(N3&lt;0,D3&lt;0),-1,1)*(N3-D3)/D3),""))</f>
        <v>-0.27586206896551724</v>
      </c>
      <c r="P3" s="23">
        <f>IF(N3=0,"",IFERROR(IF(AND(N3&gt;0,J3&lt;0),"na",IF(AND(N3&lt;0,J3&lt;0),-1,1)*(N3-J3)/J3),""))</f>
        <v>0.05</v>
      </c>
    </row>
    <row r="4" spans="1:17" ht="18" customHeight="1" x14ac:dyDescent="0.2">
      <c r="A4" s="224"/>
      <c r="B4" s="24" t="s">
        <v>51</v>
      </c>
      <c r="C4" s="25"/>
      <c r="D4" s="26">
        <v>4796</v>
      </c>
      <c r="E4" s="26">
        <v>5082</v>
      </c>
      <c r="F4" s="26">
        <v>5017</v>
      </c>
      <c r="G4" s="26">
        <v>2618</v>
      </c>
      <c r="H4" s="26">
        <v>4552</v>
      </c>
      <c r="I4" s="26">
        <v>3423</v>
      </c>
      <c r="J4" s="26">
        <v>3780</v>
      </c>
      <c r="K4" s="26">
        <v>1643</v>
      </c>
      <c r="L4" s="26">
        <v>4182</v>
      </c>
      <c r="M4" s="26">
        <v>3839</v>
      </c>
      <c r="N4" s="26">
        <v>4051</v>
      </c>
      <c r="O4" s="23">
        <f t="shared" si="0"/>
        <v>-0.15533778148457048</v>
      </c>
      <c r="P4" s="23">
        <f t="shared" ref="P4:P41" si="1">IF(N4=0,"",IFERROR(IF(AND(N4&gt;0,J4&lt;0),"na",IF(AND(N4&lt;0,J4&lt;0),-1,1)*(N4-J4)/J4),""))</f>
        <v>7.1693121693121697E-2</v>
      </c>
    </row>
    <row r="5" spans="1:17" ht="18" customHeight="1" x14ac:dyDescent="0.2">
      <c r="A5" s="224"/>
      <c r="B5" s="24" t="s">
        <v>52</v>
      </c>
      <c r="C5" s="25"/>
      <c r="D5" s="26">
        <v>714</v>
      </c>
      <c r="E5" s="26">
        <v>759</v>
      </c>
      <c r="F5" s="26">
        <v>991</v>
      </c>
      <c r="G5" s="26">
        <v>550</v>
      </c>
      <c r="H5" s="26">
        <v>601</v>
      </c>
      <c r="I5" s="26">
        <v>541</v>
      </c>
      <c r="J5" s="26">
        <v>525</v>
      </c>
      <c r="K5" s="26">
        <v>237</v>
      </c>
      <c r="L5" s="26">
        <v>586</v>
      </c>
      <c r="M5" s="26">
        <v>507</v>
      </c>
      <c r="N5" s="26">
        <v>527</v>
      </c>
      <c r="O5" s="23">
        <f t="shared" si="0"/>
        <v>-0.26190476190476192</v>
      </c>
      <c r="P5" s="23">
        <f t="shared" si="1"/>
        <v>3.8095238095238095E-3</v>
      </c>
      <c r="Q5" s="27"/>
    </row>
    <row r="6" spans="1:17" ht="18" customHeight="1" x14ac:dyDescent="0.2">
      <c r="A6" s="224"/>
      <c r="B6" s="24" t="s">
        <v>53</v>
      </c>
      <c r="C6" s="25"/>
      <c r="D6" s="26">
        <v>4098.30517578125</v>
      </c>
      <c r="E6" s="26">
        <v>4273.38134765625</v>
      </c>
      <c r="F6" s="26">
        <v>4400.39208984375</v>
      </c>
      <c r="G6" s="26">
        <v>2315.19677734375</v>
      </c>
      <c r="H6" s="26">
        <v>3770.97119140625</v>
      </c>
      <c r="I6" s="26">
        <v>2939.835205078125</v>
      </c>
      <c r="J6" s="26">
        <v>3133.176025390625</v>
      </c>
      <c r="K6" s="26">
        <v>1358.0228271484375</v>
      </c>
      <c r="L6" s="26">
        <v>3451.503662109375</v>
      </c>
      <c r="M6" s="26">
        <v>3127.983154296875</v>
      </c>
      <c r="N6" s="26">
        <v>3307.971923828125</v>
      </c>
      <c r="O6" s="23">
        <f t="shared" si="0"/>
        <v>-0.19284392402585435</v>
      </c>
      <c r="P6" s="23">
        <f t="shared" si="1"/>
        <v>5.5788725887402871E-2</v>
      </c>
    </row>
    <row r="7" spans="1:17" ht="18" customHeight="1" x14ac:dyDescent="0.2">
      <c r="A7" s="224"/>
      <c r="B7" s="24" t="s">
        <v>54</v>
      </c>
      <c r="C7" s="25"/>
      <c r="D7" s="26">
        <v>602.4437255859375</v>
      </c>
      <c r="E7" s="26">
        <v>1034.9739990234375</v>
      </c>
      <c r="F7" s="26">
        <v>1563.2025146484375</v>
      </c>
      <c r="G7" s="26">
        <v>605.5247802734375</v>
      </c>
      <c r="H7" s="26">
        <v>1628.461181640625</v>
      </c>
      <c r="I7" s="26">
        <v>1101.98291015625</v>
      </c>
      <c r="J7" s="26">
        <v>1413.343017578125</v>
      </c>
      <c r="K7" s="26">
        <v>661.0830078125</v>
      </c>
      <c r="L7" s="26">
        <v>816.9619140625</v>
      </c>
      <c r="M7" s="26">
        <v>473.60379028320312</v>
      </c>
      <c r="N7" s="26">
        <v>950.968505859375</v>
      </c>
      <c r="O7" s="23">
        <f t="shared" si="0"/>
        <v>0.57851840009531497</v>
      </c>
      <c r="P7" s="23">
        <f t="shared" si="1"/>
        <v>-0.32714953551124853</v>
      </c>
    </row>
    <row r="8" spans="1:17" ht="18" customHeight="1" x14ac:dyDescent="0.2">
      <c r="A8" s="224"/>
      <c r="B8" s="24" t="s">
        <v>55</v>
      </c>
      <c r="C8" s="27"/>
      <c r="D8" s="28">
        <f ca="1">2.30293375*OFFSET(D$112,MATCH($N$1,$C$112:$C$113,0)-1,0)</f>
        <v>2.3029337499999998</v>
      </c>
      <c r="E8" s="28">
        <f ca="1">1.926829625*OFFSET(E$112,MATCH($N$1,$C$112:$C$113,0)-1,0)</f>
        <v>1.9268296250000001</v>
      </c>
      <c r="F8" s="28">
        <f ca="1">3.43907625*OFFSET(F$112,MATCH($N$1,$C$112:$C$113,0)-1,0)</f>
        <v>3.4390762499999998</v>
      </c>
      <c r="G8" s="28">
        <f ca="1">0.9996671875*OFFSET(G$112,MATCH($N$1,$C$112:$C$113,0)-1,0)</f>
        <v>0.99966718750000005</v>
      </c>
      <c r="H8" s="28">
        <f ca="1">3.02295725*OFFSET(H$112,MATCH($N$1,$C$112:$C$113,0)-1,0)</f>
        <v>3.0229572500000002</v>
      </c>
      <c r="I8" s="28">
        <f ca="1">2.25808525*OFFSET(I$112,MATCH($N$1,$C$112:$C$113,0)-1,0)</f>
        <v>2.2580852500000002</v>
      </c>
      <c r="J8" s="28">
        <f ca="1">1.371647125*OFFSET(J$112,MATCH($N$1,$C$112:$C$113,0)-1,0)</f>
        <v>1.371647125</v>
      </c>
      <c r="K8" s="28">
        <f ca="1">0.8133531875*OFFSET(K$112,MATCH($N$1,$C$112:$C$113,0)-1,0)</f>
        <v>0.81335318749999996</v>
      </c>
      <c r="L8" s="28">
        <f ca="1">2.45060375*OFFSET(L$112,MATCH($N$1,$C$112:$C$113,0)-1,0)</f>
        <v>2.45060375</v>
      </c>
      <c r="M8" s="28">
        <f ca="1">1.95576475*OFFSET(M$112,MATCH($N$1,$C$112:$C$113,0)-1,0)</f>
        <v>1.9557647499999999</v>
      </c>
      <c r="N8" s="28">
        <v>2.1947669999999997</v>
      </c>
      <c r="O8" s="23">
        <f t="shared" ca="1" si="0"/>
        <v>-4.6969110596429491E-2</v>
      </c>
      <c r="P8" s="23">
        <f t="shared" ca="1" si="1"/>
        <v>0.60009594304365987</v>
      </c>
    </row>
    <row r="9" spans="1:17" ht="18" customHeight="1" x14ac:dyDescent="0.2">
      <c r="A9" s="224"/>
      <c r="B9" s="24" t="s">
        <v>56</v>
      </c>
      <c r="C9" s="27"/>
      <c r="D9" s="26">
        <v>2131</v>
      </c>
      <c r="E9" s="26">
        <v>2797</v>
      </c>
      <c r="F9" s="26">
        <v>2959</v>
      </c>
      <c r="G9" s="26">
        <v>1026</v>
      </c>
      <c r="H9" s="26">
        <v>2213</v>
      </c>
      <c r="I9" s="26">
        <v>2108</v>
      </c>
      <c r="J9" s="26">
        <v>2305</v>
      </c>
      <c r="K9" s="26">
        <v>958</v>
      </c>
      <c r="L9" s="26">
        <v>2204</v>
      </c>
      <c r="M9" s="26">
        <v>2087</v>
      </c>
      <c r="N9" s="26">
        <v>2156</v>
      </c>
      <c r="O9" s="23">
        <f t="shared" si="0"/>
        <v>1.1731581417175035E-2</v>
      </c>
      <c r="P9" s="23">
        <f t="shared" si="1"/>
        <v>-6.4642082429501091E-2</v>
      </c>
    </row>
    <row r="10" spans="1:17" ht="18" customHeight="1" x14ac:dyDescent="0.2">
      <c r="A10" s="224"/>
      <c r="B10" s="24" t="s">
        <v>57</v>
      </c>
      <c r="C10" s="27"/>
      <c r="D10" s="26"/>
      <c r="E10" s="26">
        <v>55.271736145019531</v>
      </c>
      <c r="F10" s="26">
        <v>69.843650817871094</v>
      </c>
      <c r="G10" s="26">
        <v>67.691802978515625</v>
      </c>
      <c r="H10" s="26">
        <v>20.182437896728516</v>
      </c>
      <c r="I10" s="26">
        <v>43.122097015380859</v>
      </c>
      <c r="J10" s="26">
        <v>27.382675170898437</v>
      </c>
      <c r="K10" s="26">
        <v>37.830886840820312</v>
      </c>
      <c r="L10" s="26">
        <v>24.69013786315918</v>
      </c>
      <c r="M10" s="26">
        <v>55.921184539794922</v>
      </c>
      <c r="N10" s="26">
        <v>52.057098388671875</v>
      </c>
      <c r="O10" s="29" t="str">
        <f t="shared" si="0"/>
        <v/>
      </c>
      <c r="P10" s="29">
        <f t="shared" si="1"/>
        <v>0.90109615162790024</v>
      </c>
    </row>
    <row r="11" spans="1:17" ht="18" customHeight="1" x14ac:dyDescent="0.2">
      <c r="A11" s="225" t="s">
        <v>23</v>
      </c>
      <c r="B11" s="30" t="s">
        <v>58</v>
      </c>
      <c r="C11" s="31"/>
      <c r="D11" s="32">
        <v>13.76793098449707</v>
      </c>
      <c r="E11" s="32">
        <v>14.462222099304199</v>
      </c>
      <c r="F11" s="32">
        <v>14.90333366394043</v>
      </c>
      <c r="G11" s="32">
        <v>15.695384979248047</v>
      </c>
      <c r="H11" s="32">
        <v>13.67080020904541</v>
      </c>
      <c r="I11" s="32">
        <v>14.626111030578613</v>
      </c>
      <c r="J11" s="32">
        <v>13.912500381469727</v>
      </c>
      <c r="K11" s="32">
        <v>14.433750152587891</v>
      </c>
      <c r="L11" s="32">
        <v>13.92909049987793</v>
      </c>
      <c r="M11" s="32">
        <v>13.770999908447266</v>
      </c>
      <c r="N11" s="32">
        <v>13.725237846374512</v>
      </c>
      <c r="O11" s="23">
        <f t="shared" si="0"/>
        <v>-3.1009116889554292E-3</v>
      </c>
      <c r="P11" s="23">
        <f t="shared" si="1"/>
        <v>-1.3460020122955949E-2</v>
      </c>
    </row>
    <row r="12" spans="1:17" ht="18" customHeight="1" x14ac:dyDescent="0.2">
      <c r="A12" s="226"/>
      <c r="B12" s="33" t="s">
        <v>51</v>
      </c>
      <c r="C12" s="25"/>
      <c r="D12" s="26">
        <v>165.37930297851562</v>
      </c>
      <c r="E12" s="26">
        <v>188.22222900390625</v>
      </c>
      <c r="F12" s="26">
        <v>185.8148193359375</v>
      </c>
      <c r="G12" s="26">
        <v>201.38461303710937</v>
      </c>
      <c r="H12" s="26">
        <v>182.08000183105469</v>
      </c>
      <c r="I12" s="26">
        <v>190.16667175292969</v>
      </c>
      <c r="J12" s="26">
        <v>189</v>
      </c>
      <c r="K12" s="26">
        <v>205.375</v>
      </c>
      <c r="L12" s="26">
        <v>190.09091186523437</v>
      </c>
      <c r="M12" s="26">
        <v>191.94999694824219</v>
      </c>
      <c r="N12" s="26">
        <v>192.90475463867187</v>
      </c>
      <c r="O12" s="23">
        <f t="shared" si="0"/>
        <v>0.16643830977889701</v>
      </c>
      <c r="P12" s="23">
        <f t="shared" si="1"/>
        <v>2.0660077453290345E-2</v>
      </c>
    </row>
    <row r="13" spans="1:17" ht="18" customHeight="1" x14ac:dyDescent="0.2">
      <c r="A13" s="226"/>
      <c r="B13" s="33" t="s">
        <v>52</v>
      </c>
      <c r="C13" s="25"/>
      <c r="D13" s="26">
        <v>24.620689392089844</v>
      </c>
      <c r="E13" s="26">
        <v>28.111110687255859</v>
      </c>
      <c r="F13" s="26">
        <v>36.703704833984375</v>
      </c>
      <c r="G13" s="26">
        <v>42.307693481445313</v>
      </c>
      <c r="H13" s="26">
        <v>24.040000915527344</v>
      </c>
      <c r="I13" s="26">
        <v>30.05555534362793</v>
      </c>
      <c r="J13" s="26">
        <v>26.25</v>
      </c>
      <c r="K13" s="26">
        <v>29.625</v>
      </c>
      <c r="L13" s="26">
        <v>26.636363983154297</v>
      </c>
      <c r="M13" s="26">
        <v>25.350000381469727</v>
      </c>
      <c r="N13" s="26">
        <v>25.095237731933594</v>
      </c>
      <c r="O13" s="23">
        <f t="shared" si="0"/>
        <v>1.9274372552549778E-2</v>
      </c>
      <c r="P13" s="23">
        <f t="shared" si="1"/>
        <v>-4.3990943545386907E-2</v>
      </c>
    </row>
    <row r="14" spans="1:17" ht="18" customHeight="1" x14ac:dyDescent="0.2">
      <c r="A14" s="226"/>
      <c r="B14" s="33" t="s">
        <v>53</v>
      </c>
      <c r="C14" s="25"/>
      <c r="D14" s="26">
        <v>141.32086181640625</v>
      </c>
      <c r="E14" s="26">
        <v>158.27339172363281</v>
      </c>
      <c r="F14" s="26">
        <v>162.97747802734375</v>
      </c>
      <c r="G14" s="26">
        <v>178.09205627441406</v>
      </c>
      <c r="H14" s="26">
        <v>150.83885192871094</v>
      </c>
      <c r="I14" s="26">
        <v>163.32417297363281</v>
      </c>
      <c r="J14" s="26">
        <v>156.65879821777344</v>
      </c>
      <c r="K14" s="26">
        <v>169.75285339355469</v>
      </c>
      <c r="L14" s="26">
        <v>156.88652038574219</v>
      </c>
      <c r="M14" s="26">
        <v>156.39915466308594</v>
      </c>
      <c r="N14" s="26">
        <v>157.52247619628906</v>
      </c>
      <c r="O14" s="23">
        <f t="shared" si="0"/>
        <v>0.11464418042490264</v>
      </c>
      <c r="P14" s="23">
        <f t="shared" si="1"/>
        <v>5.5131150522105691E-3</v>
      </c>
    </row>
    <row r="15" spans="1:17" ht="18" customHeight="1" x14ac:dyDescent="0.2">
      <c r="A15" s="226"/>
      <c r="B15" s="33" t="s">
        <v>54</v>
      </c>
      <c r="C15" s="27"/>
      <c r="D15" s="28">
        <v>20.773920059204102</v>
      </c>
      <c r="E15" s="28">
        <v>38.332370758056641</v>
      </c>
      <c r="F15" s="28">
        <v>57.896389007568359</v>
      </c>
      <c r="G15" s="28">
        <v>46.578830718994141</v>
      </c>
      <c r="H15" s="28">
        <v>65.138450622558594</v>
      </c>
      <c r="I15" s="28">
        <v>61.221271514892578</v>
      </c>
      <c r="J15" s="28">
        <v>70.667152404785156</v>
      </c>
      <c r="K15" s="28">
        <v>82.6353759765625</v>
      </c>
      <c r="L15" s="28">
        <v>37.134632110595703</v>
      </c>
      <c r="M15" s="28">
        <v>23.68018913269043</v>
      </c>
      <c r="N15" s="28">
        <v>45.284214019775391</v>
      </c>
      <c r="O15" s="23">
        <f t="shared" si="0"/>
        <v>1.1798588754899799</v>
      </c>
      <c r="P15" s="23">
        <f t="shared" si="1"/>
        <v>-0.35919005536851073</v>
      </c>
    </row>
    <row r="16" spans="1:17" ht="18" customHeight="1" x14ac:dyDescent="0.2">
      <c r="A16" s="226"/>
      <c r="B16" s="33" t="s">
        <v>59</v>
      </c>
      <c r="C16" s="27"/>
      <c r="D16" s="28">
        <f ca="1">79.4115078125*OFFSET(D$112,MATCH($N$1,$C$112:$C$113,0)-1,0)</f>
        <v>79.411507812500005</v>
      </c>
      <c r="E16" s="28">
        <f ca="1">71.3640625*OFFSET(E$112,MATCH($N$1,$C$112:$C$113,0)-1,0)</f>
        <v>71.364062500000003</v>
      </c>
      <c r="F16" s="28">
        <f ca="1">127.3731953125*OFFSET(F$112,MATCH($N$1,$C$112:$C$113,0)-1,0)</f>
        <v>127.3731953125</v>
      </c>
      <c r="G16" s="28">
        <f ca="1">76.8974765625*OFFSET(G$112,MATCH($N$1,$C$112:$C$113,0)-1,0)</f>
        <v>76.897476562500003</v>
      </c>
      <c r="H16" s="28">
        <f ca="1">120.9182890625*OFFSET(H$112,MATCH($N$1,$C$112:$C$113,0)-1,0)</f>
        <v>120.91828906249999</v>
      </c>
      <c r="I16" s="28">
        <f ca="1">125.4491796875*OFFSET(I$112,MATCH($N$1,$C$112:$C$113,0)-1,0)</f>
        <v>125.44917968750001</v>
      </c>
      <c r="J16" s="28">
        <f ca="1">68.5823515625*OFFSET(J$112,MATCH($N$1,$C$112:$C$113,0)-1,0)</f>
        <v>68.582351562499994</v>
      </c>
      <c r="K16" s="28">
        <f ca="1">101.6691484375*OFFSET(K$112,MATCH($N$1,$C$112:$C$113,0)-1,0)</f>
        <v>101.6691484375</v>
      </c>
      <c r="L16" s="28">
        <f ca="1">111.391078125*OFFSET(L$112,MATCH($N$1,$C$112:$C$113,0)-1,0)</f>
        <v>111.39107812500001</v>
      </c>
      <c r="M16" s="28">
        <f ca="1">97.788234375*OFFSET(M$112,MATCH($N$1,$C$112:$C$113,0)-1,0)</f>
        <v>97.788234375000002</v>
      </c>
      <c r="N16" s="28">
        <v>104.5127109375</v>
      </c>
      <c r="O16" s="23">
        <f t="shared" ca="1" si="0"/>
        <v>0.31609024707435246</v>
      </c>
      <c r="P16" s="23">
        <f t="shared" ca="1" si="1"/>
        <v>0.52390095347279253</v>
      </c>
    </row>
    <row r="17" spans="1:16" ht="18" customHeight="1" x14ac:dyDescent="0.2">
      <c r="A17" s="226"/>
      <c r="B17" s="33" t="s">
        <v>56</v>
      </c>
      <c r="C17" s="25"/>
      <c r="D17" s="26">
        <v>73.482757568359375</v>
      </c>
      <c r="E17" s="26">
        <v>103.59259033203125</v>
      </c>
      <c r="F17" s="26">
        <v>109.59259033203125</v>
      </c>
      <c r="G17" s="26">
        <v>78.923080444335938</v>
      </c>
      <c r="H17" s="26">
        <v>88.519996643066406</v>
      </c>
      <c r="I17" s="26">
        <v>117.11111450195312</v>
      </c>
      <c r="J17" s="26">
        <v>115.25</v>
      </c>
      <c r="K17" s="26">
        <v>119.75</v>
      </c>
      <c r="L17" s="26">
        <v>100.18181610107422</v>
      </c>
      <c r="M17" s="26">
        <v>104.34999847412109</v>
      </c>
      <c r="N17" s="26">
        <v>102.66666412353516</v>
      </c>
      <c r="O17" s="23">
        <f t="shared" si="0"/>
        <v>0.3971531216425383</v>
      </c>
      <c r="P17" s="23">
        <f t="shared" si="1"/>
        <v>-0.1091829577133609</v>
      </c>
    </row>
    <row r="18" spans="1:16" ht="18" customHeight="1" x14ac:dyDescent="0.2">
      <c r="A18" s="226"/>
      <c r="B18" s="33" t="s">
        <v>60</v>
      </c>
      <c r="C18" s="25"/>
      <c r="D18" s="26">
        <v>23.241378784179687</v>
      </c>
      <c r="E18" s="26">
        <v>18.925926208496094</v>
      </c>
      <c r="F18" s="26">
        <v>17.296297073364258</v>
      </c>
      <c r="G18" s="26">
        <v>19.538461685180664</v>
      </c>
      <c r="H18" s="26">
        <v>16.479999542236328</v>
      </c>
      <c r="I18" s="26">
        <v>19</v>
      </c>
      <c r="J18" s="26">
        <v>18.200000762939453</v>
      </c>
      <c r="K18" s="26">
        <v>20</v>
      </c>
      <c r="L18" s="26">
        <v>20.045454025268555</v>
      </c>
      <c r="M18" s="26">
        <v>19.25</v>
      </c>
      <c r="N18" s="26">
        <v>20.142856597900391</v>
      </c>
      <c r="O18" s="23">
        <f t="shared" si="0"/>
        <v>-0.13331920687891582</v>
      </c>
      <c r="P18" s="23">
        <f t="shared" si="1"/>
        <v>0.10675031612730274</v>
      </c>
    </row>
    <row r="19" spans="1:16" ht="18" customHeight="1" x14ac:dyDescent="0.2">
      <c r="A19" s="226"/>
      <c r="B19" s="33" t="s">
        <v>61</v>
      </c>
      <c r="C19" s="25"/>
      <c r="D19" s="34">
        <v>0.2827046811580658</v>
      </c>
      <c r="E19" s="34">
        <v>0.37003004550933838</v>
      </c>
      <c r="F19" s="34">
        <v>0.52828741073608398</v>
      </c>
      <c r="G19" s="34">
        <v>0.59018009901046753</v>
      </c>
      <c r="H19" s="34">
        <v>0.73586142063140869</v>
      </c>
      <c r="I19" s="34">
        <v>0.5227622389793396</v>
      </c>
      <c r="J19" s="34">
        <v>0.61316400766372681</v>
      </c>
      <c r="K19" s="34">
        <v>0.69006574153900146</v>
      </c>
      <c r="L19" s="34">
        <v>0.37067237496376038</v>
      </c>
      <c r="M19" s="34">
        <v>0.22693042457103729</v>
      </c>
      <c r="N19" s="34">
        <v>0.4410800039768219</v>
      </c>
      <c r="O19" s="23">
        <f t="shared" si="0"/>
        <v>0.56021471653737953</v>
      </c>
      <c r="P19" s="23">
        <f t="shared" si="1"/>
        <v>-0.28064922522536534</v>
      </c>
    </row>
    <row r="20" spans="1:16" ht="18" customHeight="1" x14ac:dyDescent="0.2">
      <c r="A20" s="227"/>
      <c r="B20" s="35" t="s">
        <v>24</v>
      </c>
      <c r="C20" s="36"/>
      <c r="D20" s="37">
        <f ca="1">3823*OFFSET(D$112,MATCH($N$1,$C$112:$C$113,0)-1,0)</f>
        <v>3823</v>
      </c>
      <c r="E20" s="37">
        <f ca="1">1862*OFFSET(E$112,MATCH($N$1,$C$112:$C$113,0)-1,0)</f>
        <v>1862</v>
      </c>
      <c r="F20" s="37">
        <f ca="1">2200*OFFSET(F$112,MATCH($N$1,$C$112:$C$113,0)-1,0)</f>
        <v>2200</v>
      </c>
      <c r="G20" s="37">
        <f ca="1">1651*OFFSET(G$112,MATCH($N$1,$C$112:$C$113,0)-1,0)</f>
        <v>1651</v>
      </c>
      <c r="H20" s="37">
        <f ca="1">1856*OFFSET(H$112,MATCH($N$1,$C$112:$C$113,0)-1,0)</f>
        <v>1856</v>
      </c>
      <c r="I20" s="37">
        <f ca="1">2049*OFFSET(I$112,MATCH($N$1,$C$112:$C$113,0)-1,0)</f>
        <v>2049</v>
      </c>
      <c r="J20" s="37">
        <f ca="1">970*OFFSET(J$112,MATCH($N$1,$C$112:$C$113,0)-1,0)</f>
        <v>970</v>
      </c>
      <c r="K20" s="37">
        <f ca="1">1230*OFFSET(K$112,MATCH($N$1,$C$112:$C$113,0)-1,0)</f>
        <v>1230</v>
      </c>
      <c r="L20" s="37">
        <f ca="1">3000*OFFSET(L$112,MATCH($N$1,$C$112:$C$113,0)-1,0)</f>
        <v>3000</v>
      </c>
      <c r="M20" s="37">
        <f ca="1">4130*OFFSET(M$112,MATCH($N$1,$C$112:$C$113,0)-1,0)</f>
        <v>4130</v>
      </c>
      <c r="N20" s="37">
        <v>2308</v>
      </c>
      <c r="O20" s="29">
        <f t="shared" ca="1" si="0"/>
        <v>-0.39628563955009155</v>
      </c>
      <c r="P20" s="29">
        <f t="shared" ca="1" si="1"/>
        <v>1.3793814432989691</v>
      </c>
    </row>
    <row r="21" spans="1:16" ht="18" customHeight="1" x14ac:dyDescent="0.2">
      <c r="A21" s="228" t="s">
        <v>25</v>
      </c>
      <c r="B21" s="30" t="s">
        <v>62</v>
      </c>
      <c r="C21" s="38"/>
      <c r="D21" s="39">
        <v>1.641782022273522</v>
      </c>
      <c r="E21" s="39">
        <v>1.9656169142236051</v>
      </c>
      <c r="F21" s="39">
        <v>2.7192324503014338</v>
      </c>
      <c r="G21" s="39">
        <v>3.1895745675305078</v>
      </c>
      <c r="H21" s="39">
        <v>3.9223019947286133</v>
      </c>
      <c r="I21" s="39">
        <v>2.7202065528924475</v>
      </c>
      <c r="J21" s="39">
        <v>3.242810071527813</v>
      </c>
      <c r="K21" s="39">
        <v>3.3062912062321512</v>
      </c>
      <c r="L21" s="39">
        <v>1.9627514255239329</v>
      </c>
      <c r="M21" s="39">
        <v>1.1386183900383613</v>
      </c>
      <c r="N21" s="39">
        <v>2.2305872127263102</v>
      </c>
      <c r="O21" s="23">
        <f t="shared" si="0"/>
        <v>0.35863785963341049</v>
      </c>
      <c r="P21" s="23">
        <f t="shared" si="1"/>
        <v>-0.31214373844737858</v>
      </c>
    </row>
    <row r="22" spans="1:16" ht="18" customHeight="1" x14ac:dyDescent="0.2">
      <c r="A22" s="228"/>
      <c r="B22" s="33" t="s">
        <v>63</v>
      </c>
      <c r="C22" s="25"/>
      <c r="D22" s="34">
        <f ca="1">6.27596455154506*OFFSET(D$112,MATCH($N$1,$C$112:$C$113,0)-1,0)</f>
        <v>6.2759645515450604</v>
      </c>
      <c r="E22" s="34">
        <f ca="1">3.6594242814535*OFFSET(E$112,MATCH($N$1,$C$112:$C$113,0)-1,0)</f>
        <v>3.6594242814535001</v>
      </c>
      <c r="F22" s="34">
        <f ca="1">5.98236490961562*OFFSET(F$112,MATCH($N$1,$C$112:$C$113,0)-1,0)</f>
        <v>5.9823649096156197</v>
      </c>
      <c r="G22" s="34">
        <f ca="1">5.26570185994398*OFFSET(G$112,MATCH($N$1,$C$112:$C$113,0)-1,0)</f>
        <v>5.26570185994398</v>
      </c>
      <c r="H22" s="34">
        <f ca="1">7.2810765662388*OFFSET(H$112,MATCH($N$1,$C$112:$C$113,0)-1,0)</f>
        <v>7.2810765662388004</v>
      </c>
      <c r="I22" s="34">
        <f ca="1">5.5740051161451*OFFSET(I$112,MATCH($N$1,$C$112:$C$113,0)-1,0)</f>
        <v>5.5740051161451003</v>
      </c>
      <c r="J22" s="34">
        <f ca="1">3.14714167484803*OFFSET(J$112,MATCH($N$1,$C$112:$C$113,0)-1,0)</f>
        <v>3.1471416748480299</v>
      </c>
      <c r="K22" s="34">
        <f ca="1">4.06784391613778*OFFSET(K$112,MATCH($N$1,$C$112:$C$113,0)-1,0)</f>
        <v>4.0678439161377797</v>
      </c>
      <c r="L22" s="34">
        <f ca="1">5.88757677009835*OFFSET(L$112,MATCH($N$1,$C$112:$C$113,0)-1,0)</f>
        <v>5.8875767700983497</v>
      </c>
      <c r="M22" s="34">
        <f ca="1">4.7019675968317*OFFSET(M$112,MATCH($N$1,$C$112:$C$113,0)-1,0)</f>
        <v>4.7019675968317003</v>
      </c>
      <c r="N22" s="34">
        <v>5.1480349528147773</v>
      </c>
      <c r="O22" s="23">
        <f t="shared" ca="1" si="0"/>
        <v>-0.17972211115383077</v>
      </c>
      <c r="P22" s="23">
        <f t="shared" ca="1" si="1"/>
        <v>0.63578112607954551</v>
      </c>
    </row>
    <row r="23" spans="1:16" ht="18" customHeight="1" x14ac:dyDescent="0.2">
      <c r="A23" s="228"/>
      <c r="B23" s="33" t="s">
        <v>11</v>
      </c>
      <c r="C23" s="25"/>
      <c r="D23" s="34">
        <f ca="1">8.51362195157905*OFFSET(D$112,MATCH($N$1,$C$112:$C$113,0)-1,0)</f>
        <v>8.5136219515790508</v>
      </c>
      <c r="E23" s="34">
        <f ca="1">3.4706015129087*OFFSET(E$112,MATCH($N$1,$C$112:$C$113,0)-1,0)</f>
        <v>3.4706015129086998</v>
      </c>
      <c r="F23" s="34">
        <f ca="1">6.51016411465873*OFFSET(F$112,MATCH($N$1,$C$112:$C$113,0)-1,0)</f>
        <v>6.5101641146587301</v>
      </c>
      <c r="G23" s="34">
        <f ca="1">6.97750506638884*OFFSET(G$112,MATCH($N$1,$C$112:$C$113,0)-1,0)</f>
        <v>6.97750506638884</v>
      </c>
      <c r="H23" s="34">
        <f ca="1">7.37285411094539*OFFSET(H$112,MATCH($N$1,$C$112:$C$113,0)-1,0)</f>
        <v>7.37285411094539</v>
      </c>
      <c r="I23" s="34">
        <f ca="1">6.26802060447297*OFFSET(I$112,MATCH($N$1,$C$112:$C$113,0)-1,0)</f>
        <v>6.2680206044729703</v>
      </c>
      <c r="J23" s="34">
        <f ca="1">5.25621443080596*OFFSET(J$112,MATCH($N$1,$C$112:$C$113,0)-1,0)</f>
        <v>5.2562144308059597</v>
      </c>
      <c r="K23" s="34">
        <f ca="1">4.3388979634779*OFFSET(K$112,MATCH($N$1,$C$112:$C$113,0)-1,0)</f>
        <v>4.3388979634779004</v>
      </c>
      <c r="L23" s="34">
        <f ca="1">6.6829194667177*OFFSET(L$112,MATCH($N$1,$C$112:$C$113,0)-1,0)</f>
        <v>6.6829194667177001</v>
      </c>
      <c r="M23" s="34">
        <f ca="1">5.04342680272887*OFFSET(M$112,MATCH($N$1,$C$112:$C$113,0)-1,0)</f>
        <v>5.0434268027288702</v>
      </c>
      <c r="N23" s="34">
        <v>5.5444555619896025</v>
      </c>
      <c r="O23" s="23">
        <f t="shared" ca="1" si="0"/>
        <v>-0.34875478456484044</v>
      </c>
      <c r="P23" s="23">
        <f t="shared" ca="1" si="1"/>
        <v>5.4838160615042764E-2</v>
      </c>
    </row>
    <row r="24" spans="1:16" ht="18" customHeight="1" x14ac:dyDescent="0.2">
      <c r="A24" s="228"/>
      <c r="B24" s="33" t="s">
        <v>12</v>
      </c>
      <c r="C24" s="25"/>
      <c r="D24" s="34">
        <f ca="1">-2.23765740003399*OFFSET(D$112,MATCH($N$1,$C$112:$C$113,0)-1,0)</f>
        <v>-2.2376574000339899</v>
      </c>
      <c r="E24" s="34">
        <f ca="1">0.320065820441995*OFFSET(E$112,MATCH($N$1,$C$112:$C$113,0)-1,0)</f>
        <v>0.320065820441995</v>
      </c>
      <c r="F24" s="34">
        <f ca="1">-0.230045627920545*OFFSET(F$112,MATCH($N$1,$C$112:$C$113,0)-1,0)</f>
        <v>-0.230045627920545</v>
      </c>
      <c r="G24" s="34">
        <f ca="1">-1.39307052419947*OFFSET(G$112,MATCH($N$1,$C$112:$C$113,0)-1,0)</f>
        <v>-1.3930705241994701</v>
      </c>
      <c r="H24" s="34">
        <f ca="1">0.231514599866445*OFFSET(H$112,MATCH($N$1,$C$112:$C$113,0)-1,0)</f>
        <v>0.23151459986644499</v>
      </c>
      <c r="I24" s="34">
        <f ca="1">-0.310416597783467*OFFSET(I$112,MATCH($N$1,$C$112:$C$113,0)-1,0)</f>
        <v>-0.31041659778346697</v>
      </c>
      <c r="J24" s="34">
        <f ca="1">-1.95805342390099*OFFSET(J$112,MATCH($N$1,$C$112:$C$113,0)-1,0)</f>
        <v>-1.9580534239009899</v>
      </c>
      <c r="K24" s="34">
        <f ca="1">0.00641958082759119*OFFSET(K$112,MATCH($N$1,$C$112:$C$113,0)-1,0)</f>
        <v>6.4195808275911903E-3</v>
      </c>
      <c r="L24" s="34">
        <f ca="1">-0.131958563632015*OFFSET(L$112,MATCH($N$1,$C$112:$C$113,0)-1,0)</f>
        <v>-0.131958563632015</v>
      </c>
      <c r="M24" s="34">
        <f ca="1">0.0503009928515738*OFFSET(M$112,MATCH($N$1,$C$112:$C$113,0)-1,0)</f>
        <v>5.03009928515738E-2</v>
      </c>
      <c r="N24" s="34">
        <v>3.2505194405502369E-2</v>
      </c>
      <c r="O24" s="23" t="str">
        <f t="shared" ca="1" si="0"/>
        <v>na</v>
      </c>
      <c r="P24" s="23" t="str">
        <f t="shared" ca="1" si="1"/>
        <v>na</v>
      </c>
    </row>
    <row r="25" spans="1:16" ht="18" customHeight="1" x14ac:dyDescent="0.2">
      <c r="A25" s="228"/>
      <c r="B25" s="33" t="s">
        <v>64</v>
      </c>
      <c r="C25" s="25"/>
      <c r="D25" s="28"/>
      <c r="E25" s="28">
        <f ca="1">34.88*OFFSET(E$112,MATCH($N$1,$C$112:$C$113,0)-1,0)</f>
        <v>34.880000000000003</v>
      </c>
      <c r="F25" s="28">
        <f ca="1">49.25*OFFSET(F$112,MATCH($N$1,$C$112:$C$113,0)-1,0)</f>
        <v>49.25</v>
      </c>
      <c r="G25" s="28">
        <f ca="1">14.77*OFFSET(G$112,MATCH($N$1,$C$112:$C$113,0)-1,0)</f>
        <v>14.77</v>
      </c>
      <c r="H25" s="28">
        <f ca="1">149.76*OFFSET(H$112,MATCH($N$1,$C$112:$C$113,0)-1,0)</f>
        <v>149.76</v>
      </c>
      <c r="I25" s="28">
        <f ca="1">52.34*OFFSET(I$112,MATCH($N$1,$C$112:$C$113,0)-1,0)</f>
        <v>52.34</v>
      </c>
      <c r="J25" s="28">
        <f ca="1">50.1*OFFSET(J$112,MATCH($N$1,$C$112:$C$113,0)-1,0)</f>
        <v>50.1</v>
      </c>
      <c r="K25" s="28">
        <f ca="1">21.51*OFFSET(K$112,MATCH($N$1,$C$112:$C$113,0)-1,0)</f>
        <v>21.51</v>
      </c>
      <c r="L25" s="28">
        <f ca="1">99.26*OFFSET(L$112,MATCH($N$1,$C$112:$C$113,0)-1,0)</f>
        <v>99.26</v>
      </c>
      <c r="M25" s="28">
        <f ca="1">34.98*OFFSET(M$112,MATCH($N$1,$C$112:$C$113,0)-1,0)</f>
        <v>34.979999999999997</v>
      </c>
      <c r="N25" s="28">
        <v>42.16</v>
      </c>
      <c r="O25" s="23" t="str">
        <f t="shared" si="0"/>
        <v/>
      </c>
      <c r="P25" s="23">
        <f t="shared" ca="1" si="1"/>
        <v>-0.15848303393213581</v>
      </c>
    </row>
    <row r="26" spans="1:16" ht="18" customHeight="1" x14ac:dyDescent="0.2">
      <c r="A26" s="229"/>
      <c r="B26" s="33" t="s">
        <v>65</v>
      </c>
      <c r="C26" s="40"/>
      <c r="D26" s="28"/>
      <c r="E26" s="28">
        <f ca="1">3.03*OFFSET(E$112,MATCH($N$1,$C$112:$C$113,0)-1,0)</f>
        <v>3.03</v>
      </c>
      <c r="F26" s="28">
        <f ca="1">-1.89*OFFSET(F$112,MATCH($N$1,$C$112:$C$113,0)-1,0)</f>
        <v>-1.89</v>
      </c>
      <c r="G26" s="28">
        <f ca="1">-3.9*OFFSET(G$112,MATCH($N$1,$C$112:$C$113,0)-1,0)</f>
        <v>-3.9</v>
      </c>
      <c r="H26" s="28">
        <f ca="1">4.71*OFFSET(H$112,MATCH($N$1,$C$112:$C$113,0)-1,0)</f>
        <v>4.71</v>
      </c>
      <c r="I26" s="28">
        <f ca="1">-2.92*OFFSET(I$112,MATCH($N$1,$C$112:$C$113,0)-1,0)</f>
        <v>-2.92</v>
      </c>
      <c r="J26" s="28">
        <f ca="1">-31.19*OFFSET(J$112,MATCH($N$1,$C$112:$C$113,0)-1,0)</f>
        <v>-31.19</v>
      </c>
      <c r="K26" s="28">
        <f ca="1">0.04*OFFSET(K$112,MATCH($N$1,$C$112:$C$113,0)-1,0)</f>
        <v>0.04</v>
      </c>
      <c r="L26" s="28">
        <f ca="1">-2.23*OFFSET(L$112,MATCH($N$1,$C$112:$C$113,0)-1,0)</f>
        <v>-2.23</v>
      </c>
      <c r="M26" s="28">
        <f ca="1">0.36*OFFSET(M$112,MATCH($N$1,$C$112:$C$113,0)-1,0)</f>
        <v>0.36</v>
      </c>
      <c r="N26" s="28">
        <v>0.28000000000000003</v>
      </c>
      <c r="O26" s="29" t="str">
        <f t="shared" si="0"/>
        <v/>
      </c>
      <c r="P26" s="29" t="str">
        <f t="shared" ca="1" si="1"/>
        <v>na</v>
      </c>
    </row>
    <row r="27" spans="1:16" ht="18" customHeight="1" x14ac:dyDescent="0.2">
      <c r="A27" s="230" t="s">
        <v>26</v>
      </c>
      <c r="B27" s="30" t="s">
        <v>59</v>
      </c>
      <c r="C27" s="31"/>
      <c r="D27" s="32">
        <f ca="1">79.4*OFFSET(D$112,MATCH($N$1,$C$112:$C$113,0)-1,0)</f>
        <v>79.400000000000006</v>
      </c>
      <c r="E27" s="32">
        <f ca="1">71.4*OFFSET(E$112,MATCH($N$1,$C$112:$C$113,0)-1,0)</f>
        <v>71.400000000000006</v>
      </c>
      <c r="F27" s="32">
        <f ca="1">127.4*OFFSET(F$112,MATCH($N$1,$C$112:$C$113,0)-1,0)</f>
        <v>127.4</v>
      </c>
      <c r="G27" s="32">
        <f ca="1">76.9*OFFSET(G$112,MATCH($N$1,$C$112:$C$113,0)-1,0)</f>
        <v>76.900000000000006</v>
      </c>
      <c r="H27" s="32">
        <f ca="1">120.9*OFFSET(H$112,MATCH($N$1,$C$112:$C$113,0)-1,0)</f>
        <v>120.9</v>
      </c>
      <c r="I27" s="32">
        <f ca="1">125.4*OFFSET(I$112,MATCH($N$1,$C$112:$C$113,0)-1,0)</f>
        <v>125.4</v>
      </c>
      <c r="J27" s="32">
        <f ca="1">68.6*OFFSET(J$112,MATCH($N$1,$C$112:$C$113,0)-1,0)</f>
        <v>68.599999999999994</v>
      </c>
      <c r="K27" s="32">
        <f ca="1">101.7*OFFSET(K$112,MATCH($N$1,$C$112:$C$113,0)-1,0)</f>
        <v>101.7</v>
      </c>
      <c r="L27" s="32">
        <f ca="1">111.4*OFFSET(L$112,MATCH($N$1,$C$112:$C$113,0)-1,0)</f>
        <v>111.4</v>
      </c>
      <c r="M27" s="32">
        <f ca="1">97.8*OFFSET(M$112,MATCH($N$1,$C$112:$C$113,0)-1,0)</f>
        <v>97.8</v>
      </c>
      <c r="N27" s="32">
        <v>104.5</v>
      </c>
      <c r="O27" s="23">
        <f t="shared" ca="1" si="0"/>
        <v>0.31612090680100746</v>
      </c>
      <c r="P27" s="23">
        <f t="shared" ca="1" si="1"/>
        <v>0.52332361516034998</v>
      </c>
    </row>
    <row r="28" spans="1:16" ht="18" customHeight="1" x14ac:dyDescent="0.2">
      <c r="A28" s="231"/>
      <c r="B28" s="33" t="s">
        <v>66</v>
      </c>
      <c r="C28" s="27"/>
      <c r="D28" s="28"/>
      <c r="E28" s="28">
        <f ca="1">2.6*OFFSET(E$112,MATCH($N$1,$C$112:$C$113,0)-1,0)</f>
        <v>2.6</v>
      </c>
      <c r="F28" s="28">
        <f ca="1">6.3*OFFSET(F$112,MATCH($N$1,$C$112:$C$113,0)-1,0)</f>
        <v>6.3</v>
      </c>
      <c r="G28" s="28">
        <f ca="1">4.7*OFFSET(G$112,MATCH($N$1,$C$112:$C$113,0)-1,0)</f>
        <v>4.7</v>
      </c>
      <c r="H28" s="28">
        <f ca="1">5.4*OFFSET(H$112,MATCH($N$1,$C$112:$C$113,0)-1,0)</f>
        <v>5.4</v>
      </c>
      <c r="I28" s="28">
        <f ca="1">8.6*OFFSET(I$112,MATCH($N$1,$C$112:$C$113,0)-1,0)</f>
        <v>8.6</v>
      </c>
      <c r="J28" s="28">
        <f ca="1">3.3*OFFSET(J$112,MATCH($N$1,$C$112:$C$113,0)-1,0)</f>
        <v>3.3</v>
      </c>
      <c r="K28" s="28">
        <f ca="1">6.9*OFFSET(K$112,MATCH($N$1,$C$112:$C$113,0)-1,0)</f>
        <v>6.9</v>
      </c>
      <c r="L28" s="28">
        <f ca="1">12.6*OFFSET(L$112,MATCH($N$1,$C$112:$C$113,0)-1,0)</f>
        <v>12.6</v>
      </c>
      <c r="M28" s="28">
        <f ca="1">8.1*OFFSET(M$112,MATCH($N$1,$C$112:$C$113,0)-1,0)</f>
        <v>8.1</v>
      </c>
      <c r="N28" s="28">
        <v>8.7000000000000011</v>
      </c>
      <c r="O28" s="23" t="str">
        <f t="shared" si="0"/>
        <v/>
      </c>
      <c r="P28" s="23">
        <f t="shared" ca="1" si="1"/>
        <v>1.6363636363636369</v>
      </c>
    </row>
    <row r="29" spans="1:16" ht="18" customHeight="1" x14ac:dyDescent="0.2">
      <c r="A29" s="231"/>
      <c r="B29" s="41" t="s">
        <v>67</v>
      </c>
      <c r="C29" s="42"/>
      <c r="D29" s="43">
        <f ca="1">79.4*OFFSET(D$112,MATCH($N$1,$C$112:$C$113,0)-1,0)</f>
        <v>79.400000000000006</v>
      </c>
      <c r="E29" s="43">
        <f ca="1">73.9*OFFSET(E$112,MATCH($N$1,$C$112:$C$113,0)-1,0)</f>
        <v>73.900000000000006</v>
      </c>
      <c r="F29" s="43">
        <f ca="1">133.7*OFFSET(F$112,MATCH($N$1,$C$112:$C$113,0)-1,0)</f>
        <v>133.69999999999999</v>
      </c>
      <c r="G29" s="43">
        <f ca="1">81.6*OFFSET(G$112,MATCH($N$1,$C$112:$C$113,0)-1,0)</f>
        <v>81.599999999999994</v>
      </c>
      <c r="H29" s="43">
        <f ca="1">126.3*OFFSET(H$112,MATCH($N$1,$C$112:$C$113,0)-1,0)</f>
        <v>126.3</v>
      </c>
      <c r="I29" s="43">
        <f ca="1">134.1*OFFSET(I$112,MATCH($N$1,$C$112:$C$113,0)-1,0)</f>
        <v>134.1</v>
      </c>
      <c r="J29" s="43">
        <f ca="1">71.9*OFFSET(J$112,MATCH($N$1,$C$112:$C$113,0)-1,0)</f>
        <v>71.900000000000006</v>
      </c>
      <c r="K29" s="43">
        <f ca="1">108.6*OFFSET(K$112,MATCH($N$1,$C$112:$C$113,0)-1,0)</f>
        <v>108.6</v>
      </c>
      <c r="L29" s="43">
        <f ca="1">123.9*OFFSET(L$112,MATCH($N$1,$C$112:$C$113,0)-1,0)</f>
        <v>123.9</v>
      </c>
      <c r="M29" s="43">
        <f ca="1">105.9*OFFSET(M$112,MATCH($N$1,$C$112:$C$113,0)-1,0)</f>
        <v>105.9</v>
      </c>
      <c r="N29" s="43">
        <v>113.2</v>
      </c>
      <c r="O29" s="23">
        <f t="shared" ca="1" si="0"/>
        <v>0.42569269521410574</v>
      </c>
      <c r="P29" s="23">
        <f t="shared" ca="1" si="1"/>
        <v>0.57440890125173849</v>
      </c>
    </row>
    <row r="30" spans="1:16" ht="18" customHeight="1" x14ac:dyDescent="0.2">
      <c r="A30" s="231"/>
      <c r="B30" s="33" t="s">
        <v>68</v>
      </c>
      <c r="C30" s="27"/>
      <c r="D30" s="28">
        <f ca="1">36.6*OFFSET(D$112,MATCH($N$1,$C$112:$C$113,0)-1,0)</f>
        <v>36.6</v>
      </c>
      <c r="E30" s="28">
        <f ca="1">39.7*OFFSET(E$112,MATCH($N$1,$C$112:$C$113,0)-1,0)</f>
        <v>39.700000000000003</v>
      </c>
      <c r="F30" s="28">
        <f ca="1">54.7*OFFSET(F$112,MATCH($N$1,$C$112:$C$113,0)-1,0)</f>
        <v>54.7</v>
      </c>
      <c r="G30" s="28">
        <f ca="1">48.6*OFFSET(G$112,MATCH($N$1,$C$112:$C$113,0)-1,0)</f>
        <v>48.6</v>
      </c>
      <c r="H30" s="28">
        <f ca="1">55.2*OFFSET(H$112,MATCH($N$1,$C$112:$C$113,0)-1,0)</f>
        <v>55.2</v>
      </c>
      <c r="I30" s="28">
        <f ca="1">72.7*OFFSET(I$112,MATCH($N$1,$C$112:$C$113,0)-1,0)</f>
        <v>72.7</v>
      </c>
      <c r="J30" s="28">
        <f ca="1">63.8*OFFSET(J$112,MATCH($N$1,$C$112:$C$113,0)-1,0)</f>
        <v>63.8</v>
      </c>
      <c r="K30" s="28">
        <f ca="1">50.3*OFFSET(K$112,MATCH($N$1,$C$112:$C$113,0)-1,0)</f>
        <v>50.3</v>
      </c>
      <c r="L30" s="28">
        <f ca="1">37.6*OFFSET(L$112,MATCH($N$1,$C$112:$C$113,0)-1,0)</f>
        <v>37.6</v>
      </c>
      <c r="M30" s="28">
        <f ca="1">47.9*OFFSET(M$112,MATCH($N$1,$C$112:$C$113,0)-1,0)</f>
        <v>47.9</v>
      </c>
      <c r="N30" s="28">
        <v>54.2</v>
      </c>
      <c r="O30" s="23">
        <f t="shared" ca="1" si="0"/>
        <v>0.48087431693989074</v>
      </c>
      <c r="P30" s="23">
        <f t="shared" ca="1" si="1"/>
        <v>-0.1504702194357366</v>
      </c>
    </row>
    <row r="31" spans="1:16" ht="18" customHeight="1" x14ac:dyDescent="0.2">
      <c r="A31" s="231"/>
      <c r="B31" s="33" t="s">
        <v>69</v>
      </c>
      <c r="C31" s="27"/>
      <c r="D31" s="28">
        <f ca="1">39.7*OFFSET(D$112,MATCH($N$1,$C$112:$C$113,0)-1,0)</f>
        <v>39.700000000000003</v>
      </c>
      <c r="E31" s="28">
        <f ca="1">19*OFFSET(E$112,MATCH($N$1,$C$112:$C$113,0)-1,0)</f>
        <v>19</v>
      </c>
      <c r="F31" s="28">
        <f ca="1">25.5*OFFSET(F$112,MATCH($N$1,$C$112:$C$113,0)-1,0)</f>
        <v>25.5</v>
      </c>
      <c r="G31" s="28">
        <f ca="1">12.9*OFFSET(G$112,MATCH($N$1,$C$112:$C$113,0)-1,0)</f>
        <v>12.9</v>
      </c>
      <c r="H31" s="28">
        <f ca="1">21.4*OFFSET(H$112,MATCH($N$1,$C$112:$C$113,0)-1,0)</f>
        <v>21.4</v>
      </c>
      <c r="I31" s="28">
        <f ca="1">19.8*OFFSET(I$112,MATCH($N$1,$C$112:$C$113,0)-1,0)</f>
        <v>19.8</v>
      </c>
      <c r="J31" s="28">
        <f ca="1">10.3*OFFSET(J$112,MATCH($N$1,$C$112:$C$113,0)-1,0)</f>
        <v>10.3</v>
      </c>
      <c r="K31" s="28">
        <f ca="1">11.7*OFFSET(K$112,MATCH($N$1,$C$112:$C$113,0)-1,0)</f>
        <v>11.7</v>
      </c>
      <c r="L31" s="28">
        <f ca="1">17.8*OFFSET(L$112,MATCH($N$1,$C$112:$C$113,0)-1,0)</f>
        <v>17.8</v>
      </c>
      <c r="M31" s="28">
        <f ca="1">20.1*OFFSET(M$112,MATCH($N$1,$C$112:$C$113,0)-1,0)</f>
        <v>20.100000000000001</v>
      </c>
      <c r="N31" s="28">
        <v>18.900000000000002</v>
      </c>
      <c r="O31" s="23">
        <f t="shared" ca="1" si="0"/>
        <v>-0.52392947103274556</v>
      </c>
      <c r="P31" s="23">
        <f t="shared" ca="1" si="1"/>
        <v>0.83495145631067968</v>
      </c>
    </row>
    <row r="32" spans="1:16" ht="18" customHeight="1" x14ac:dyDescent="0.2">
      <c r="A32" s="231"/>
      <c r="B32" s="33" t="s">
        <v>70</v>
      </c>
      <c r="C32" s="27"/>
      <c r="D32" s="28">
        <f ca="1">2.6*OFFSET(D$112,MATCH($N$1,$C$112:$C$113,0)-1,0)</f>
        <v>2.6</v>
      </c>
      <c r="E32" s="28">
        <f ca="1">4.1*OFFSET(E$112,MATCH($N$1,$C$112:$C$113,0)-1,0)</f>
        <v>4.0999999999999996</v>
      </c>
      <c r="F32" s="28">
        <f ca="1">42.4*OFFSET(F$112,MATCH($N$1,$C$112:$C$113,0)-1,0)</f>
        <v>42.4</v>
      </c>
      <c r="G32" s="28">
        <f ca="1">22.8*OFFSET(G$112,MATCH($N$1,$C$112:$C$113,0)-1,0)</f>
        <v>22.8</v>
      </c>
      <c r="H32" s="28">
        <f ca="1">40*OFFSET(H$112,MATCH($N$1,$C$112:$C$113,0)-1,0)</f>
        <v>40</v>
      </c>
      <c r="I32" s="28">
        <f ca="1">41.7*OFFSET(I$112,MATCH($N$1,$C$112:$C$113,0)-1,0)</f>
        <v>41.7</v>
      </c>
      <c r="J32" s="28">
        <f ca="1">32.4*OFFSET(J$112,MATCH($N$1,$C$112:$C$113,0)-1,0)</f>
        <v>32.4</v>
      </c>
      <c r="K32" s="28">
        <f ca="1">41*OFFSET(K$112,MATCH($N$1,$C$112:$C$113,0)-1,0)</f>
        <v>41</v>
      </c>
      <c r="L32" s="28">
        <f ca="1">45.8*OFFSET(L$112,MATCH($N$1,$C$112:$C$113,0)-1,0)</f>
        <v>45.8</v>
      </c>
      <c r="M32" s="28">
        <f ca="1">26.1*OFFSET(M$112,MATCH($N$1,$C$112:$C$113,0)-1,0)</f>
        <v>26.1</v>
      </c>
      <c r="N32" s="28">
        <v>27.900000000000002</v>
      </c>
      <c r="O32" s="23">
        <f t="shared" ca="1" si="0"/>
        <v>9.7307692307692299</v>
      </c>
      <c r="P32" s="23">
        <f t="shared" ca="1" si="1"/>
        <v>-0.13888888888888878</v>
      </c>
    </row>
    <row r="33" spans="1:16" ht="18" customHeight="1" x14ac:dyDescent="0.2">
      <c r="A33" s="231"/>
      <c r="B33" s="33" t="s">
        <v>71</v>
      </c>
      <c r="C33" s="27"/>
      <c r="D33" s="28">
        <f ca="1">78.9*OFFSET(D$112,MATCH($N$1,$C$112:$C$113,0)-1,0)</f>
        <v>78.900000000000006</v>
      </c>
      <c r="E33" s="28">
        <f ca="1">62.8*OFFSET(E$112,MATCH($N$1,$C$112:$C$113,0)-1,0)</f>
        <v>62.8</v>
      </c>
      <c r="F33" s="28">
        <f ca="1">122.6*OFFSET(F$112,MATCH($N$1,$C$112:$C$113,0)-1,0)</f>
        <v>122.6</v>
      </c>
      <c r="G33" s="28">
        <f ca="1">84.3*OFFSET(G$112,MATCH($N$1,$C$112:$C$113,0)-1,0)</f>
        <v>84.3</v>
      </c>
      <c r="H33" s="28">
        <f ca="1">116.7*OFFSET(H$112,MATCH($N$1,$C$112:$C$113,0)-1,0)</f>
        <v>116.7</v>
      </c>
      <c r="I33" s="28">
        <f ca="1">134.2*OFFSET(I$112,MATCH($N$1,$C$112:$C$113,0)-1,0)</f>
        <v>134.19999999999999</v>
      </c>
      <c r="J33" s="28">
        <f ca="1">106.5*OFFSET(J$112,MATCH($N$1,$C$112:$C$113,0)-1,0)</f>
        <v>106.5</v>
      </c>
      <c r="K33" s="28">
        <f ca="1">103*OFFSET(K$112,MATCH($N$1,$C$112:$C$113,0)-1,0)</f>
        <v>103</v>
      </c>
      <c r="L33" s="28">
        <f ca="1">101.1*OFFSET(L$112,MATCH($N$1,$C$112:$C$113,0)-1,0)</f>
        <v>101.1</v>
      </c>
      <c r="M33" s="28">
        <f ca="1">94.1*OFFSET(M$112,MATCH($N$1,$C$112:$C$113,0)-1,0)</f>
        <v>94.1</v>
      </c>
      <c r="N33" s="28">
        <v>101.10000000000001</v>
      </c>
      <c r="O33" s="23">
        <f t="shared" ca="1" si="0"/>
        <v>0.28136882129277568</v>
      </c>
      <c r="P33" s="23">
        <f t="shared" ca="1" si="1"/>
        <v>-5.0704225352112595E-2</v>
      </c>
    </row>
    <row r="34" spans="1:16" ht="18" customHeight="1" x14ac:dyDescent="0.2">
      <c r="A34" s="231"/>
      <c r="B34" s="33" t="s">
        <v>72</v>
      </c>
      <c r="C34" s="27"/>
      <c r="D34" s="28">
        <f ca="1">28.9*OFFSET(D$112,MATCH($N$1,$C$112:$C$113,0)-1,0)</f>
        <v>28.9</v>
      </c>
      <c r="E34" s="28">
        <f ca="1">4.9*OFFSET(E$112,MATCH($N$1,$C$112:$C$113,0)-1,0)</f>
        <v>4.9000000000000004</v>
      </c>
      <c r="F34" s="28">
        <f ca="1">16*OFFSET(F$112,MATCH($N$1,$C$112:$C$113,0)-1,0)</f>
        <v>16</v>
      </c>
      <c r="G34" s="28">
        <f ca="1">17.6*OFFSET(G$112,MATCH($N$1,$C$112:$C$113,0)-1,0)</f>
        <v>17.600000000000001</v>
      </c>
      <c r="H34" s="28">
        <f ca="1">5.7*OFFSET(H$112,MATCH($N$1,$C$112:$C$113,0)-1,0)</f>
        <v>5.7</v>
      </c>
      <c r="I34" s="28">
        <f ca="1">6.9*OFFSET(I$112,MATCH($N$1,$C$112:$C$113,0)-1,0)</f>
        <v>6.9</v>
      </c>
      <c r="J34" s="28">
        <f ca="1">8*OFFSET(J$112,MATCH($N$1,$C$112:$C$113,0)-1,0)</f>
        <v>8</v>
      </c>
      <c r="K34" s="28">
        <f ca="1">5.5*OFFSET(K$112,MATCH($N$1,$C$112:$C$113,0)-1,0)</f>
        <v>5.5</v>
      </c>
      <c r="L34" s="28">
        <f ca="1">25.3*OFFSET(L$112,MATCH($N$1,$C$112:$C$113,0)-1,0)</f>
        <v>25.3</v>
      </c>
      <c r="M34" s="28">
        <f ca="1">10.8*OFFSET(M$112,MATCH($N$1,$C$112:$C$113,0)-1,0)</f>
        <v>10.8</v>
      </c>
      <c r="N34" s="28">
        <v>11.5</v>
      </c>
      <c r="O34" s="23">
        <f t="shared" ca="1" si="0"/>
        <v>-0.60207612456747406</v>
      </c>
      <c r="P34" s="23">
        <f t="shared" ca="1" si="1"/>
        <v>0.4375</v>
      </c>
    </row>
    <row r="35" spans="1:16" ht="18" customHeight="1" x14ac:dyDescent="0.2">
      <c r="A35" s="231"/>
      <c r="B35" s="33" t="s">
        <v>73</v>
      </c>
      <c r="C35" s="27"/>
      <c r="D35" s="28">
        <f ca="1">107.7*OFFSET(D$112,MATCH($N$1,$C$112:$C$113,0)-1,0)</f>
        <v>107.7</v>
      </c>
      <c r="E35" s="28">
        <f ca="1">67.7*OFFSET(E$112,MATCH($N$1,$C$112:$C$113,0)-1,0)</f>
        <v>67.7</v>
      </c>
      <c r="F35" s="28">
        <f ca="1">138.6*OFFSET(F$112,MATCH($N$1,$C$112:$C$113,0)-1,0)</f>
        <v>138.6</v>
      </c>
      <c r="G35" s="28">
        <f ca="1">101.9*OFFSET(G$112,MATCH($N$1,$C$112:$C$113,0)-1,0)</f>
        <v>101.9</v>
      </c>
      <c r="H35" s="28">
        <f ca="1">122.4*OFFSET(H$112,MATCH($N$1,$C$112:$C$113,0)-1,0)</f>
        <v>122.4</v>
      </c>
      <c r="I35" s="28">
        <f ca="1">141.1*OFFSET(I$112,MATCH($N$1,$C$112:$C$113,0)-1,0)</f>
        <v>141.1</v>
      </c>
      <c r="J35" s="28">
        <f ca="1">114.5*OFFSET(J$112,MATCH($N$1,$C$112:$C$113,0)-1,0)</f>
        <v>114.5</v>
      </c>
      <c r="K35" s="28">
        <f ca="1">108.4*OFFSET(K$112,MATCH($N$1,$C$112:$C$113,0)-1,0)</f>
        <v>108.4</v>
      </c>
      <c r="L35" s="28">
        <f ca="1">126.4*OFFSET(L$112,MATCH($N$1,$C$112:$C$113,0)-1,0)</f>
        <v>126.4</v>
      </c>
      <c r="M35" s="28">
        <f ca="1">104.9*OFFSET(M$112,MATCH($N$1,$C$112:$C$113,0)-1,0)</f>
        <v>104.9</v>
      </c>
      <c r="N35" s="28">
        <v>112.60000000000001</v>
      </c>
      <c r="O35" s="23">
        <f t="shared" ca="1" si="0"/>
        <v>4.5496750232126328E-2</v>
      </c>
      <c r="P35" s="23">
        <f t="shared" ca="1" si="1"/>
        <v>-1.6593886462882023E-2</v>
      </c>
    </row>
    <row r="36" spans="1:16" ht="18" customHeight="1" x14ac:dyDescent="0.2">
      <c r="A36" s="231"/>
      <c r="B36" s="41" t="s">
        <v>74</v>
      </c>
      <c r="C36" s="42"/>
      <c r="D36" s="43">
        <f ca="1">11.4*OFFSET(D$112,MATCH($N$1,$C$112:$C$113,0)-1,0)</f>
        <v>11.4</v>
      </c>
      <c r="E36" s="43">
        <f ca="1">25.2*OFFSET(E$112,MATCH($N$1,$C$112:$C$113,0)-1,0)</f>
        <v>25.2</v>
      </c>
      <c r="F36" s="43">
        <f ca="1">20.6*OFFSET(F$112,MATCH($N$1,$C$112:$C$113,0)-1,0)</f>
        <v>20.6</v>
      </c>
      <c r="G36" s="43">
        <f ca="1">-7.4*OFFSET(G$112,MATCH($N$1,$C$112:$C$113,0)-1,0)</f>
        <v>-7.4</v>
      </c>
      <c r="H36" s="43">
        <f ca="1">25.2*OFFSET(H$112,MATCH($N$1,$C$112:$C$113,0)-1,0)</f>
        <v>25.2</v>
      </c>
      <c r="I36" s="43">
        <f ca="1">12.8*OFFSET(I$112,MATCH($N$1,$C$112:$C$113,0)-1,0)</f>
        <v>12.8</v>
      </c>
      <c r="J36" s="43">
        <f ca="1">-32.4*OFFSET(J$112,MATCH($N$1,$C$112:$C$113,0)-1,0)</f>
        <v>-32.4</v>
      </c>
      <c r="K36" s="43">
        <f ca="1">11.9*OFFSET(K$112,MATCH($N$1,$C$112:$C$113,0)-1,0)</f>
        <v>11.9</v>
      </c>
      <c r="L36" s="43">
        <f ca="1">15.3*OFFSET(L$112,MATCH($N$1,$C$112:$C$113,0)-1,0)</f>
        <v>15.3</v>
      </c>
      <c r="M36" s="43">
        <f ca="1">21.1*OFFSET(M$112,MATCH($N$1,$C$112:$C$113,0)-1,0)</f>
        <v>21.1</v>
      </c>
      <c r="N36" s="43">
        <v>19.600000000000001</v>
      </c>
      <c r="O36" s="23">
        <f t="shared" ca="1" si="0"/>
        <v>0.7192982456140351</v>
      </c>
      <c r="P36" s="23" t="str">
        <f t="shared" ca="1" si="1"/>
        <v>na</v>
      </c>
    </row>
    <row r="37" spans="1:16" ht="18" customHeight="1" x14ac:dyDescent="0.2">
      <c r="A37" s="231"/>
      <c r="B37" s="41" t="s">
        <v>75</v>
      </c>
      <c r="C37" s="42"/>
      <c r="D37" s="43">
        <f ca="1">-28.3*OFFSET(D$112,MATCH($N$1,$C$112:$C$113,0)-1,0)</f>
        <v>-28.3</v>
      </c>
      <c r="E37" s="43">
        <f ca="1">6.2*OFFSET(E$112,MATCH($N$1,$C$112:$C$113,0)-1,0)</f>
        <v>6.2</v>
      </c>
      <c r="F37" s="43">
        <f ca="1">-4.9*OFFSET(F$112,MATCH($N$1,$C$112:$C$113,0)-1,0)</f>
        <v>-4.9000000000000004</v>
      </c>
      <c r="G37" s="43">
        <f ca="1">-20.3*OFFSET(G$112,MATCH($N$1,$C$112:$C$113,0)-1,0)</f>
        <v>-20.3</v>
      </c>
      <c r="H37" s="43">
        <f ca="1">3.8*OFFSET(H$112,MATCH($N$1,$C$112:$C$113,0)-1,0)</f>
        <v>3.8</v>
      </c>
      <c r="I37" s="43">
        <f ca="1">-7*OFFSET(I$112,MATCH($N$1,$C$112:$C$113,0)-1,0)</f>
        <v>-7</v>
      </c>
      <c r="J37" s="43">
        <f ca="1">-42.7*OFFSET(J$112,MATCH($N$1,$C$112:$C$113,0)-1,0)</f>
        <v>-42.7</v>
      </c>
      <c r="K37" s="43">
        <f ca="1">0.2*OFFSET(K$112,MATCH($N$1,$C$112:$C$113,0)-1,0)</f>
        <v>0.2</v>
      </c>
      <c r="L37" s="43">
        <f ca="1">-2.5*OFFSET(L$112,MATCH($N$1,$C$112:$C$113,0)-1,0)</f>
        <v>-2.5</v>
      </c>
      <c r="M37" s="43">
        <f ca="1">1*OFFSET(M$112,MATCH($N$1,$C$112:$C$113,0)-1,0)</f>
        <v>1</v>
      </c>
      <c r="N37" s="43">
        <v>0.70000000000000007</v>
      </c>
      <c r="O37" s="23" t="str">
        <f t="shared" ca="1" si="0"/>
        <v>na</v>
      </c>
      <c r="P37" s="23" t="str">
        <f t="shared" ca="1" si="1"/>
        <v>na</v>
      </c>
    </row>
    <row r="38" spans="1:16" ht="18" customHeight="1" x14ac:dyDescent="0.2">
      <c r="A38" s="231"/>
      <c r="B38" s="33" t="s">
        <v>76</v>
      </c>
      <c r="C38" s="27"/>
      <c r="D38" s="28">
        <f ca="1">8.6*OFFSET(D$112,MATCH($N$1,$C$112:$C$113,0)-1,0)</f>
        <v>8.6</v>
      </c>
      <c r="E38" s="28">
        <f ca="1">14.8*OFFSET(E$112,MATCH($N$1,$C$112:$C$113,0)-1,0)</f>
        <v>14.8</v>
      </c>
      <c r="F38" s="28">
        <f ca="1">14.9*OFFSET(F$112,MATCH($N$1,$C$112:$C$113,0)-1,0)</f>
        <v>14.9</v>
      </c>
      <c r="G38" s="28">
        <f ca="1">7.5*OFFSET(G$112,MATCH($N$1,$C$112:$C$113,0)-1,0)</f>
        <v>7.5</v>
      </c>
      <c r="H38" s="28">
        <f ca="1">10.8*OFFSET(H$112,MATCH($N$1,$C$112:$C$113,0)-1,0)</f>
        <v>10.8</v>
      </c>
      <c r="I38" s="28">
        <f ca="1">8.2*OFFSET(I$112,MATCH($N$1,$C$112:$C$113,0)-1,0)</f>
        <v>8.1999999999999993</v>
      </c>
      <c r="J38" s="28">
        <f ca="1">6.8*OFFSET(J$112,MATCH($N$1,$C$112:$C$113,0)-1,0)</f>
        <v>6.8</v>
      </c>
      <c r="K38" s="28">
        <f ca="1">9.6*OFFSET(K$112,MATCH($N$1,$C$112:$C$113,0)-1,0)</f>
        <v>9.6</v>
      </c>
      <c r="L38" s="28">
        <f ca="1">2.7*OFFSET(L$112,MATCH($N$1,$C$112:$C$113,0)-1,0)</f>
        <v>2.7</v>
      </c>
      <c r="M38" s="28">
        <f ca="1">4.1*OFFSET(M$112,MATCH($N$1,$C$112:$C$113,0)-1,0)</f>
        <v>4.0999999999999996</v>
      </c>
      <c r="N38" s="28"/>
      <c r="O38" s="23" t="str">
        <f t="shared" si="0"/>
        <v/>
      </c>
      <c r="P38" s="23" t="str">
        <f t="shared" si="1"/>
        <v/>
      </c>
    </row>
    <row r="39" spans="1:16" ht="18" customHeight="1" x14ac:dyDescent="0.2">
      <c r="A39" s="231"/>
      <c r="B39" s="33" t="s">
        <v>77</v>
      </c>
      <c r="C39" s="27"/>
      <c r="D39" s="28"/>
      <c r="E39" s="28">
        <f ca="1">0.1*OFFSET(E$112,MATCH($N$1,$C$112:$C$113,0)-1,0)</f>
        <v>0.1</v>
      </c>
      <c r="F39" s="28">
        <f ca="1">0.4*OFFSET(F$112,MATCH($N$1,$C$112:$C$113,0)-1,0)</f>
        <v>0.4</v>
      </c>
      <c r="G39" s="28">
        <f ca="1">0.2*OFFSET(G$112,MATCH($N$1,$C$112:$C$113,0)-1,0)</f>
        <v>0.2</v>
      </c>
      <c r="H39" s="28"/>
      <c r="I39" s="28"/>
      <c r="J39" s="28"/>
      <c r="K39" s="28"/>
      <c r="L39" s="28"/>
      <c r="M39" s="28"/>
      <c r="N39" s="28"/>
      <c r="O39" s="23" t="str">
        <f t="shared" si="0"/>
        <v/>
      </c>
      <c r="P39" s="23" t="str">
        <f t="shared" si="1"/>
        <v/>
      </c>
    </row>
    <row r="40" spans="1:16" ht="18" customHeight="1" x14ac:dyDescent="0.2">
      <c r="A40" s="231"/>
      <c r="B40" s="33" t="s">
        <v>78</v>
      </c>
      <c r="C40" s="27"/>
      <c r="D40" s="28"/>
      <c r="E40" s="28">
        <f ca="1">0.2*OFFSET(E$112,MATCH($N$1,$C$112:$C$113,0)-1,0)</f>
        <v>0.2</v>
      </c>
      <c r="F40" s="28">
        <f ca="1">4.9*OFFSET(F$112,MATCH($N$1,$C$112:$C$113,0)-1,0)</f>
        <v>4.9000000000000004</v>
      </c>
      <c r="G40" s="28">
        <f ca="1">0.6*OFFSET(G$112,MATCH($N$1,$C$112:$C$113,0)-1,0)</f>
        <v>0.6</v>
      </c>
      <c r="H40" s="28">
        <f ca="1">3.8*OFFSET(H$112,MATCH($N$1,$C$112:$C$113,0)-1,0)</f>
        <v>3.8</v>
      </c>
      <c r="I40" s="28">
        <f ca="1">0.3*OFFSET(I$112,MATCH($N$1,$C$112:$C$113,0)-1,0)</f>
        <v>0.3</v>
      </c>
      <c r="J40" s="28">
        <f ca="1">0.3*OFFSET(J$112,MATCH($N$1,$C$112:$C$113,0)-1,0)</f>
        <v>0.3</v>
      </c>
      <c r="K40" s="28">
        <f ca="1">0.4*OFFSET(K$112,MATCH($N$1,$C$112:$C$113,0)-1,0)</f>
        <v>0.4</v>
      </c>
      <c r="L40" s="28">
        <f ca="1">0.7*OFFSET(L$112,MATCH($N$1,$C$112:$C$113,0)-1,0)</f>
        <v>0.7</v>
      </c>
      <c r="M40" s="28">
        <f ca="1">0.3*OFFSET(M$112,MATCH($N$1,$C$112:$C$113,0)-1,0)</f>
        <v>0.3</v>
      </c>
      <c r="N40" s="28"/>
      <c r="O40" s="23" t="str">
        <f t="shared" si="0"/>
        <v/>
      </c>
      <c r="P40" s="23" t="str">
        <f t="shared" si="1"/>
        <v/>
      </c>
    </row>
    <row r="41" spans="1:16" ht="18" customHeight="1" thickBot="1" x14ac:dyDescent="0.25">
      <c r="A41" s="232"/>
      <c r="B41" s="44" t="s">
        <v>79</v>
      </c>
      <c r="C41" s="45"/>
      <c r="D41" s="46">
        <f ca="1">-36.9*OFFSET(D$112,MATCH($N$1,$C$112:$C$113,0)-1,0)</f>
        <v>-36.9</v>
      </c>
      <c r="E41" s="46">
        <f ca="1">-8.8*OFFSET(E$112,MATCH($N$1,$C$112:$C$113,0)-1,0)</f>
        <v>-8.8000000000000007</v>
      </c>
      <c r="F41" s="46">
        <f ca="1">-25.1*OFFSET(F$112,MATCH($N$1,$C$112:$C$113,0)-1,0)</f>
        <v>-25.1</v>
      </c>
      <c r="G41" s="46">
        <f ca="1">-28.6*OFFSET(G$112,MATCH($N$1,$C$112:$C$113,0)-1,0)</f>
        <v>-28.6</v>
      </c>
      <c r="H41" s="46">
        <f ca="1">-10.7*OFFSET(H$112,MATCH($N$1,$C$112:$C$113,0)-1,0)</f>
        <v>-10.7</v>
      </c>
      <c r="I41" s="46">
        <f ca="1">-15.5*OFFSET(I$112,MATCH($N$1,$C$112:$C$113,0)-1,0)</f>
        <v>-15.5</v>
      </c>
      <c r="J41" s="46">
        <f ca="1">-49.8*OFFSET(J$112,MATCH($N$1,$C$112:$C$113,0)-1,0)</f>
        <v>-49.8</v>
      </c>
      <c r="K41" s="46">
        <f ca="1">-9.9*OFFSET(K$112,MATCH($N$1,$C$112:$C$113,0)-1,0)</f>
        <v>-9.9</v>
      </c>
      <c r="L41" s="46">
        <f ca="1">-5.9*OFFSET(L$112,MATCH($N$1,$C$112:$C$113,0)-1,0)</f>
        <v>-5.9</v>
      </c>
      <c r="M41" s="46">
        <f ca="1">-3.3*OFFSET(M$112,MATCH($N$1,$C$112:$C$113,0)-1,0)</f>
        <v>-3.3</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17</v>
      </c>
      <c r="F46" s="95" t="s">
        <v>17</v>
      </c>
      <c r="G46" s="95" t="s">
        <v>17</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North Sea beam trawl under 300kW</v>
      </c>
      <c r="C48" s="97"/>
      <c r="D48" s="97"/>
      <c r="E48" s="97"/>
      <c r="F48" s="97"/>
      <c r="G48" s="97"/>
      <c r="K48" s="97" t="str">
        <f>$B24&amp;CHAR(10)&amp;$A$1</f>
        <v>Operating profit per kW day at sea (£)
North Sea beam trawl under 300kW</v>
      </c>
    </row>
    <row r="49" spans="1:11" s="83" customFormat="1" x14ac:dyDescent="0.2">
      <c r="A49" s="97" t="str">
        <f>$B22&amp;CHAR(10)&amp;$A$1</f>
        <v>Fishing income per kW day at sea (£)
North Sea beam trawl under 300kW</v>
      </c>
    </row>
    <row r="50" spans="1:11" s="83" customFormat="1" x14ac:dyDescent="0.2">
      <c r="A50" s="97" t="str">
        <f>$B20&amp;CHAR(10)&amp;$A$1</f>
        <v>Average price per tonne landed (£)
North Sea beam trawl under 300kW</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North Sea beam trawl under 300kW</v>
      </c>
      <c r="F62" s="97" t="str">
        <f>$B20&amp;CHAR(10)&amp;$A$1</f>
        <v>Average price per tonne landed (£)
North Sea beam trawl under 300kW</v>
      </c>
      <c r="K62" s="97" t="str">
        <f>"Average annual operating profit per vessel (£'000)"&amp;CHAR(10)&amp;$A$1</f>
        <v>Average annual operating profit per vessel (£'000)
North Sea beam trawl under 300kW</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North Sea beam trawl under 300kW</v>
      </c>
      <c r="F76" s="97" t="str">
        <f>"Top 5 landed species by value in "&amp;A77&amp;CHAR(10)&amp;A1</f>
        <v>Top 5 landed species by value in 2017
North Sea beam trawl under 300kW</v>
      </c>
    </row>
    <row r="77" spans="1:9" s="97" customFormat="1" x14ac:dyDescent="0.2">
      <c r="A77" s="97">
        <v>2017</v>
      </c>
      <c r="B77" s="97" t="s">
        <v>280</v>
      </c>
      <c r="C77" s="98">
        <v>0.9505810549534538</v>
      </c>
      <c r="D77" s="99">
        <v>12153634</v>
      </c>
      <c r="G77" s="97" t="s">
        <v>281</v>
      </c>
      <c r="H77" s="98">
        <v>0.97764720963382112</v>
      </c>
      <c r="I77" s="99">
        <v>12153634</v>
      </c>
    </row>
    <row r="78" spans="1:9" s="97" customFormat="1" x14ac:dyDescent="0.2">
      <c r="B78" s="97" t="s">
        <v>282</v>
      </c>
      <c r="C78" s="98">
        <v>2.8304249207892328E-2</v>
      </c>
      <c r="D78" s="99">
        <v>553960</v>
      </c>
      <c r="G78" s="97" t="s">
        <v>283</v>
      </c>
      <c r="H78" s="98">
        <v>1.9800977031226633E-2</v>
      </c>
      <c r="I78" s="99">
        <v>553960</v>
      </c>
    </row>
    <row r="79" spans="1:9" s="97" customFormat="1" x14ac:dyDescent="0.2">
      <c r="B79" s="97" t="s">
        <v>284</v>
      </c>
      <c r="C79" s="98">
        <v>2.1114695838653885E-2</v>
      </c>
      <c r="D79" s="99">
        <v>3050596</v>
      </c>
      <c r="G79" s="97" t="s">
        <v>285</v>
      </c>
      <c r="H79" s="98">
        <v>2.551813334952194E-3</v>
      </c>
      <c r="I79" s="99">
        <v>3050596</v>
      </c>
    </row>
    <row r="80" spans="1:9" s="97" customFormat="1" x14ac:dyDescent="0.2">
      <c r="B80" s="97" t="s">
        <v>209</v>
      </c>
      <c r="C80" s="98"/>
      <c r="D80" s="99">
        <v>3050596</v>
      </c>
      <c r="G80" s="97" t="s">
        <v>209</v>
      </c>
      <c r="H80" s="98"/>
      <c r="I80" s="99">
        <v>3050596</v>
      </c>
    </row>
    <row r="81" spans="1:18" s="97" customFormat="1" x14ac:dyDescent="0.2">
      <c r="B81" s="97" t="s">
        <v>209</v>
      </c>
      <c r="C81" s="98"/>
      <c r="D81" s="99">
        <v>3050596</v>
      </c>
      <c r="G81" s="97" t="s">
        <v>209</v>
      </c>
      <c r="H81" s="98"/>
      <c r="I81" s="99">
        <v>3050596</v>
      </c>
    </row>
    <row r="82" spans="1:18" s="97" customFormat="1" x14ac:dyDescent="0.2">
      <c r="B82" s="97" t="s">
        <v>286</v>
      </c>
      <c r="C82" s="98">
        <v>0</v>
      </c>
      <c r="D82" s="99">
        <v>5920853</v>
      </c>
      <c r="G82" s="97" t="s">
        <v>286</v>
      </c>
      <c r="H82" s="98">
        <v>0</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244</v>
      </c>
      <c r="D92" s="102">
        <v>0.93343448231572423</v>
      </c>
      <c r="E92" s="102">
        <v>0.51054345534772916</v>
      </c>
      <c r="F92" s="102">
        <v>0.4953996266968016</v>
      </c>
      <c r="G92" s="102">
        <v>0.72559950071056034</v>
      </c>
      <c r="H92" s="102">
        <v>0.86021013881764385</v>
      </c>
      <c r="I92" s="102">
        <v>0.82549123139680181</v>
      </c>
      <c r="J92" s="102">
        <v>0.58752159006386417</v>
      </c>
      <c r="K92" s="102">
        <v>0.91882753263998429</v>
      </c>
      <c r="L92" s="102">
        <v>0.97764722156672879</v>
      </c>
      <c r="M92" s="102">
        <v>0.9993105190664886</v>
      </c>
      <c r="O92" s="97">
        <v>12153634</v>
      </c>
    </row>
    <row r="93" spans="1:18" s="97" customFormat="1" hidden="1" x14ac:dyDescent="0.2">
      <c r="B93" s="97">
        <v>2</v>
      </c>
      <c r="C93" s="97" t="s">
        <v>94</v>
      </c>
      <c r="D93" s="102"/>
      <c r="E93" s="102"/>
      <c r="F93" s="102"/>
      <c r="G93" s="102">
        <v>0.1293705997992346</v>
      </c>
      <c r="H93" s="102"/>
      <c r="I93" s="102">
        <v>6.1941782503634338E-3</v>
      </c>
      <c r="J93" s="102">
        <v>0.17309302293875659</v>
      </c>
      <c r="K93" s="102">
        <v>1.7936070225214883E-2</v>
      </c>
      <c r="L93" s="102">
        <v>1.9800977272912208E-2</v>
      </c>
      <c r="M93" s="102"/>
      <c r="O93" s="97">
        <v>553960</v>
      </c>
    </row>
    <row r="94" spans="1:18" s="97" customFormat="1" hidden="1" x14ac:dyDescent="0.2">
      <c r="B94" s="97">
        <v>3</v>
      </c>
      <c r="C94" s="97" t="s">
        <v>243</v>
      </c>
      <c r="D94" s="102"/>
      <c r="E94" s="102"/>
      <c r="F94" s="102">
        <v>0.2661573603059601</v>
      </c>
      <c r="G94" s="102">
        <v>0.12014617299965814</v>
      </c>
      <c r="H94" s="102">
        <v>9.7771808111616468E-2</v>
      </c>
      <c r="I94" s="102">
        <v>0.14273414139646146</v>
      </c>
      <c r="J94" s="102">
        <v>0.16625556390344598</v>
      </c>
      <c r="K94" s="102"/>
      <c r="L94" s="102">
        <v>2.5518133660989641E-3</v>
      </c>
      <c r="M94" s="102"/>
      <c r="O94" s="97">
        <v>3050596</v>
      </c>
    </row>
    <row r="95" spans="1:18" s="97" customFormat="1" hidden="1" x14ac:dyDescent="0.2">
      <c r="B95" s="97">
        <v>4</v>
      </c>
      <c r="C95" s="97" t="s">
        <v>97</v>
      </c>
      <c r="D95" s="102"/>
      <c r="E95" s="102"/>
      <c r="F95" s="102"/>
      <c r="G95" s="102"/>
      <c r="H95" s="102"/>
      <c r="I95" s="102"/>
      <c r="J95" s="102"/>
      <c r="K95" s="102"/>
      <c r="L95" s="102"/>
      <c r="M95" s="102">
        <v>3.9839308905355899E-4</v>
      </c>
      <c r="O95" s="97">
        <v>1692097</v>
      </c>
    </row>
    <row r="96" spans="1:18" s="97" customFormat="1" hidden="1" x14ac:dyDescent="0.2">
      <c r="B96" s="97">
        <v>5</v>
      </c>
      <c r="C96" s="97" t="s">
        <v>245</v>
      </c>
      <c r="D96" s="102">
        <v>2.63611809361027E-2</v>
      </c>
      <c r="E96" s="102">
        <v>0.25154197025794078</v>
      </c>
      <c r="F96" s="102">
        <v>0.14523236576216211</v>
      </c>
      <c r="G96" s="102"/>
      <c r="H96" s="102">
        <v>2.3902179774778657E-2</v>
      </c>
      <c r="I96" s="102"/>
      <c r="J96" s="102"/>
      <c r="K96" s="102"/>
      <c r="L96" s="102"/>
      <c r="M96" s="102">
        <v>1.8087113630772795E-4</v>
      </c>
      <c r="O96" s="97">
        <v>3689192</v>
      </c>
    </row>
    <row r="97" spans="1:15" s="97" customFormat="1" hidden="1" x14ac:dyDescent="0.2">
      <c r="B97" s="97">
        <v>6</v>
      </c>
      <c r="C97" s="97" t="s">
        <v>242</v>
      </c>
      <c r="D97" s="102"/>
      <c r="E97" s="102"/>
      <c r="F97" s="102"/>
      <c r="G97" s="102"/>
      <c r="H97" s="102"/>
      <c r="I97" s="102">
        <v>8.5025511785469451E-3</v>
      </c>
      <c r="J97" s="102">
        <v>7.0390720866690085E-2</v>
      </c>
      <c r="K97" s="102">
        <v>4.4916606249783622E-2</v>
      </c>
      <c r="L97" s="102"/>
      <c r="M97" s="102">
        <v>6.3901999620005217E-5</v>
      </c>
      <c r="O97" s="97">
        <v>11115023</v>
      </c>
    </row>
    <row r="98" spans="1:15" s="97" customFormat="1" hidden="1" x14ac:dyDescent="0.2">
      <c r="B98" s="97">
        <v>7</v>
      </c>
      <c r="C98" s="97" t="s">
        <v>136</v>
      </c>
      <c r="D98" s="102"/>
      <c r="E98" s="102"/>
      <c r="F98" s="102"/>
      <c r="G98" s="102"/>
      <c r="H98" s="102"/>
      <c r="I98" s="102"/>
      <c r="J98" s="102"/>
      <c r="K98" s="102"/>
      <c r="L98" s="102"/>
      <c r="M98" s="102">
        <v>3.465060439297557E-5</v>
      </c>
      <c r="O98" s="97">
        <v>2480382</v>
      </c>
    </row>
    <row r="99" spans="1:15" s="97" customFormat="1" hidden="1" x14ac:dyDescent="0.2">
      <c r="B99" s="97">
        <v>8</v>
      </c>
      <c r="C99" s="97" t="s">
        <v>93</v>
      </c>
      <c r="D99" s="102"/>
      <c r="E99" s="102"/>
      <c r="F99" s="102"/>
      <c r="G99" s="102"/>
      <c r="H99" s="102"/>
      <c r="I99" s="102"/>
      <c r="J99" s="102"/>
      <c r="K99" s="102">
        <v>1.4638064064657445E-2</v>
      </c>
      <c r="L99" s="102"/>
      <c r="M99" s="102"/>
      <c r="O99" s="97">
        <v>7434864</v>
      </c>
    </row>
    <row r="100" spans="1:15" s="97" customFormat="1" hidden="1" x14ac:dyDescent="0.2">
      <c r="B100" s="97">
        <v>9</v>
      </c>
      <c r="C100" s="97" t="s">
        <v>191</v>
      </c>
      <c r="D100" s="102"/>
      <c r="E100" s="102"/>
      <c r="F100" s="102"/>
      <c r="G100" s="102"/>
      <c r="H100" s="102"/>
      <c r="I100" s="102"/>
      <c r="J100" s="102"/>
      <c r="K100" s="102">
        <v>1.3992433296469034E-3</v>
      </c>
      <c r="L100" s="102"/>
      <c r="M100" s="102"/>
      <c r="O100" s="97">
        <v>8497745</v>
      </c>
    </row>
    <row r="101" spans="1:15" s="97" customFormat="1" hidden="1" x14ac:dyDescent="0.2">
      <c r="B101" s="97">
        <v>10</v>
      </c>
      <c r="C101" s="97" t="s">
        <v>287</v>
      </c>
      <c r="D101" s="102">
        <v>1.2168932619446338E-2</v>
      </c>
      <c r="E101" s="102">
        <v>8.2179072279749254E-3</v>
      </c>
      <c r="F101" s="102">
        <v>3.3905684362170507E-2</v>
      </c>
      <c r="G101" s="102">
        <v>1.0648041837799872E-2</v>
      </c>
      <c r="H101" s="102">
        <v>7.562638762670458E-3</v>
      </c>
      <c r="I101" s="102">
        <v>1.0064324158753774E-2</v>
      </c>
      <c r="J101" s="102">
        <v>2.7391022272431113E-3</v>
      </c>
      <c r="K101" s="102"/>
      <c r="L101" s="102"/>
      <c r="M101" s="102"/>
      <c r="O101" s="97">
        <v>14393110</v>
      </c>
    </row>
    <row r="102" spans="1:15" s="97" customFormat="1" hidden="1" x14ac:dyDescent="0.2">
      <c r="B102" s="97">
        <v>11</v>
      </c>
      <c r="C102" s="97" t="s">
        <v>100</v>
      </c>
      <c r="D102" s="102">
        <v>4.235389179396783E-3</v>
      </c>
      <c r="E102" s="102"/>
      <c r="F102" s="102">
        <v>2.6079158312131541E-2</v>
      </c>
      <c r="G102" s="102"/>
      <c r="H102" s="102">
        <v>5.2218419848182205E-3</v>
      </c>
      <c r="I102" s="102"/>
      <c r="J102" s="102"/>
      <c r="K102" s="102"/>
      <c r="L102" s="102"/>
      <c r="M102" s="102"/>
      <c r="O102" s="97">
        <v>2887140</v>
      </c>
    </row>
    <row r="103" spans="1:15" s="97" customFormat="1" hidden="1" x14ac:dyDescent="0.2">
      <c r="B103" s="97">
        <v>12</v>
      </c>
      <c r="C103" s="97" t="s">
        <v>189</v>
      </c>
      <c r="D103" s="102"/>
      <c r="E103" s="102"/>
      <c r="F103" s="102"/>
      <c r="G103" s="102">
        <v>6.43541005178409E-3</v>
      </c>
      <c r="H103" s="102"/>
      <c r="I103" s="102"/>
      <c r="J103" s="102"/>
      <c r="K103" s="102"/>
      <c r="L103" s="102"/>
      <c r="M103" s="102"/>
      <c r="O103" s="97">
        <v>15057844</v>
      </c>
    </row>
    <row r="104" spans="1:15" s="97" customFormat="1" hidden="1" x14ac:dyDescent="0.2">
      <c r="B104" s="97">
        <v>13</v>
      </c>
      <c r="C104" s="97" t="s">
        <v>170</v>
      </c>
      <c r="D104" s="102"/>
      <c r="E104" s="102">
        <v>0.14674345897476895</v>
      </c>
      <c r="F104" s="102"/>
      <c r="G104" s="102"/>
      <c r="H104" s="102"/>
      <c r="I104" s="102"/>
      <c r="J104" s="102"/>
      <c r="K104" s="102"/>
      <c r="L104" s="102"/>
      <c r="M104" s="102"/>
      <c r="O104" s="97">
        <v>10603512</v>
      </c>
    </row>
    <row r="105" spans="1:15" s="97" customFormat="1" hidden="1" x14ac:dyDescent="0.2">
      <c r="B105" s="97">
        <v>14</v>
      </c>
      <c r="C105" s="97" t="s">
        <v>138</v>
      </c>
      <c r="D105" s="102"/>
      <c r="E105" s="102">
        <v>3.6766256500595382E-2</v>
      </c>
      <c r="F105" s="102"/>
      <c r="G105" s="102"/>
      <c r="H105" s="102"/>
      <c r="I105" s="102"/>
      <c r="J105" s="102"/>
      <c r="K105" s="102"/>
      <c r="L105" s="102"/>
      <c r="M105" s="102"/>
      <c r="O105" s="97">
        <v>10931653</v>
      </c>
    </row>
    <row r="106" spans="1:15" s="97" customFormat="1" hidden="1" x14ac:dyDescent="0.2">
      <c r="B106" s="97">
        <v>15</v>
      </c>
      <c r="C106" s="97" t="s">
        <v>153</v>
      </c>
      <c r="D106" s="102">
        <v>1.4751540893241141E-2</v>
      </c>
      <c r="E106" s="102"/>
      <c r="F106" s="102"/>
      <c r="G106" s="102"/>
      <c r="H106" s="102"/>
      <c r="I106" s="102"/>
      <c r="J106" s="102"/>
      <c r="K106" s="102"/>
      <c r="L106" s="102"/>
      <c r="M106" s="102"/>
      <c r="O106" s="97">
        <v>10479842</v>
      </c>
    </row>
    <row r="107" spans="1:15" s="97" customFormat="1" hidden="1" x14ac:dyDescent="0.2">
      <c r="B107" s="97">
        <v>16</v>
      </c>
      <c r="C107" s="97" t="s">
        <v>101</v>
      </c>
      <c r="D107" s="102">
        <v>9.0484740560887664E-3</v>
      </c>
      <c r="E107" s="102">
        <v>4.6186951690990852E-2</v>
      </c>
      <c r="F107" s="102">
        <v>3.3225804560774161E-2</v>
      </c>
      <c r="G107" s="102">
        <v>7.8002746009629758E-3</v>
      </c>
      <c r="H107" s="102">
        <v>5.3313925484723837E-3</v>
      </c>
      <c r="I107" s="102">
        <v>7.0135736190726234E-3</v>
      </c>
      <c r="J107" s="102">
        <v>0</v>
      </c>
      <c r="K107" s="102">
        <v>2.282483490712809E-3</v>
      </c>
      <c r="L107" s="102">
        <v>-1.220573995264173E-8</v>
      </c>
      <c r="M107" s="102">
        <v>1.1664104137125518E-5</v>
      </c>
      <c r="O107" s="97">
        <v>5920853</v>
      </c>
    </row>
    <row r="108" spans="1:15" s="97" customFormat="1" hidden="1" x14ac:dyDescent="0.2">
      <c r="B108" s="97">
        <v>17</v>
      </c>
      <c r="D108" s="102"/>
      <c r="E108" s="102"/>
      <c r="F108" s="102"/>
      <c r="G108" s="102"/>
      <c r="H108" s="102"/>
      <c r="I108" s="102"/>
      <c r="J108" s="102"/>
      <c r="K108" s="102"/>
      <c r="L108" s="102">
        <v>0</v>
      </c>
      <c r="M108" s="102"/>
      <c r="O108" s="97">
        <v>0</v>
      </c>
    </row>
    <row r="109" spans="1:15" s="97" customFormat="1" hidden="1" x14ac:dyDescent="0.2">
      <c r="B109" s="97">
        <v>18</v>
      </c>
      <c r="D109" s="102"/>
      <c r="E109" s="102"/>
      <c r="F109" s="102"/>
      <c r="G109" s="102"/>
      <c r="H109" s="102"/>
      <c r="I109" s="102"/>
      <c r="J109" s="102"/>
      <c r="K109" s="102"/>
      <c r="L109" s="102">
        <v>0</v>
      </c>
      <c r="M109" s="102"/>
      <c r="O109" s="97">
        <v>0</v>
      </c>
    </row>
    <row r="110" spans="1:15" s="97" customFormat="1" hidden="1" x14ac:dyDescent="0.2">
      <c r="B110" s="97">
        <v>19</v>
      </c>
      <c r="D110" s="102"/>
      <c r="E110" s="102"/>
      <c r="F110" s="102"/>
      <c r="G110" s="102"/>
      <c r="H110" s="102"/>
      <c r="I110" s="102"/>
      <c r="J110" s="102"/>
      <c r="K110" s="102"/>
      <c r="L110" s="102">
        <v>0</v>
      </c>
      <c r="M110" s="102"/>
      <c r="O110" s="97">
        <v>0</v>
      </c>
    </row>
    <row r="111" spans="1:15" s="97" customFormat="1" hidden="1" x14ac:dyDescent="0.2">
      <c r="A111" s="97">
        <v>17</v>
      </c>
      <c r="B111" s="97">
        <v>20</v>
      </c>
      <c r="D111" s="102"/>
      <c r="E111" s="102"/>
      <c r="F111" s="102"/>
      <c r="G111" s="102"/>
      <c r="H111" s="102"/>
      <c r="I111" s="102"/>
      <c r="J111" s="102"/>
      <c r="K111" s="102"/>
      <c r="L111" s="102">
        <v>0</v>
      </c>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5</v>
      </c>
      <c r="D120" s="56">
        <v>10</v>
      </c>
      <c r="E120" s="56">
        <v>5</v>
      </c>
      <c r="F120" s="57">
        <v>20</v>
      </c>
    </row>
    <row r="121" spans="1:14" ht="18" customHeight="1" x14ac:dyDescent="0.2">
      <c r="A121" s="225" t="s">
        <v>23</v>
      </c>
      <c r="B121" s="30" t="s">
        <v>58</v>
      </c>
      <c r="C121" s="58">
        <v>13.779999732971191</v>
      </c>
      <c r="D121" s="58">
        <v>13.992000102996826</v>
      </c>
      <c r="E121" s="58">
        <v>13.319999694824219</v>
      </c>
      <c r="F121" s="59">
        <v>13.770999908447266</v>
      </c>
    </row>
    <row r="122" spans="1:14" ht="18" customHeight="1" x14ac:dyDescent="0.2">
      <c r="A122" s="226"/>
      <c r="B122" s="33" t="s">
        <v>51</v>
      </c>
      <c r="C122" s="60">
        <v>169</v>
      </c>
      <c r="D122" s="60">
        <v>190.19999694824219</v>
      </c>
      <c r="E122" s="60">
        <v>218.39999389648437</v>
      </c>
      <c r="F122" s="61">
        <v>191.94999694824219</v>
      </c>
    </row>
    <row r="123" spans="1:14" ht="18" customHeight="1" x14ac:dyDescent="0.2">
      <c r="A123" s="226"/>
      <c r="B123" s="33" t="s">
        <v>52</v>
      </c>
      <c r="C123" s="60">
        <v>26.799999237060547</v>
      </c>
      <c r="D123" s="60">
        <v>23.200000762939453</v>
      </c>
      <c r="E123" s="60">
        <v>28.200000762939453</v>
      </c>
      <c r="F123" s="61">
        <v>25.350000381469727</v>
      </c>
    </row>
    <row r="124" spans="1:14" ht="18" customHeight="1" x14ac:dyDescent="0.2">
      <c r="A124" s="226"/>
      <c r="B124" s="33" t="s">
        <v>53</v>
      </c>
      <c r="C124" s="60">
        <v>144.17619323730469</v>
      </c>
      <c r="D124" s="60">
        <v>153.69261932373047</v>
      </c>
      <c r="E124" s="60">
        <v>174.03517150878906</v>
      </c>
      <c r="F124" s="61">
        <v>156.39915466308594</v>
      </c>
    </row>
    <row r="125" spans="1:14" ht="18" customHeight="1" x14ac:dyDescent="0.2">
      <c r="A125" s="226"/>
      <c r="B125" s="33" t="s">
        <v>54</v>
      </c>
      <c r="C125" s="28">
        <v>27.767139434814453</v>
      </c>
      <c r="D125" s="28">
        <v>20.023229598999023</v>
      </c>
      <c r="E125" s="28">
        <v>26.907159805297852</v>
      </c>
      <c r="F125" s="62">
        <v>23.68018913269043</v>
      </c>
    </row>
    <row r="126" spans="1:14" ht="18" customHeight="1" x14ac:dyDescent="0.2">
      <c r="A126" s="226"/>
      <c r="B126" s="33" t="s">
        <v>59</v>
      </c>
      <c r="C126" s="28">
        <f ca="1">146.061921875*OFFSET($L$112,MATCH($N$1,$C$112:$C$113,0)-1,0)</f>
        <v>146.061921875</v>
      </c>
      <c r="D126" s="28">
        <f ca="1">85.123232421875*OFFSET($L$112,MATCH($N$1,$C$112:$C$113,0)-1,0)</f>
        <v>85.123232421875002</v>
      </c>
      <c r="E126" s="28">
        <f ca="1">74.8445546875*OFFSET($L$112,MATCH($N$1,$C$112:$C$113,0)-1,0)</f>
        <v>74.844554687499993</v>
      </c>
      <c r="F126" s="62">
        <f ca="1">97.788234375*OFFSET($L$112,MATCH($N$1,$C$112:$C$113,0)-1,0)</f>
        <v>97.788234375000002</v>
      </c>
    </row>
    <row r="127" spans="1:14" ht="18" customHeight="1" x14ac:dyDescent="0.2">
      <c r="A127" s="226"/>
      <c r="B127" s="33" t="s">
        <v>56</v>
      </c>
      <c r="C127" s="60">
        <v>113.80000305175781</v>
      </c>
      <c r="D127" s="60">
        <v>92.100002288818359</v>
      </c>
      <c r="E127" s="60">
        <v>119.40000152587891</v>
      </c>
      <c r="F127" s="61">
        <v>104.34999847412109</v>
      </c>
    </row>
    <row r="128" spans="1:14" ht="18" customHeight="1" x14ac:dyDescent="0.2">
      <c r="A128" s="226"/>
      <c r="B128" s="33" t="s">
        <v>60</v>
      </c>
      <c r="C128" s="60">
        <v>21.200000762939453</v>
      </c>
      <c r="D128" s="60">
        <v>22.799999713897705</v>
      </c>
      <c r="E128" s="60">
        <v>10.199999809265137</v>
      </c>
      <c r="F128" s="61">
        <v>19.25</v>
      </c>
    </row>
    <row r="129" spans="1:14" ht="18" customHeight="1" x14ac:dyDescent="0.2">
      <c r="A129" s="226"/>
      <c r="B129" s="33" t="s">
        <v>61</v>
      </c>
      <c r="C129" s="63">
        <v>0.24399946630001068</v>
      </c>
      <c r="D129" s="63">
        <v>0.21740748209981312</v>
      </c>
      <c r="E129" s="63">
        <v>0.22535309195518494</v>
      </c>
      <c r="F129" s="64">
        <v>0.22693042457103729</v>
      </c>
    </row>
    <row r="130" spans="1:14" ht="18" customHeight="1" x14ac:dyDescent="0.2">
      <c r="A130" s="227"/>
      <c r="B130" s="35" t="s">
        <v>24</v>
      </c>
      <c r="C130" s="37">
        <f ca="1">5260.24375747786*OFFSET($L$112,MATCH($N$1,$C$112:$C$113,0)-1,0)</f>
        <v>5260.2437574778596</v>
      </c>
      <c r="D130" s="37">
        <f ca="1">4251.22390975981*OFFSET($L$112,MATCH($N$1,$C$112:$C$113,0)-1,0)</f>
        <v>4251.2239097598103</v>
      </c>
      <c r="E130" s="37">
        <f ca="1">2781.58509590312*OFFSET($L$112,MATCH($N$1,$C$112:$C$113,0)-1,0)</f>
        <v>2781.58509590312</v>
      </c>
      <c r="F130" s="65">
        <f ca="1">4130*OFFSET($L$112,MATCH($N$1,$C$112:$C$113,0)-1,0)</f>
        <v>4130</v>
      </c>
    </row>
    <row r="131" spans="1:14" ht="18" customHeight="1" x14ac:dyDescent="0.2">
      <c r="A131" s="239" t="s">
        <v>25</v>
      </c>
      <c r="B131" s="30" t="s">
        <v>62</v>
      </c>
      <c r="C131" s="66">
        <v>1.4926002301167747</v>
      </c>
      <c r="D131" s="66">
        <v>1.0418997605889802</v>
      </c>
      <c r="E131" s="66">
        <v>1.0289544858622506</v>
      </c>
      <c r="F131" s="67">
        <v>1.1386183900383613</v>
      </c>
    </row>
    <row r="132" spans="1:14" ht="18" customHeight="1" x14ac:dyDescent="0.2">
      <c r="A132" s="228"/>
      <c r="B132" s="33" t="s">
        <v>63</v>
      </c>
      <c r="C132" s="63">
        <f ca="1">7.85144104288178*OFFSET($L$112,MATCH($N$1,$C$112:$C$113,0)-1,0)</f>
        <v>7.8514410428817802</v>
      </c>
      <c r="D132" s="63">
        <f ca="1">4.4293491737889*OFFSET($L$112,MATCH($N$1,$C$112:$C$113,0)-1,0)</f>
        <v>4.4293491737888999</v>
      </c>
      <c r="E132" s="63">
        <f ca="1">2.86212446223709*OFFSET($L$112,MATCH($N$1,$C$112:$C$113,0)-1,0)</f>
        <v>2.8621244622370901</v>
      </c>
      <c r="F132" s="64">
        <f ca="1">4.7019675968317*OFFSET($L$112,MATCH($N$1,$C$112:$C$113,0)-1,0)</f>
        <v>4.7019675968317003</v>
      </c>
    </row>
    <row r="133" spans="1:14" ht="18" customHeight="1" x14ac:dyDescent="0.2">
      <c r="A133" s="228"/>
      <c r="B133" s="33" t="s">
        <v>11</v>
      </c>
      <c r="C133" s="63">
        <f ca="1">6.36380009822739*OFFSET($L$112,MATCH($N$1,$C$112:$C$113,0)-1,0)</f>
        <v>6.3638000982273901</v>
      </c>
      <c r="D133" s="63">
        <f ca="1">4.43698829303908*OFFSET($L$112,MATCH($N$1,$C$112:$C$113,0)-1,0)</f>
        <v>4.4369882930390796</v>
      </c>
      <c r="E133" s="63">
        <f ca="1">3.74918999462237*OFFSET($L$112,MATCH($N$1,$C$112:$C$113,0)-1,0)</f>
        <v>3.7491899946223701</v>
      </c>
      <c r="F133" s="64">
        <f ca="1">4.65166660398012*OFFSET($L$112,MATCH($N$1,$C$112:$C$113,0)-1,0)</f>
        <v>4.6516666039801198</v>
      </c>
    </row>
    <row r="134" spans="1:14" ht="18" customHeight="1" x14ac:dyDescent="0.2">
      <c r="A134" s="229"/>
      <c r="B134" s="35" t="s">
        <v>12</v>
      </c>
      <c r="C134" s="68">
        <f ca="1">1.48764094465439*OFFSET($L$112,MATCH($N$1,$C$112:$C$113,0)-1,0)</f>
        <v>1.4876409446543899</v>
      </c>
      <c r="D134" s="68">
        <f ca="1">-0.00763911925018212*OFFSET($L$112,MATCH($N$1,$C$112:$C$113,0)-1,0)</f>
        <v>-7.6391192501821196E-3</v>
      </c>
      <c r="E134" s="68">
        <f ca="1">-0.887065532385277*OFFSET($L$112,MATCH($N$1,$C$112:$C$113,0)-1,0)</f>
        <v>-0.88706553238527697</v>
      </c>
      <c r="F134" s="69">
        <f ca="1">0.0503009928515738*OFFSET($L$112,MATCH($N$1,$C$112:$C$113,0)-1,0)</f>
        <v>5.03009928515738E-2</v>
      </c>
    </row>
    <row r="135" spans="1:14" ht="18" customHeight="1" x14ac:dyDescent="0.2">
      <c r="A135" s="240" t="s">
        <v>45</v>
      </c>
      <c r="B135" s="33" t="s">
        <v>102</v>
      </c>
      <c r="C135" s="70">
        <f ca="1">45.48223828125*OFFSET($L$112,MATCH($N$1,$C$112:$C$113,0)-1,0)</f>
        <v>45.482238281249998</v>
      </c>
      <c r="D135" s="70">
        <f ca="1">42.7819453125*OFFSET($L$112,MATCH($N$1,$C$112:$C$113,0)-1,0)</f>
        <v>42.7819453125</v>
      </c>
      <c r="E135" s="70">
        <f ca="1">60.68368359375*OFFSET($L$112,MATCH($N$1,$C$112:$C$113,0)-1,0)</f>
        <v>60.683683593749997</v>
      </c>
      <c r="F135" s="71">
        <f ca="1">47.932453125*OFFSET($L$112,MATCH($N$1,$C$112:$C$113,0)-1,0)</f>
        <v>47.932453125000002</v>
      </c>
    </row>
    <row r="136" spans="1:14" ht="18" customHeight="1" x14ac:dyDescent="0.2">
      <c r="A136" s="241"/>
      <c r="B136" s="33" t="s">
        <v>103</v>
      </c>
      <c r="C136" s="26">
        <v>105800.00314239877</v>
      </c>
      <c r="D136" s="26">
        <v>99200.004221618859</v>
      </c>
      <c r="E136" s="26">
        <v>140350.00858072005</v>
      </c>
      <c r="F136" s="72">
        <v>111137.5</v>
      </c>
    </row>
    <row r="137" spans="1:14" ht="18" customHeight="1" x14ac:dyDescent="0.2">
      <c r="A137" s="241"/>
      <c r="B137" s="33" t="s">
        <v>104</v>
      </c>
      <c r="C137" s="26">
        <v>929.70123291015625</v>
      </c>
      <c r="D137" s="26">
        <v>1077.0901385054851</v>
      </c>
      <c r="E137" s="26">
        <v>1175.460693359375</v>
      </c>
      <c r="F137" s="72">
        <v>1065.0455322265625</v>
      </c>
    </row>
    <row r="138" spans="1:14" ht="18" customHeight="1" x14ac:dyDescent="0.2">
      <c r="A138" s="241"/>
      <c r="B138" s="33" t="s">
        <v>105</v>
      </c>
      <c r="C138" s="26">
        <f ca="1">399.668163985585*OFFSET($L$112,MATCH($N$1,$C$112:$C$113,0)-1,0)</f>
        <v>399.66816398558501</v>
      </c>
      <c r="D138" s="26">
        <f ca="1">464.516224205285*OFFSET($L$112,MATCH($N$1,$C$112:$C$113,0)-1,0)</f>
        <v>464.51622420528503</v>
      </c>
      <c r="E138" s="26">
        <f ca="1">508.238549566495*OFFSET($L$112,MATCH($N$1,$C$112:$C$113,0)-1,0)</f>
        <v>508.23854956649501</v>
      </c>
      <c r="F138" s="72">
        <f ca="1">459.343112850043*OFFSET($L$112,MATCH($N$1,$C$112:$C$113,0)-1,0)</f>
        <v>459.34311285004298</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1637.987895297*OFFSET($L$112,MATCH($N$1,$C$112:$C$113,0)-1,0)</f>
        <v>1637.987895297</v>
      </c>
      <c r="D139" s="26">
        <f ca="1">2136.61562941069*OFFSET($L$112,MATCH($N$1,$C$112:$C$113,0)-1,0)</f>
        <v>2136.61562941069</v>
      </c>
      <c r="E139" s="26">
        <f ca="1">2255.29873954968*OFFSET($L$112,MATCH($N$1,$C$112:$C$113,0)-1,0)</f>
        <v>2255.2987395496798</v>
      </c>
      <c r="F139" s="72">
        <f ca="1">2024.15837375342*OFFSET($L$112,MATCH($N$1,$C$112:$C$113,0)-1,0)</f>
        <v>2024.1583737534199</v>
      </c>
      <c r="I139" s="49"/>
      <c r="K139" s="73" t="s">
        <v>107</v>
      </c>
      <c r="L139" s="74">
        <f t="shared" ref="L139:M141" ca="1" si="2">C140</f>
        <v>158.2315625</v>
      </c>
      <c r="M139" s="74">
        <f t="shared" ca="1" si="2"/>
        <v>92.215558593750004</v>
      </c>
      <c r="N139" s="74">
        <f ca="1">E140</f>
        <v>81.080484374999997</v>
      </c>
    </row>
    <row r="140" spans="1:14" ht="18" customHeight="1" x14ac:dyDescent="0.2">
      <c r="A140" s="230" t="s">
        <v>46</v>
      </c>
      <c r="B140" s="30" t="s">
        <v>108</v>
      </c>
      <c r="C140" s="75">
        <f ca="1">158.2315625*OFFSET($L$112,MATCH($N$1,$C$112:$C$113,0)-1,0)</f>
        <v>158.2315625</v>
      </c>
      <c r="D140" s="75">
        <f ca="1">92.21555859375*OFFSET($L$112,MATCH($N$1,$C$112:$C$113,0)-1,0)</f>
        <v>92.215558593750004</v>
      </c>
      <c r="E140" s="75">
        <f ca="1">81.080484375*OFFSET($L$112,MATCH($N$1,$C$112:$C$113,0)-1,0)</f>
        <v>81.080484374999997</v>
      </c>
      <c r="F140" s="76">
        <f ca="1">105.9357890625*OFFSET($L$112,MATCH($N$1,$C$112:$C$113,0)-1,0)</f>
        <v>105.93578906250001</v>
      </c>
      <c r="I140" s="49"/>
      <c r="K140" s="73" t="s">
        <v>109</v>
      </c>
      <c r="L140" s="74">
        <f t="shared" ca="1" si="2"/>
        <v>130.55667187500001</v>
      </c>
      <c r="M140" s="74">
        <f t="shared" ca="1" si="2"/>
        <v>92.362367187499999</v>
      </c>
      <c r="N140" s="74">
        <f ca="1">E141</f>
        <v>104.27724218749999</v>
      </c>
    </row>
    <row r="141" spans="1:14" ht="18" customHeight="1" x14ac:dyDescent="0.2">
      <c r="A141" s="237"/>
      <c r="B141" s="33" t="s">
        <v>110</v>
      </c>
      <c r="C141" s="26">
        <f ca="1">130.556671875*OFFSET($L$112,MATCH($N$1,$C$112:$C$113,0)-1,0)</f>
        <v>130.55667187500001</v>
      </c>
      <c r="D141" s="26">
        <f ca="1">92.3623671875*OFFSET($L$112,MATCH($N$1,$C$112:$C$113,0)-1,0)</f>
        <v>92.362367187499999</v>
      </c>
      <c r="E141" s="26">
        <f ca="1">104.2772421875*OFFSET($L$112,MATCH($N$1,$C$112:$C$113,0)-1,0)</f>
        <v>104.27724218749999</v>
      </c>
      <c r="F141" s="72">
        <f ca="1">104.8896640625*OFFSET($L$112,MATCH($N$1,$C$112:$C$113,0)-1,0)</f>
        <v>104.8896640625</v>
      </c>
      <c r="I141" s="49"/>
      <c r="K141" s="73" t="s">
        <v>111</v>
      </c>
      <c r="L141" s="74">
        <f t="shared" ca="1" si="2"/>
        <v>27.674890625</v>
      </c>
      <c r="M141" s="74">
        <f t="shared" ca="1" si="2"/>
        <v>-0.14680859374999999</v>
      </c>
      <c r="N141" s="74">
        <f ca="1">E142</f>
        <v>-23.1967578125</v>
      </c>
    </row>
    <row r="142" spans="1:14" ht="18" customHeight="1" x14ac:dyDescent="0.2">
      <c r="A142" s="238"/>
      <c r="B142" s="35" t="s">
        <v>112</v>
      </c>
      <c r="C142" s="37">
        <f ca="1">27.674890625*OFFSET($L$112,MATCH($N$1,$C$112:$C$113,0)-1,0)</f>
        <v>27.674890625</v>
      </c>
      <c r="D142" s="37">
        <f ca="1">-0.14680859375*OFFSET($L$112,MATCH($N$1,$C$112:$C$113,0)-1,0)</f>
        <v>-0.14680859374999999</v>
      </c>
      <c r="E142" s="37">
        <f ca="1">-23.1967578125*OFFSET($L$112,MATCH($N$1,$C$112:$C$113,0)-1,0)</f>
        <v>-23.1967578125</v>
      </c>
      <c r="F142" s="65">
        <f ca="1">1.04612487792969*OFFSET($L$112,MATCH($N$1,$C$112:$C$113,0)-1,0)</f>
        <v>1.0461248779296899</v>
      </c>
      <c r="I142" s="49"/>
      <c r="K142" s="73" t="s">
        <v>113</v>
      </c>
      <c r="L142" s="77">
        <f ca="1">IFERROR(L140/L$139,"")</f>
        <v>0.82509879705573919</v>
      </c>
      <c r="M142" s="77">
        <f t="shared" ref="M142:N143" ca="1" si="3">IFERROR(M140/M$139,"")</f>
        <v>1.0015920154471627</v>
      </c>
      <c r="N142" s="77">
        <f t="shared" ca="1" si="3"/>
        <v>1.2860954518378824</v>
      </c>
    </row>
    <row r="143" spans="1:14" ht="18" customHeight="1" x14ac:dyDescent="0.2">
      <c r="I143" s="49"/>
      <c r="K143" s="73" t="s">
        <v>114</v>
      </c>
      <c r="L143" s="77">
        <f ca="1">IFERROR(L141/L$139,"")</f>
        <v>0.1749012029442609</v>
      </c>
      <c r="M143" s="77">
        <f t="shared" ca="1" si="3"/>
        <v>-1.5920154471628402E-3</v>
      </c>
      <c r="N143" s="77">
        <f t="shared" ca="1" si="3"/>
        <v>-0.28609545183788254</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8</v>
      </c>
      <c r="B161" s="53"/>
      <c r="C161" s="79" t="s">
        <v>41</v>
      </c>
      <c r="D161" s="79" t="s">
        <v>115</v>
      </c>
      <c r="E161" s="79" t="s">
        <v>43</v>
      </c>
      <c r="F161" s="79" t="s">
        <v>116</v>
      </c>
      <c r="G161" s="80">
        <v>5</v>
      </c>
      <c r="H161" s="79"/>
      <c r="I161" s="79" t="s">
        <v>41</v>
      </c>
      <c r="J161" s="79" t="s">
        <v>115</v>
      </c>
      <c r="K161" s="79" t="s">
        <v>43</v>
      </c>
      <c r="L161" s="53" t="s">
        <v>116</v>
      </c>
    </row>
    <row r="162" spans="1:14" s="49" customFormat="1" x14ac:dyDescent="0.2">
      <c r="A162" s="50">
        <v>1</v>
      </c>
      <c r="B162" s="53" t="s">
        <v>244</v>
      </c>
      <c r="C162" s="53">
        <v>0.92797241287141419</v>
      </c>
      <c r="D162" s="53">
        <v>0.76222958607337166</v>
      </c>
      <c r="E162" s="53">
        <v>1</v>
      </c>
      <c r="F162" s="50">
        <v>12153634</v>
      </c>
      <c r="G162" s="50">
        <v>1</v>
      </c>
      <c r="H162" s="53" t="s">
        <v>244</v>
      </c>
      <c r="I162" s="53">
        <v>0.993166259416986</v>
      </c>
      <c r="J162" s="53">
        <v>0.95450589660444052</v>
      </c>
      <c r="K162" s="53">
        <v>1</v>
      </c>
      <c r="L162" s="50">
        <v>12153634</v>
      </c>
    </row>
    <row r="163" spans="1:14" s="49" customFormat="1" x14ac:dyDescent="0.2">
      <c r="A163" s="50">
        <v>2</v>
      </c>
      <c r="B163" s="53" t="s">
        <v>242</v>
      </c>
      <c r="C163" s="53">
        <v>0</v>
      </c>
      <c r="D163" s="53">
        <v>0.20170863723393681</v>
      </c>
      <c r="E163" s="53">
        <v>0</v>
      </c>
      <c r="F163" s="50">
        <v>1692097</v>
      </c>
      <c r="G163" s="50">
        <v>2</v>
      </c>
      <c r="H163" s="53" t="s">
        <v>94</v>
      </c>
      <c r="I163" s="53">
        <v>0</v>
      </c>
      <c r="J163" s="53">
        <v>4.5494103395559517E-2</v>
      </c>
      <c r="K163" s="53">
        <v>0</v>
      </c>
      <c r="L163" s="50">
        <v>553960</v>
      </c>
      <c r="N163" s="49" t="s">
        <v>117</v>
      </c>
    </row>
    <row r="164" spans="1:14" s="49" customFormat="1" x14ac:dyDescent="0.2">
      <c r="A164" s="50">
        <v>3</v>
      </c>
      <c r="B164" s="53" t="s">
        <v>94</v>
      </c>
      <c r="C164" s="53">
        <v>0</v>
      </c>
      <c r="D164" s="53">
        <v>3.4811554775779893E-2</v>
      </c>
      <c r="E164" s="53">
        <v>0</v>
      </c>
      <c r="F164" s="50">
        <v>553960</v>
      </c>
      <c r="G164" s="50">
        <v>3</v>
      </c>
      <c r="H164" s="53" t="s">
        <v>243</v>
      </c>
      <c r="I164" s="53">
        <v>6.8337405830139536E-3</v>
      </c>
      <c r="J164" s="53">
        <v>0</v>
      </c>
      <c r="K164" s="53">
        <v>0</v>
      </c>
      <c r="L164" s="50">
        <v>3050596</v>
      </c>
      <c r="N164" s="49" t="s">
        <v>118</v>
      </c>
    </row>
    <row r="165" spans="1:14" s="49" customFormat="1" x14ac:dyDescent="0.2">
      <c r="A165" s="50">
        <v>4</v>
      </c>
      <c r="B165" s="53" t="s">
        <v>138</v>
      </c>
      <c r="C165" s="53">
        <v>0</v>
      </c>
      <c r="D165" s="53">
        <v>3.3601885182628967E-4</v>
      </c>
      <c r="E165" s="53">
        <v>0</v>
      </c>
      <c r="F165" s="50">
        <v>3689192</v>
      </c>
      <c r="G165" s="50">
        <v>4</v>
      </c>
      <c r="H165" s="53" t="s">
        <v>101</v>
      </c>
      <c r="I165" s="53">
        <v>0</v>
      </c>
      <c r="J165" s="53">
        <v>0</v>
      </c>
      <c r="K165" s="53">
        <v>0</v>
      </c>
      <c r="L165" s="50">
        <v>5920853</v>
      </c>
    </row>
    <row r="166" spans="1:14" s="49" customFormat="1" x14ac:dyDescent="0.2">
      <c r="A166" s="50">
        <v>5</v>
      </c>
      <c r="B166" s="53" t="s">
        <v>245</v>
      </c>
      <c r="C166" s="53">
        <v>0</v>
      </c>
      <c r="D166" s="53">
        <v>3.1122300639164151E-4</v>
      </c>
      <c r="E166" s="53">
        <v>0</v>
      </c>
      <c r="F166" s="50">
        <v>11115023</v>
      </c>
      <c r="G166" s="50">
        <v>5</v>
      </c>
      <c r="H166" s="53"/>
      <c r="I166" s="53">
        <v>0</v>
      </c>
      <c r="J166" s="53">
        <v>0</v>
      </c>
      <c r="K166" s="53">
        <v>0</v>
      </c>
      <c r="L166" s="50">
        <v>3050596</v>
      </c>
    </row>
    <row r="167" spans="1:14" s="49" customFormat="1" x14ac:dyDescent="0.2">
      <c r="A167" s="50">
        <v>6</v>
      </c>
      <c r="B167" s="53" t="s">
        <v>243</v>
      </c>
      <c r="C167" s="53">
        <v>7.2027587128585771E-2</v>
      </c>
      <c r="D167" s="53">
        <v>0</v>
      </c>
      <c r="E167" s="53">
        <v>0</v>
      </c>
      <c r="F167" s="50">
        <v>3050596</v>
      </c>
      <c r="G167" s="50">
        <v>6</v>
      </c>
      <c r="H167" s="53"/>
      <c r="I167" s="53">
        <v>0</v>
      </c>
      <c r="J167" s="53">
        <v>0</v>
      </c>
      <c r="K167" s="53">
        <v>0</v>
      </c>
      <c r="L167" s="50">
        <v>3050596</v>
      </c>
    </row>
    <row r="168" spans="1:14" s="49" customFormat="1" x14ac:dyDescent="0.2">
      <c r="A168" s="50">
        <v>7</v>
      </c>
      <c r="B168" s="53" t="s">
        <v>101</v>
      </c>
      <c r="C168" s="53">
        <v>0</v>
      </c>
      <c r="D168" s="53">
        <v>6.0298005869363624E-4</v>
      </c>
      <c r="E168" s="53">
        <v>0</v>
      </c>
      <c r="F168" s="50">
        <v>5920853</v>
      </c>
      <c r="G168" s="50">
        <v>7</v>
      </c>
      <c r="H168" s="53"/>
      <c r="I168" s="53">
        <v>0</v>
      </c>
      <c r="J168" s="53">
        <v>0</v>
      </c>
      <c r="K168" s="53">
        <v>0</v>
      </c>
      <c r="L168" s="50">
        <v>3050596</v>
      </c>
    </row>
    <row r="169" spans="1:14" s="49" customFormat="1" x14ac:dyDescent="0.2">
      <c r="A169" s="50">
        <v>8</v>
      </c>
      <c r="B169" s="53"/>
      <c r="C169" s="53">
        <v>0</v>
      </c>
      <c r="D169" s="53">
        <v>0</v>
      </c>
      <c r="E169" s="53">
        <v>0</v>
      </c>
      <c r="F169" s="50">
        <v>3050596</v>
      </c>
      <c r="G169" s="50">
        <v>8</v>
      </c>
      <c r="H169" s="53"/>
      <c r="I169" s="53">
        <v>0</v>
      </c>
      <c r="J169" s="53">
        <v>0</v>
      </c>
      <c r="K169" s="53">
        <v>0</v>
      </c>
      <c r="L169" s="50">
        <v>3050596</v>
      </c>
    </row>
    <row r="170" spans="1:14" s="49" customFormat="1" x14ac:dyDescent="0.2">
      <c r="A170" s="50">
        <v>9</v>
      </c>
      <c r="B170" s="53"/>
      <c r="C170" s="53">
        <v>0</v>
      </c>
      <c r="D170" s="53">
        <v>0</v>
      </c>
      <c r="E170" s="53">
        <v>0</v>
      </c>
      <c r="F170" s="50">
        <v>3050596</v>
      </c>
      <c r="G170" s="50">
        <v>9</v>
      </c>
      <c r="H170" s="53"/>
      <c r="I170" s="53">
        <v>0</v>
      </c>
      <c r="J170" s="53">
        <v>0</v>
      </c>
      <c r="K170" s="53">
        <v>0</v>
      </c>
      <c r="L170" s="50">
        <v>3050596</v>
      </c>
    </row>
    <row r="171" spans="1:14" s="49" customFormat="1" x14ac:dyDescent="0.2">
      <c r="A171" s="50">
        <v>10</v>
      </c>
      <c r="B171" s="53"/>
      <c r="C171" s="53">
        <v>0</v>
      </c>
      <c r="D171" s="53">
        <v>0</v>
      </c>
      <c r="E171" s="53">
        <v>0</v>
      </c>
      <c r="F171" s="50">
        <v>3050596</v>
      </c>
      <c r="G171" s="50">
        <v>10</v>
      </c>
      <c r="H171" s="53"/>
      <c r="I171" s="53">
        <v>0</v>
      </c>
      <c r="J171" s="53">
        <v>0</v>
      </c>
      <c r="K171" s="53">
        <v>0</v>
      </c>
      <c r="L171" s="50">
        <v>3050596</v>
      </c>
    </row>
    <row r="172" spans="1:14" s="49" customFormat="1" x14ac:dyDescent="0.2">
      <c r="A172" s="50">
        <v>11</v>
      </c>
      <c r="B172" s="53"/>
      <c r="C172" s="53">
        <v>0</v>
      </c>
      <c r="D172" s="53">
        <v>0</v>
      </c>
      <c r="E172" s="53">
        <v>0</v>
      </c>
      <c r="F172" s="50">
        <v>3050596</v>
      </c>
      <c r="G172" s="50">
        <v>11</v>
      </c>
      <c r="H172" s="53"/>
      <c r="I172" s="53">
        <v>0</v>
      </c>
      <c r="J172" s="53">
        <v>0</v>
      </c>
      <c r="K172" s="53">
        <v>0</v>
      </c>
      <c r="L172" s="50">
        <v>3050596</v>
      </c>
    </row>
    <row r="173" spans="1:14" s="49" customFormat="1" x14ac:dyDescent="0.2">
      <c r="A173" s="50">
        <v>12</v>
      </c>
      <c r="B173" s="53"/>
      <c r="C173" s="53">
        <v>0</v>
      </c>
      <c r="D173" s="53">
        <v>0</v>
      </c>
      <c r="E173" s="53">
        <v>0</v>
      </c>
      <c r="F173" s="50">
        <v>3050596</v>
      </c>
      <c r="G173" s="50">
        <v>12</v>
      </c>
      <c r="H173" s="53"/>
      <c r="I173" s="53">
        <v>0</v>
      </c>
      <c r="J173" s="53">
        <v>0</v>
      </c>
      <c r="K173" s="53">
        <v>0</v>
      </c>
      <c r="L173" s="50">
        <v>3050596</v>
      </c>
    </row>
    <row r="174" spans="1:14" s="49" customFormat="1" x14ac:dyDescent="0.2">
      <c r="A174" s="50">
        <v>13</v>
      </c>
      <c r="B174" s="53"/>
      <c r="C174" s="53">
        <v>0</v>
      </c>
      <c r="D174" s="53">
        <v>0</v>
      </c>
      <c r="E174" s="53">
        <v>0</v>
      </c>
      <c r="F174" s="50">
        <v>3050596</v>
      </c>
      <c r="G174" s="50">
        <v>13</v>
      </c>
      <c r="H174" s="53"/>
      <c r="I174" s="53">
        <v>0</v>
      </c>
      <c r="J174" s="53">
        <v>0</v>
      </c>
      <c r="K174" s="53">
        <v>0</v>
      </c>
      <c r="L174" s="50">
        <v>3050596</v>
      </c>
    </row>
    <row r="175" spans="1:14" s="49" customFormat="1" x14ac:dyDescent="0.2">
      <c r="A175" s="50">
        <v>14</v>
      </c>
      <c r="B175" s="53"/>
      <c r="C175" s="53">
        <v>0</v>
      </c>
      <c r="D175" s="53">
        <v>0</v>
      </c>
      <c r="E175" s="53">
        <v>0</v>
      </c>
      <c r="F175" s="50">
        <v>3050596</v>
      </c>
      <c r="G175" s="50">
        <v>14</v>
      </c>
      <c r="H175" s="53"/>
      <c r="I175" s="53">
        <v>0</v>
      </c>
      <c r="J175" s="53">
        <v>0</v>
      </c>
      <c r="K175" s="53">
        <v>0</v>
      </c>
      <c r="L175" s="50">
        <v>3050596</v>
      </c>
    </row>
    <row r="176" spans="1:14" s="49" customFormat="1" x14ac:dyDescent="0.2">
      <c r="A176" s="50">
        <v>15</v>
      </c>
      <c r="B176" s="53"/>
      <c r="C176" s="53">
        <v>0</v>
      </c>
      <c r="D176" s="53">
        <v>0</v>
      </c>
      <c r="E176" s="53">
        <v>0</v>
      </c>
      <c r="F176" s="50">
        <v>3050596</v>
      </c>
      <c r="G176" s="50">
        <v>15</v>
      </c>
      <c r="H176" s="53"/>
      <c r="I176" s="53">
        <v>0</v>
      </c>
      <c r="J176" s="53">
        <v>0</v>
      </c>
      <c r="K176" s="53">
        <v>0</v>
      </c>
      <c r="L176" s="50">
        <v>3050596</v>
      </c>
    </row>
    <row r="177" spans="1:12" s="49" customFormat="1" x14ac:dyDescent="0.2">
      <c r="A177" s="50">
        <v>16</v>
      </c>
      <c r="B177" s="53"/>
      <c r="C177" s="53">
        <v>0</v>
      </c>
      <c r="D177" s="53">
        <v>0</v>
      </c>
      <c r="E177" s="53">
        <v>0</v>
      </c>
      <c r="F177" s="50">
        <v>3050596</v>
      </c>
      <c r="G177" s="50">
        <v>16</v>
      </c>
      <c r="H177" s="53"/>
      <c r="I177" s="53">
        <v>0</v>
      </c>
      <c r="J177" s="53">
        <v>0</v>
      </c>
      <c r="K177" s="53">
        <v>0</v>
      </c>
      <c r="L177" s="50">
        <v>3050596</v>
      </c>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'NS beam trawl under 300kW'!D3:N3</xm:f>
              <xm:sqref>C3</xm:sqref>
            </x14:sparkline>
            <x14:sparkline>
              <xm:f>'NS beam trawl under 300kW'!D4:N4</xm:f>
              <xm:sqref>C4</xm:sqref>
            </x14:sparkline>
            <x14:sparkline>
              <xm:f>'NS beam trawl under 300kW'!D5:N5</xm:f>
              <xm:sqref>C5</xm:sqref>
            </x14:sparkline>
            <x14:sparkline>
              <xm:f>'NS beam trawl under 300kW'!D6:N6</xm:f>
              <xm:sqref>C6</xm:sqref>
            </x14:sparkline>
            <x14:sparkline>
              <xm:f>'NS beam trawl under 300kW'!D7:N7</xm:f>
              <xm:sqref>C7</xm:sqref>
            </x14:sparkline>
            <x14:sparkline>
              <xm:f>'NS beam trawl under 300kW'!D8:N8</xm:f>
              <xm:sqref>C8</xm:sqref>
            </x14:sparkline>
            <x14:sparkline>
              <xm:f>'NS beam trawl under 300kW'!D9:N9</xm:f>
              <xm:sqref>C9</xm:sqref>
            </x14:sparkline>
            <x14:sparkline>
              <xm:f>'NS beam trawl under 300kW'!F10:M10</xm:f>
              <xm:sqref>C10</xm:sqref>
            </x14:sparkline>
            <x14:sparkline>
              <xm:f>'NS beam trawl under 300kW'!D11:N11</xm:f>
              <xm:sqref>C11</xm:sqref>
            </x14:sparkline>
            <x14:sparkline>
              <xm:f>'NS beam trawl under 300kW'!D12:N12</xm:f>
              <xm:sqref>C12</xm:sqref>
            </x14:sparkline>
            <x14:sparkline>
              <xm:f>'NS beam trawl under 300kW'!D13:N13</xm:f>
              <xm:sqref>C13</xm:sqref>
            </x14:sparkline>
            <x14:sparkline>
              <xm:f>'NS beam trawl under 300kW'!D14:N14</xm:f>
              <xm:sqref>C14</xm:sqref>
            </x14:sparkline>
            <x14:sparkline>
              <xm:f>'NS beam trawl under 300kW'!D15:N15</xm:f>
              <xm:sqref>C15</xm:sqref>
            </x14:sparkline>
            <x14:sparkline>
              <xm:f>'NS beam trawl under 300kW'!D16:N16</xm:f>
              <xm:sqref>C16</xm:sqref>
            </x14:sparkline>
            <x14:sparkline>
              <xm:f>'NS beam trawl under 300kW'!D17:N17</xm:f>
              <xm:sqref>C17</xm:sqref>
            </x14:sparkline>
            <x14:sparkline>
              <xm:f>'NS beam trawl under 300kW'!D18:N18</xm:f>
              <xm:sqref>C18</xm:sqref>
            </x14:sparkline>
            <x14:sparkline>
              <xm:f>'NS beam trawl under 300kW'!D19:N19</xm:f>
              <xm:sqref>C19</xm:sqref>
            </x14:sparkline>
            <x14:sparkline>
              <xm:f>'NS beam trawl under 300kW'!D20:N20</xm:f>
              <xm:sqref>C20</xm:sqref>
            </x14:sparkline>
            <x14:sparkline>
              <xm:f>'NS beam trawl under 300kW'!D21:N21</xm:f>
              <xm:sqref>C21</xm:sqref>
            </x14:sparkline>
            <x14:sparkline>
              <xm:f>'NS beam trawl under 300kW'!D22:N22</xm:f>
              <xm:sqref>C22</xm:sqref>
            </x14:sparkline>
            <x14:sparkline>
              <xm:f>'NS beam trawl under 300kW'!D23:N23</xm:f>
              <xm:sqref>C23</xm:sqref>
            </x14:sparkline>
            <x14:sparkline>
              <xm:f>'NS beam trawl under 300kW'!D24:N24</xm:f>
              <xm:sqref>C24</xm:sqref>
            </x14:sparkline>
            <x14:sparkline>
              <xm:f>'NS beam trawl under 300kW'!F25:M25</xm:f>
              <xm:sqref>C25</xm:sqref>
            </x14:sparkline>
            <x14:sparkline>
              <xm:f>'NS beam trawl under 300kW'!F26:M26</xm:f>
              <xm:sqref>C26</xm:sqref>
            </x14:sparkline>
            <x14:sparkline>
              <xm:f>'NS beam trawl under 300kW'!D27:N27</xm:f>
              <xm:sqref>C27</xm:sqref>
            </x14:sparkline>
            <x14:sparkline>
              <xm:f>'NS beam trawl under 300kW'!D28:N28</xm:f>
              <xm:sqref>C28</xm:sqref>
            </x14:sparkline>
            <x14:sparkline>
              <xm:f>'NS beam trawl under 300kW'!D29:N29</xm:f>
              <xm:sqref>C29</xm:sqref>
            </x14:sparkline>
            <x14:sparkline>
              <xm:f>'NS beam trawl under 300kW'!D30:N30</xm:f>
              <xm:sqref>C30</xm:sqref>
            </x14:sparkline>
            <x14:sparkline>
              <xm:f>'NS beam trawl under 300kW'!D31:N31</xm:f>
              <xm:sqref>C31</xm:sqref>
            </x14:sparkline>
            <x14:sparkline>
              <xm:f>'NS beam trawl under 300kW'!D32:N32</xm:f>
              <xm:sqref>C32</xm:sqref>
            </x14:sparkline>
            <x14:sparkline>
              <xm:f>'NS beam trawl under 300kW'!D33:N33</xm:f>
              <xm:sqref>C33</xm:sqref>
            </x14:sparkline>
            <x14:sparkline>
              <xm:f>'NS beam trawl under 300kW'!D34:N34</xm:f>
              <xm:sqref>C34</xm:sqref>
            </x14:sparkline>
            <x14:sparkline>
              <xm:f>'NS beam trawl under 300kW'!D35:N35</xm:f>
              <xm:sqref>C35</xm:sqref>
            </x14:sparkline>
            <x14:sparkline>
              <xm:f>'NS beam trawl under 300kW'!D36:N36</xm:f>
              <xm:sqref>C36</xm:sqref>
            </x14:sparkline>
            <x14:sparkline>
              <xm:f>'NS beam trawl under 300kW'!D37:N37</xm:f>
              <xm:sqref>C37</xm:sqref>
            </x14:sparkline>
            <x14:sparkline>
              <xm:f>'NS beam trawl under 300kW'!D38:M38</xm:f>
              <xm:sqref>C38</xm:sqref>
            </x14:sparkline>
            <x14:sparkline>
              <xm:f>'NS beam trawl under 300kW'!D39:M39</xm:f>
              <xm:sqref>C39</xm:sqref>
            </x14:sparkline>
            <x14:sparkline>
              <xm:f>'NS beam trawl under 300kW'!D40:M40</xm:f>
              <xm:sqref>C40</xm:sqref>
            </x14:sparkline>
            <x14:sparkline>
              <xm:f>'NS beam trawl under 300kW'!D41:M41</xm:f>
              <xm:sqref>C41</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288</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97</v>
      </c>
      <c r="E3" s="22">
        <v>83</v>
      </c>
      <c r="F3" s="22">
        <v>96</v>
      </c>
      <c r="G3" s="22">
        <v>83</v>
      </c>
      <c r="H3" s="22">
        <v>72</v>
      </c>
      <c r="I3" s="22">
        <v>55</v>
      </c>
      <c r="J3" s="22">
        <v>59</v>
      </c>
      <c r="K3" s="22">
        <v>43</v>
      </c>
      <c r="L3" s="22">
        <v>49</v>
      </c>
      <c r="M3" s="22">
        <v>53</v>
      </c>
      <c r="N3" s="22">
        <v>42</v>
      </c>
      <c r="O3" s="23">
        <f t="shared" ref="O3:O41" si="0">IF(N3=0,"",IFERROR(IF(AND(N3&gt;0,D3&lt;0),"na",IF(AND(N3&lt;0,D3&lt;0),-1,1)*(N3-D3)/D3),""))</f>
        <v>-0.5670103092783505</v>
      </c>
      <c r="P3" s="23">
        <f>IF(N3=0,"",IFERROR(IF(AND(N3&gt;0,J3&lt;0),"na",IF(AND(N3&lt;0,J3&lt;0),-1,1)*(N3-J3)/J3),""))</f>
        <v>-0.28813559322033899</v>
      </c>
    </row>
    <row r="4" spans="1:17" ht="18" customHeight="1" x14ac:dyDescent="0.2">
      <c r="A4" s="224"/>
      <c r="B4" s="24" t="s">
        <v>51</v>
      </c>
      <c r="C4" s="25"/>
      <c r="D4" s="26">
        <v>42310</v>
      </c>
      <c r="E4" s="26">
        <v>35317</v>
      </c>
      <c r="F4" s="26">
        <v>41284</v>
      </c>
      <c r="G4" s="26">
        <v>36008</v>
      </c>
      <c r="H4" s="26">
        <v>30452</v>
      </c>
      <c r="I4" s="26">
        <v>24584</v>
      </c>
      <c r="J4" s="26">
        <v>25767</v>
      </c>
      <c r="K4" s="26">
        <v>17978</v>
      </c>
      <c r="L4" s="26">
        <v>20788</v>
      </c>
      <c r="M4" s="26">
        <v>22417</v>
      </c>
      <c r="N4" s="26">
        <v>17845</v>
      </c>
      <c r="O4" s="23">
        <f t="shared" si="0"/>
        <v>-0.57823209643110374</v>
      </c>
      <c r="P4" s="23">
        <f t="shared" ref="P4:P41" si="1">IF(N4=0,"",IFERROR(IF(AND(N4&gt;0,J4&lt;0),"na",IF(AND(N4&lt;0,J4&lt;0),-1,1)*(N4-J4)/J4),""))</f>
        <v>-0.3074475103814957</v>
      </c>
    </row>
    <row r="5" spans="1:17" ht="18" customHeight="1" x14ac:dyDescent="0.2">
      <c r="A5" s="224"/>
      <c r="B5" s="24" t="s">
        <v>52</v>
      </c>
      <c r="C5" s="25"/>
      <c r="D5" s="26">
        <v>15352</v>
      </c>
      <c r="E5" s="26">
        <v>12718</v>
      </c>
      <c r="F5" s="26">
        <v>15032</v>
      </c>
      <c r="G5" s="26">
        <v>13191</v>
      </c>
      <c r="H5" s="26">
        <v>11251</v>
      </c>
      <c r="I5" s="26">
        <v>8944</v>
      </c>
      <c r="J5" s="26">
        <v>9184</v>
      </c>
      <c r="K5" s="26">
        <v>6507</v>
      </c>
      <c r="L5" s="26">
        <v>7787</v>
      </c>
      <c r="M5" s="26">
        <v>8476</v>
      </c>
      <c r="N5" s="26">
        <v>6688</v>
      </c>
      <c r="O5" s="23">
        <f t="shared" si="0"/>
        <v>-0.5643564356435643</v>
      </c>
      <c r="P5" s="23">
        <f t="shared" si="1"/>
        <v>-0.27177700348432055</v>
      </c>
      <c r="Q5" s="27"/>
    </row>
    <row r="6" spans="1:17" ht="18" customHeight="1" x14ac:dyDescent="0.2">
      <c r="A6" s="224"/>
      <c r="B6" s="24" t="s">
        <v>53</v>
      </c>
      <c r="C6" s="25"/>
      <c r="D6" s="26">
        <v>33268.63671875</v>
      </c>
      <c r="E6" s="26">
        <v>27653.015625</v>
      </c>
      <c r="F6" s="26">
        <v>32317.294921875</v>
      </c>
      <c r="G6" s="26">
        <v>27942.029296875</v>
      </c>
      <c r="H6" s="26">
        <v>23881.884765625</v>
      </c>
      <c r="I6" s="26">
        <v>18800.1640625</v>
      </c>
      <c r="J6" s="26">
        <v>19894.3984375</v>
      </c>
      <c r="K6" s="26">
        <v>14001.90625</v>
      </c>
      <c r="L6" s="26">
        <v>16277.8955078125</v>
      </c>
      <c r="M6" s="26">
        <v>17518.82421875</v>
      </c>
      <c r="N6" s="26">
        <v>13894.1689453125</v>
      </c>
      <c r="O6" s="23">
        <f t="shared" si="0"/>
        <v>-0.58236434324698882</v>
      </c>
      <c r="P6" s="23">
        <f t="shared" si="1"/>
        <v>-0.30160396711857096</v>
      </c>
    </row>
    <row r="7" spans="1:17" ht="18" customHeight="1" x14ac:dyDescent="0.2">
      <c r="A7" s="224"/>
      <c r="B7" s="24" t="s">
        <v>54</v>
      </c>
      <c r="C7" s="25"/>
      <c r="D7" s="26">
        <v>21962.654296875</v>
      </c>
      <c r="E7" s="26">
        <v>20106.357421875</v>
      </c>
      <c r="F7" s="26">
        <v>20082.29296875</v>
      </c>
      <c r="G7" s="26">
        <v>16559.109375</v>
      </c>
      <c r="H7" s="26">
        <v>13678.3623046875</v>
      </c>
      <c r="I7" s="26">
        <v>10802.6396484375</v>
      </c>
      <c r="J7" s="26">
        <v>13238.4287109375</v>
      </c>
      <c r="K7" s="26">
        <v>7437.541015625</v>
      </c>
      <c r="L7" s="26">
        <v>10976.51171875</v>
      </c>
      <c r="M7" s="26">
        <v>14542.2080078125</v>
      </c>
      <c r="N7" s="26">
        <v>10931.802734375</v>
      </c>
      <c r="O7" s="23">
        <f t="shared" si="0"/>
        <v>-0.50225493755868778</v>
      </c>
      <c r="P7" s="23">
        <f t="shared" si="1"/>
        <v>-0.17423714150130076</v>
      </c>
    </row>
    <row r="8" spans="1:17" ht="18" customHeight="1" x14ac:dyDescent="0.2">
      <c r="A8" s="224"/>
      <c r="B8" s="24" t="s">
        <v>55</v>
      </c>
      <c r="C8" s="27"/>
      <c r="D8" s="28">
        <f ca="1">56.766868*OFFSET(D$112,MATCH($N$1,$C$112:$C$113,0)-1,0)</f>
        <v>56.766868000000002</v>
      </c>
      <c r="E8" s="28">
        <f ca="1">42.686308*OFFSET(E$112,MATCH($N$1,$C$112:$C$113,0)-1,0)</f>
        <v>42.686307999999997</v>
      </c>
      <c r="F8" s="28">
        <f ca="1">48.830476*OFFSET(F$112,MATCH($N$1,$C$112:$C$113,0)-1,0)</f>
        <v>48.830475999999997</v>
      </c>
      <c r="G8" s="28">
        <f ca="1">53.739428*OFFSET(G$112,MATCH($N$1,$C$112:$C$113,0)-1,0)</f>
        <v>53.739427999999997</v>
      </c>
      <c r="H8" s="28">
        <f ca="1">39.350128*OFFSET(H$112,MATCH($N$1,$C$112:$C$113,0)-1,0)</f>
        <v>39.350127999999998</v>
      </c>
      <c r="I8" s="28">
        <f ca="1">24.73353*OFFSET(I$112,MATCH($N$1,$C$112:$C$113,0)-1,0)</f>
        <v>24.733529999999998</v>
      </c>
      <c r="J8" s="28">
        <f ca="1">34.506292*OFFSET(J$112,MATCH($N$1,$C$112:$C$113,0)-1,0)</f>
        <v>34.506292000000002</v>
      </c>
      <c r="K8" s="28">
        <f ca="1">17.562636*OFFSET(K$112,MATCH($N$1,$C$112:$C$113,0)-1,0)</f>
        <v>17.562636000000001</v>
      </c>
      <c r="L8" s="28">
        <f ca="1">29.622244*OFFSET(L$112,MATCH($N$1,$C$112:$C$113,0)-1,0)</f>
        <v>29.622243999999998</v>
      </c>
      <c r="M8" s="28">
        <f ca="1">38.472564*OFFSET(M$112,MATCH($N$1,$C$112:$C$113,0)-1,0)</f>
        <v>38.472563999999998</v>
      </c>
      <c r="N8" s="28">
        <v>25.629002</v>
      </c>
      <c r="O8" s="23">
        <f t="shared" ca="1" si="0"/>
        <v>-0.54852182438530872</v>
      </c>
      <c r="P8" s="23">
        <f t="shared" ca="1" si="1"/>
        <v>-0.25726583430059657</v>
      </c>
    </row>
    <row r="9" spans="1:17" ht="18" customHeight="1" x14ac:dyDescent="0.2">
      <c r="A9" s="224"/>
      <c r="B9" s="24" t="s">
        <v>56</v>
      </c>
      <c r="C9" s="27"/>
      <c r="D9" s="26">
        <v>19346</v>
      </c>
      <c r="E9" s="26">
        <v>16208</v>
      </c>
      <c r="F9" s="26">
        <v>17534</v>
      </c>
      <c r="G9" s="26">
        <v>15262</v>
      </c>
      <c r="H9" s="26">
        <v>12619</v>
      </c>
      <c r="I9" s="26">
        <v>9025</v>
      </c>
      <c r="J9" s="26">
        <v>11039</v>
      </c>
      <c r="K9" s="26">
        <v>7242</v>
      </c>
      <c r="L9" s="26">
        <v>9861</v>
      </c>
      <c r="M9" s="26">
        <v>10807</v>
      </c>
      <c r="N9" s="26">
        <v>8109</v>
      </c>
      <c r="O9" s="23">
        <f t="shared" si="0"/>
        <v>-0.58084358523725832</v>
      </c>
      <c r="P9" s="23">
        <f t="shared" si="1"/>
        <v>-0.26542259262614365</v>
      </c>
    </row>
    <row r="10" spans="1:17" ht="18" customHeight="1" x14ac:dyDescent="0.2">
      <c r="A10" s="224"/>
      <c r="B10" s="24" t="s">
        <v>57</v>
      </c>
      <c r="C10" s="27"/>
      <c r="D10" s="26"/>
      <c r="E10" s="26">
        <v>762.73199462890625</v>
      </c>
      <c r="F10" s="26">
        <v>669.96368408203125</v>
      </c>
      <c r="G10" s="26">
        <v>717.04840087890625</v>
      </c>
      <c r="H10" s="26">
        <v>675.18505859375</v>
      </c>
      <c r="I10" s="26">
        <v>577.00555419921875</v>
      </c>
      <c r="J10" s="26">
        <v>314.47427368164062</v>
      </c>
      <c r="K10" s="26">
        <v>401.46221923828125</v>
      </c>
      <c r="L10" s="26">
        <v>200.39390563964844</v>
      </c>
      <c r="M10" s="26">
        <v>399.88037109375</v>
      </c>
      <c r="N10" s="26">
        <v>386.62823486328125</v>
      </c>
      <c r="O10" s="29" t="str">
        <f t="shared" si="0"/>
        <v/>
      </c>
      <c r="P10" s="29">
        <f t="shared" si="1"/>
        <v>0.22944312848524454</v>
      </c>
    </row>
    <row r="11" spans="1:17" ht="18" customHeight="1" x14ac:dyDescent="0.2">
      <c r="A11" s="225" t="s">
        <v>23</v>
      </c>
      <c r="B11" s="30" t="s">
        <v>58</v>
      </c>
      <c r="C11" s="31"/>
      <c r="D11" s="32">
        <v>21.253402709960937</v>
      </c>
      <c r="E11" s="32">
        <v>20.909517288208008</v>
      </c>
      <c r="F11" s="32">
        <v>20.96583366394043</v>
      </c>
      <c r="G11" s="32">
        <v>20.748434066772461</v>
      </c>
      <c r="H11" s="32">
        <v>20.570138931274414</v>
      </c>
      <c r="I11" s="32">
        <v>20.575090408325195</v>
      </c>
      <c r="J11" s="32">
        <v>20.493728637695313</v>
      </c>
      <c r="K11" s="32">
        <v>20.27790641784668</v>
      </c>
      <c r="L11" s="32">
        <v>20.62755012512207</v>
      </c>
      <c r="M11" s="32">
        <v>20.568302154541016</v>
      </c>
      <c r="N11" s="32">
        <v>20.374523162841797</v>
      </c>
      <c r="O11" s="23">
        <f t="shared" si="0"/>
        <v>-4.1352415851379498E-2</v>
      </c>
      <c r="P11" s="23">
        <f t="shared" si="1"/>
        <v>-5.8166806519655981E-3</v>
      </c>
    </row>
    <row r="12" spans="1:17" ht="18" customHeight="1" x14ac:dyDescent="0.2">
      <c r="A12" s="226"/>
      <c r="B12" s="33" t="s">
        <v>51</v>
      </c>
      <c r="C12" s="25"/>
      <c r="D12" s="26">
        <v>436.18557739257812</v>
      </c>
      <c r="E12" s="26">
        <v>425.50601196289062</v>
      </c>
      <c r="F12" s="26">
        <v>430.04165649414062</v>
      </c>
      <c r="G12" s="26">
        <v>433.83132934570312</v>
      </c>
      <c r="H12" s="26">
        <v>422.9444580078125</v>
      </c>
      <c r="I12" s="26">
        <v>446.9818115234375</v>
      </c>
      <c r="J12" s="26">
        <v>436.72882080078125</v>
      </c>
      <c r="K12" s="26">
        <v>418.093017578125</v>
      </c>
      <c r="L12" s="26">
        <v>424.24490356445312</v>
      </c>
      <c r="M12" s="26">
        <v>422.96224975585938</v>
      </c>
      <c r="N12" s="26">
        <v>424.88095092773437</v>
      </c>
      <c r="O12" s="23">
        <f t="shared" si="0"/>
        <v>-2.5917011131868072E-2</v>
      </c>
      <c r="P12" s="23">
        <f t="shared" si="1"/>
        <v>-2.7128664994727731E-2</v>
      </c>
    </row>
    <row r="13" spans="1:17" ht="18" customHeight="1" x14ac:dyDescent="0.2">
      <c r="A13" s="226"/>
      <c r="B13" s="33" t="s">
        <v>52</v>
      </c>
      <c r="C13" s="25"/>
      <c r="D13" s="26">
        <v>158.26803588867187</v>
      </c>
      <c r="E13" s="26">
        <v>153.22891235351562</v>
      </c>
      <c r="F13" s="26">
        <v>156.58332824707031</v>
      </c>
      <c r="G13" s="26">
        <v>158.92770385742187</v>
      </c>
      <c r="H13" s="26">
        <v>156.26388549804687</v>
      </c>
      <c r="I13" s="26">
        <v>162.61817932128906</v>
      </c>
      <c r="J13" s="26">
        <v>155.6610107421875</v>
      </c>
      <c r="K13" s="26">
        <v>151.32557678222656</v>
      </c>
      <c r="L13" s="26">
        <v>158.91836547851562</v>
      </c>
      <c r="M13" s="26">
        <v>159.92453002929687</v>
      </c>
      <c r="N13" s="26">
        <v>159.23809814453125</v>
      </c>
      <c r="O13" s="23">
        <f t="shared" si="0"/>
        <v>6.129236711711842E-3</v>
      </c>
      <c r="P13" s="23">
        <f t="shared" si="1"/>
        <v>2.2979983139569077E-2</v>
      </c>
    </row>
    <row r="14" spans="1:17" ht="18" customHeight="1" x14ac:dyDescent="0.2">
      <c r="A14" s="226"/>
      <c r="B14" s="33" t="s">
        <v>53</v>
      </c>
      <c r="C14" s="25"/>
      <c r="D14" s="26">
        <v>342.97561645507812</v>
      </c>
      <c r="E14" s="26">
        <v>333.16885375976562</v>
      </c>
      <c r="F14" s="26">
        <v>336.63848876953125</v>
      </c>
      <c r="G14" s="26">
        <v>336.65093994140625</v>
      </c>
      <c r="H14" s="26">
        <v>331.69284057617187</v>
      </c>
      <c r="I14" s="26">
        <v>341.8211669921875</v>
      </c>
      <c r="J14" s="26">
        <v>337.19320678710937</v>
      </c>
      <c r="K14" s="26">
        <v>325.625732421875</v>
      </c>
      <c r="L14" s="26">
        <v>332.20193481445312</v>
      </c>
      <c r="M14" s="26">
        <v>330.5438232421875</v>
      </c>
      <c r="N14" s="26">
        <v>330.81353759765625</v>
      </c>
      <c r="O14" s="23">
        <f t="shared" si="0"/>
        <v>-3.5460476704223157E-2</v>
      </c>
      <c r="P14" s="23">
        <f t="shared" si="1"/>
        <v>-1.8919922053711475E-2</v>
      </c>
    </row>
    <row r="15" spans="1:17" ht="18" customHeight="1" x14ac:dyDescent="0.2">
      <c r="A15" s="226"/>
      <c r="B15" s="33" t="s">
        <v>54</v>
      </c>
      <c r="C15" s="27"/>
      <c r="D15" s="28">
        <v>226.41912841796875</v>
      </c>
      <c r="E15" s="28">
        <v>242.24526977539062</v>
      </c>
      <c r="F15" s="28">
        <v>209.1905517578125</v>
      </c>
      <c r="G15" s="28">
        <v>199.50733947753906</v>
      </c>
      <c r="H15" s="28">
        <v>189.97724914550781</v>
      </c>
      <c r="I15" s="28">
        <v>196.41163635253906</v>
      </c>
      <c r="J15" s="28">
        <v>224.38015747070312</v>
      </c>
      <c r="K15" s="28">
        <v>172.96607971191406</v>
      </c>
      <c r="L15" s="28">
        <v>224.01043701171875</v>
      </c>
      <c r="M15" s="28">
        <v>274.38128662109375</v>
      </c>
      <c r="N15" s="28">
        <v>260.28103637695312</v>
      </c>
      <c r="O15" s="23">
        <f t="shared" si="0"/>
        <v>0.14955409552003679</v>
      </c>
      <c r="P15" s="23">
        <f t="shared" si="1"/>
        <v>0.16000023937472058</v>
      </c>
    </row>
    <row r="16" spans="1:17" ht="18" customHeight="1" x14ac:dyDescent="0.2">
      <c r="A16" s="226"/>
      <c r="B16" s="33" t="s">
        <v>59</v>
      </c>
      <c r="C16" s="27"/>
      <c r="D16" s="28">
        <f ca="1">585.2254375*OFFSET(D$112,MATCH($N$1,$C$112:$C$113,0)-1,0)</f>
        <v>585.2254375</v>
      </c>
      <c r="E16" s="28">
        <f ca="1">514.29284375*OFFSET(E$112,MATCH($N$1,$C$112:$C$113,0)-1,0)</f>
        <v>514.29284374999997</v>
      </c>
      <c r="F16" s="28">
        <f ca="1">508.65078125*OFFSET(F$112,MATCH($N$1,$C$112:$C$113,0)-1,0)</f>
        <v>508.65078125000002</v>
      </c>
      <c r="G16" s="28">
        <f ca="1">647.463*OFFSET(G$112,MATCH($N$1,$C$112:$C$113,0)-1,0)</f>
        <v>647.46299999999997</v>
      </c>
      <c r="H16" s="28">
        <f ca="1">546.5295625*OFFSET(H$112,MATCH($N$1,$C$112:$C$113,0)-1,0)</f>
        <v>546.5295625</v>
      </c>
      <c r="I16" s="28">
        <f ca="1">449.7005625*OFFSET(I$112,MATCH($N$1,$C$112:$C$113,0)-1,0)</f>
        <v>449.70056249999999</v>
      </c>
      <c r="J16" s="28">
        <f ca="1">584.852375*OFFSET(J$112,MATCH($N$1,$C$112:$C$113,0)-1,0)</f>
        <v>584.85237500000005</v>
      </c>
      <c r="K16" s="28">
        <f ca="1">408.43340625*OFFSET(K$112,MATCH($N$1,$C$112:$C$113,0)-1,0)</f>
        <v>408.43340625000002</v>
      </c>
      <c r="L16" s="28">
        <f ca="1">604.535625*OFFSET(L$112,MATCH($N$1,$C$112:$C$113,0)-1,0)</f>
        <v>604.53562499999998</v>
      </c>
      <c r="M16" s="28">
        <f ca="1">725.8974375*OFFSET(M$112,MATCH($N$1,$C$112:$C$113,0)-1,0)</f>
        <v>725.89743750000002</v>
      </c>
      <c r="N16" s="28">
        <v>610.21437500000002</v>
      </c>
      <c r="O16" s="23">
        <f t="shared" ca="1" si="0"/>
        <v>4.269967759219287E-2</v>
      </c>
      <c r="P16" s="23">
        <f t="shared" ca="1" si="1"/>
        <v>4.3364789276952094E-2</v>
      </c>
    </row>
    <row r="17" spans="1:16" ht="18" customHeight="1" x14ac:dyDescent="0.2">
      <c r="A17" s="226"/>
      <c r="B17" s="33" t="s">
        <v>56</v>
      </c>
      <c r="C17" s="25"/>
      <c r="D17" s="26">
        <v>199.44329833984375</v>
      </c>
      <c r="E17" s="26">
        <v>195.27711486816406</v>
      </c>
      <c r="F17" s="26">
        <v>182.64582824707031</v>
      </c>
      <c r="G17" s="26">
        <v>183.8795166015625</v>
      </c>
      <c r="H17" s="26">
        <v>175.26388549804687</v>
      </c>
      <c r="I17" s="26">
        <v>164.09091186523438</v>
      </c>
      <c r="J17" s="26">
        <v>187.10169982910156</v>
      </c>
      <c r="K17" s="26">
        <v>168.41860961914062</v>
      </c>
      <c r="L17" s="26">
        <v>201.24490356445312</v>
      </c>
      <c r="M17" s="26">
        <v>203.90565490722656</v>
      </c>
      <c r="N17" s="26">
        <v>193.07142639160156</v>
      </c>
      <c r="O17" s="23">
        <f t="shared" si="0"/>
        <v>-3.1948288066239061E-2</v>
      </c>
      <c r="P17" s="23">
        <f t="shared" si="1"/>
        <v>3.1906319226136057E-2</v>
      </c>
    </row>
    <row r="18" spans="1:16" ht="18" customHeight="1" x14ac:dyDescent="0.2">
      <c r="A18" s="226"/>
      <c r="B18" s="33" t="s">
        <v>60</v>
      </c>
      <c r="C18" s="25"/>
      <c r="D18" s="26">
        <v>19.402061462402344</v>
      </c>
      <c r="E18" s="26">
        <v>20.373493194580078</v>
      </c>
      <c r="F18" s="26">
        <v>19.979166030883789</v>
      </c>
      <c r="G18" s="26">
        <v>18.891565322875977</v>
      </c>
      <c r="H18" s="26">
        <v>19.638889312744141</v>
      </c>
      <c r="I18" s="26">
        <v>19.018182754516602</v>
      </c>
      <c r="J18" s="26">
        <v>20.118644714355469</v>
      </c>
      <c r="K18" s="26">
        <v>20.558139801025391</v>
      </c>
      <c r="L18" s="26">
        <v>21.591836929321289</v>
      </c>
      <c r="M18" s="26">
        <v>21.792453765869141</v>
      </c>
      <c r="N18" s="26">
        <v>21.5</v>
      </c>
      <c r="O18" s="23">
        <f t="shared" si="0"/>
        <v>0.10812967177034659</v>
      </c>
      <c r="P18" s="23">
        <f t="shared" si="1"/>
        <v>6.8660454282930813E-2</v>
      </c>
    </row>
    <row r="19" spans="1:16" ht="18" customHeight="1" x14ac:dyDescent="0.2">
      <c r="A19" s="226"/>
      <c r="B19" s="33" t="s">
        <v>61</v>
      </c>
      <c r="C19" s="25"/>
      <c r="D19" s="34">
        <v>1.1352556943893433</v>
      </c>
      <c r="E19" s="34">
        <v>1.2405204772949219</v>
      </c>
      <c r="F19" s="34">
        <v>1.1453343629837036</v>
      </c>
      <c r="G19" s="34">
        <v>1.0849894285202026</v>
      </c>
      <c r="H19" s="34">
        <v>1.0839498043060303</v>
      </c>
      <c r="I19" s="34">
        <v>1.1969684362411499</v>
      </c>
      <c r="J19" s="34">
        <v>1.1992416381835937</v>
      </c>
      <c r="K19" s="34">
        <v>1.0270010232925415</v>
      </c>
      <c r="L19" s="34">
        <v>1.1131235361099243</v>
      </c>
      <c r="M19" s="34">
        <v>1.3456286191940308</v>
      </c>
      <c r="N19" s="34">
        <v>1.3481074571609497</v>
      </c>
      <c r="O19" s="23">
        <f t="shared" si="0"/>
        <v>0.18749235421021157</v>
      </c>
      <c r="P19" s="23">
        <f t="shared" si="1"/>
        <v>0.12413329744190041</v>
      </c>
    </row>
    <row r="20" spans="1:16" ht="18" customHeight="1" x14ac:dyDescent="0.2">
      <c r="A20" s="227"/>
      <c r="B20" s="35" t="s">
        <v>24</v>
      </c>
      <c r="C20" s="36"/>
      <c r="D20" s="37">
        <f ca="1">2585*OFFSET(D$112,MATCH($N$1,$C$112:$C$113,0)-1,0)</f>
        <v>2585</v>
      </c>
      <c r="E20" s="37">
        <f ca="1">2123*OFFSET(E$112,MATCH($N$1,$C$112:$C$113,0)-1,0)</f>
        <v>2123</v>
      </c>
      <c r="F20" s="37">
        <f ca="1">2432*OFFSET(F$112,MATCH($N$1,$C$112:$C$113,0)-1,0)</f>
        <v>2432</v>
      </c>
      <c r="G20" s="37">
        <f ca="1">3245*OFFSET(G$112,MATCH($N$1,$C$112:$C$113,0)-1,0)</f>
        <v>3245</v>
      </c>
      <c r="H20" s="37">
        <f ca="1">2877*OFFSET(H$112,MATCH($N$1,$C$112:$C$113,0)-1,0)</f>
        <v>2877</v>
      </c>
      <c r="I20" s="37">
        <f ca="1">2290*OFFSET(I$112,MATCH($N$1,$C$112:$C$113,0)-1,0)</f>
        <v>2290</v>
      </c>
      <c r="J20" s="37">
        <f ca="1">2607*OFFSET(J$112,MATCH($N$1,$C$112:$C$113,0)-1,0)</f>
        <v>2607</v>
      </c>
      <c r="K20" s="37">
        <f ca="1">2361*OFFSET(K$112,MATCH($N$1,$C$112:$C$113,0)-1,0)</f>
        <v>2361</v>
      </c>
      <c r="L20" s="37">
        <f ca="1">2699*OFFSET(L$112,MATCH($N$1,$C$112:$C$113,0)-1,0)</f>
        <v>2699</v>
      </c>
      <c r="M20" s="37">
        <f ca="1">2646*OFFSET(M$112,MATCH($N$1,$C$112:$C$113,0)-1,0)</f>
        <v>2646</v>
      </c>
      <c r="N20" s="37">
        <v>2344</v>
      </c>
      <c r="O20" s="29">
        <f t="shared" ca="1" si="0"/>
        <v>-9.3230174081237904E-2</v>
      </c>
      <c r="P20" s="29">
        <f t="shared" ca="1" si="1"/>
        <v>-0.10088224012274645</v>
      </c>
    </row>
    <row r="21" spans="1:16" ht="18" customHeight="1" x14ac:dyDescent="0.2">
      <c r="A21" s="228" t="s">
        <v>25</v>
      </c>
      <c r="B21" s="30" t="s">
        <v>62</v>
      </c>
      <c r="C21" s="38"/>
      <c r="D21" s="39">
        <v>2.5501412077971457</v>
      </c>
      <c r="E21" s="39">
        <v>2.8766162409022034</v>
      </c>
      <c r="F21" s="39">
        <v>2.6213420716327858</v>
      </c>
      <c r="G21" s="39">
        <v>2.4525622938685987</v>
      </c>
      <c r="H21" s="39">
        <v>2.5434379486457916</v>
      </c>
      <c r="I21" s="39">
        <v>2.6404504074337458</v>
      </c>
      <c r="J21" s="39">
        <v>2.7120514541625211</v>
      </c>
      <c r="K21" s="39">
        <v>2.4241609364550163</v>
      </c>
      <c r="L21" s="39">
        <v>2.5906231740919394</v>
      </c>
      <c r="M21" s="39">
        <v>3.115561133901656</v>
      </c>
      <c r="N21" s="39">
        <v>3.1065500795240548</v>
      </c>
      <c r="O21" s="23">
        <f t="shared" si="0"/>
        <v>0.21818747527614141</v>
      </c>
      <c r="P21" s="23">
        <f t="shared" si="1"/>
        <v>0.14546133509231465</v>
      </c>
    </row>
    <row r="22" spans="1:16" ht="18" customHeight="1" x14ac:dyDescent="0.2">
      <c r="A22" s="228"/>
      <c r="B22" s="33" t="s">
        <v>63</v>
      </c>
      <c r="C22" s="25"/>
      <c r="D22" s="34">
        <f ca="1">6.5913490368397*OFFSET(D$112,MATCH($N$1,$C$112:$C$113,0)-1,0)</f>
        <v>6.5913490368397003</v>
      </c>
      <c r="E22" s="34">
        <f ca="1">6.1071291434617*OFFSET(E$112,MATCH($N$1,$C$112:$C$113,0)-1,0)</f>
        <v>6.1071291434616999</v>
      </c>
      <c r="F22" s="34">
        <f ca="1">6.37384280243773*OFFSET(F$112,MATCH($N$1,$C$112:$C$113,0)-1,0)</f>
        <v>6.3738428024377303</v>
      </c>
      <c r="G22" s="34">
        <f ca="1">7.95932292332443*OFFSET(G$112,MATCH($N$1,$C$112:$C$113,0)-1,0)</f>
        <v>7.9593229233244296</v>
      </c>
      <c r="H22" s="34">
        <f ca="1">7.31700261779557*OFFSET(H$112,MATCH($N$1,$C$112:$C$113,0)-1,0)</f>
        <v>7.3170026177955698</v>
      </c>
      <c r="I22" s="34">
        <f ca="1">6.04552793066204*OFFSET(I$112,MATCH($N$1,$C$112:$C$113,0)-1,0)</f>
        <v>6.0455279306620398</v>
      </c>
      <c r="J22" s="34">
        <f ca="1">7.06902852716045*OFFSET(J$112,MATCH($N$1,$C$112:$C$113,0)-1,0)</f>
        <v>7.0690285271604498</v>
      </c>
      <c r="K22" s="34">
        <f ca="1">5.72429178150768*OFFSET(K$112,MATCH($N$1,$C$112:$C$113,0)-1,0)</f>
        <v>5.7242917815076799</v>
      </c>
      <c r="L22" s="34">
        <f ca="1">6.99129924739723*OFFSET(L$112,MATCH($N$1,$C$112:$C$113,0)-1,0)</f>
        <v>6.9912992473972304</v>
      </c>
      <c r="M22" s="34">
        <f ca="1">8.24246387690764*OFFSET(M$112,MATCH($N$1,$C$112:$C$113,0)-1,0)</f>
        <v>8.2424638769076406</v>
      </c>
      <c r="N22" s="34">
        <v>7.2831334221275021</v>
      </c>
      <c r="O22" s="23">
        <f t="shared" ca="1" si="0"/>
        <v>0.1049533838098014</v>
      </c>
      <c r="P22" s="23">
        <f t="shared" ca="1" si="1"/>
        <v>3.0287739559180401E-2</v>
      </c>
    </row>
    <row r="23" spans="1:16" ht="18" customHeight="1" x14ac:dyDescent="0.2">
      <c r="A23" s="228"/>
      <c r="B23" s="33" t="s">
        <v>11</v>
      </c>
      <c r="C23" s="25"/>
      <c r="D23" s="34">
        <f ca="1">6.27000114741028*OFFSET(D$112,MATCH($N$1,$C$112:$C$113,0)-1,0)</f>
        <v>6.2700011474102801</v>
      </c>
      <c r="E23" s="34">
        <f ca="1">5.48663483321135*OFFSET(E$112,MATCH($N$1,$C$112:$C$113,0)-1,0)</f>
        <v>5.4866348332113501</v>
      </c>
      <c r="F23" s="34">
        <f ca="1">5.95593029608907*OFFSET(F$112,MATCH($N$1,$C$112:$C$113,0)-1,0)</f>
        <v>5.9559302960890701</v>
      </c>
      <c r="G23" s="34">
        <f ca="1">7.27061726981736*OFFSET(G$112,MATCH($N$1,$C$112:$C$113,0)-1,0)</f>
        <v>7.2706172698173601</v>
      </c>
      <c r="H23" s="34">
        <f ca="1">6.83449056012123*OFFSET(H$112,MATCH($N$1,$C$112:$C$113,0)-1,0)</f>
        <v>6.83449056012123</v>
      </c>
      <c r="I23" s="34">
        <f ca="1">5.75755041504558*OFFSET(I$112,MATCH($N$1,$C$112:$C$113,0)-1,0)</f>
        <v>5.7575504150455803</v>
      </c>
      <c r="J23" s="34">
        <f ca="1">6.87366342232063*OFFSET(J$112,MATCH($N$1,$C$112:$C$113,0)-1,0)</f>
        <v>6.8736634223206297</v>
      </c>
      <c r="K23" s="34">
        <f ca="1">5.4327251832821*OFFSET(K$112,MATCH($N$1,$C$112:$C$113,0)-1,0)</f>
        <v>5.4327251832821002</v>
      </c>
      <c r="L23" s="34">
        <f ca="1">6.42409467260167*OFFSET(L$112,MATCH($N$1,$C$112:$C$113,0)-1,0)</f>
        <v>6.4240946726016697</v>
      </c>
      <c r="M23" s="34">
        <f ca="1">7.42065259219925*OFFSET(M$112,MATCH($N$1,$C$112:$C$113,0)-1,0)</f>
        <v>7.4206525921992501</v>
      </c>
      <c r="N23" s="34">
        <v>6.8598682838842322</v>
      </c>
      <c r="O23" s="23">
        <f t="shared" ca="1" si="0"/>
        <v>9.4077676001317306E-2</v>
      </c>
      <c r="P23" s="23">
        <f t="shared" ca="1" si="1"/>
        <v>-2.0069557656257858E-3</v>
      </c>
    </row>
    <row r="24" spans="1:16" ht="18" customHeight="1" x14ac:dyDescent="0.2">
      <c r="A24" s="228"/>
      <c r="B24" s="33" t="s">
        <v>12</v>
      </c>
      <c r="C24" s="25"/>
      <c r="D24" s="34">
        <f ca="1">0.550770353135752*OFFSET(D$112,MATCH($N$1,$C$112:$C$113,0)-1,0)</f>
        <v>0.55077035313575196</v>
      </c>
      <c r="E24" s="34">
        <f ca="1">0.842671308727307*OFFSET(E$112,MATCH($N$1,$C$112:$C$113,0)-1,0)</f>
        <v>0.842671308727307</v>
      </c>
      <c r="F24" s="34">
        <f ca="1">0.537014756288055*OFFSET(F$112,MATCH($N$1,$C$112:$C$113,0)-1,0)</f>
        <v>0.53701475628805495</v>
      </c>
      <c r="G24" s="34">
        <f ca="1">0.946739117803462*OFFSET(G$112,MATCH($N$1,$C$112:$C$113,0)-1,0)</f>
        <v>0.94673911780346198</v>
      </c>
      <c r="H24" s="34">
        <f ca="1">0.828572828645888*OFFSET(H$112,MATCH($N$1,$C$112:$C$113,0)-1,0)</f>
        <v>0.82857282864588799</v>
      </c>
      <c r="I24" s="34">
        <f ca="1">0.569614185530561*OFFSET(I$112,MATCH($N$1,$C$112:$C$113,0)-1,0)</f>
        <v>0.56961418553056098</v>
      </c>
      <c r="J24" s="34">
        <f ca="1">0.634817303812564*OFFSET(J$112,MATCH($N$1,$C$112:$C$113,0)-1,0)</f>
        <v>0.63481730381256396</v>
      </c>
      <c r="K24" s="34">
        <f ca="1">0.642607081900239*OFFSET(K$112,MATCH($N$1,$C$112:$C$113,0)-1,0)</f>
        <v>0.64260708190023896</v>
      </c>
      <c r="L24" s="34">
        <f ca="1">1.01980344815467*OFFSET(L$112,MATCH($N$1,$C$112:$C$113,0)-1,0)</f>
        <v>1.0198034481546701</v>
      </c>
      <c r="M24" s="34">
        <f ca="1">1.10613538577162*OFFSET(M$112,MATCH($N$1,$C$112:$C$113,0)-1,0)</f>
        <v>1.1061353857716201</v>
      </c>
      <c r="N24" s="34">
        <v>0.67449709205936204</v>
      </c>
      <c r="O24" s="23">
        <f t="shared" ca="1" si="0"/>
        <v>0.22464306261073269</v>
      </c>
      <c r="P24" s="23">
        <f t="shared" ca="1" si="1"/>
        <v>6.2505839094949944E-2</v>
      </c>
    </row>
    <row r="25" spans="1:16" ht="18" customHeight="1" x14ac:dyDescent="0.2">
      <c r="A25" s="228"/>
      <c r="B25" s="33" t="s">
        <v>64</v>
      </c>
      <c r="C25" s="25"/>
      <c r="D25" s="28"/>
      <c r="E25" s="28">
        <f ca="1">55.97*OFFSET(E$112,MATCH($N$1,$C$112:$C$113,0)-1,0)</f>
        <v>55.97</v>
      </c>
      <c r="F25" s="28">
        <f ca="1">72.89*OFFSET(F$112,MATCH($N$1,$C$112:$C$113,0)-1,0)</f>
        <v>72.89</v>
      </c>
      <c r="G25" s="28">
        <f ca="1">74.95*OFFSET(G$112,MATCH($N$1,$C$112:$C$113,0)-1,0)</f>
        <v>74.95</v>
      </c>
      <c r="H25" s="28">
        <f ca="1">58.28*OFFSET(H$112,MATCH($N$1,$C$112:$C$113,0)-1,0)</f>
        <v>58.28</v>
      </c>
      <c r="I25" s="28">
        <f ca="1">42.87*OFFSET(I$112,MATCH($N$1,$C$112:$C$113,0)-1,0)</f>
        <v>42.87</v>
      </c>
      <c r="J25" s="28">
        <f ca="1">109.74*OFFSET(J$112,MATCH($N$1,$C$112:$C$113,0)-1,0)</f>
        <v>109.74</v>
      </c>
      <c r="K25" s="28">
        <f ca="1">43.74*OFFSET(K$112,MATCH($N$1,$C$112:$C$113,0)-1,0)</f>
        <v>43.74</v>
      </c>
      <c r="L25" s="28">
        <f ca="1">147.81*OFFSET(L$112,MATCH($N$1,$C$112:$C$113,0)-1,0)</f>
        <v>147.81</v>
      </c>
      <c r="M25" s="28">
        <f ca="1">96.21*OFFSET(M$112,MATCH($N$1,$C$112:$C$113,0)-1,0)</f>
        <v>96.21</v>
      </c>
      <c r="N25" s="28">
        <v>66.290000000000006</v>
      </c>
      <c r="O25" s="23" t="str">
        <f t="shared" si="0"/>
        <v/>
      </c>
      <c r="P25" s="23">
        <f t="shared" ca="1" si="1"/>
        <v>-0.3959358483688718</v>
      </c>
    </row>
    <row r="26" spans="1:16" ht="18" customHeight="1" x14ac:dyDescent="0.2">
      <c r="A26" s="229"/>
      <c r="B26" s="33" t="s">
        <v>65</v>
      </c>
      <c r="C26" s="40"/>
      <c r="D26" s="28"/>
      <c r="E26" s="28">
        <f ca="1">7.73*OFFSET(E$112,MATCH($N$1,$C$112:$C$113,0)-1,0)</f>
        <v>7.73</v>
      </c>
      <c r="F26" s="28">
        <f ca="1">6.15*OFFSET(F$112,MATCH($N$1,$C$112:$C$113,0)-1,0)</f>
        <v>6.15</v>
      </c>
      <c r="G26" s="28">
        <f ca="1">8.91*OFFSET(G$112,MATCH($N$1,$C$112:$C$113,0)-1,0)</f>
        <v>8.91</v>
      </c>
      <c r="H26" s="28">
        <f ca="1">6.6*OFFSET(H$112,MATCH($N$1,$C$112:$C$113,0)-1,0)</f>
        <v>6.6</v>
      </c>
      <c r="I26" s="28">
        <f ca="1">4.04*OFFSET(I$112,MATCH($N$1,$C$112:$C$113,0)-1,0)</f>
        <v>4.04</v>
      </c>
      <c r="J26" s="28">
        <f ca="1">9.85*OFFSET(J$112,MATCH($N$1,$C$112:$C$113,0)-1,0)</f>
        <v>9.85</v>
      </c>
      <c r="K26" s="28">
        <f ca="1">4.92*OFFSET(K$112,MATCH($N$1,$C$112:$C$113,0)-1,0)</f>
        <v>4.92</v>
      </c>
      <c r="L26" s="28">
        <f ca="1">21.57*OFFSET(L$112,MATCH($N$1,$C$112:$C$113,0)-1,0)</f>
        <v>21.57</v>
      </c>
      <c r="M26" s="28">
        <f ca="1">12.91*OFFSET(M$112,MATCH($N$1,$C$112:$C$113,0)-1,0)</f>
        <v>12.91</v>
      </c>
      <c r="N26" s="28">
        <v>6.14</v>
      </c>
      <c r="O26" s="29" t="str">
        <f t="shared" si="0"/>
        <v/>
      </c>
      <c r="P26" s="29">
        <f t="shared" ca="1" si="1"/>
        <v>-0.37664974619289343</v>
      </c>
    </row>
    <row r="27" spans="1:16" ht="18" customHeight="1" x14ac:dyDescent="0.2">
      <c r="A27" s="230" t="s">
        <v>26</v>
      </c>
      <c r="B27" s="30" t="s">
        <v>59</v>
      </c>
      <c r="C27" s="31"/>
      <c r="D27" s="32">
        <f ca="1">585.2*OFFSET(D$112,MATCH($N$1,$C$112:$C$113,0)-1,0)</f>
        <v>585.20000000000005</v>
      </c>
      <c r="E27" s="32">
        <f ca="1">514.3*OFFSET(E$112,MATCH($N$1,$C$112:$C$113,0)-1,0)</f>
        <v>514.29999999999995</v>
      </c>
      <c r="F27" s="32">
        <f ca="1">508.7*OFFSET(F$112,MATCH($N$1,$C$112:$C$113,0)-1,0)</f>
        <v>508.7</v>
      </c>
      <c r="G27" s="32">
        <f ca="1">647.5*OFFSET(G$112,MATCH($N$1,$C$112:$C$113,0)-1,0)</f>
        <v>647.5</v>
      </c>
      <c r="H27" s="32">
        <f ca="1">546.5*OFFSET(H$112,MATCH($N$1,$C$112:$C$113,0)-1,0)</f>
        <v>546.5</v>
      </c>
      <c r="I27" s="32">
        <f ca="1">449.7*OFFSET(I$112,MATCH($N$1,$C$112:$C$113,0)-1,0)</f>
        <v>449.7</v>
      </c>
      <c r="J27" s="32">
        <f ca="1">584.9*OFFSET(J$112,MATCH($N$1,$C$112:$C$113,0)-1,0)</f>
        <v>584.9</v>
      </c>
      <c r="K27" s="32">
        <f ca="1">408.4*OFFSET(K$112,MATCH($N$1,$C$112:$C$113,0)-1,0)</f>
        <v>408.4</v>
      </c>
      <c r="L27" s="32">
        <f ca="1">604.5*OFFSET(L$112,MATCH($N$1,$C$112:$C$113,0)-1,0)</f>
        <v>604.5</v>
      </c>
      <c r="M27" s="32">
        <f ca="1">725.9*OFFSET(M$112,MATCH($N$1,$C$112:$C$113,0)-1,0)</f>
        <v>725.9</v>
      </c>
      <c r="N27" s="32">
        <v>610.20000000000005</v>
      </c>
      <c r="O27" s="23">
        <f t="shared" ca="1" si="0"/>
        <v>4.2720437457279561E-2</v>
      </c>
      <c r="P27" s="23">
        <f t="shared" ca="1" si="1"/>
        <v>4.3255257308941815E-2</v>
      </c>
    </row>
    <row r="28" spans="1:16" ht="18" customHeight="1" x14ac:dyDescent="0.2">
      <c r="A28" s="231"/>
      <c r="B28" s="33" t="s">
        <v>66</v>
      </c>
      <c r="C28" s="27"/>
      <c r="D28" s="28">
        <f ca="1">20.4*OFFSET(D$112,MATCH($N$1,$C$112:$C$113,0)-1,0)</f>
        <v>20.399999999999999</v>
      </c>
      <c r="E28" s="28">
        <f ca="1">18.7*OFFSET(E$112,MATCH($N$1,$C$112:$C$113,0)-1,0)</f>
        <v>18.7</v>
      </c>
      <c r="F28" s="28">
        <f ca="1">9.5*OFFSET(F$112,MATCH($N$1,$C$112:$C$113,0)-1,0)</f>
        <v>9.5</v>
      </c>
      <c r="G28" s="28">
        <f ca="1">21*OFFSET(G$112,MATCH($N$1,$C$112:$C$113,0)-1,0)</f>
        <v>21</v>
      </c>
      <c r="H28" s="28">
        <f ca="1">25.8*OFFSET(H$112,MATCH($N$1,$C$112:$C$113,0)-1,0)</f>
        <v>25.8</v>
      </c>
      <c r="I28" s="28">
        <f ca="1">20.9*OFFSET(I$112,MATCH($N$1,$C$112:$C$113,0)-1,0)</f>
        <v>20.9</v>
      </c>
      <c r="J28" s="28">
        <f ca="1">36.4*OFFSET(J$112,MATCH($N$1,$C$112:$C$113,0)-1,0)</f>
        <v>36.4</v>
      </c>
      <c r="K28" s="28">
        <f ca="1">25*OFFSET(K$112,MATCH($N$1,$C$112:$C$113,0)-1,0)</f>
        <v>25</v>
      </c>
      <c r="L28" s="28">
        <f ca="1">39.1*OFFSET(L$112,MATCH($N$1,$C$112:$C$113,0)-1,0)</f>
        <v>39.1</v>
      </c>
      <c r="M28" s="28">
        <f ca="1">25*OFFSET(M$112,MATCH($N$1,$C$112:$C$113,0)-1,0)</f>
        <v>25</v>
      </c>
      <c r="N28" s="28">
        <v>21</v>
      </c>
      <c r="O28" s="23">
        <f t="shared" ca="1" si="0"/>
        <v>2.9411764705882425E-2</v>
      </c>
      <c r="P28" s="23">
        <f t="shared" ca="1" si="1"/>
        <v>-0.42307692307692307</v>
      </c>
    </row>
    <row r="29" spans="1:16" ht="18" customHeight="1" x14ac:dyDescent="0.2">
      <c r="A29" s="231"/>
      <c r="B29" s="41" t="s">
        <v>67</v>
      </c>
      <c r="C29" s="42"/>
      <c r="D29" s="43">
        <f ca="1">605.6*OFFSET(D$112,MATCH($N$1,$C$112:$C$113,0)-1,0)</f>
        <v>605.6</v>
      </c>
      <c r="E29" s="43">
        <f ca="1">533*OFFSET(E$112,MATCH($N$1,$C$112:$C$113,0)-1,0)</f>
        <v>533</v>
      </c>
      <c r="F29" s="43">
        <f ca="1">518.2*OFFSET(F$112,MATCH($N$1,$C$112:$C$113,0)-1,0)</f>
        <v>518.20000000000005</v>
      </c>
      <c r="G29" s="43">
        <f ca="1">668.5*OFFSET(G$112,MATCH($N$1,$C$112:$C$113,0)-1,0)</f>
        <v>668.5</v>
      </c>
      <c r="H29" s="43">
        <f ca="1">572.4*OFFSET(H$112,MATCH($N$1,$C$112:$C$113,0)-1,0)</f>
        <v>572.4</v>
      </c>
      <c r="I29" s="43">
        <f ca="1">470.7*OFFSET(I$112,MATCH($N$1,$C$112:$C$113,0)-1,0)</f>
        <v>470.7</v>
      </c>
      <c r="J29" s="43">
        <f ca="1">621.2*OFFSET(J$112,MATCH($N$1,$C$112:$C$113,0)-1,0)</f>
        <v>621.20000000000005</v>
      </c>
      <c r="K29" s="43">
        <f ca="1">433.5*OFFSET(K$112,MATCH($N$1,$C$112:$C$113,0)-1,0)</f>
        <v>433.5</v>
      </c>
      <c r="L29" s="43">
        <f ca="1">643.7*OFFSET(L$112,MATCH($N$1,$C$112:$C$113,0)-1,0)</f>
        <v>643.70000000000005</v>
      </c>
      <c r="M29" s="43">
        <f ca="1">750.9*OFFSET(M$112,MATCH($N$1,$C$112:$C$113,0)-1,0)</f>
        <v>750.9</v>
      </c>
      <c r="N29" s="43">
        <v>631.30000000000007</v>
      </c>
      <c r="O29" s="23">
        <f t="shared" ca="1" si="0"/>
        <v>4.2437252311757011E-2</v>
      </c>
      <c r="P29" s="23">
        <f t="shared" ca="1" si="1"/>
        <v>1.6258853831294304E-2</v>
      </c>
    </row>
    <row r="30" spans="1:16" ht="18" customHeight="1" x14ac:dyDescent="0.2">
      <c r="A30" s="231"/>
      <c r="B30" s="33" t="s">
        <v>68</v>
      </c>
      <c r="C30" s="27"/>
      <c r="D30" s="28">
        <f ca="1">175.1*OFFSET(D$112,MATCH($N$1,$C$112:$C$113,0)-1,0)</f>
        <v>175.1</v>
      </c>
      <c r="E30" s="28">
        <f ca="1">111.8*OFFSET(E$112,MATCH($N$1,$C$112:$C$113,0)-1,0)</f>
        <v>111.8</v>
      </c>
      <c r="F30" s="28">
        <f ca="1">136.1*OFFSET(F$112,MATCH($N$1,$C$112:$C$113,0)-1,0)</f>
        <v>136.1</v>
      </c>
      <c r="G30" s="28">
        <f ca="1">178*OFFSET(G$112,MATCH($N$1,$C$112:$C$113,0)-1,0)</f>
        <v>178</v>
      </c>
      <c r="H30" s="28">
        <f ca="1">171.1*OFFSET(H$112,MATCH($N$1,$C$112:$C$113,0)-1,0)</f>
        <v>171.1</v>
      </c>
      <c r="I30" s="28">
        <f ca="1">157.4*OFFSET(I$112,MATCH($N$1,$C$112:$C$113,0)-1,0)</f>
        <v>157.4</v>
      </c>
      <c r="J30" s="28">
        <f ca="1">159*OFFSET(J$112,MATCH($N$1,$C$112:$C$113,0)-1,0)</f>
        <v>159</v>
      </c>
      <c r="K30" s="28">
        <f ca="1">96.9*OFFSET(K$112,MATCH($N$1,$C$112:$C$113,0)-1,0)</f>
        <v>96.9</v>
      </c>
      <c r="L30" s="28">
        <f ca="1">113.2*OFFSET(L$112,MATCH($N$1,$C$112:$C$113,0)-1,0)</f>
        <v>113.2</v>
      </c>
      <c r="M30" s="28">
        <f ca="1">140.2*OFFSET(M$112,MATCH($N$1,$C$112:$C$113,0)-1,0)</f>
        <v>140.19999999999999</v>
      </c>
      <c r="N30" s="28">
        <v>162.4</v>
      </c>
      <c r="O30" s="23">
        <f t="shared" ca="1" si="0"/>
        <v>-7.2529982866933115E-2</v>
      </c>
      <c r="P30" s="23">
        <f t="shared" ca="1" si="1"/>
        <v>2.1383647798742175E-2</v>
      </c>
    </row>
    <row r="31" spans="1:16" ht="18" customHeight="1" x14ac:dyDescent="0.2">
      <c r="A31" s="231"/>
      <c r="B31" s="33" t="s">
        <v>69</v>
      </c>
      <c r="C31" s="27"/>
      <c r="D31" s="28">
        <f ca="1">146.7*OFFSET(D$112,MATCH($N$1,$C$112:$C$113,0)-1,0)</f>
        <v>146.69999999999999</v>
      </c>
      <c r="E31" s="28">
        <f ca="1">131.9*OFFSET(E$112,MATCH($N$1,$C$112:$C$113,0)-1,0)</f>
        <v>131.9</v>
      </c>
      <c r="F31" s="28">
        <f ca="1">123.8*OFFSET(F$112,MATCH($N$1,$C$112:$C$113,0)-1,0)</f>
        <v>123.8</v>
      </c>
      <c r="G31" s="28">
        <f ca="1">161.8*OFFSET(G$112,MATCH($N$1,$C$112:$C$113,0)-1,0)</f>
        <v>161.80000000000001</v>
      </c>
      <c r="H31" s="28">
        <f ca="1">127.8*OFFSET(H$112,MATCH($N$1,$C$112:$C$113,0)-1,0)</f>
        <v>127.8</v>
      </c>
      <c r="I31" s="28">
        <f ca="1">96.4*OFFSET(I$112,MATCH($N$1,$C$112:$C$113,0)-1,0)</f>
        <v>96.4</v>
      </c>
      <c r="J31" s="28">
        <f ca="1">127.1*OFFSET(J$112,MATCH($N$1,$C$112:$C$113,0)-1,0)</f>
        <v>127.1</v>
      </c>
      <c r="K31" s="28">
        <f ca="1">105*OFFSET(K$112,MATCH($N$1,$C$112:$C$113,0)-1,0)</f>
        <v>105</v>
      </c>
      <c r="L31" s="28">
        <f ca="1">149*OFFSET(L$112,MATCH($N$1,$C$112:$C$113,0)-1,0)</f>
        <v>149</v>
      </c>
      <c r="M31" s="28">
        <f ca="1">175.7*OFFSET(M$112,MATCH($N$1,$C$112:$C$113,0)-1,0)</f>
        <v>175.7</v>
      </c>
      <c r="N31" s="28">
        <v>128.5</v>
      </c>
      <c r="O31" s="23">
        <f t="shared" ca="1" si="0"/>
        <v>-0.12406271301976816</v>
      </c>
      <c r="P31" s="23">
        <f t="shared" ca="1" si="1"/>
        <v>1.1014948859166056E-2</v>
      </c>
    </row>
    <row r="32" spans="1:16" ht="18" customHeight="1" x14ac:dyDescent="0.2">
      <c r="A32" s="231"/>
      <c r="B32" s="33" t="s">
        <v>70</v>
      </c>
      <c r="C32" s="27"/>
      <c r="D32" s="28">
        <f ca="1">99*OFFSET(D$112,MATCH($N$1,$C$112:$C$113,0)-1,0)</f>
        <v>99</v>
      </c>
      <c r="E32" s="28">
        <f ca="1">95.3*OFFSET(E$112,MATCH($N$1,$C$112:$C$113,0)-1,0)</f>
        <v>95.3</v>
      </c>
      <c r="F32" s="28">
        <f ca="1">92.4*OFFSET(F$112,MATCH($N$1,$C$112:$C$113,0)-1,0)</f>
        <v>92.4</v>
      </c>
      <c r="G32" s="28">
        <f ca="1">120.4*OFFSET(G$112,MATCH($N$1,$C$112:$C$113,0)-1,0)</f>
        <v>120.4</v>
      </c>
      <c r="H32" s="28">
        <f ca="1">107.3*OFFSET(H$112,MATCH($N$1,$C$112:$C$113,0)-1,0)</f>
        <v>107.3</v>
      </c>
      <c r="I32" s="28">
        <f ca="1">80.7*OFFSET(I$112,MATCH($N$1,$C$112:$C$113,0)-1,0)</f>
        <v>80.7</v>
      </c>
      <c r="J32" s="28">
        <f ca="1">121.9*OFFSET(J$112,MATCH($N$1,$C$112:$C$113,0)-1,0)</f>
        <v>121.9</v>
      </c>
      <c r="K32" s="28">
        <f ca="1">89.4*OFFSET(K$112,MATCH($N$1,$C$112:$C$113,0)-1,0)</f>
        <v>89.4</v>
      </c>
      <c r="L32" s="28">
        <f ca="1">144.9*OFFSET(L$112,MATCH($N$1,$C$112:$C$113,0)-1,0)</f>
        <v>144.9</v>
      </c>
      <c r="M32" s="28">
        <f ca="1">177*OFFSET(M$112,MATCH($N$1,$C$112:$C$113,0)-1,0)</f>
        <v>177</v>
      </c>
      <c r="N32" s="28">
        <v>148.80000000000001</v>
      </c>
      <c r="O32" s="23">
        <f t="shared" ca="1" si="0"/>
        <v>0.50303030303030316</v>
      </c>
      <c r="P32" s="23">
        <f t="shared" ca="1" si="1"/>
        <v>0.22067268252666122</v>
      </c>
    </row>
    <row r="33" spans="1:16" ht="18" customHeight="1" x14ac:dyDescent="0.2">
      <c r="A33" s="231"/>
      <c r="B33" s="33" t="s">
        <v>71</v>
      </c>
      <c r="C33" s="27"/>
      <c r="D33" s="28">
        <f ca="1">420.8*OFFSET(D$112,MATCH($N$1,$C$112:$C$113,0)-1,0)</f>
        <v>420.8</v>
      </c>
      <c r="E33" s="28">
        <f ca="1">339*OFFSET(E$112,MATCH($N$1,$C$112:$C$113,0)-1,0)</f>
        <v>339</v>
      </c>
      <c r="F33" s="28">
        <f ca="1">352.2*OFFSET(F$112,MATCH($N$1,$C$112:$C$113,0)-1,0)</f>
        <v>352.2</v>
      </c>
      <c r="G33" s="28">
        <f ca="1">460.2*OFFSET(G$112,MATCH($N$1,$C$112:$C$113,0)-1,0)</f>
        <v>460.2</v>
      </c>
      <c r="H33" s="28">
        <f ca="1">406.2*OFFSET(H$112,MATCH($N$1,$C$112:$C$113,0)-1,0)</f>
        <v>406.2</v>
      </c>
      <c r="I33" s="28">
        <f ca="1">334.5*OFFSET(I$112,MATCH($N$1,$C$112:$C$113,0)-1,0)</f>
        <v>334.5</v>
      </c>
      <c r="J33" s="28">
        <f ca="1">408*OFFSET(J$112,MATCH($N$1,$C$112:$C$113,0)-1,0)</f>
        <v>408</v>
      </c>
      <c r="K33" s="28">
        <f ca="1">291.3*OFFSET(K$112,MATCH($N$1,$C$112:$C$113,0)-1,0)</f>
        <v>291.3</v>
      </c>
      <c r="L33" s="28">
        <f ca="1">407.2*OFFSET(L$112,MATCH($N$1,$C$112:$C$113,0)-1,0)</f>
        <v>407.2</v>
      </c>
      <c r="M33" s="28">
        <f ca="1">492.8*OFFSET(M$112,MATCH($N$1,$C$112:$C$113,0)-1,0)</f>
        <v>492.8</v>
      </c>
      <c r="N33" s="28">
        <v>439.6</v>
      </c>
      <c r="O33" s="23">
        <f t="shared" ca="1" si="0"/>
        <v>4.4676806083650218E-2</v>
      </c>
      <c r="P33" s="23">
        <f t="shared" ca="1" si="1"/>
        <v>7.7450980392156921E-2</v>
      </c>
    </row>
    <row r="34" spans="1:16" ht="18" customHeight="1" x14ac:dyDescent="0.2">
      <c r="A34" s="231"/>
      <c r="B34" s="33" t="s">
        <v>72</v>
      </c>
      <c r="C34" s="27"/>
      <c r="D34" s="28">
        <f ca="1">135.9*OFFSET(D$112,MATCH($N$1,$C$112:$C$113,0)-1,0)</f>
        <v>135.9</v>
      </c>
      <c r="E34" s="28">
        <f ca="1">123.1*OFFSET(E$112,MATCH($N$1,$C$112:$C$113,0)-1,0)</f>
        <v>123.1</v>
      </c>
      <c r="F34" s="28">
        <f ca="1">123.1*OFFSET(F$112,MATCH($N$1,$C$112:$C$113,0)-1,0)</f>
        <v>123.1</v>
      </c>
      <c r="G34" s="28">
        <f ca="1">131.2*OFFSET(G$112,MATCH($N$1,$C$112:$C$113,0)-1,0)</f>
        <v>131.19999999999999</v>
      </c>
      <c r="H34" s="28">
        <f ca="1">104.3*OFFSET(H$112,MATCH($N$1,$C$112:$C$113,0)-1,0)</f>
        <v>104.3</v>
      </c>
      <c r="I34" s="28">
        <f ca="1">93.8*OFFSET(I$112,MATCH($N$1,$C$112:$C$113,0)-1,0)</f>
        <v>93.8</v>
      </c>
      <c r="J34" s="28">
        <f ca="1">160.7*OFFSET(J$112,MATCH($N$1,$C$112:$C$113,0)-1,0)</f>
        <v>160.69999999999999</v>
      </c>
      <c r="K34" s="28">
        <f ca="1">96.3*OFFSET(K$112,MATCH($N$1,$C$112:$C$113,0)-1,0)</f>
        <v>96.3</v>
      </c>
      <c r="L34" s="28">
        <f ca="1">148.3*OFFSET(L$112,MATCH($N$1,$C$112:$C$113,0)-1,0)</f>
        <v>148.30000000000001</v>
      </c>
      <c r="M34" s="28">
        <f ca="1">160.7*OFFSET(M$112,MATCH($N$1,$C$112:$C$113,0)-1,0)</f>
        <v>160.69999999999999</v>
      </c>
      <c r="N34" s="28">
        <v>135.1</v>
      </c>
      <c r="O34" s="23">
        <f t="shared" ca="1" si="0"/>
        <v>-5.8866813833702084E-3</v>
      </c>
      <c r="P34" s="23">
        <f t="shared" ca="1" si="1"/>
        <v>-0.1593030491599253</v>
      </c>
    </row>
    <row r="35" spans="1:16" ht="18" customHeight="1" x14ac:dyDescent="0.2">
      <c r="A35" s="231"/>
      <c r="B35" s="33" t="s">
        <v>73</v>
      </c>
      <c r="C35" s="27"/>
      <c r="D35" s="28">
        <f ca="1">556.7*OFFSET(D$112,MATCH($N$1,$C$112:$C$113,0)-1,0)</f>
        <v>556.70000000000005</v>
      </c>
      <c r="E35" s="28">
        <f ca="1">462*OFFSET(E$112,MATCH($N$1,$C$112:$C$113,0)-1,0)</f>
        <v>462</v>
      </c>
      <c r="F35" s="28">
        <f ca="1">475.3*OFFSET(F$112,MATCH($N$1,$C$112:$C$113,0)-1,0)</f>
        <v>475.3</v>
      </c>
      <c r="G35" s="28">
        <f ca="1">591.4*OFFSET(G$112,MATCH($N$1,$C$112:$C$113,0)-1,0)</f>
        <v>591.4</v>
      </c>
      <c r="H35" s="28">
        <f ca="1">510.5*OFFSET(H$112,MATCH($N$1,$C$112:$C$113,0)-1,0)</f>
        <v>510.5</v>
      </c>
      <c r="I35" s="28">
        <f ca="1">428.3*OFFSET(I$112,MATCH($N$1,$C$112:$C$113,0)-1,0)</f>
        <v>428.3</v>
      </c>
      <c r="J35" s="28">
        <f ca="1">568.7*OFFSET(J$112,MATCH($N$1,$C$112:$C$113,0)-1,0)</f>
        <v>568.70000000000005</v>
      </c>
      <c r="K35" s="28">
        <f ca="1">387.6*OFFSET(K$112,MATCH($N$1,$C$112:$C$113,0)-1,0)</f>
        <v>387.6</v>
      </c>
      <c r="L35" s="28">
        <f ca="1">555.5*OFFSET(L$112,MATCH($N$1,$C$112:$C$113,0)-1,0)</f>
        <v>555.5</v>
      </c>
      <c r="M35" s="28">
        <f ca="1">653.5*OFFSET(M$112,MATCH($N$1,$C$112:$C$113,0)-1,0)</f>
        <v>653.5</v>
      </c>
      <c r="N35" s="28">
        <v>574.80000000000007</v>
      </c>
      <c r="O35" s="23">
        <f t="shared" ca="1" si="0"/>
        <v>3.2513023172265169E-2</v>
      </c>
      <c r="P35" s="23">
        <f t="shared" ca="1" si="1"/>
        <v>1.0726217689467245E-2</v>
      </c>
    </row>
    <row r="36" spans="1:16" ht="18" customHeight="1" x14ac:dyDescent="0.2">
      <c r="A36" s="231"/>
      <c r="B36" s="41" t="s">
        <v>74</v>
      </c>
      <c r="C36" s="42"/>
      <c r="D36" s="43">
        <f ca="1">195.6*OFFSET(D$112,MATCH($N$1,$C$112:$C$113,0)-1,0)</f>
        <v>195.6</v>
      </c>
      <c r="E36" s="43">
        <f ca="1">202.9*OFFSET(E$112,MATCH($N$1,$C$112:$C$113,0)-1,0)</f>
        <v>202.9</v>
      </c>
      <c r="F36" s="43">
        <f ca="1">166.7*OFFSET(F$112,MATCH($N$1,$C$112:$C$113,0)-1,0)</f>
        <v>166.7</v>
      </c>
      <c r="G36" s="43">
        <f ca="1">238.8*OFFSET(G$112,MATCH($N$1,$C$112:$C$113,0)-1,0)</f>
        <v>238.8</v>
      </c>
      <c r="H36" s="43">
        <f ca="1">189.7*OFFSET(H$112,MATCH($N$1,$C$112:$C$113,0)-1,0)</f>
        <v>189.7</v>
      </c>
      <c r="I36" s="43">
        <f ca="1">138.8*OFFSET(I$112,MATCH($N$1,$C$112:$C$113,0)-1,0)</f>
        <v>138.80000000000001</v>
      </c>
      <c r="J36" s="43">
        <f ca="1">179.6*OFFSET(J$112,MATCH($N$1,$C$112:$C$113,0)-1,0)</f>
        <v>179.6</v>
      </c>
      <c r="K36" s="43">
        <f ca="1">150.9*OFFSET(K$112,MATCH($N$1,$C$112:$C$113,0)-1,0)</f>
        <v>150.9</v>
      </c>
      <c r="L36" s="43">
        <f ca="1">237.2*OFFSET(L$112,MATCH($N$1,$C$112:$C$113,0)-1,0)</f>
        <v>237.2</v>
      </c>
      <c r="M36" s="43">
        <f ca="1">273.1*OFFSET(M$112,MATCH($N$1,$C$112:$C$113,0)-1,0)</f>
        <v>273.10000000000002</v>
      </c>
      <c r="N36" s="43">
        <v>185</v>
      </c>
      <c r="O36" s="23">
        <f t="shared" ca="1" si="0"/>
        <v>-5.4192229038854775E-2</v>
      </c>
      <c r="P36" s="23">
        <f t="shared" ca="1" si="1"/>
        <v>3.0066815144766178E-2</v>
      </c>
    </row>
    <row r="37" spans="1:16" ht="18" customHeight="1" x14ac:dyDescent="0.2">
      <c r="A37" s="231"/>
      <c r="B37" s="41" t="s">
        <v>75</v>
      </c>
      <c r="C37" s="42"/>
      <c r="D37" s="43">
        <f ca="1">48.9*OFFSET(D$112,MATCH($N$1,$C$112:$C$113,0)-1,0)</f>
        <v>48.9</v>
      </c>
      <c r="E37" s="43">
        <f ca="1">71*OFFSET(E$112,MATCH($N$1,$C$112:$C$113,0)-1,0)</f>
        <v>71</v>
      </c>
      <c r="F37" s="43">
        <f ca="1">42.9*OFFSET(F$112,MATCH($N$1,$C$112:$C$113,0)-1,0)</f>
        <v>42.9</v>
      </c>
      <c r="G37" s="43">
        <f ca="1">77*OFFSET(G$112,MATCH($N$1,$C$112:$C$113,0)-1,0)</f>
        <v>77</v>
      </c>
      <c r="H37" s="43">
        <f ca="1">61.9*OFFSET(H$112,MATCH($N$1,$C$112:$C$113,0)-1,0)</f>
        <v>61.9</v>
      </c>
      <c r="I37" s="43">
        <f ca="1">42.4*OFFSET(I$112,MATCH($N$1,$C$112:$C$113,0)-1,0)</f>
        <v>42.4</v>
      </c>
      <c r="J37" s="43">
        <f ca="1">52.5*OFFSET(J$112,MATCH($N$1,$C$112:$C$113,0)-1,0)</f>
        <v>52.5</v>
      </c>
      <c r="K37" s="43">
        <f ca="1">45.9*OFFSET(K$112,MATCH($N$1,$C$112:$C$113,0)-1,0)</f>
        <v>45.9</v>
      </c>
      <c r="L37" s="43">
        <f ca="1">88.2*OFFSET(L$112,MATCH($N$1,$C$112:$C$113,0)-1,0)</f>
        <v>88.2</v>
      </c>
      <c r="M37" s="43">
        <f ca="1">97.4*OFFSET(M$112,MATCH($N$1,$C$112:$C$113,0)-1,0)</f>
        <v>97.4</v>
      </c>
      <c r="N37" s="43">
        <v>56.5</v>
      </c>
      <c r="O37" s="23">
        <f t="shared" ca="1" si="0"/>
        <v>0.15541922290388552</v>
      </c>
      <c r="P37" s="23">
        <f t="shared" ca="1" si="1"/>
        <v>7.6190476190476197E-2</v>
      </c>
    </row>
    <row r="38" spans="1:16" ht="18" customHeight="1" x14ac:dyDescent="0.2">
      <c r="A38" s="231"/>
      <c r="B38" s="33" t="s">
        <v>76</v>
      </c>
      <c r="C38" s="27"/>
      <c r="D38" s="28">
        <f ca="1">41.4*OFFSET(D$112,MATCH($N$1,$C$112:$C$113,0)-1,0)</f>
        <v>41.4</v>
      </c>
      <c r="E38" s="28">
        <f ca="1">37.9*OFFSET(E$112,MATCH($N$1,$C$112:$C$113,0)-1,0)</f>
        <v>37.9</v>
      </c>
      <c r="F38" s="28">
        <f ca="1">48.5*OFFSET(F$112,MATCH($N$1,$C$112:$C$113,0)-1,0)</f>
        <v>48.5</v>
      </c>
      <c r="G38" s="28">
        <f ca="1">45.3*OFFSET(G$112,MATCH($N$1,$C$112:$C$113,0)-1,0)</f>
        <v>45.3</v>
      </c>
      <c r="H38" s="28">
        <f ca="1">35.1*OFFSET(H$112,MATCH($N$1,$C$112:$C$113,0)-1,0)</f>
        <v>35.1</v>
      </c>
      <c r="I38" s="28">
        <f ca="1">36.2*OFFSET(I$112,MATCH($N$1,$C$112:$C$113,0)-1,0)</f>
        <v>36.200000000000003</v>
      </c>
      <c r="J38" s="28">
        <f ca="1">32.9*OFFSET(J$112,MATCH($N$1,$C$112:$C$113,0)-1,0)</f>
        <v>32.9</v>
      </c>
      <c r="K38" s="28">
        <f ca="1">33.9*OFFSET(K$112,MATCH($N$1,$C$112:$C$113,0)-1,0)</f>
        <v>33.9</v>
      </c>
      <c r="L38" s="28">
        <f ca="1">33*OFFSET(L$112,MATCH($N$1,$C$112:$C$113,0)-1,0)</f>
        <v>33</v>
      </c>
      <c r="M38" s="28">
        <f ca="1">46.5*OFFSET(M$112,MATCH($N$1,$C$112:$C$113,0)-1,0)</f>
        <v>46.5</v>
      </c>
      <c r="N38" s="28"/>
      <c r="O38" s="23" t="str">
        <f t="shared" si="0"/>
        <v/>
      </c>
      <c r="P38" s="23" t="str">
        <f t="shared" si="1"/>
        <v/>
      </c>
    </row>
    <row r="39" spans="1:16" ht="18" customHeight="1" x14ac:dyDescent="0.2">
      <c r="A39" s="231"/>
      <c r="B39" s="33" t="s">
        <v>77</v>
      </c>
      <c r="C39" s="27"/>
      <c r="D39" s="28">
        <f ca="1">24.5*OFFSET(D$112,MATCH($N$1,$C$112:$C$113,0)-1,0)</f>
        <v>24.5</v>
      </c>
      <c r="E39" s="28">
        <f ca="1">14.1*OFFSET(E$112,MATCH($N$1,$C$112:$C$113,0)-1,0)</f>
        <v>14.1</v>
      </c>
      <c r="F39" s="28">
        <f ca="1">14.4*OFFSET(F$112,MATCH($N$1,$C$112:$C$113,0)-1,0)</f>
        <v>14.4</v>
      </c>
      <c r="G39" s="28">
        <f ca="1">14.8*OFFSET(G$112,MATCH($N$1,$C$112:$C$113,0)-1,0)</f>
        <v>14.8</v>
      </c>
      <c r="H39" s="28">
        <f ca="1">10.9*OFFSET(H$112,MATCH($N$1,$C$112:$C$113,0)-1,0)</f>
        <v>10.9</v>
      </c>
      <c r="I39" s="28">
        <f ca="1">7.3*OFFSET(I$112,MATCH($N$1,$C$112:$C$113,0)-1,0)</f>
        <v>7.3</v>
      </c>
      <c r="J39" s="28">
        <f ca="1">5.9*OFFSET(J$112,MATCH($N$1,$C$112:$C$113,0)-1,0)</f>
        <v>5.9</v>
      </c>
      <c r="K39" s="28">
        <f ca="1">4.5*OFFSET(K$112,MATCH($N$1,$C$112:$C$113,0)-1,0)</f>
        <v>4.5</v>
      </c>
      <c r="L39" s="28">
        <f ca="1">4.7*OFFSET(L$112,MATCH($N$1,$C$112:$C$113,0)-1,0)</f>
        <v>4.7</v>
      </c>
      <c r="M39" s="28">
        <f ca="1">4*OFFSET(M$112,MATCH($N$1,$C$112:$C$113,0)-1,0)</f>
        <v>4</v>
      </c>
      <c r="N39" s="28"/>
      <c r="O39" s="23" t="str">
        <f t="shared" si="0"/>
        <v/>
      </c>
      <c r="P39" s="23" t="str">
        <f t="shared" si="1"/>
        <v/>
      </c>
    </row>
    <row r="40" spans="1:16" ht="18" customHeight="1" x14ac:dyDescent="0.2">
      <c r="A40" s="231"/>
      <c r="B40" s="33" t="s">
        <v>78</v>
      </c>
      <c r="C40" s="27"/>
      <c r="D40" s="28"/>
      <c r="E40" s="28">
        <f ca="1">5.5*OFFSET(E$112,MATCH($N$1,$C$112:$C$113,0)-1,0)</f>
        <v>5.5</v>
      </c>
      <c r="F40" s="28">
        <f ca="1">0.2*OFFSET(F$112,MATCH($N$1,$C$112:$C$113,0)-1,0)</f>
        <v>0.2</v>
      </c>
      <c r="G40" s="28">
        <f ca="1">1*OFFSET(G$112,MATCH($N$1,$C$112:$C$113,0)-1,0)</f>
        <v>1</v>
      </c>
      <c r="H40" s="28">
        <f ca="1">0.6*OFFSET(H$112,MATCH($N$1,$C$112:$C$113,0)-1,0)</f>
        <v>0.6</v>
      </c>
      <c r="I40" s="28">
        <f ca="1">5.3*OFFSET(I$112,MATCH($N$1,$C$112:$C$113,0)-1,0)</f>
        <v>5.3</v>
      </c>
      <c r="J40" s="28">
        <f ca="1">2.4*OFFSET(J$112,MATCH($N$1,$C$112:$C$113,0)-1,0)</f>
        <v>2.4</v>
      </c>
      <c r="K40" s="28">
        <f ca="1">2.5*OFFSET(K$112,MATCH($N$1,$C$112:$C$113,0)-1,0)</f>
        <v>2.5</v>
      </c>
      <c r="L40" s="28">
        <f ca="1">2.7*OFFSET(L$112,MATCH($N$1,$C$112:$C$113,0)-1,0)</f>
        <v>2.7</v>
      </c>
      <c r="M40" s="28">
        <f ca="1">2.3*OFFSET(M$112,MATCH($N$1,$C$112:$C$113,0)-1,0)</f>
        <v>2.2999999999999998</v>
      </c>
      <c r="N40" s="28"/>
      <c r="O40" s="23" t="str">
        <f t="shared" si="0"/>
        <v/>
      </c>
      <c r="P40" s="23" t="str">
        <f t="shared" si="1"/>
        <v/>
      </c>
    </row>
    <row r="41" spans="1:16" ht="18" customHeight="1" thickBot="1" x14ac:dyDescent="0.25">
      <c r="A41" s="232"/>
      <c r="B41" s="44" t="s">
        <v>79</v>
      </c>
      <c r="C41" s="45"/>
      <c r="D41" s="46">
        <f ca="1">-17*OFFSET(D$112,MATCH($N$1,$C$112:$C$113,0)-1,0)</f>
        <v>-17</v>
      </c>
      <c r="E41" s="46">
        <f ca="1">13.5*OFFSET(E$112,MATCH($N$1,$C$112:$C$113,0)-1,0)</f>
        <v>13.5</v>
      </c>
      <c r="F41" s="46">
        <f ca="1">-20.3*OFFSET(F$112,MATCH($N$1,$C$112:$C$113,0)-1,0)</f>
        <v>-20.3</v>
      </c>
      <c r="G41" s="46">
        <f ca="1">15.8*OFFSET(G$112,MATCH($N$1,$C$112:$C$113,0)-1,0)</f>
        <v>15.8</v>
      </c>
      <c r="H41" s="46">
        <f ca="1">15.3*OFFSET(H$112,MATCH($N$1,$C$112:$C$113,0)-1,0)</f>
        <v>15.3</v>
      </c>
      <c r="I41" s="46">
        <f ca="1">-6.4*OFFSET(I$112,MATCH($N$1,$C$112:$C$113,0)-1,0)</f>
        <v>-6.4</v>
      </c>
      <c r="J41" s="46">
        <f ca="1">11.4*OFFSET(J$112,MATCH($N$1,$C$112:$C$113,0)-1,0)</f>
        <v>11.4</v>
      </c>
      <c r="K41" s="46">
        <f ca="1">5*OFFSET(K$112,MATCH($N$1,$C$112:$C$113,0)-1,0)</f>
        <v>5</v>
      </c>
      <c r="L41" s="46">
        <f ca="1">47.8*OFFSET(L$112,MATCH($N$1,$C$112:$C$113,0)-1,0)</f>
        <v>47.8</v>
      </c>
      <c r="M41" s="46">
        <f ca="1">44.6*OFFSET(M$112,MATCH($N$1,$C$112:$C$113,0)-1,0)</f>
        <v>44.6</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North Sea nephrops over 300kW</v>
      </c>
      <c r="C48" s="97"/>
      <c r="D48" s="97"/>
      <c r="E48" s="97"/>
      <c r="F48" s="97"/>
      <c r="G48" s="97"/>
      <c r="K48" s="97" t="str">
        <f>$B24&amp;CHAR(10)&amp;$A$1</f>
        <v>Operating profit per kW day at sea (£)
North Sea nephrops over 300kW</v>
      </c>
    </row>
    <row r="49" spans="1:11" s="83" customFormat="1" x14ac:dyDescent="0.2">
      <c r="A49" s="97" t="str">
        <f>$B22&amp;CHAR(10)&amp;$A$1</f>
        <v>Fishing income per kW day at sea (£)
North Sea nephrops over 300kW</v>
      </c>
    </row>
    <row r="50" spans="1:11" s="83" customFormat="1" x14ac:dyDescent="0.2">
      <c r="A50" s="97" t="str">
        <f>$B20&amp;CHAR(10)&amp;$A$1</f>
        <v>Average price per tonne landed (£)
North Sea nephrops over 300kW</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North Sea nephrops over 300kW</v>
      </c>
      <c r="F62" s="97" t="str">
        <f>$B20&amp;CHAR(10)&amp;$A$1</f>
        <v>Average price per tonne landed (£)
North Sea nephrops over 300kW</v>
      </c>
      <c r="K62" s="97" t="str">
        <f>"Average annual operating profit per vessel (£'000)"&amp;CHAR(10)&amp;$A$1</f>
        <v>Average annual operating profit per vessel (£'000)
North Sea nephrops over 300kW</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North Sea nephrops over 300kW</v>
      </c>
      <c r="F76" s="97" t="str">
        <f>"Top 5 landed species by value in "&amp;A77&amp;CHAR(10)&amp;A1</f>
        <v>Top 5 landed species by value in 2017
North Sea nephrops over 300kW</v>
      </c>
    </row>
    <row r="77" spans="1:9" s="97" customFormat="1" x14ac:dyDescent="0.2">
      <c r="A77" s="97">
        <v>2017</v>
      </c>
      <c r="B77" s="97" t="s">
        <v>289</v>
      </c>
      <c r="C77" s="98">
        <v>0.45342752619143856</v>
      </c>
      <c r="D77" s="99">
        <v>12153634</v>
      </c>
      <c r="G77" s="97" t="s">
        <v>290</v>
      </c>
      <c r="H77" s="98">
        <v>0.61177480646239035</v>
      </c>
      <c r="I77" s="99">
        <v>12153634</v>
      </c>
    </row>
    <row r="78" spans="1:9" s="97" customFormat="1" x14ac:dyDescent="0.2">
      <c r="B78" s="97" t="s">
        <v>291</v>
      </c>
      <c r="C78" s="98">
        <v>0.11798942645468763</v>
      </c>
      <c r="D78" s="99">
        <v>553960</v>
      </c>
      <c r="G78" s="97" t="s">
        <v>292</v>
      </c>
      <c r="H78" s="98">
        <v>0.14224867378885775</v>
      </c>
      <c r="I78" s="99">
        <v>553960</v>
      </c>
    </row>
    <row r="79" spans="1:9" s="97" customFormat="1" x14ac:dyDescent="0.2">
      <c r="B79" s="97" t="s">
        <v>293</v>
      </c>
      <c r="C79" s="98">
        <v>0.10569968540524649</v>
      </c>
      <c r="D79" s="99">
        <v>1692097</v>
      </c>
      <c r="G79" s="97" t="s">
        <v>294</v>
      </c>
      <c r="H79" s="98">
        <v>4.7930434209390721E-2</v>
      </c>
      <c r="I79" s="99">
        <v>3050596</v>
      </c>
    </row>
    <row r="80" spans="1:9" s="97" customFormat="1" x14ac:dyDescent="0.2">
      <c r="B80" s="97" t="s">
        <v>295</v>
      </c>
      <c r="C80" s="98">
        <v>7.6159318970553183E-2</v>
      </c>
      <c r="D80" s="99">
        <v>3689192</v>
      </c>
      <c r="G80" s="97" t="s">
        <v>128</v>
      </c>
      <c r="H80" s="98">
        <v>4.1591121122960248E-2</v>
      </c>
      <c r="I80" s="99">
        <v>1692097</v>
      </c>
    </row>
    <row r="81" spans="1:18" s="97" customFormat="1" x14ac:dyDescent="0.2">
      <c r="B81" s="97" t="s">
        <v>296</v>
      </c>
      <c r="C81" s="98">
        <v>5.9488426939604211E-2</v>
      </c>
      <c r="D81" s="99">
        <v>3050596</v>
      </c>
      <c r="G81" s="97" t="s">
        <v>297</v>
      </c>
      <c r="H81" s="98">
        <v>3.2385532716208552E-2</v>
      </c>
      <c r="I81" s="99">
        <v>3689192</v>
      </c>
    </row>
    <row r="82" spans="1:18" s="97" customFormat="1" x14ac:dyDescent="0.2">
      <c r="B82" s="97" t="s">
        <v>298</v>
      </c>
      <c r="C82" s="98">
        <v>0.18723561603846994</v>
      </c>
      <c r="D82" s="99">
        <v>5920853</v>
      </c>
      <c r="G82" s="97" t="s">
        <v>299</v>
      </c>
      <c r="H82" s="98">
        <v>0.12406943170019236</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93</v>
      </c>
      <c r="D92" s="102">
        <v>0.74369140659449295</v>
      </c>
      <c r="E92" s="102">
        <v>0.73255559213597621</v>
      </c>
      <c r="F92" s="102">
        <v>0.75884239750882121</v>
      </c>
      <c r="G92" s="102">
        <v>0.75632588966023817</v>
      </c>
      <c r="H92" s="102">
        <v>0.65427632828975213</v>
      </c>
      <c r="I92" s="102">
        <v>0.699040083080818</v>
      </c>
      <c r="J92" s="102">
        <v>0.65963545836531601</v>
      </c>
      <c r="K92" s="102">
        <v>0.64570674647899595</v>
      </c>
      <c r="L92" s="102">
        <v>0.61177480646239035</v>
      </c>
      <c r="M92" s="102">
        <v>0.56030562563458386</v>
      </c>
      <c r="O92" s="97">
        <v>12153634</v>
      </c>
    </row>
    <row r="93" spans="1:18" s="97" customFormat="1" hidden="1" x14ac:dyDescent="0.2">
      <c r="B93" s="97">
        <v>2</v>
      </c>
      <c r="C93" s="97" t="s">
        <v>121</v>
      </c>
      <c r="D93" s="102">
        <v>9.7036724903409949E-2</v>
      </c>
      <c r="E93" s="102">
        <v>9.1977211470786635E-2</v>
      </c>
      <c r="F93" s="102">
        <v>6.9267580034800283E-2</v>
      </c>
      <c r="G93" s="102">
        <v>6.4469272203239433E-2</v>
      </c>
      <c r="H93" s="102">
        <v>9.7778931698787916E-2</v>
      </c>
      <c r="I93" s="102">
        <v>8.6099776886047627E-2</v>
      </c>
      <c r="J93" s="102">
        <v>0.12486852023593646</v>
      </c>
      <c r="K93" s="102">
        <v>0.14433266441964898</v>
      </c>
      <c r="L93" s="102">
        <v>0.14224867378885775</v>
      </c>
      <c r="M93" s="102">
        <v>0.15828153394345984</v>
      </c>
      <c r="O93" s="97">
        <v>553960</v>
      </c>
    </row>
    <row r="94" spans="1:18" s="97" customFormat="1" hidden="1" x14ac:dyDescent="0.2">
      <c r="B94" s="97">
        <v>3</v>
      </c>
      <c r="C94" s="97" t="s">
        <v>97</v>
      </c>
      <c r="D94" s="102">
        <v>1.8828015663886026E-2</v>
      </c>
      <c r="E94" s="102"/>
      <c r="F94" s="102"/>
      <c r="G94" s="102">
        <v>1.8095233235327569E-2</v>
      </c>
      <c r="H94" s="102">
        <v>2.8965709216469057E-2</v>
      </c>
      <c r="I94" s="102">
        <v>2.2945797073296113E-2</v>
      </c>
      <c r="J94" s="102"/>
      <c r="K94" s="102">
        <v>3.1235589639025577E-2</v>
      </c>
      <c r="L94" s="102">
        <v>4.7930434209390721E-2</v>
      </c>
      <c r="M94" s="102">
        <v>3.8832510918685011E-2</v>
      </c>
      <c r="O94" s="97">
        <v>3050596</v>
      </c>
    </row>
    <row r="95" spans="1:18" s="97" customFormat="1" hidden="1" x14ac:dyDescent="0.2">
      <c r="B95" s="97">
        <v>4</v>
      </c>
      <c r="C95" s="97" t="s">
        <v>16</v>
      </c>
      <c r="D95" s="102">
        <v>4.3385114408819717E-2</v>
      </c>
      <c r="E95" s="102">
        <v>4.7987887948797076E-2</v>
      </c>
      <c r="F95" s="102">
        <v>4.4152482737755967E-2</v>
      </c>
      <c r="G95" s="102">
        <v>5.2274078299271443E-2</v>
      </c>
      <c r="H95" s="102">
        <v>7.6747843671362712E-2</v>
      </c>
      <c r="I95" s="102">
        <v>7.7717117100067803E-2</v>
      </c>
      <c r="J95" s="102">
        <v>6.116708873072333E-2</v>
      </c>
      <c r="K95" s="102">
        <v>4.4973109093561982E-2</v>
      </c>
      <c r="L95" s="102">
        <v>4.1591121122960248E-2</v>
      </c>
      <c r="M95" s="102">
        <v>5.2341206068031831E-2</v>
      </c>
      <c r="O95" s="97">
        <v>1692097</v>
      </c>
    </row>
    <row r="96" spans="1:18" s="97" customFormat="1" hidden="1" x14ac:dyDescent="0.2">
      <c r="B96" s="97">
        <v>5</v>
      </c>
      <c r="C96" s="97" t="s">
        <v>191</v>
      </c>
      <c r="D96" s="102">
        <v>2.3393770658009946E-2</v>
      </c>
      <c r="E96" s="102">
        <v>2.7780442279158522E-2</v>
      </c>
      <c r="F96" s="102">
        <v>3.5553834508107528E-2</v>
      </c>
      <c r="G96" s="102">
        <v>3.6975601071058191E-2</v>
      </c>
      <c r="H96" s="102">
        <v>4.9047184720886414E-2</v>
      </c>
      <c r="I96" s="102">
        <v>4.0361269765523788E-2</v>
      </c>
      <c r="J96" s="102">
        <v>3.5882168270989986E-2</v>
      </c>
      <c r="K96" s="102">
        <v>3.1219764817989035E-2</v>
      </c>
      <c r="L96" s="102">
        <v>3.2385532716208552E-2</v>
      </c>
      <c r="M96" s="102">
        <v>3.4611099468484958E-2</v>
      </c>
      <c r="O96" s="97">
        <v>3689192</v>
      </c>
    </row>
    <row r="97" spans="1:15" s="97" customFormat="1" hidden="1" x14ac:dyDescent="0.2">
      <c r="B97" s="97">
        <v>6</v>
      </c>
      <c r="C97" s="97" t="s">
        <v>137</v>
      </c>
      <c r="D97" s="102"/>
      <c r="E97" s="102">
        <v>2.2824097182043129E-2</v>
      </c>
      <c r="F97" s="102">
        <v>2.0993421825142786E-2</v>
      </c>
      <c r="G97" s="102"/>
      <c r="H97" s="102"/>
      <c r="I97" s="102"/>
      <c r="J97" s="102">
        <v>2.8653189592609936E-2</v>
      </c>
      <c r="K97" s="102"/>
      <c r="L97" s="102"/>
      <c r="M97" s="102"/>
      <c r="O97" s="97">
        <v>11115023</v>
      </c>
    </row>
    <row r="98" spans="1:15" s="97" customFormat="1" hidden="1" x14ac:dyDescent="0.2">
      <c r="B98" s="97">
        <v>7</v>
      </c>
      <c r="C98" s="97" t="s">
        <v>101</v>
      </c>
      <c r="D98" s="102">
        <v>7.3664967771381387E-2</v>
      </c>
      <c r="E98" s="102">
        <v>7.6874768983238459E-2</v>
      </c>
      <c r="F98" s="102">
        <v>7.1190283385372186E-2</v>
      </c>
      <c r="G98" s="102">
        <v>7.185992553086519E-2</v>
      </c>
      <c r="H98" s="102">
        <v>9.3184002402741745E-2</v>
      </c>
      <c r="I98" s="102">
        <v>7.383595609424666E-2</v>
      </c>
      <c r="J98" s="102">
        <v>8.9793574804424223E-2</v>
      </c>
      <c r="K98" s="102">
        <v>0.10253212555077845</v>
      </c>
      <c r="L98" s="102">
        <v>0.12406943170019236</v>
      </c>
      <c r="M98" s="102">
        <v>0.15562802396675454</v>
      </c>
      <c r="O98" s="97">
        <v>5920853</v>
      </c>
    </row>
    <row r="99" spans="1:15" s="97" customFormat="1" hidden="1" x14ac:dyDescent="0.2">
      <c r="B99" s="97">
        <v>8</v>
      </c>
      <c r="D99" s="102"/>
      <c r="E99" s="102"/>
      <c r="F99" s="102"/>
      <c r="G99" s="102"/>
      <c r="H99" s="102"/>
      <c r="I99" s="102"/>
      <c r="J99" s="102"/>
      <c r="K99" s="102"/>
      <c r="L99" s="102"/>
      <c r="M99" s="102"/>
      <c r="O99" s="97">
        <v>7434864</v>
      </c>
    </row>
    <row r="100" spans="1:15" s="97" customFormat="1" hidden="1" x14ac:dyDescent="0.2">
      <c r="B100" s="97">
        <v>9</v>
      </c>
      <c r="D100" s="102"/>
      <c r="E100" s="102"/>
      <c r="F100" s="102"/>
      <c r="G100" s="102"/>
      <c r="H100" s="102"/>
      <c r="I100" s="102"/>
      <c r="J100" s="102"/>
      <c r="K100" s="102"/>
      <c r="L100" s="102"/>
      <c r="M100" s="102"/>
      <c r="O100" s="97">
        <v>8497745</v>
      </c>
    </row>
    <row r="101" spans="1:15" s="97" customFormat="1" hidden="1" x14ac:dyDescent="0.2">
      <c r="B101" s="97">
        <v>10</v>
      </c>
      <c r="D101" s="102"/>
      <c r="E101" s="102"/>
      <c r="F101" s="102"/>
      <c r="G101" s="102"/>
      <c r="H101" s="102"/>
      <c r="I101" s="102"/>
      <c r="J101" s="102"/>
      <c r="K101" s="102"/>
      <c r="L101" s="102"/>
      <c r="M101" s="102"/>
      <c r="O101" s="97">
        <v>14393110</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8</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13</v>
      </c>
      <c r="D120" s="56">
        <v>27</v>
      </c>
      <c r="E120" s="56">
        <v>13</v>
      </c>
      <c r="F120" s="57">
        <v>53</v>
      </c>
    </row>
    <row r="121" spans="1:14" ht="18" customHeight="1" x14ac:dyDescent="0.2">
      <c r="A121" s="225" t="s">
        <v>23</v>
      </c>
      <c r="B121" s="30" t="s">
        <v>58</v>
      </c>
      <c r="C121" s="58">
        <v>20.736154556274414</v>
      </c>
      <c r="D121" s="58">
        <v>20.654814402262371</v>
      </c>
      <c r="E121" s="58">
        <v>20.220769882202148</v>
      </c>
      <c r="F121" s="59">
        <v>20.568302154541016</v>
      </c>
    </row>
    <row r="122" spans="1:14" ht="18" customHeight="1" x14ac:dyDescent="0.2">
      <c r="A122" s="226"/>
      <c r="B122" s="33" t="s">
        <v>51</v>
      </c>
      <c r="C122" s="60">
        <v>412.5384521484375</v>
      </c>
      <c r="D122" s="60">
        <v>444.40740288628473</v>
      </c>
      <c r="E122" s="60">
        <v>388.84616088867187</v>
      </c>
      <c r="F122" s="61">
        <v>422.96224975585938</v>
      </c>
    </row>
    <row r="123" spans="1:14" ht="18" customHeight="1" x14ac:dyDescent="0.2">
      <c r="A123" s="226"/>
      <c r="B123" s="33" t="s">
        <v>52</v>
      </c>
      <c r="C123" s="60">
        <v>177.92308044433594</v>
      </c>
      <c r="D123" s="60">
        <v>161.7407463921441</v>
      </c>
      <c r="E123" s="60">
        <v>138.15383911132812</v>
      </c>
      <c r="F123" s="61">
        <v>159.92453002929687</v>
      </c>
    </row>
    <row r="124" spans="1:14" ht="18" customHeight="1" x14ac:dyDescent="0.2">
      <c r="A124" s="226"/>
      <c r="B124" s="33" t="s">
        <v>53</v>
      </c>
      <c r="C124" s="60">
        <v>326.2618408203125</v>
      </c>
      <c r="D124" s="60">
        <v>343.10718225549766</v>
      </c>
      <c r="E124" s="60">
        <v>308.73269653320312</v>
      </c>
      <c r="F124" s="61">
        <v>330.5438232421875</v>
      </c>
    </row>
    <row r="125" spans="1:14" ht="18" customHeight="1" x14ac:dyDescent="0.2">
      <c r="A125" s="226"/>
      <c r="B125" s="33" t="s">
        <v>54</v>
      </c>
      <c r="C125" s="28">
        <v>395.94754028320312</v>
      </c>
      <c r="D125" s="28">
        <v>276.35676857277201</v>
      </c>
      <c r="E125" s="28">
        <v>148.71214294433594</v>
      </c>
      <c r="F125" s="62">
        <v>274.38128662109375</v>
      </c>
    </row>
    <row r="126" spans="1:14" ht="18" customHeight="1" x14ac:dyDescent="0.2">
      <c r="A126" s="226"/>
      <c r="B126" s="33" t="s">
        <v>59</v>
      </c>
      <c r="C126" s="28">
        <f ca="1">1061.5005*OFFSET($L$112,MATCH($N$1,$C$112:$C$113,0)-1,0)</f>
        <v>1061.5005000000001</v>
      </c>
      <c r="D126" s="28">
        <f ca="1">724.265150462963*OFFSET($L$112,MATCH($N$1,$C$112:$C$113,0)-1,0)</f>
        <v>724.26515046296299</v>
      </c>
      <c r="E126" s="28">
        <f ca="1">393.68440625*OFFSET($L$112,MATCH($N$1,$C$112:$C$113,0)-1,0)</f>
        <v>393.68440624999999</v>
      </c>
      <c r="F126" s="62">
        <f ca="1">725.8974375*OFFSET($L$112,MATCH($N$1,$C$112:$C$113,0)-1,0)</f>
        <v>725.89743750000002</v>
      </c>
    </row>
    <row r="127" spans="1:14" ht="18" customHeight="1" x14ac:dyDescent="0.2">
      <c r="A127" s="226"/>
      <c r="B127" s="33" t="s">
        <v>56</v>
      </c>
      <c r="C127" s="60">
        <v>240</v>
      </c>
      <c r="D127" s="60">
        <v>197.0740729437934</v>
      </c>
      <c r="E127" s="60">
        <v>182</v>
      </c>
      <c r="F127" s="61">
        <v>203.90565490722656</v>
      </c>
    </row>
    <row r="128" spans="1:14" ht="18" customHeight="1" x14ac:dyDescent="0.2">
      <c r="A128" s="226"/>
      <c r="B128" s="33" t="s">
        <v>60</v>
      </c>
      <c r="C128" s="60">
        <v>14.692307472229004</v>
      </c>
      <c r="D128" s="60">
        <v>21.296297073364258</v>
      </c>
      <c r="E128" s="60">
        <v>29.923076629638672</v>
      </c>
      <c r="F128" s="61">
        <v>21.792453765869141</v>
      </c>
    </row>
    <row r="129" spans="1:14" ht="18" customHeight="1" x14ac:dyDescent="0.2">
      <c r="A129" s="226"/>
      <c r="B129" s="33" t="s">
        <v>61</v>
      </c>
      <c r="C129" s="63">
        <v>1.6497814655303955</v>
      </c>
      <c r="D129" s="63">
        <v>1.4022989652808895</v>
      </c>
      <c r="E129" s="63">
        <v>0.81709969043731689</v>
      </c>
      <c r="F129" s="64">
        <v>1.3456286191940308</v>
      </c>
    </row>
    <row r="130" spans="1:14" ht="18" customHeight="1" x14ac:dyDescent="0.2">
      <c r="A130" s="227"/>
      <c r="B130" s="35" t="s">
        <v>24</v>
      </c>
      <c r="C130" s="37">
        <f ca="1">2680.91196940069*OFFSET($L$112,MATCH($N$1,$C$112:$C$113,0)-1,0)</f>
        <v>2680.9119694006899</v>
      </c>
      <c r="D130" s="37">
        <f ca="1">2620.76139550837*OFFSET($L$112,MATCH($N$1,$C$112:$C$113,0)-1,0)</f>
        <v>2620.7613955083698</v>
      </c>
      <c r="E130" s="37">
        <f ca="1">2647.29159606932*OFFSET($L$112,MATCH($N$1,$C$112:$C$113,0)-1,0)</f>
        <v>2647.2915960693199</v>
      </c>
      <c r="F130" s="65">
        <f ca="1">2646*OFFSET($L$112,MATCH($N$1,$C$112:$C$113,0)-1,0)</f>
        <v>2646</v>
      </c>
    </row>
    <row r="131" spans="1:14" ht="18" customHeight="1" x14ac:dyDescent="0.2">
      <c r="A131" s="239" t="s">
        <v>25</v>
      </c>
      <c r="B131" s="30" t="s">
        <v>62</v>
      </c>
      <c r="C131" s="66">
        <v>3.9488711412898789</v>
      </c>
      <c r="D131" s="66">
        <v>3.0925112433879249</v>
      </c>
      <c r="E131" s="66">
        <v>2.0322123921647024</v>
      </c>
      <c r="F131" s="67">
        <v>3.115561133901656</v>
      </c>
    </row>
    <row r="132" spans="1:14" ht="18" customHeight="1" x14ac:dyDescent="0.2">
      <c r="A132" s="228"/>
      <c r="B132" s="33" t="s">
        <v>63</v>
      </c>
      <c r="C132" s="63">
        <f ca="1">10.586575908305*OFFSET($L$112,MATCH($N$1,$C$112:$C$113,0)-1,0)</f>
        <v>10.586575908305001</v>
      </c>
      <c r="D132" s="63">
        <f ca="1">8.10473408184668*OFFSET($L$112,MATCH($N$1,$C$112:$C$113,0)-1,0)</f>
        <v>8.1047340818466793</v>
      </c>
      <c r="E132" s="63">
        <f ca="1">5.37985878720555*OFFSET($L$112,MATCH($N$1,$C$112:$C$113,0)-1,0)</f>
        <v>5.3798587872055501</v>
      </c>
      <c r="F132" s="64">
        <f ca="1">8.24246387690764*OFFSET($L$112,MATCH($N$1,$C$112:$C$113,0)-1,0)</f>
        <v>8.2424638769076406</v>
      </c>
    </row>
    <row r="133" spans="1:14" ht="18" customHeight="1" x14ac:dyDescent="0.2">
      <c r="A133" s="228"/>
      <c r="B133" s="33" t="s">
        <v>11</v>
      </c>
      <c r="C133" s="63">
        <f ca="1">8.62897190225031*OFFSET($L$112,MATCH($N$1,$C$112:$C$113,0)-1,0)</f>
        <v>8.62897190225031</v>
      </c>
      <c r="D133" s="63">
        <f ca="1">7.04854534783212*OFFSET($L$112,MATCH($N$1,$C$112:$C$113,0)-1,0)</f>
        <v>7.0485453478321203</v>
      </c>
      <c r="E133" s="63">
        <f ca="1">5.31373453766876*OFFSET($L$112,MATCH($N$1,$C$112:$C$113,0)-1,0)</f>
        <v>5.3137345376687604</v>
      </c>
      <c r="F133" s="64">
        <f ca="1">7.13632849113602*OFFSET($L$112,MATCH($N$1,$C$112:$C$113,0)-1,0)</f>
        <v>7.1363284911360196</v>
      </c>
    </row>
    <row r="134" spans="1:14" ht="18" customHeight="1" x14ac:dyDescent="0.2">
      <c r="A134" s="229"/>
      <c r="B134" s="35" t="s">
        <v>12</v>
      </c>
      <c r="C134" s="68">
        <f ca="1">1.95760400605468*OFFSET($L$112,MATCH($N$1,$C$112:$C$113,0)-1,0)</f>
        <v>1.95760400605468</v>
      </c>
      <c r="D134" s="68">
        <f ca="1">1.05618873401456*OFFSET($L$112,MATCH($N$1,$C$112:$C$113,0)-1,0)</f>
        <v>1.0561887340145599</v>
      </c>
      <c r="E134" s="68">
        <f ca="1">0.0661242495367907*OFFSET($L$112,MATCH($N$1,$C$112:$C$113,0)-1,0)</f>
        <v>6.6124249536790705E-2</v>
      </c>
      <c r="F134" s="69">
        <f ca="1">1.10613538577162*OFFSET($L$112,MATCH($N$1,$C$112:$C$113,0)-1,0)</f>
        <v>1.1061353857716201</v>
      </c>
    </row>
    <row r="135" spans="1:14" ht="18" customHeight="1" x14ac:dyDescent="0.2">
      <c r="A135" s="240" t="s">
        <v>45</v>
      </c>
      <c r="B135" s="33" t="s">
        <v>102</v>
      </c>
      <c r="C135" s="70">
        <f ca="1">151.18225*OFFSET($L$112,MATCH($N$1,$C$112:$C$113,0)-1,0)</f>
        <v>151.18225000000001</v>
      </c>
      <c r="D135" s="70">
        <f ca="1">142.694331597222*OFFSET($L$112,MATCH($N$1,$C$112:$C$113,0)-1,0)</f>
        <v>142.694331597222</v>
      </c>
      <c r="E135" s="70">
        <f ca="1">124.0286484375*OFFSET($L$112,MATCH($N$1,$C$112:$C$113,0)-1,0)</f>
        <v>124.0286484375</v>
      </c>
      <c r="F135" s="71">
        <f ca="1">140.197890625*OFFSET($L$112,MATCH($N$1,$C$112:$C$113,0)-1,0)</f>
        <v>140.19789062500001</v>
      </c>
    </row>
    <row r="136" spans="1:14" ht="18" customHeight="1" x14ac:dyDescent="0.2">
      <c r="A136" s="241"/>
      <c r="B136" s="33" t="s">
        <v>103</v>
      </c>
      <c r="C136" s="26">
        <v>356799.99023437494</v>
      </c>
      <c r="D136" s="26">
        <v>337866.67283277598</v>
      </c>
      <c r="E136" s="26">
        <v>293630.76196289062</v>
      </c>
      <c r="F136" s="72">
        <v>331660.37735849054</v>
      </c>
    </row>
    <row r="137" spans="1:14" ht="18" customHeight="1" x14ac:dyDescent="0.2">
      <c r="A137" s="241"/>
      <c r="B137" s="33" t="s">
        <v>104</v>
      </c>
      <c r="C137" s="26">
        <v>1486.6666259765625</v>
      </c>
      <c r="D137" s="26">
        <v>1714.4146248458437</v>
      </c>
      <c r="E137" s="26">
        <v>1613.3558349609375</v>
      </c>
      <c r="F137" s="72">
        <v>1626.538330078125</v>
      </c>
    </row>
    <row r="138" spans="1:14" ht="18" customHeight="1" x14ac:dyDescent="0.2">
      <c r="A138" s="241"/>
      <c r="B138" s="33" t="s">
        <v>105</v>
      </c>
      <c r="C138" s="26">
        <f ca="1">629.926041666667*OFFSET($L$112,MATCH($N$1,$C$112:$C$113,0)-1,0)</f>
        <v>629.92604166666695</v>
      </c>
      <c r="D138" s="26">
        <f ca="1">724.064456910673*OFFSET($L$112,MATCH($N$1,$C$112:$C$113,0)-1,0)</f>
        <v>724.06445691067302</v>
      </c>
      <c r="E138" s="26">
        <f ca="1">681.476090315934*OFFSET($L$112,MATCH($N$1,$C$112:$C$113,0)-1,0)</f>
        <v>681.47609031593402</v>
      </c>
      <c r="F138" s="72">
        <f ca="1">687.562543024064*OFFSET($L$112,MATCH($N$1,$C$112:$C$113,0)-1,0)</f>
        <v>687.56254302406398</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381.82394034287*OFFSET($L$112,MATCH($N$1,$C$112:$C$113,0)-1,0)</f>
        <v>381.82394034287</v>
      </c>
      <c r="D139" s="26">
        <f ca="1">516.341004905212*OFFSET($L$112,MATCH($N$1,$C$112:$C$113,0)-1,0)</f>
        <v>516.341004905212</v>
      </c>
      <c r="E139" s="26">
        <f ca="1">834.018298585912*OFFSET($L$112,MATCH($N$1,$C$112:$C$113,0)-1,0)</f>
        <v>834.01829858591202</v>
      </c>
      <c r="F139" s="72">
        <f ca="1">510.960103553294*OFFSET($L$112,MATCH($N$1,$C$112:$C$113,0)-1,0)</f>
        <v>510.960103553294</v>
      </c>
      <c r="I139" s="49"/>
      <c r="K139" s="73" t="s">
        <v>107</v>
      </c>
      <c r="L139" s="74">
        <f t="shared" ref="L139:M141" ca="1" si="2">C140</f>
        <v>1098.117</v>
      </c>
      <c r="M139" s="74">
        <f t="shared" ca="1" si="2"/>
        <v>749.248701388889</v>
      </c>
      <c r="N139" s="74">
        <f ca="1">E140</f>
        <v>407.26456250000001</v>
      </c>
    </row>
    <row r="140" spans="1:14" ht="18" customHeight="1" x14ac:dyDescent="0.2">
      <c r="A140" s="230" t="s">
        <v>46</v>
      </c>
      <c r="B140" s="30" t="s">
        <v>108</v>
      </c>
      <c r="C140" s="75">
        <f ca="1">1098.117*OFFSET($L$112,MATCH($N$1,$C$112:$C$113,0)-1,0)</f>
        <v>1098.117</v>
      </c>
      <c r="D140" s="75">
        <f ca="1">749.248701388889*OFFSET($L$112,MATCH($N$1,$C$112:$C$113,0)-1,0)</f>
        <v>749.248701388889</v>
      </c>
      <c r="E140" s="75">
        <f ca="1">407.2645625*OFFSET($L$112,MATCH($N$1,$C$112:$C$113,0)-1,0)</f>
        <v>407.26456250000001</v>
      </c>
      <c r="F140" s="76">
        <f ca="1">750.93725*OFFSET($L$112,MATCH($N$1,$C$112:$C$113,0)-1,0)</f>
        <v>750.93724999999995</v>
      </c>
      <c r="I140" s="49"/>
      <c r="K140" s="73" t="s">
        <v>109</v>
      </c>
      <c r="L140" s="74">
        <f t="shared" ca="1" si="2"/>
        <v>901.8309375</v>
      </c>
      <c r="M140" s="74">
        <f t="shared" ca="1" si="2"/>
        <v>654.86427314814796</v>
      </c>
      <c r="N140" s="74">
        <f ca="1">E141</f>
        <v>402.42578125</v>
      </c>
    </row>
    <row r="141" spans="1:14" ht="18" customHeight="1" x14ac:dyDescent="0.2">
      <c r="A141" s="237"/>
      <c r="B141" s="33" t="s">
        <v>110</v>
      </c>
      <c r="C141" s="26">
        <f ca="1">901.8309375*OFFSET($L$112,MATCH($N$1,$C$112:$C$113,0)-1,0)</f>
        <v>901.8309375</v>
      </c>
      <c r="D141" s="26">
        <f ca="1">654.864273148148*OFFSET($L$112,MATCH($N$1,$C$112:$C$113,0)-1,0)</f>
        <v>654.86427314814796</v>
      </c>
      <c r="E141" s="26">
        <f ca="1">402.42578125*OFFSET($L$112,MATCH($N$1,$C$112:$C$113,0)-1,0)</f>
        <v>402.42578125</v>
      </c>
      <c r="F141" s="72">
        <f ca="1">653.522125*OFFSET($L$112,MATCH($N$1,$C$112:$C$113,0)-1,0)</f>
        <v>653.52212499999996</v>
      </c>
      <c r="I141" s="49"/>
      <c r="K141" s="73" t="s">
        <v>111</v>
      </c>
      <c r="L141" s="74">
        <f t="shared" ca="1" si="2"/>
        <v>196.28606250000001</v>
      </c>
      <c r="M141" s="74">
        <f t="shared" ca="1" si="2"/>
        <v>94.384428240740704</v>
      </c>
      <c r="N141" s="74">
        <f ca="1">E142</f>
        <v>4.8387812500000003</v>
      </c>
    </row>
    <row r="142" spans="1:14" ht="18" customHeight="1" x14ac:dyDescent="0.2">
      <c r="A142" s="238"/>
      <c r="B142" s="35" t="s">
        <v>112</v>
      </c>
      <c r="C142" s="37">
        <f ca="1">196.2860625*OFFSET($L$112,MATCH($N$1,$C$112:$C$113,0)-1,0)</f>
        <v>196.28606250000001</v>
      </c>
      <c r="D142" s="37">
        <f ca="1">94.3844282407407*OFFSET($L$112,MATCH($N$1,$C$112:$C$113,0)-1,0)</f>
        <v>94.384428240740704</v>
      </c>
      <c r="E142" s="37">
        <f ca="1">4.83878125*OFFSET($L$112,MATCH($N$1,$C$112:$C$113,0)-1,0)</f>
        <v>4.8387812500000003</v>
      </c>
      <c r="F142" s="65">
        <f ca="1">97.4151484375*OFFSET($L$112,MATCH($N$1,$C$112:$C$113,0)-1,0)</f>
        <v>97.415148437499994</v>
      </c>
      <c r="I142" s="49"/>
      <c r="K142" s="73" t="s">
        <v>113</v>
      </c>
      <c r="L142" s="77">
        <f ca="1">IFERROR(L140/L$139,"")</f>
        <v>0.82125214116528567</v>
      </c>
      <c r="M142" s="77">
        <f t="shared" ref="M142:N143" ca="1" si="3">IFERROR(M140/M$139,"")</f>
        <v>0.87402790546612918</v>
      </c>
      <c r="N142" s="77">
        <f t="shared" ca="1" si="3"/>
        <v>0.98811882570804321</v>
      </c>
    </row>
    <row r="143" spans="1:14" ht="18" customHeight="1" x14ac:dyDescent="0.2">
      <c r="I143" s="49"/>
      <c r="K143" s="73" t="s">
        <v>114</v>
      </c>
      <c r="L143" s="77">
        <f ca="1">IFERROR(L141/L$139,"")</f>
        <v>0.17874785883471436</v>
      </c>
      <c r="M143" s="77">
        <f t="shared" ca="1" si="3"/>
        <v>0.12597209453387032</v>
      </c>
      <c r="N143" s="77">
        <f t="shared" ca="1" si="3"/>
        <v>1.1881174291956719E-2</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8</v>
      </c>
      <c r="B161" s="53"/>
      <c r="C161" s="79" t="s">
        <v>41</v>
      </c>
      <c r="D161" s="79" t="s">
        <v>115</v>
      </c>
      <c r="E161" s="79" t="s">
        <v>43</v>
      </c>
      <c r="F161" s="79" t="s">
        <v>116</v>
      </c>
      <c r="G161" s="80">
        <v>8</v>
      </c>
      <c r="H161" s="79"/>
      <c r="I161" s="79" t="s">
        <v>41</v>
      </c>
      <c r="J161" s="79" t="s">
        <v>115</v>
      </c>
      <c r="K161" s="79" t="s">
        <v>43</v>
      </c>
      <c r="L161" s="53" t="s">
        <v>116</v>
      </c>
    </row>
    <row r="162" spans="1:14" s="49" customFormat="1" x14ac:dyDescent="0.2">
      <c r="A162" s="50">
        <v>1</v>
      </c>
      <c r="B162" s="53" t="s">
        <v>93</v>
      </c>
      <c r="C162" s="53">
        <v>0.4057565344967376</v>
      </c>
      <c r="D162" s="53">
        <v>0.4242681643646225</v>
      </c>
      <c r="E162" s="53">
        <v>0.61616683656150362</v>
      </c>
      <c r="F162" s="50">
        <v>12153634</v>
      </c>
      <c r="G162" s="50">
        <v>1</v>
      </c>
      <c r="H162" s="53" t="s">
        <v>93</v>
      </c>
      <c r="I162" s="53">
        <v>0.5770591569263549</v>
      </c>
      <c r="J162" s="53">
        <v>0.62985458174510167</v>
      </c>
      <c r="K162" s="53">
        <v>0.74138390304644586</v>
      </c>
      <c r="L162" s="50">
        <v>12153634</v>
      </c>
    </row>
    <row r="163" spans="1:14" s="49" customFormat="1" x14ac:dyDescent="0.2">
      <c r="A163" s="50">
        <v>2</v>
      </c>
      <c r="B163" s="53" t="s">
        <v>121</v>
      </c>
      <c r="C163" s="53">
        <v>0.13938330860457418</v>
      </c>
      <c r="D163" s="53">
        <v>0.15451074067014348</v>
      </c>
      <c r="E163" s="53">
        <v>7.0872437875570307E-2</v>
      </c>
      <c r="F163" s="50">
        <v>553960</v>
      </c>
      <c r="G163" s="50">
        <v>2</v>
      </c>
      <c r="H163" s="53" t="s">
        <v>121</v>
      </c>
      <c r="I163" s="53">
        <v>0.16973814841705681</v>
      </c>
      <c r="J163" s="53">
        <v>0.14684082469535636</v>
      </c>
      <c r="K163" s="53">
        <v>7.5081087175131386E-2</v>
      </c>
      <c r="L163" s="50">
        <v>553960</v>
      </c>
      <c r="N163" s="49" t="s">
        <v>117</v>
      </c>
    </row>
    <row r="164" spans="1:14" s="49" customFormat="1" x14ac:dyDescent="0.2">
      <c r="A164" s="50">
        <v>3</v>
      </c>
      <c r="B164" s="53" t="s">
        <v>16</v>
      </c>
      <c r="C164" s="53">
        <v>0.11443464516704932</v>
      </c>
      <c r="D164" s="53">
        <v>0.15290968694139295</v>
      </c>
      <c r="E164" s="53">
        <v>6.7437773911224977E-2</v>
      </c>
      <c r="F164" s="50">
        <v>1692097</v>
      </c>
      <c r="G164" s="50">
        <v>3</v>
      </c>
      <c r="H164" s="53" t="s">
        <v>97</v>
      </c>
      <c r="I164" s="53">
        <v>5.3587158989447686E-2</v>
      </c>
      <c r="J164" s="53">
        <v>5.3550282455721292E-2</v>
      </c>
      <c r="K164" s="53">
        <v>2.0139415474306741E-2</v>
      </c>
      <c r="L164" s="50">
        <v>3050596</v>
      </c>
      <c r="N164" s="49" t="s">
        <v>118</v>
      </c>
    </row>
    <row r="165" spans="1:14" s="49" customFormat="1" x14ac:dyDescent="0.2">
      <c r="A165" s="50">
        <v>4</v>
      </c>
      <c r="B165" s="53" t="s">
        <v>191</v>
      </c>
      <c r="C165" s="53">
        <v>8.1805673170388823E-2</v>
      </c>
      <c r="D165" s="53">
        <v>0.10011014206719489</v>
      </c>
      <c r="E165" s="53">
        <v>5.5850130969724035E-2</v>
      </c>
      <c r="F165" s="50">
        <v>3689192</v>
      </c>
      <c r="G165" s="50">
        <v>4</v>
      </c>
      <c r="H165" s="53" t="s">
        <v>16</v>
      </c>
      <c r="I165" s="53">
        <v>4.6593839536524496E-2</v>
      </c>
      <c r="J165" s="53">
        <v>4.476127236604862E-2</v>
      </c>
      <c r="K165" s="53">
        <v>2.3457287636479498E-2</v>
      </c>
      <c r="L165" s="50">
        <v>1692097</v>
      </c>
    </row>
    <row r="166" spans="1:14" s="49" customFormat="1" x14ac:dyDescent="0.2">
      <c r="A166" s="50">
        <v>5</v>
      </c>
      <c r="B166" s="53" t="s">
        <v>97</v>
      </c>
      <c r="C166" s="53">
        <v>6.4960589399800248E-2</v>
      </c>
      <c r="D166" s="53">
        <v>4.5971182902334554E-2</v>
      </c>
      <c r="E166" s="53">
        <v>0</v>
      </c>
      <c r="F166" s="50">
        <v>3050596</v>
      </c>
      <c r="G166" s="50">
        <v>5</v>
      </c>
      <c r="H166" s="53" t="s">
        <v>191</v>
      </c>
      <c r="I166" s="53">
        <v>3.6583176804141478E-2</v>
      </c>
      <c r="J166" s="53">
        <v>3.4260246934918769E-2</v>
      </c>
      <c r="K166" s="53">
        <v>0</v>
      </c>
      <c r="L166" s="50">
        <v>3689192</v>
      </c>
    </row>
    <row r="167" spans="1:14" s="49" customFormat="1" x14ac:dyDescent="0.2">
      <c r="A167" s="50">
        <v>6</v>
      </c>
      <c r="B167" s="53" t="s">
        <v>170</v>
      </c>
      <c r="C167" s="53">
        <v>0</v>
      </c>
      <c r="D167" s="53">
        <v>0</v>
      </c>
      <c r="E167" s="53">
        <v>3.1196407987044213E-2</v>
      </c>
      <c r="F167" s="50">
        <v>11115023</v>
      </c>
      <c r="G167" s="50">
        <v>6</v>
      </c>
      <c r="H167" s="53" t="s">
        <v>137</v>
      </c>
      <c r="I167" s="53">
        <v>0</v>
      </c>
      <c r="J167" s="53">
        <v>0</v>
      </c>
      <c r="K167" s="53">
        <v>4.1351545666438269E-2</v>
      </c>
      <c r="L167" s="50">
        <v>2480382</v>
      </c>
    </row>
    <row r="168" spans="1:14" s="49" customFormat="1" x14ac:dyDescent="0.2">
      <c r="A168" s="50">
        <v>7</v>
      </c>
      <c r="B168" s="53" t="s">
        <v>101</v>
      </c>
      <c r="C168" s="53">
        <v>0.19365924916144983</v>
      </c>
      <c r="D168" s="53">
        <v>0.12223008305431149</v>
      </c>
      <c r="E168" s="53">
        <v>0.15847641269493284</v>
      </c>
      <c r="F168" s="50">
        <v>5920853</v>
      </c>
      <c r="G168" s="50">
        <v>7</v>
      </c>
      <c r="H168" s="53" t="s">
        <v>101</v>
      </c>
      <c r="I168" s="53">
        <v>0.11643851932647464</v>
      </c>
      <c r="J168" s="53">
        <v>9.0732791802853208E-2</v>
      </c>
      <c r="K168" s="53">
        <v>9.8586761001198231E-2</v>
      </c>
      <c r="L168" s="50">
        <v>5920853</v>
      </c>
    </row>
    <row r="169" spans="1:14" s="49" customFormat="1" x14ac:dyDescent="0.2">
      <c r="A169" s="50">
        <v>8</v>
      </c>
      <c r="B169" s="53"/>
      <c r="C169" s="53">
        <v>0</v>
      </c>
      <c r="D169" s="53">
        <v>0</v>
      </c>
      <c r="E169" s="53">
        <v>0</v>
      </c>
      <c r="F169" s="50"/>
      <c r="G169" s="50">
        <v>8</v>
      </c>
      <c r="H169" s="53"/>
      <c r="I169" s="53">
        <v>0</v>
      </c>
      <c r="J169" s="53">
        <v>0</v>
      </c>
      <c r="K169" s="53">
        <v>0</v>
      </c>
      <c r="L169" s="50"/>
    </row>
    <row r="170" spans="1:14" s="49" customFormat="1" x14ac:dyDescent="0.2">
      <c r="A170" s="50">
        <v>9</v>
      </c>
      <c r="B170" s="53"/>
      <c r="C170" s="53">
        <v>0</v>
      </c>
      <c r="D170" s="53">
        <v>0</v>
      </c>
      <c r="E170" s="53">
        <v>0</v>
      </c>
      <c r="F170" s="50"/>
      <c r="G170" s="50">
        <v>9</v>
      </c>
      <c r="H170" s="53"/>
      <c r="I170" s="53">
        <v>0</v>
      </c>
      <c r="J170" s="53">
        <v>0</v>
      </c>
      <c r="K170" s="53">
        <v>0</v>
      </c>
      <c r="L170" s="50"/>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'NS nephrops over 300kW'!D3:N3</xm:f>
              <xm:sqref>C3</xm:sqref>
            </x14:sparkline>
            <x14:sparkline>
              <xm:f>'NS nephrops over 300kW'!D4:N4</xm:f>
              <xm:sqref>C4</xm:sqref>
            </x14:sparkline>
            <x14:sparkline>
              <xm:f>'NS nephrops over 300kW'!D5:N5</xm:f>
              <xm:sqref>C5</xm:sqref>
            </x14:sparkline>
            <x14:sparkline>
              <xm:f>'NS nephrops over 300kW'!D6:N6</xm:f>
              <xm:sqref>C6</xm:sqref>
            </x14:sparkline>
            <x14:sparkline>
              <xm:f>'NS nephrops over 300kW'!D7:N7</xm:f>
              <xm:sqref>C7</xm:sqref>
            </x14:sparkline>
            <x14:sparkline>
              <xm:f>'NS nephrops over 300kW'!D8:N8</xm:f>
              <xm:sqref>C8</xm:sqref>
            </x14:sparkline>
            <x14:sparkline>
              <xm:f>'NS nephrops over 300kW'!D9:N9</xm:f>
              <xm:sqref>C9</xm:sqref>
            </x14:sparkline>
            <x14:sparkline>
              <xm:f>'NS nephrops over 300kW'!F10:M10</xm:f>
              <xm:sqref>C10</xm:sqref>
            </x14:sparkline>
            <x14:sparkline>
              <xm:f>'NS nephrops over 300kW'!D11:N11</xm:f>
              <xm:sqref>C11</xm:sqref>
            </x14:sparkline>
            <x14:sparkline>
              <xm:f>'NS nephrops over 300kW'!D12:N12</xm:f>
              <xm:sqref>C12</xm:sqref>
            </x14:sparkline>
            <x14:sparkline>
              <xm:f>'NS nephrops over 300kW'!D13:N13</xm:f>
              <xm:sqref>C13</xm:sqref>
            </x14:sparkline>
            <x14:sparkline>
              <xm:f>'NS nephrops over 300kW'!D14:N14</xm:f>
              <xm:sqref>C14</xm:sqref>
            </x14:sparkline>
            <x14:sparkline>
              <xm:f>'NS nephrops over 300kW'!D15:N15</xm:f>
              <xm:sqref>C15</xm:sqref>
            </x14:sparkline>
            <x14:sparkline>
              <xm:f>'NS nephrops over 300kW'!D16:N16</xm:f>
              <xm:sqref>C16</xm:sqref>
            </x14:sparkline>
            <x14:sparkline>
              <xm:f>'NS nephrops over 300kW'!D17:N17</xm:f>
              <xm:sqref>C17</xm:sqref>
            </x14:sparkline>
            <x14:sparkline>
              <xm:f>'NS nephrops over 300kW'!D18:N18</xm:f>
              <xm:sqref>C18</xm:sqref>
            </x14:sparkline>
            <x14:sparkline>
              <xm:f>'NS nephrops over 300kW'!D19:N19</xm:f>
              <xm:sqref>C19</xm:sqref>
            </x14:sparkline>
            <x14:sparkline>
              <xm:f>'NS nephrops over 300kW'!D20:N20</xm:f>
              <xm:sqref>C20</xm:sqref>
            </x14:sparkline>
            <x14:sparkline>
              <xm:f>'NS nephrops over 300kW'!D21:N21</xm:f>
              <xm:sqref>C21</xm:sqref>
            </x14:sparkline>
            <x14:sparkline>
              <xm:f>'NS nephrops over 300kW'!D22:N22</xm:f>
              <xm:sqref>C22</xm:sqref>
            </x14:sparkline>
            <x14:sparkline>
              <xm:f>'NS nephrops over 300kW'!D23:N23</xm:f>
              <xm:sqref>C23</xm:sqref>
            </x14:sparkline>
            <x14:sparkline>
              <xm:f>'NS nephrops over 300kW'!D24:N24</xm:f>
              <xm:sqref>C24</xm:sqref>
            </x14:sparkline>
            <x14:sparkline>
              <xm:f>'NS nephrops over 300kW'!F25:M25</xm:f>
              <xm:sqref>C25</xm:sqref>
            </x14:sparkline>
            <x14:sparkline>
              <xm:f>'NS nephrops over 300kW'!F26:M26</xm:f>
              <xm:sqref>C26</xm:sqref>
            </x14:sparkline>
            <x14:sparkline>
              <xm:f>'NS nephrops over 300kW'!D27:N27</xm:f>
              <xm:sqref>C27</xm:sqref>
            </x14:sparkline>
            <x14:sparkline>
              <xm:f>'NS nephrops over 300kW'!D28:N28</xm:f>
              <xm:sqref>C28</xm:sqref>
            </x14:sparkline>
            <x14:sparkline>
              <xm:f>'NS nephrops over 300kW'!D29:N29</xm:f>
              <xm:sqref>C29</xm:sqref>
            </x14:sparkline>
            <x14:sparkline>
              <xm:f>'NS nephrops over 300kW'!D30:N30</xm:f>
              <xm:sqref>C30</xm:sqref>
            </x14:sparkline>
            <x14:sparkline>
              <xm:f>'NS nephrops over 300kW'!D31:N31</xm:f>
              <xm:sqref>C31</xm:sqref>
            </x14:sparkline>
            <x14:sparkline>
              <xm:f>'NS nephrops over 300kW'!D32:N32</xm:f>
              <xm:sqref>C32</xm:sqref>
            </x14:sparkline>
            <x14:sparkline>
              <xm:f>'NS nephrops over 300kW'!D33:N33</xm:f>
              <xm:sqref>C33</xm:sqref>
            </x14:sparkline>
            <x14:sparkline>
              <xm:f>'NS nephrops over 300kW'!D34:N34</xm:f>
              <xm:sqref>C34</xm:sqref>
            </x14:sparkline>
            <x14:sparkline>
              <xm:f>'NS nephrops over 300kW'!D35:N35</xm:f>
              <xm:sqref>C35</xm:sqref>
            </x14:sparkline>
            <x14:sparkline>
              <xm:f>'NS nephrops over 300kW'!D36:N36</xm:f>
              <xm:sqref>C36</xm:sqref>
            </x14:sparkline>
            <x14:sparkline>
              <xm:f>'NS nephrops over 300kW'!D37:N37</xm:f>
              <xm:sqref>C37</xm:sqref>
            </x14:sparkline>
            <x14:sparkline>
              <xm:f>'NS nephrops over 300kW'!D38:M38</xm:f>
              <xm:sqref>C38</xm:sqref>
            </x14:sparkline>
            <x14:sparkline>
              <xm:f>'NS nephrops over 300kW'!D39:M39</xm:f>
              <xm:sqref>C39</xm:sqref>
            </x14:sparkline>
            <x14:sparkline>
              <xm:f>'NS nephrops over 300kW'!D40:M40</xm:f>
              <xm:sqref>C40</xm:sqref>
            </x14:sparkline>
            <x14:sparkline>
              <xm:f>'NS nephrops over 300kW'!D41:M41</xm:f>
              <xm:sqref>C41</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300</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81</v>
      </c>
      <c r="E3" s="22">
        <v>83</v>
      </c>
      <c r="F3" s="22">
        <v>73</v>
      </c>
      <c r="G3" s="22">
        <v>64</v>
      </c>
      <c r="H3" s="22">
        <v>67</v>
      </c>
      <c r="I3" s="22">
        <v>58</v>
      </c>
      <c r="J3" s="22">
        <v>70</v>
      </c>
      <c r="K3" s="22">
        <v>58</v>
      </c>
      <c r="L3" s="22">
        <v>63</v>
      </c>
      <c r="M3" s="22">
        <v>70</v>
      </c>
      <c r="N3" s="22">
        <v>62</v>
      </c>
      <c r="O3" s="23">
        <f t="shared" ref="O3:O41" si="0">IF(N3=0,"",IFERROR(IF(AND(N3&gt;0,D3&lt;0),"na",IF(AND(N3&lt;0,D3&lt;0),-1,1)*(N3-D3)/D3),""))</f>
        <v>-0.23456790123456789</v>
      </c>
      <c r="P3" s="23">
        <f>IF(N3=0,"",IFERROR(IF(AND(N3&gt;0,J3&lt;0),"na",IF(AND(N3&lt;0,J3&lt;0),-1,1)*(N3-J3)/J3),""))</f>
        <v>-0.11428571428571428</v>
      </c>
    </row>
    <row r="4" spans="1:17" ht="18" customHeight="1" x14ac:dyDescent="0.2">
      <c r="A4" s="224"/>
      <c r="B4" s="24" t="s">
        <v>51</v>
      </c>
      <c r="C4" s="25"/>
      <c r="D4" s="26">
        <v>15078</v>
      </c>
      <c r="E4" s="26">
        <v>15413</v>
      </c>
      <c r="F4" s="26">
        <v>13636</v>
      </c>
      <c r="G4" s="26">
        <v>11636</v>
      </c>
      <c r="H4" s="26">
        <v>11834</v>
      </c>
      <c r="I4" s="26">
        <v>9935</v>
      </c>
      <c r="J4" s="26">
        <v>12303</v>
      </c>
      <c r="K4" s="26">
        <v>10066</v>
      </c>
      <c r="L4" s="26">
        <v>11096</v>
      </c>
      <c r="M4" s="26">
        <v>11991</v>
      </c>
      <c r="N4" s="26">
        <v>10600</v>
      </c>
      <c r="O4" s="23">
        <f t="shared" si="0"/>
        <v>-0.29698899058230532</v>
      </c>
      <c r="P4" s="23">
        <f t="shared" ref="P4:P41" si="1">IF(N4=0,"",IFERROR(IF(AND(N4&gt;0,J4&lt;0),"na",IF(AND(N4&lt;0,J4&lt;0),-1,1)*(N4-J4)/J4),""))</f>
        <v>-0.13842152320572218</v>
      </c>
    </row>
    <row r="5" spans="1:17" ht="18" customHeight="1" x14ac:dyDescent="0.2">
      <c r="A5" s="224"/>
      <c r="B5" s="24" t="s">
        <v>52</v>
      </c>
      <c r="C5" s="25"/>
      <c r="D5" s="26">
        <v>3766</v>
      </c>
      <c r="E5" s="26">
        <v>3859</v>
      </c>
      <c r="F5" s="26">
        <v>3264</v>
      </c>
      <c r="G5" s="26">
        <v>2771</v>
      </c>
      <c r="H5" s="26">
        <v>2812</v>
      </c>
      <c r="I5" s="26">
        <v>2258</v>
      </c>
      <c r="J5" s="26">
        <v>2959</v>
      </c>
      <c r="K5" s="26">
        <v>2315</v>
      </c>
      <c r="L5" s="26">
        <v>2585</v>
      </c>
      <c r="M5" s="26">
        <v>2717</v>
      </c>
      <c r="N5" s="26">
        <v>2277</v>
      </c>
      <c r="O5" s="23">
        <f t="shared" si="0"/>
        <v>-0.3953797132235794</v>
      </c>
      <c r="P5" s="23">
        <f t="shared" si="1"/>
        <v>-0.23048327137546468</v>
      </c>
      <c r="Q5" s="27"/>
    </row>
    <row r="6" spans="1:17" ht="18" customHeight="1" x14ac:dyDescent="0.2">
      <c r="A6" s="224"/>
      <c r="B6" s="24" t="s">
        <v>53</v>
      </c>
      <c r="C6" s="25"/>
      <c r="D6" s="26">
        <v>13004.9169921875</v>
      </c>
      <c r="E6" s="26">
        <v>13346.8291015625</v>
      </c>
      <c r="F6" s="26">
        <v>11653.6650390625</v>
      </c>
      <c r="G6" s="26">
        <v>10071.4091796875</v>
      </c>
      <c r="H6" s="26">
        <v>10329.33984375</v>
      </c>
      <c r="I6" s="26">
        <v>8625.31640625</v>
      </c>
      <c r="J6" s="26">
        <v>10800.3955078125</v>
      </c>
      <c r="K6" s="26">
        <v>8749.4267578125</v>
      </c>
      <c r="L6" s="26">
        <v>9646.7060546875</v>
      </c>
      <c r="M6" s="26">
        <v>10432.78515625</v>
      </c>
      <c r="N6" s="26">
        <v>9217.18359375</v>
      </c>
      <c r="O6" s="23">
        <f t="shared" si="0"/>
        <v>-0.29125394654290537</v>
      </c>
      <c r="P6" s="23">
        <f t="shared" si="1"/>
        <v>-0.14658832752164294</v>
      </c>
    </row>
    <row r="7" spans="1:17" ht="18" customHeight="1" x14ac:dyDescent="0.2">
      <c r="A7" s="224"/>
      <c r="B7" s="24" t="s">
        <v>54</v>
      </c>
      <c r="C7" s="25"/>
      <c r="D7" s="26">
        <v>6847.47412109375</v>
      </c>
      <c r="E7" s="26">
        <v>8229.537109375</v>
      </c>
      <c r="F7" s="26">
        <v>5371.5712890625</v>
      </c>
      <c r="G7" s="26">
        <v>4987.34912109375</v>
      </c>
      <c r="H7" s="26">
        <v>4794.48095703125</v>
      </c>
      <c r="I7" s="26">
        <v>3618.96533203125</v>
      </c>
      <c r="J7" s="26">
        <v>4722.68896484375</v>
      </c>
      <c r="K7" s="26">
        <v>2757.90283203125</v>
      </c>
      <c r="L7" s="26">
        <v>4665.78125</v>
      </c>
      <c r="M7" s="26">
        <v>4837.0361328125</v>
      </c>
      <c r="N7" s="26">
        <v>4110.59228515625</v>
      </c>
      <c r="O7" s="23">
        <f t="shared" si="0"/>
        <v>-0.399692176638754</v>
      </c>
      <c r="P7" s="23">
        <f t="shared" si="1"/>
        <v>-0.12960766297421222</v>
      </c>
    </row>
    <row r="8" spans="1:17" ht="18" customHeight="1" x14ac:dyDescent="0.2">
      <c r="A8" s="224"/>
      <c r="B8" s="24" t="s">
        <v>55</v>
      </c>
      <c r="C8" s="27"/>
      <c r="D8" s="28">
        <f ca="1">16.165811*OFFSET(D$112,MATCH($N$1,$C$112:$C$113,0)-1,0)</f>
        <v>16.165811000000001</v>
      </c>
      <c r="E8" s="28">
        <f ca="1">16.086077*OFFSET(E$112,MATCH($N$1,$C$112:$C$113,0)-1,0)</f>
        <v>16.086077</v>
      </c>
      <c r="F8" s="28">
        <f ca="1">12.117481*OFFSET(F$112,MATCH($N$1,$C$112:$C$113,0)-1,0)</f>
        <v>12.117481</v>
      </c>
      <c r="G8" s="28">
        <f ca="1">15.079704*OFFSET(G$112,MATCH($N$1,$C$112:$C$113,0)-1,0)</f>
        <v>15.079704</v>
      </c>
      <c r="H8" s="28">
        <f ca="1">13.98013*OFFSET(H$112,MATCH($N$1,$C$112:$C$113,0)-1,0)</f>
        <v>13.980130000000001</v>
      </c>
      <c r="I8" s="28">
        <f ca="1">9.172093*OFFSET(I$112,MATCH($N$1,$C$112:$C$113,0)-1,0)</f>
        <v>9.1720930000000003</v>
      </c>
      <c r="J8" s="28">
        <f ca="1">12.888152*OFFSET(J$112,MATCH($N$1,$C$112:$C$113,0)-1,0)</f>
        <v>12.888152</v>
      </c>
      <c r="K8" s="28">
        <f ca="1">7.5437555*OFFSET(K$112,MATCH($N$1,$C$112:$C$113,0)-1,0)</f>
        <v>7.5437554999999996</v>
      </c>
      <c r="L8" s="28">
        <f ca="1">12.551287*OFFSET(L$112,MATCH($N$1,$C$112:$C$113,0)-1,0)</f>
        <v>12.551287</v>
      </c>
      <c r="M8" s="28">
        <f ca="1">12.918062*OFFSET(M$112,MATCH($N$1,$C$112:$C$113,0)-1,0)</f>
        <v>12.918062000000001</v>
      </c>
      <c r="N8" s="28">
        <v>11.144670999999999</v>
      </c>
      <c r="O8" s="23">
        <f t="shared" ca="1" si="0"/>
        <v>-0.31060241889503731</v>
      </c>
      <c r="P8" s="23">
        <f t="shared" ca="1" si="1"/>
        <v>-0.13527781174523709</v>
      </c>
    </row>
    <row r="9" spans="1:17" ht="18" customHeight="1" x14ac:dyDescent="0.2">
      <c r="A9" s="224"/>
      <c r="B9" s="24" t="s">
        <v>56</v>
      </c>
      <c r="C9" s="27"/>
      <c r="D9" s="26">
        <v>11019</v>
      </c>
      <c r="E9" s="26">
        <v>12360</v>
      </c>
      <c r="F9" s="26">
        <v>9033</v>
      </c>
      <c r="G9" s="26">
        <v>8913</v>
      </c>
      <c r="H9" s="26">
        <v>9041</v>
      </c>
      <c r="I9" s="26">
        <v>7161</v>
      </c>
      <c r="J9" s="26">
        <v>8318</v>
      </c>
      <c r="K9" s="26">
        <v>6282</v>
      </c>
      <c r="L9" s="26">
        <v>8597</v>
      </c>
      <c r="M9" s="26">
        <v>8892</v>
      </c>
      <c r="N9" s="26">
        <v>7598</v>
      </c>
      <c r="O9" s="23">
        <f t="shared" si="0"/>
        <v>-0.31046374444141939</v>
      </c>
      <c r="P9" s="23">
        <f t="shared" si="1"/>
        <v>-8.6559269055061311E-2</v>
      </c>
    </row>
    <row r="10" spans="1:17" ht="18" customHeight="1" x14ac:dyDescent="0.2">
      <c r="A10" s="224"/>
      <c r="B10" s="24" t="s">
        <v>57</v>
      </c>
      <c r="C10" s="27"/>
      <c r="D10" s="26"/>
      <c r="E10" s="26">
        <v>224.4102783203125</v>
      </c>
      <c r="F10" s="26">
        <v>283.17388916015625</v>
      </c>
      <c r="G10" s="26">
        <v>203.7767333984375</v>
      </c>
      <c r="H10" s="26">
        <v>210.99160766601562</v>
      </c>
      <c r="I10" s="26">
        <v>235.01548767089844</v>
      </c>
      <c r="J10" s="26">
        <v>163.88934326171875</v>
      </c>
      <c r="K10" s="26">
        <v>186.07720947265625</v>
      </c>
      <c r="L10" s="26">
        <v>151.54986572265625</v>
      </c>
      <c r="M10" s="26">
        <v>180.45292663574219</v>
      </c>
      <c r="N10" s="26">
        <v>155.86376953125</v>
      </c>
      <c r="O10" s="29" t="str">
        <f t="shared" si="0"/>
        <v/>
      </c>
      <c r="P10" s="29">
        <f t="shared" si="1"/>
        <v>-4.8969466658076249E-2</v>
      </c>
    </row>
    <row r="11" spans="1:17" ht="18" customHeight="1" x14ac:dyDescent="0.2">
      <c r="A11" s="225" t="s">
        <v>23</v>
      </c>
      <c r="B11" s="30" t="s">
        <v>58</v>
      </c>
      <c r="C11" s="31"/>
      <c r="D11" s="32">
        <v>14.329258918762207</v>
      </c>
      <c r="E11" s="32">
        <v>14.400240898132324</v>
      </c>
      <c r="F11" s="32">
        <v>14.271369934082031</v>
      </c>
      <c r="G11" s="32">
        <v>14.172968864440918</v>
      </c>
      <c r="H11" s="32">
        <v>14.085821151733398</v>
      </c>
      <c r="I11" s="32">
        <v>13.983620643615723</v>
      </c>
      <c r="J11" s="32">
        <v>14.170714378356934</v>
      </c>
      <c r="K11" s="32">
        <v>14.126551628112793</v>
      </c>
      <c r="L11" s="32">
        <v>14.275079727172852</v>
      </c>
      <c r="M11" s="32">
        <v>14.054714202880859</v>
      </c>
      <c r="N11" s="32">
        <v>14.080806732177734</v>
      </c>
      <c r="O11" s="23">
        <f t="shared" si="0"/>
        <v>-1.733880223625232E-2</v>
      </c>
      <c r="P11" s="23">
        <f t="shared" si="1"/>
        <v>-6.3446092962339299E-3</v>
      </c>
    </row>
    <row r="12" spans="1:17" ht="18" customHeight="1" x14ac:dyDescent="0.2">
      <c r="A12" s="226"/>
      <c r="B12" s="33" t="s">
        <v>51</v>
      </c>
      <c r="C12" s="25"/>
      <c r="D12" s="26">
        <v>186.14814758300781</v>
      </c>
      <c r="E12" s="26">
        <v>185.69879150390625</v>
      </c>
      <c r="F12" s="26">
        <v>186.79452514648437</v>
      </c>
      <c r="G12" s="26">
        <v>181.8125</v>
      </c>
      <c r="H12" s="26">
        <v>176.62686157226562</v>
      </c>
      <c r="I12" s="26">
        <v>171.29310607910156</v>
      </c>
      <c r="J12" s="26">
        <v>175.75714111328125</v>
      </c>
      <c r="K12" s="26">
        <v>173.55172729492187</v>
      </c>
      <c r="L12" s="26">
        <v>176.12698364257812</v>
      </c>
      <c r="M12" s="26">
        <v>171.30000305175781</v>
      </c>
      <c r="N12" s="26">
        <v>170.96774291992187</v>
      </c>
      <c r="O12" s="23">
        <f t="shared" si="0"/>
        <v>-8.1550124780675776E-2</v>
      </c>
      <c r="P12" s="23">
        <f t="shared" si="1"/>
        <v>-2.7250091592423267E-2</v>
      </c>
    </row>
    <row r="13" spans="1:17" ht="18" customHeight="1" x14ac:dyDescent="0.2">
      <c r="A13" s="226"/>
      <c r="B13" s="33" t="s">
        <v>52</v>
      </c>
      <c r="C13" s="25"/>
      <c r="D13" s="26">
        <v>46.493827819824219</v>
      </c>
      <c r="E13" s="26">
        <v>46.493976593017578</v>
      </c>
      <c r="F13" s="26">
        <v>44.712329864501953</v>
      </c>
      <c r="G13" s="26">
        <v>43.296875</v>
      </c>
      <c r="H13" s="26">
        <v>41.970149993896484</v>
      </c>
      <c r="I13" s="26">
        <v>38.931034088134766</v>
      </c>
      <c r="J13" s="26">
        <v>42.271427154541016</v>
      </c>
      <c r="K13" s="26">
        <v>39.913791656494141</v>
      </c>
      <c r="L13" s="26">
        <v>41.031745910644531</v>
      </c>
      <c r="M13" s="26">
        <v>38.814285278320313</v>
      </c>
      <c r="N13" s="26">
        <v>36.725807189941406</v>
      </c>
      <c r="O13" s="23">
        <f t="shared" si="0"/>
        <v>-0.21009284646849158</v>
      </c>
      <c r="P13" s="23">
        <f t="shared" si="1"/>
        <v>-0.13119074367480565</v>
      </c>
    </row>
    <row r="14" spans="1:17" ht="18" customHeight="1" x14ac:dyDescent="0.2">
      <c r="A14" s="226"/>
      <c r="B14" s="33" t="s">
        <v>53</v>
      </c>
      <c r="C14" s="25"/>
      <c r="D14" s="26">
        <v>160.55453491210937</v>
      </c>
      <c r="E14" s="26">
        <v>160.80517578125</v>
      </c>
      <c r="F14" s="26">
        <v>159.63925170898437</v>
      </c>
      <c r="G14" s="26">
        <v>157.36576843261719</v>
      </c>
      <c r="H14" s="26">
        <v>154.16925048828125</v>
      </c>
      <c r="I14" s="26">
        <v>148.71234130859375</v>
      </c>
      <c r="J14" s="26">
        <v>154.29136657714844</v>
      </c>
      <c r="K14" s="26">
        <v>150.85218811035156</v>
      </c>
      <c r="L14" s="26">
        <v>153.122314453125</v>
      </c>
      <c r="M14" s="26">
        <v>149.03977966308594</v>
      </c>
      <c r="N14" s="26">
        <v>148.66426086425781</v>
      </c>
      <c r="O14" s="23">
        <f t="shared" si="0"/>
        <v>-7.4057540974227398E-2</v>
      </c>
      <c r="P14" s="23">
        <f t="shared" si="1"/>
        <v>-3.6470645362240484E-2</v>
      </c>
    </row>
    <row r="15" spans="1:17" ht="18" customHeight="1" x14ac:dyDescent="0.2">
      <c r="A15" s="226"/>
      <c r="B15" s="33" t="s">
        <v>54</v>
      </c>
      <c r="C15" s="27"/>
      <c r="D15" s="28">
        <v>84.536720275878906</v>
      </c>
      <c r="E15" s="28">
        <v>99.151046752929687</v>
      </c>
      <c r="F15" s="28">
        <v>73.583168029785156</v>
      </c>
      <c r="G15" s="28">
        <v>77.927330017089844</v>
      </c>
      <c r="H15" s="28">
        <v>71.559417724609375</v>
      </c>
      <c r="I15" s="28">
        <v>62.395954132080078</v>
      </c>
      <c r="J15" s="28">
        <v>67.466987609863281</v>
      </c>
      <c r="K15" s="28">
        <v>47.550048828125</v>
      </c>
      <c r="L15" s="28">
        <v>74.060020446777344</v>
      </c>
      <c r="M15" s="28">
        <v>69.100517272949219</v>
      </c>
      <c r="N15" s="28">
        <v>66.299880981445313</v>
      </c>
      <c r="O15" s="23">
        <f t="shared" si="0"/>
        <v>-0.21572683722433411</v>
      </c>
      <c r="P15" s="23">
        <f t="shared" si="1"/>
        <v>-1.7298928998681788E-2</v>
      </c>
    </row>
    <row r="16" spans="1:17" ht="18" customHeight="1" x14ac:dyDescent="0.2">
      <c r="A16" s="226"/>
      <c r="B16" s="33" t="s">
        <v>59</v>
      </c>
      <c r="C16" s="27"/>
      <c r="D16" s="28">
        <f ca="1">199.57790625*OFFSET(D$112,MATCH($N$1,$C$112:$C$113,0)-1,0)</f>
        <v>199.57790625000001</v>
      </c>
      <c r="E16" s="28">
        <f ca="1">193.80815625*OFFSET(E$112,MATCH($N$1,$C$112:$C$113,0)-1,0)</f>
        <v>193.80815625</v>
      </c>
      <c r="F16" s="28">
        <f ca="1">165.992890625*OFFSET(F$112,MATCH($N$1,$C$112:$C$113,0)-1,0)</f>
        <v>165.992890625</v>
      </c>
      <c r="G16" s="28">
        <f ca="1">235.620375*OFFSET(G$112,MATCH($N$1,$C$112:$C$113,0)-1,0)</f>
        <v>235.620375</v>
      </c>
      <c r="H16" s="28">
        <f ca="1">208.65865625*OFFSET(H$112,MATCH($N$1,$C$112:$C$113,0)-1,0)</f>
        <v>208.65865625000001</v>
      </c>
      <c r="I16" s="28">
        <f ca="1">158.13953125*OFFSET(I$112,MATCH($N$1,$C$112:$C$113,0)-1,0)</f>
        <v>158.13953125</v>
      </c>
      <c r="J16" s="28">
        <f ca="1">184.116453125*OFFSET(J$112,MATCH($N$1,$C$112:$C$113,0)-1,0)</f>
        <v>184.11645312499999</v>
      </c>
      <c r="K16" s="28">
        <f ca="1">130.06475*OFFSET(K$112,MATCH($N$1,$C$112:$C$113,0)-1,0)</f>
        <v>130.06475</v>
      </c>
      <c r="L16" s="28">
        <f ca="1">199.22678125*OFFSET(L$112,MATCH($N$1,$C$112:$C$113,0)-1,0)</f>
        <v>199.22678124999999</v>
      </c>
      <c r="M16" s="28">
        <f ca="1">184.543734375*OFFSET(M$112,MATCH($N$1,$C$112:$C$113,0)-1,0)</f>
        <v>184.54373437500001</v>
      </c>
      <c r="N16" s="28">
        <v>179.75274999999999</v>
      </c>
      <c r="O16" s="23">
        <f t="shared" ca="1" si="0"/>
        <v>-9.9335425561415419E-2</v>
      </c>
      <c r="P16" s="23">
        <f t="shared" ca="1" si="1"/>
        <v>-2.3700777692243526E-2</v>
      </c>
    </row>
    <row r="17" spans="1:16" ht="18" customHeight="1" x14ac:dyDescent="0.2">
      <c r="A17" s="226"/>
      <c r="B17" s="33" t="s">
        <v>56</v>
      </c>
      <c r="C17" s="25"/>
      <c r="D17" s="26">
        <v>136.03703308105469</v>
      </c>
      <c r="E17" s="26">
        <v>148.91566467285156</v>
      </c>
      <c r="F17" s="26">
        <v>123.73972320556641</v>
      </c>
      <c r="G17" s="26">
        <v>139.265625</v>
      </c>
      <c r="H17" s="26">
        <v>134.94029235839844</v>
      </c>
      <c r="I17" s="26">
        <v>123.46551513671875</v>
      </c>
      <c r="J17" s="26">
        <v>118.82857513427734</v>
      </c>
      <c r="K17" s="26">
        <v>108.31034851074219</v>
      </c>
      <c r="L17" s="26">
        <v>136.46031188964844</v>
      </c>
      <c r="M17" s="26">
        <v>127.02857208251953</v>
      </c>
      <c r="N17" s="26">
        <v>122.54838562011719</v>
      </c>
      <c r="O17" s="23">
        <f t="shared" si="0"/>
        <v>-9.9154231428294853E-2</v>
      </c>
      <c r="P17" s="23">
        <f t="shared" si="1"/>
        <v>3.1304006478546302E-2</v>
      </c>
    </row>
    <row r="18" spans="1:16" ht="18" customHeight="1" x14ac:dyDescent="0.2">
      <c r="A18" s="226"/>
      <c r="B18" s="33" t="s">
        <v>60</v>
      </c>
      <c r="C18" s="25"/>
      <c r="D18" s="26">
        <v>26.580245971679687</v>
      </c>
      <c r="E18" s="26">
        <v>28.795181274414063</v>
      </c>
      <c r="F18" s="26">
        <v>29.945205688476563</v>
      </c>
      <c r="G18" s="26">
        <v>30.5625</v>
      </c>
      <c r="H18" s="26">
        <v>32.880596160888672</v>
      </c>
      <c r="I18" s="26">
        <v>34.5</v>
      </c>
      <c r="J18" s="26">
        <v>35.385715484619141</v>
      </c>
      <c r="K18" s="26">
        <v>36.465518951416016</v>
      </c>
      <c r="L18" s="26">
        <v>37.365077972412109</v>
      </c>
      <c r="M18" s="26">
        <v>38.228572845458984</v>
      </c>
      <c r="N18" s="26">
        <v>39.403224945068359</v>
      </c>
      <c r="O18" s="23">
        <f t="shared" si="0"/>
        <v>0.4824251433583836</v>
      </c>
      <c r="P18" s="23">
        <f t="shared" si="1"/>
        <v>0.11353478106710832</v>
      </c>
    </row>
    <row r="19" spans="1:16" ht="18" customHeight="1" x14ac:dyDescent="0.2">
      <c r="A19" s="226"/>
      <c r="B19" s="33" t="s">
        <v>61</v>
      </c>
      <c r="C19" s="25"/>
      <c r="D19" s="34">
        <v>0.62142431735992432</v>
      </c>
      <c r="E19" s="34">
        <v>0.66582012176513672</v>
      </c>
      <c r="F19" s="34">
        <v>0.59466081857681274</v>
      </c>
      <c r="G19" s="34">
        <v>0.55955898761749268</v>
      </c>
      <c r="H19" s="34">
        <v>0.53030431270599365</v>
      </c>
      <c r="I19" s="34">
        <v>0.50537151098251343</v>
      </c>
      <c r="J19" s="34">
        <v>0.56776738166809082</v>
      </c>
      <c r="K19" s="34">
        <v>0.4390166699886322</v>
      </c>
      <c r="L19" s="34">
        <v>0.54272204637527466</v>
      </c>
      <c r="M19" s="34">
        <v>0.54397618770599365</v>
      </c>
      <c r="N19" s="34">
        <v>0.54100984334945679</v>
      </c>
      <c r="O19" s="23">
        <f t="shared" si="0"/>
        <v>-0.12940348770402571</v>
      </c>
      <c r="P19" s="23">
        <f t="shared" si="1"/>
        <v>-4.7127642732875646E-2</v>
      </c>
    </row>
    <row r="20" spans="1:16" ht="18" customHeight="1" x14ac:dyDescent="0.2">
      <c r="A20" s="227"/>
      <c r="B20" s="35" t="s">
        <v>24</v>
      </c>
      <c r="C20" s="36"/>
      <c r="D20" s="37">
        <f ca="1">2361*OFFSET(D$112,MATCH($N$1,$C$112:$C$113,0)-1,0)</f>
        <v>2361</v>
      </c>
      <c r="E20" s="37">
        <f ca="1">1955*OFFSET(E$112,MATCH($N$1,$C$112:$C$113,0)-1,0)</f>
        <v>1955</v>
      </c>
      <c r="F20" s="37">
        <f ca="1">2256*OFFSET(F$112,MATCH($N$1,$C$112:$C$113,0)-1,0)</f>
        <v>2256</v>
      </c>
      <c r="G20" s="37">
        <f ca="1">3024*OFFSET(G$112,MATCH($N$1,$C$112:$C$113,0)-1,0)</f>
        <v>3024</v>
      </c>
      <c r="H20" s="37">
        <f ca="1">2916*OFFSET(H$112,MATCH($N$1,$C$112:$C$113,0)-1,0)</f>
        <v>2916</v>
      </c>
      <c r="I20" s="37">
        <f ca="1">2534*OFFSET(I$112,MATCH($N$1,$C$112:$C$113,0)-1,0)</f>
        <v>2534</v>
      </c>
      <c r="J20" s="37">
        <f ca="1">2729*OFFSET(J$112,MATCH($N$1,$C$112:$C$113,0)-1,0)</f>
        <v>2729</v>
      </c>
      <c r="K20" s="37">
        <f ca="1">2735*OFFSET(K$112,MATCH($N$1,$C$112:$C$113,0)-1,0)</f>
        <v>2735</v>
      </c>
      <c r="L20" s="37">
        <f ca="1">2690*OFFSET(L$112,MATCH($N$1,$C$112:$C$113,0)-1,0)</f>
        <v>2690</v>
      </c>
      <c r="M20" s="37">
        <f ca="1">2671*OFFSET(M$112,MATCH($N$1,$C$112:$C$113,0)-1,0)</f>
        <v>2671</v>
      </c>
      <c r="N20" s="37">
        <v>2711</v>
      </c>
      <c r="O20" s="29">
        <f t="shared" ca="1" si="0"/>
        <v>0.14824227022448117</v>
      </c>
      <c r="P20" s="29">
        <f t="shared" ca="1" si="1"/>
        <v>-6.5958226456577498E-3</v>
      </c>
    </row>
    <row r="21" spans="1:16" ht="18" customHeight="1" x14ac:dyDescent="0.2">
      <c r="A21" s="228" t="s">
        <v>25</v>
      </c>
      <c r="B21" s="30" t="s">
        <v>62</v>
      </c>
      <c r="C21" s="38"/>
      <c r="D21" s="39">
        <v>3.1007828025186357</v>
      </c>
      <c r="E21" s="39">
        <v>3.3143469984743592</v>
      </c>
      <c r="F21" s="39">
        <v>2.9595531650641433</v>
      </c>
      <c r="G21" s="39">
        <v>2.9583447248189052</v>
      </c>
      <c r="H21" s="39">
        <v>2.8569186551723758</v>
      </c>
      <c r="I21" s="39">
        <v>2.8218933969081075</v>
      </c>
      <c r="J21" s="39">
        <v>3.055330906822975</v>
      </c>
      <c r="K21" s="39">
        <v>2.3689660665148118</v>
      </c>
      <c r="L21" s="39">
        <v>2.890193620396639</v>
      </c>
      <c r="M21" s="39">
        <v>2.9962951278259329</v>
      </c>
      <c r="N21" s="39">
        <v>3.0034141727311314</v>
      </c>
      <c r="O21" s="23">
        <f t="shared" si="0"/>
        <v>-3.1401306053560354E-2</v>
      </c>
      <c r="P21" s="23">
        <f t="shared" si="1"/>
        <v>-1.6992180446283704E-2</v>
      </c>
    </row>
    <row r="22" spans="1:16" ht="18" customHeight="1" x14ac:dyDescent="0.2">
      <c r="A22" s="228"/>
      <c r="B22" s="33" t="s">
        <v>63</v>
      </c>
      <c r="C22" s="25"/>
      <c r="D22" s="34">
        <f ca="1">7.32046071154778*OFFSET(D$112,MATCH($N$1,$C$112:$C$113,0)-1,0)</f>
        <v>7.3204607115477804</v>
      </c>
      <c r="E22" s="34">
        <f ca="1">6.47847402506678*OFFSET(E$112,MATCH($N$1,$C$112:$C$113,0)-1,0)</f>
        <v>6.4784740250667801</v>
      </c>
      <c r="F22" s="34">
        <f ca="1">6.67632011479187*OFFSET(F$112,MATCH($N$1,$C$112:$C$113,0)-1,0)</f>
        <v>6.6763201147918698</v>
      </c>
      <c r="G22" s="34">
        <f ca="1">8.94482453445071*OFFSET(G$112,MATCH($N$1,$C$112:$C$113,0)-1,0)</f>
        <v>8.94482453445071</v>
      </c>
      <c r="H22" s="34">
        <f ca="1">8.33043122147734*OFFSET(H$112,MATCH($N$1,$C$112:$C$113,0)-1,0)</f>
        <v>8.3304312214773404</v>
      </c>
      <c r="I22" s="34">
        <f ca="1">7.15195248204536*OFFSET(I$112,MATCH($N$1,$C$112:$C$113,0)-1,0)</f>
        <v>7.1519524820453597</v>
      </c>
      <c r="J22" s="34">
        <f ca="1">8.33795474818556*OFFSET(J$112,MATCH($N$1,$C$112:$C$113,0)-1,0)</f>
        <v>8.3379547481855596</v>
      </c>
      <c r="K22" s="34">
        <f ca="1">6.47988775602446*OFFSET(K$112,MATCH($N$1,$C$112:$C$113,0)-1,0)</f>
        <v>6.4798877560244597</v>
      </c>
      <c r="L22" s="34">
        <f ca="1">7.77482869579686*OFFSET(L$112,MATCH($N$1,$C$112:$C$113,0)-1,0)</f>
        <v>7.7748286957968604</v>
      </c>
      <c r="M22" s="34">
        <f ca="1">8.00207457195227*OFFSET(M$112,MATCH($N$1,$C$112:$C$113,0)-1,0)</f>
        <v>8.0020745719522708</v>
      </c>
      <c r="N22" s="34">
        <v>8.1428797298819351</v>
      </c>
      <c r="O22" s="23">
        <f t="shared" ca="1" si="0"/>
        <v>0.1123452540407486</v>
      </c>
      <c r="P22" s="23">
        <f t="shared" ca="1" si="1"/>
        <v>-2.3396027466576885E-2</v>
      </c>
    </row>
    <row r="23" spans="1:16" ht="18" customHeight="1" x14ac:dyDescent="0.2">
      <c r="A23" s="228"/>
      <c r="B23" s="33" t="s">
        <v>11</v>
      </c>
      <c r="C23" s="25"/>
      <c r="D23" s="34">
        <f ca="1">7.26367076975606*OFFSET(D$112,MATCH($N$1,$C$112:$C$113,0)-1,0)</f>
        <v>7.2636707697560601</v>
      </c>
      <c r="E23" s="34">
        <f ca="1">6.08233846998768*OFFSET(E$112,MATCH($N$1,$C$112:$C$113,0)-1,0)</f>
        <v>6.0823384699876799</v>
      </c>
      <c r="F23" s="34">
        <f ca="1">6.84705831684515*OFFSET(F$112,MATCH($N$1,$C$112:$C$113,0)-1,0)</f>
        <v>6.8470583168451498</v>
      </c>
      <c r="G23" s="34">
        <f ca="1">8.8376217036073*OFFSET(G$112,MATCH($N$1,$C$112:$C$113,0)-1,0)</f>
        <v>8.8376217036073008</v>
      </c>
      <c r="H23" s="34">
        <f ca="1">8.25691191219525*OFFSET(H$112,MATCH($N$1,$C$112:$C$113,0)-1,0)</f>
        <v>8.2569119121952497</v>
      </c>
      <c r="I23" s="34">
        <f ca="1">7.80911964162966*OFFSET(I$112,MATCH($N$1,$C$112:$C$113,0)-1,0)</f>
        <v>7.8091196416296604</v>
      </c>
      <c r="J23" s="34">
        <f ca="1">7.9297871145412*OFFSET(J$112,MATCH($N$1,$C$112:$C$113,0)-1,0)</f>
        <v>7.9297871145411998</v>
      </c>
      <c r="K23" s="34">
        <f ca="1">6.34926172768653*OFFSET(K$112,MATCH($N$1,$C$112:$C$113,0)-1,0)</f>
        <v>6.34926172768653</v>
      </c>
      <c r="L23" s="34">
        <f ca="1">7.02086424560639*OFFSET(L$112,MATCH($N$1,$C$112:$C$113,0)-1,0)</f>
        <v>7.0208642456063899</v>
      </c>
      <c r="M23" s="34">
        <f ca="1">7.42353407769837*OFFSET(M$112,MATCH($N$1,$C$112:$C$113,0)-1,0)</f>
        <v>7.4235340776983696</v>
      </c>
      <c r="N23" s="34">
        <v>7.7259103597961385</v>
      </c>
      <c r="O23" s="23">
        <f t="shared" ca="1" si="0"/>
        <v>6.3637189059382718E-2</v>
      </c>
      <c r="P23" s="23">
        <f t="shared" ca="1" si="1"/>
        <v>-2.5710243137700824E-2</v>
      </c>
    </row>
    <row r="24" spans="1:16" ht="18" customHeight="1" x14ac:dyDescent="0.2">
      <c r="A24" s="228"/>
      <c r="B24" s="33" t="s">
        <v>12</v>
      </c>
      <c r="C24" s="25"/>
      <c r="D24" s="34">
        <f ca="1">0.302408130746563*OFFSET(D$112,MATCH($N$1,$C$112:$C$113,0)-1,0)</f>
        <v>0.30240813074656298</v>
      </c>
      <c r="E24" s="34">
        <f ca="1">0.680096173859315*OFFSET(E$112,MATCH($N$1,$C$112:$C$113,0)-1,0)</f>
        <v>0.68009617385931498</v>
      </c>
      <c r="F24" s="34">
        <f ca="1">0.164881128336369*OFFSET(F$112,MATCH($N$1,$C$112:$C$113,0)-1,0)</f>
        <v>0.164881128336369</v>
      </c>
      <c r="G24" s="34">
        <f ca="1">1.72890006157102*OFFSET(G$112,MATCH($N$1,$C$112:$C$113,0)-1,0)</f>
        <v>1.7289000615710199</v>
      </c>
      <c r="H24" s="34">
        <f ca="1">1.26955798664021*OFFSET(H$112,MATCH($N$1,$C$112:$C$113,0)-1,0)</f>
        <v>1.26955798664021</v>
      </c>
      <c r="I24" s="34">
        <f ca="1">0.563571314119409*OFFSET(I$112,MATCH($N$1,$C$112:$C$113,0)-1,0)</f>
        <v>0.56357131411940897</v>
      </c>
      <c r="J24" s="34">
        <f ca="1">1.01082838124881*OFFSET(J$112,MATCH($N$1,$C$112:$C$113,0)-1,0)</f>
        <v>1.0108283812488099</v>
      </c>
      <c r="K24" s="34">
        <f ca="1">0.504860950759563*OFFSET(K$112,MATCH($N$1,$C$112:$C$113,0)-1,0)</f>
        <v>0.50486095075956305</v>
      </c>
      <c r="L24" s="34">
        <f ca="1">1.29985337416631*OFFSET(L$112,MATCH($N$1,$C$112:$C$113,0)-1,0)</f>
        <v>1.2998533741663101</v>
      </c>
      <c r="M24" s="34">
        <f ca="1">1.32694249541635*OFFSET(M$112,MATCH($N$1,$C$112:$C$113,0)-1,0)</f>
        <v>1.32694249541635</v>
      </c>
      <c r="N24" s="34">
        <v>1.1785403824720189</v>
      </c>
      <c r="O24" s="23">
        <f t="shared" ca="1" si="0"/>
        <v>2.8971848394503317</v>
      </c>
      <c r="P24" s="23">
        <f t="shared" ca="1" si="1"/>
        <v>0.16591540595250417</v>
      </c>
    </row>
    <row r="25" spans="1:16" ht="18" customHeight="1" x14ac:dyDescent="0.2">
      <c r="A25" s="228"/>
      <c r="B25" s="33" t="s">
        <v>64</v>
      </c>
      <c r="C25" s="25"/>
      <c r="D25" s="28"/>
      <c r="E25" s="28">
        <f ca="1">71.68*OFFSET(E$112,MATCH($N$1,$C$112:$C$113,0)-1,0)</f>
        <v>71.680000000000007</v>
      </c>
      <c r="F25" s="28">
        <f ca="1">42.79*OFFSET(F$112,MATCH($N$1,$C$112:$C$113,0)-1,0)</f>
        <v>42.79</v>
      </c>
      <c r="G25" s="28">
        <f ca="1">73.99*OFFSET(G$112,MATCH($N$1,$C$112:$C$113,0)-1,0)</f>
        <v>73.989999999999995</v>
      </c>
      <c r="H25" s="28">
        <f ca="1">66.27*OFFSET(H$112,MATCH($N$1,$C$112:$C$113,0)-1,0)</f>
        <v>66.27</v>
      </c>
      <c r="I25" s="28">
        <f ca="1">39.02*OFFSET(I$112,MATCH($N$1,$C$112:$C$113,0)-1,0)</f>
        <v>39.020000000000003</v>
      </c>
      <c r="J25" s="28">
        <f ca="1">78.63*OFFSET(J$112,MATCH($N$1,$C$112:$C$113,0)-1,0)</f>
        <v>78.63</v>
      </c>
      <c r="K25" s="28">
        <f ca="1">40.55*OFFSET(K$112,MATCH($N$1,$C$112:$C$113,0)-1,0)</f>
        <v>40.549999999999997</v>
      </c>
      <c r="L25" s="28">
        <f ca="1">82.81*OFFSET(L$112,MATCH($N$1,$C$112:$C$113,0)-1,0)</f>
        <v>82.81</v>
      </c>
      <c r="M25" s="28">
        <f ca="1">71.57*OFFSET(M$112,MATCH($N$1,$C$112:$C$113,0)-1,0)</f>
        <v>71.569999999999993</v>
      </c>
      <c r="N25" s="28">
        <v>71.52</v>
      </c>
      <c r="O25" s="23" t="str">
        <f t="shared" si="0"/>
        <v/>
      </c>
      <c r="P25" s="23">
        <f t="shared" ca="1" si="1"/>
        <v>-9.042350247996947E-2</v>
      </c>
    </row>
    <row r="26" spans="1:16" ht="18" customHeight="1" x14ac:dyDescent="0.2">
      <c r="A26" s="229"/>
      <c r="B26" s="33" t="s">
        <v>65</v>
      </c>
      <c r="C26" s="40"/>
      <c r="D26" s="28"/>
      <c r="E26" s="28">
        <f ca="1">7.51*OFFSET(E$112,MATCH($N$1,$C$112:$C$113,0)-1,0)</f>
        <v>7.51</v>
      </c>
      <c r="F26" s="28">
        <f ca="1">1.06*OFFSET(F$112,MATCH($N$1,$C$112:$C$113,0)-1,0)</f>
        <v>1.06</v>
      </c>
      <c r="G26" s="28">
        <f ca="1">14.29*OFFSET(G$112,MATCH($N$1,$C$112:$C$113,0)-1,0)</f>
        <v>14.29</v>
      </c>
      <c r="H26" s="28">
        <f ca="1">10.1*OFFSET(H$112,MATCH($N$1,$C$112:$C$113,0)-1,0)</f>
        <v>10.1</v>
      </c>
      <c r="I26" s="28">
        <f ca="1">3.08*OFFSET(I$112,MATCH($N$1,$C$112:$C$113,0)-1,0)</f>
        <v>3.08</v>
      </c>
      <c r="J26" s="28">
        <f ca="1">9.52*OFFSET(J$112,MATCH($N$1,$C$112:$C$113,0)-1,0)</f>
        <v>9.52</v>
      </c>
      <c r="K26" s="28">
        <f ca="1">3.15*OFFSET(K$112,MATCH($N$1,$C$112:$C$113,0)-1,0)</f>
        <v>3.15</v>
      </c>
      <c r="L26" s="28">
        <f ca="1">13.84*OFFSET(L$112,MATCH($N$1,$C$112:$C$113,0)-1,0)</f>
        <v>13.84</v>
      </c>
      <c r="M26" s="28">
        <f ca="1">11.87*OFFSET(M$112,MATCH($N$1,$C$112:$C$113,0)-1,0)</f>
        <v>11.87</v>
      </c>
      <c r="N26" s="28">
        <v>10.34</v>
      </c>
      <c r="O26" s="29" t="str">
        <f t="shared" si="0"/>
        <v/>
      </c>
      <c r="P26" s="29">
        <f t="shared" ca="1" si="1"/>
        <v>8.6134453781512632E-2</v>
      </c>
    </row>
    <row r="27" spans="1:16" ht="18" customHeight="1" x14ac:dyDescent="0.2">
      <c r="A27" s="230" t="s">
        <v>26</v>
      </c>
      <c r="B27" s="30" t="s">
        <v>59</v>
      </c>
      <c r="C27" s="31"/>
      <c r="D27" s="32">
        <f ca="1">199.6*OFFSET(D$112,MATCH($N$1,$C$112:$C$113,0)-1,0)</f>
        <v>199.6</v>
      </c>
      <c r="E27" s="32">
        <f ca="1">193.8*OFFSET(E$112,MATCH($N$1,$C$112:$C$113,0)-1,0)</f>
        <v>193.8</v>
      </c>
      <c r="F27" s="32">
        <f ca="1">166*OFFSET(F$112,MATCH($N$1,$C$112:$C$113,0)-1,0)</f>
        <v>166</v>
      </c>
      <c r="G27" s="32">
        <f ca="1">235.6*OFFSET(G$112,MATCH($N$1,$C$112:$C$113,0)-1,0)</f>
        <v>235.6</v>
      </c>
      <c r="H27" s="32">
        <f ca="1">208.7*OFFSET(H$112,MATCH($N$1,$C$112:$C$113,0)-1,0)</f>
        <v>208.7</v>
      </c>
      <c r="I27" s="32">
        <f ca="1">158.1*OFFSET(I$112,MATCH($N$1,$C$112:$C$113,0)-1,0)</f>
        <v>158.1</v>
      </c>
      <c r="J27" s="32">
        <f ca="1">184.1*OFFSET(J$112,MATCH($N$1,$C$112:$C$113,0)-1,0)</f>
        <v>184.1</v>
      </c>
      <c r="K27" s="32">
        <f ca="1">130.1*OFFSET(K$112,MATCH($N$1,$C$112:$C$113,0)-1,0)</f>
        <v>130.1</v>
      </c>
      <c r="L27" s="32">
        <f ca="1">199.2*OFFSET(L$112,MATCH($N$1,$C$112:$C$113,0)-1,0)</f>
        <v>199.2</v>
      </c>
      <c r="M27" s="32">
        <f ca="1">184.5*OFFSET(M$112,MATCH($N$1,$C$112:$C$113,0)-1,0)</f>
        <v>184.5</v>
      </c>
      <c r="N27" s="32">
        <v>179.8</v>
      </c>
      <c r="O27" s="23">
        <f t="shared" ca="1" si="0"/>
        <v>-9.9198396793587093E-2</v>
      </c>
      <c r="P27" s="23">
        <f t="shared" ca="1" si="1"/>
        <v>-2.3356871265616422E-2</v>
      </c>
    </row>
    <row r="28" spans="1:16" ht="18" customHeight="1" x14ac:dyDescent="0.2">
      <c r="A28" s="231"/>
      <c r="B28" s="33" t="s">
        <v>66</v>
      </c>
      <c r="C28" s="27"/>
      <c r="D28" s="28">
        <f ca="1">6.7*OFFSET(D$112,MATCH($N$1,$C$112:$C$113,0)-1,0)</f>
        <v>6.7</v>
      </c>
      <c r="E28" s="28">
        <f ca="1">8.5*OFFSET(E$112,MATCH($N$1,$C$112:$C$113,0)-1,0)</f>
        <v>8.5</v>
      </c>
      <c r="F28" s="28">
        <f ca="1">8.3*OFFSET(F$112,MATCH($N$1,$C$112:$C$113,0)-1,0)</f>
        <v>8.3000000000000007</v>
      </c>
      <c r="G28" s="28">
        <f ca="1">42.7*OFFSET(G$112,MATCH($N$1,$C$112:$C$113,0)-1,0)</f>
        <v>42.7</v>
      </c>
      <c r="H28" s="28">
        <f ca="1">30*OFFSET(H$112,MATCH($N$1,$C$112:$C$113,0)-1,0)</f>
        <v>30</v>
      </c>
      <c r="I28" s="28">
        <f ca="1">27*OFFSET(I$112,MATCH($N$1,$C$112:$C$113,0)-1,0)</f>
        <v>27</v>
      </c>
      <c r="J28" s="28">
        <f ca="1">13.3*OFFSET(J$112,MATCH($N$1,$C$112:$C$113,0)-1,0)</f>
        <v>13.3</v>
      </c>
      <c r="K28" s="28">
        <f ca="1">7.5*OFFSET(K$112,MATCH($N$1,$C$112:$C$113,0)-1,0)</f>
        <v>7.5</v>
      </c>
      <c r="L28" s="28">
        <f ca="1">14*OFFSET(L$112,MATCH($N$1,$C$112:$C$113,0)-1,0)</f>
        <v>14</v>
      </c>
      <c r="M28" s="28">
        <f ca="1">17.3*OFFSET(M$112,MATCH($N$1,$C$112:$C$113,0)-1,0)</f>
        <v>17.3</v>
      </c>
      <c r="N28" s="28">
        <v>16.8</v>
      </c>
      <c r="O28" s="23">
        <f t="shared" ca="1" si="0"/>
        <v>1.5074626865671643</v>
      </c>
      <c r="P28" s="23">
        <f t="shared" ca="1" si="1"/>
        <v>0.26315789473684209</v>
      </c>
    </row>
    <row r="29" spans="1:16" ht="18" customHeight="1" x14ac:dyDescent="0.2">
      <c r="A29" s="231"/>
      <c r="B29" s="41" t="s">
        <v>67</v>
      </c>
      <c r="C29" s="42"/>
      <c r="D29" s="43">
        <f ca="1">206.3*OFFSET(D$112,MATCH($N$1,$C$112:$C$113,0)-1,0)</f>
        <v>206.3</v>
      </c>
      <c r="E29" s="43">
        <f ca="1">202.3*OFFSET(E$112,MATCH($N$1,$C$112:$C$113,0)-1,0)</f>
        <v>202.3</v>
      </c>
      <c r="F29" s="43">
        <f ca="1">174.3*OFFSET(F$112,MATCH($N$1,$C$112:$C$113,0)-1,0)</f>
        <v>174.3</v>
      </c>
      <c r="G29" s="43">
        <f ca="1">278.3*OFFSET(G$112,MATCH($N$1,$C$112:$C$113,0)-1,0)</f>
        <v>278.3</v>
      </c>
      <c r="H29" s="43">
        <f ca="1">238.6*OFFSET(H$112,MATCH($N$1,$C$112:$C$113,0)-1,0)</f>
        <v>238.6</v>
      </c>
      <c r="I29" s="43">
        <f ca="1">185.1*OFFSET(I$112,MATCH($N$1,$C$112:$C$113,0)-1,0)</f>
        <v>185.1</v>
      </c>
      <c r="J29" s="43">
        <f ca="1">197.4*OFFSET(J$112,MATCH($N$1,$C$112:$C$113,0)-1,0)</f>
        <v>197.4</v>
      </c>
      <c r="K29" s="43">
        <f ca="1">137.6*OFFSET(K$112,MATCH($N$1,$C$112:$C$113,0)-1,0)</f>
        <v>137.6</v>
      </c>
      <c r="L29" s="43">
        <f ca="1">213.2*OFFSET(L$112,MATCH($N$1,$C$112:$C$113,0)-1,0)</f>
        <v>213.2</v>
      </c>
      <c r="M29" s="43">
        <f ca="1">201.8*OFFSET(M$112,MATCH($N$1,$C$112:$C$113,0)-1,0)</f>
        <v>201.8</v>
      </c>
      <c r="N29" s="43">
        <v>196.6</v>
      </c>
      <c r="O29" s="23">
        <f t="shared" ca="1" si="0"/>
        <v>-4.7018904507998144E-2</v>
      </c>
      <c r="P29" s="23">
        <f t="shared" ca="1" si="1"/>
        <v>-4.0526849037487911E-3</v>
      </c>
    </row>
    <row r="30" spans="1:16" ht="18" customHeight="1" x14ac:dyDescent="0.2">
      <c r="A30" s="231"/>
      <c r="B30" s="33" t="s">
        <v>68</v>
      </c>
      <c r="C30" s="27"/>
      <c r="D30" s="28">
        <f ca="1">58.1*OFFSET(D$112,MATCH($N$1,$C$112:$C$113,0)-1,0)</f>
        <v>58.1</v>
      </c>
      <c r="E30" s="28">
        <f ca="1">44.2*OFFSET(E$112,MATCH($N$1,$C$112:$C$113,0)-1,0)</f>
        <v>44.2</v>
      </c>
      <c r="F30" s="28">
        <f ca="1">45.9*OFFSET(F$112,MATCH($N$1,$C$112:$C$113,0)-1,0)</f>
        <v>45.9</v>
      </c>
      <c r="G30" s="28">
        <f ca="1">66*OFFSET(G$112,MATCH($N$1,$C$112:$C$113,0)-1,0)</f>
        <v>66</v>
      </c>
      <c r="H30" s="28">
        <f ca="1">63.5*OFFSET(H$112,MATCH($N$1,$C$112:$C$113,0)-1,0)</f>
        <v>63.5</v>
      </c>
      <c r="I30" s="28">
        <f ca="1">52.7*OFFSET(I$112,MATCH($N$1,$C$112:$C$113,0)-1,0)</f>
        <v>52.7</v>
      </c>
      <c r="J30" s="28">
        <f ca="1">48.3*OFFSET(J$112,MATCH($N$1,$C$112:$C$113,0)-1,0)</f>
        <v>48.3</v>
      </c>
      <c r="K30" s="28">
        <f ca="1">30.1*OFFSET(K$112,MATCH($N$1,$C$112:$C$113,0)-1,0)</f>
        <v>30.1</v>
      </c>
      <c r="L30" s="28">
        <f ca="1">36.3*OFFSET(L$112,MATCH($N$1,$C$112:$C$113,0)-1,0)</f>
        <v>36.299999999999997</v>
      </c>
      <c r="M30" s="28">
        <f ca="1">39.5*OFFSET(M$112,MATCH($N$1,$C$112:$C$113,0)-1,0)</f>
        <v>39.5</v>
      </c>
      <c r="N30" s="28">
        <v>45.4</v>
      </c>
      <c r="O30" s="23">
        <f t="shared" ca="1" si="0"/>
        <v>-0.2185886402753873</v>
      </c>
      <c r="P30" s="23">
        <f t="shared" ca="1" si="1"/>
        <v>-6.0041407867494796E-2</v>
      </c>
    </row>
    <row r="31" spans="1:16" ht="18" customHeight="1" x14ac:dyDescent="0.2">
      <c r="A31" s="231"/>
      <c r="B31" s="33" t="s">
        <v>69</v>
      </c>
      <c r="C31" s="27"/>
      <c r="D31" s="28">
        <f ca="1">54.7*OFFSET(D$112,MATCH($N$1,$C$112:$C$113,0)-1,0)</f>
        <v>54.7</v>
      </c>
      <c r="E31" s="28">
        <f ca="1">47.6*OFFSET(E$112,MATCH($N$1,$C$112:$C$113,0)-1,0)</f>
        <v>47.6</v>
      </c>
      <c r="F31" s="28">
        <f ca="1">42.8*OFFSET(F$112,MATCH($N$1,$C$112:$C$113,0)-1,0)</f>
        <v>42.8</v>
      </c>
      <c r="G31" s="28">
        <f ca="1">68.7*OFFSET(G$112,MATCH($N$1,$C$112:$C$113,0)-1,0)</f>
        <v>68.7</v>
      </c>
      <c r="H31" s="28">
        <f ca="1">56.3*OFFSET(H$112,MATCH($N$1,$C$112:$C$113,0)-1,0)</f>
        <v>56.3</v>
      </c>
      <c r="I31" s="28">
        <f ca="1">41.5*OFFSET(I$112,MATCH($N$1,$C$112:$C$113,0)-1,0)</f>
        <v>41.5</v>
      </c>
      <c r="J31" s="28">
        <f ca="1">35.5*OFFSET(J$112,MATCH($N$1,$C$112:$C$113,0)-1,0)</f>
        <v>35.5</v>
      </c>
      <c r="K31" s="28">
        <f ca="1">31.4*OFFSET(K$112,MATCH($N$1,$C$112:$C$113,0)-1,0)</f>
        <v>31.4</v>
      </c>
      <c r="L31" s="28">
        <f ca="1">51.5*OFFSET(L$112,MATCH($N$1,$C$112:$C$113,0)-1,0)</f>
        <v>51.5</v>
      </c>
      <c r="M31" s="28">
        <f ca="1">49.6*OFFSET(M$112,MATCH($N$1,$C$112:$C$113,0)-1,0)</f>
        <v>49.6</v>
      </c>
      <c r="N31" s="28">
        <v>45.1</v>
      </c>
      <c r="O31" s="23">
        <f t="shared" ca="1" si="0"/>
        <v>-0.17550274223034737</v>
      </c>
      <c r="P31" s="23">
        <f t="shared" ca="1" si="1"/>
        <v>0.27042253521126763</v>
      </c>
    </row>
    <row r="32" spans="1:16" ht="18" customHeight="1" x14ac:dyDescent="0.2">
      <c r="A32" s="231"/>
      <c r="B32" s="33" t="s">
        <v>70</v>
      </c>
      <c r="C32" s="27"/>
      <c r="D32" s="28">
        <f ca="1">32.2*OFFSET(D$112,MATCH($N$1,$C$112:$C$113,0)-1,0)</f>
        <v>32.200000000000003</v>
      </c>
      <c r="E32" s="28">
        <f ca="1">32.3*OFFSET(E$112,MATCH($N$1,$C$112:$C$113,0)-1,0)</f>
        <v>32.299999999999997</v>
      </c>
      <c r="F32" s="28">
        <f ca="1">30*OFFSET(F$112,MATCH($N$1,$C$112:$C$113,0)-1,0)</f>
        <v>30</v>
      </c>
      <c r="G32" s="28">
        <f ca="1">37.3*OFFSET(G$112,MATCH($N$1,$C$112:$C$113,0)-1,0)</f>
        <v>37.299999999999997</v>
      </c>
      <c r="H32" s="28">
        <f ca="1">41.6*OFFSET(H$112,MATCH($N$1,$C$112:$C$113,0)-1,0)</f>
        <v>41.6</v>
      </c>
      <c r="I32" s="28">
        <f ca="1">31.3*OFFSET(I$112,MATCH($N$1,$C$112:$C$113,0)-1,0)</f>
        <v>31.3</v>
      </c>
      <c r="J32" s="28">
        <f ca="1">40.1*OFFSET(J$112,MATCH($N$1,$C$112:$C$113,0)-1,0)</f>
        <v>40.1</v>
      </c>
      <c r="K32" s="28">
        <f ca="1">27.6*OFFSET(K$112,MATCH($N$1,$C$112:$C$113,0)-1,0)</f>
        <v>27.6</v>
      </c>
      <c r="L32" s="28">
        <f ca="1">47.1*OFFSET(L$112,MATCH($N$1,$C$112:$C$113,0)-1,0)</f>
        <v>47.1</v>
      </c>
      <c r="M32" s="28">
        <f ca="1">35.6*OFFSET(M$112,MATCH($N$1,$C$112:$C$113,0)-1,0)</f>
        <v>35.6</v>
      </c>
      <c r="N32" s="28">
        <v>34.6</v>
      </c>
      <c r="O32" s="23">
        <f t="shared" ca="1" si="0"/>
        <v>7.4534161490683176E-2</v>
      </c>
      <c r="P32" s="23">
        <f t="shared" ca="1" si="1"/>
        <v>-0.13715710723192021</v>
      </c>
    </row>
    <row r="33" spans="1:16" ht="18" customHeight="1" x14ac:dyDescent="0.2">
      <c r="A33" s="231"/>
      <c r="B33" s="33" t="s">
        <v>71</v>
      </c>
      <c r="C33" s="27"/>
      <c r="D33" s="28">
        <f ca="1">145*OFFSET(D$112,MATCH($N$1,$C$112:$C$113,0)-1,0)</f>
        <v>145</v>
      </c>
      <c r="E33" s="28">
        <f ca="1">124.1*OFFSET(E$112,MATCH($N$1,$C$112:$C$113,0)-1,0)</f>
        <v>124.1</v>
      </c>
      <c r="F33" s="28">
        <f ca="1">118.8*OFFSET(F$112,MATCH($N$1,$C$112:$C$113,0)-1,0)</f>
        <v>118.8</v>
      </c>
      <c r="G33" s="28">
        <f ca="1">171.9*OFFSET(G$112,MATCH($N$1,$C$112:$C$113,0)-1,0)</f>
        <v>171.9</v>
      </c>
      <c r="H33" s="28">
        <f ca="1">161.3*OFFSET(H$112,MATCH($N$1,$C$112:$C$113,0)-1,0)</f>
        <v>161.30000000000001</v>
      </c>
      <c r="I33" s="28">
        <f ca="1">125.5*OFFSET(I$112,MATCH($N$1,$C$112:$C$113,0)-1,0)</f>
        <v>125.5</v>
      </c>
      <c r="J33" s="28">
        <f ca="1">123.9*OFFSET(J$112,MATCH($N$1,$C$112:$C$113,0)-1,0)</f>
        <v>123.9</v>
      </c>
      <c r="K33" s="28">
        <f ca="1">89*OFFSET(K$112,MATCH($N$1,$C$112:$C$113,0)-1,0)</f>
        <v>89</v>
      </c>
      <c r="L33" s="28">
        <f ca="1">134.9*OFFSET(L$112,MATCH($N$1,$C$112:$C$113,0)-1,0)</f>
        <v>134.9</v>
      </c>
      <c r="M33" s="28">
        <f ca="1">124.6*OFFSET(M$112,MATCH($N$1,$C$112:$C$113,0)-1,0)</f>
        <v>124.6</v>
      </c>
      <c r="N33" s="28">
        <v>125.2</v>
      </c>
      <c r="O33" s="23">
        <f t="shared" ca="1" si="0"/>
        <v>-0.13655172413793101</v>
      </c>
      <c r="P33" s="23">
        <f t="shared" ca="1" si="1"/>
        <v>1.0492332526230807E-2</v>
      </c>
    </row>
    <row r="34" spans="1:16" ht="18" customHeight="1" x14ac:dyDescent="0.2">
      <c r="A34" s="231"/>
      <c r="B34" s="33" t="s">
        <v>72</v>
      </c>
      <c r="C34" s="27"/>
      <c r="D34" s="28">
        <f ca="1">53*OFFSET(D$112,MATCH($N$1,$C$112:$C$113,0)-1,0)</f>
        <v>53</v>
      </c>
      <c r="E34" s="28">
        <f ca="1">57.8*OFFSET(E$112,MATCH($N$1,$C$112:$C$113,0)-1,0)</f>
        <v>57.8</v>
      </c>
      <c r="F34" s="28">
        <f ca="1">51.5*OFFSET(F$112,MATCH($N$1,$C$112:$C$113,0)-1,0)</f>
        <v>51.5</v>
      </c>
      <c r="G34" s="28">
        <f ca="1">60.8*OFFSET(G$112,MATCH($N$1,$C$112:$C$113,0)-1,0)</f>
        <v>60.8</v>
      </c>
      <c r="H34" s="28">
        <f ca="1">45.5*OFFSET(H$112,MATCH($N$1,$C$112:$C$113,0)-1,0)</f>
        <v>45.5</v>
      </c>
      <c r="I34" s="28">
        <f ca="1">47.2*OFFSET(I$112,MATCH($N$1,$C$112:$C$113,0)-1,0)</f>
        <v>47.2</v>
      </c>
      <c r="J34" s="28">
        <f ca="1">51.2*OFFSET(J$112,MATCH($N$1,$C$112:$C$113,0)-1,0)</f>
        <v>51.2</v>
      </c>
      <c r="K34" s="28">
        <f ca="1">38.4*OFFSET(K$112,MATCH($N$1,$C$112:$C$113,0)-1,0)</f>
        <v>38.4</v>
      </c>
      <c r="L34" s="28">
        <f ca="1">45*OFFSET(L$112,MATCH($N$1,$C$112:$C$113,0)-1,0)</f>
        <v>45</v>
      </c>
      <c r="M34" s="28">
        <f ca="1">46.6*OFFSET(M$112,MATCH($N$1,$C$112:$C$113,0)-1,0)</f>
        <v>46.6</v>
      </c>
      <c r="N34" s="28">
        <v>45.4</v>
      </c>
      <c r="O34" s="23">
        <f t="shared" ca="1" si="0"/>
        <v>-0.14339622641509436</v>
      </c>
      <c r="P34" s="23">
        <f t="shared" ca="1" si="1"/>
        <v>-0.11328125000000008</v>
      </c>
    </row>
    <row r="35" spans="1:16" ht="18" customHeight="1" x14ac:dyDescent="0.2">
      <c r="A35" s="231"/>
      <c r="B35" s="33" t="s">
        <v>73</v>
      </c>
      <c r="C35" s="27"/>
      <c r="D35" s="28">
        <f ca="1">198*OFFSET(D$112,MATCH($N$1,$C$112:$C$113,0)-1,0)</f>
        <v>198</v>
      </c>
      <c r="E35" s="28">
        <f ca="1">182*OFFSET(E$112,MATCH($N$1,$C$112:$C$113,0)-1,0)</f>
        <v>182</v>
      </c>
      <c r="F35" s="28">
        <f ca="1">170.2*OFFSET(F$112,MATCH($N$1,$C$112:$C$113,0)-1,0)</f>
        <v>170.2</v>
      </c>
      <c r="G35" s="28">
        <f ca="1">232.8*OFFSET(G$112,MATCH($N$1,$C$112:$C$113,0)-1,0)</f>
        <v>232.8</v>
      </c>
      <c r="H35" s="28">
        <f ca="1">206.8*OFFSET(H$112,MATCH($N$1,$C$112:$C$113,0)-1,0)</f>
        <v>206.8</v>
      </c>
      <c r="I35" s="28">
        <f ca="1">172.7*OFFSET(I$112,MATCH($N$1,$C$112:$C$113,0)-1,0)</f>
        <v>172.7</v>
      </c>
      <c r="J35" s="28">
        <f ca="1">175.1*OFFSET(J$112,MATCH($N$1,$C$112:$C$113,0)-1,0)</f>
        <v>175.1</v>
      </c>
      <c r="K35" s="28">
        <f ca="1">127.4*OFFSET(K$112,MATCH($N$1,$C$112:$C$113,0)-1,0)</f>
        <v>127.4</v>
      </c>
      <c r="L35" s="28">
        <f ca="1">179.9*OFFSET(L$112,MATCH($N$1,$C$112:$C$113,0)-1,0)</f>
        <v>179.9</v>
      </c>
      <c r="M35" s="28">
        <f ca="1">171.2*OFFSET(M$112,MATCH($N$1,$C$112:$C$113,0)-1,0)</f>
        <v>171.2</v>
      </c>
      <c r="N35" s="28">
        <v>170.5</v>
      </c>
      <c r="O35" s="23">
        <f t="shared" ca="1" si="0"/>
        <v>-0.1388888888888889</v>
      </c>
      <c r="P35" s="23">
        <f t="shared" ca="1" si="1"/>
        <v>-2.6270702455739547E-2</v>
      </c>
    </row>
    <row r="36" spans="1:16" ht="18" customHeight="1" x14ac:dyDescent="0.2">
      <c r="A36" s="231"/>
      <c r="B36" s="41" t="s">
        <v>74</v>
      </c>
      <c r="C36" s="42"/>
      <c r="D36" s="43">
        <f ca="1">62.9*OFFSET(D$112,MATCH($N$1,$C$112:$C$113,0)-1,0)</f>
        <v>62.9</v>
      </c>
      <c r="E36" s="43">
        <f ca="1">67.9*OFFSET(E$112,MATCH($N$1,$C$112:$C$113,0)-1,0)</f>
        <v>67.900000000000006</v>
      </c>
      <c r="F36" s="43">
        <f ca="1">46.9*OFFSET(F$112,MATCH($N$1,$C$112:$C$113,0)-1,0)</f>
        <v>46.9</v>
      </c>
      <c r="G36" s="43">
        <f ca="1">114.2*OFFSET(G$112,MATCH($N$1,$C$112:$C$113,0)-1,0)</f>
        <v>114.2</v>
      </c>
      <c r="H36" s="43">
        <f ca="1">88.1*OFFSET(H$112,MATCH($N$1,$C$112:$C$113,0)-1,0)</f>
        <v>88.1</v>
      </c>
      <c r="I36" s="43">
        <f ca="1">54*OFFSET(I$112,MATCH($N$1,$C$112:$C$113,0)-1,0)</f>
        <v>54</v>
      </c>
      <c r="J36" s="43">
        <f ca="1">57.8*OFFSET(J$112,MATCH($N$1,$C$112:$C$113,0)-1,0)</f>
        <v>57.8</v>
      </c>
      <c r="K36" s="43">
        <f ca="1">41.5*OFFSET(K$112,MATCH($N$1,$C$112:$C$113,0)-1,0)</f>
        <v>41.5</v>
      </c>
      <c r="L36" s="43">
        <f ca="1">84.8*OFFSET(L$112,MATCH($N$1,$C$112:$C$113,0)-1,0)</f>
        <v>84.8</v>
      </c>
      <c r="M36" s="43">
        <f ca="1">80.2*OFFSET(M$112,MATCH($N$1,$C$112:$C$113,0)-1,0)</f>
        <v>80.2</v>
      </c>
      <c r="N36" s="43">
        <v>71.099999999999994</v>
      </c>
      <c r="O36" s="23">
        <f t="shared" ca="1" si="0"/>
        <v>0.13036565977742443</v>
      </c>
      <c r="P36" s="23">
        <f t="shared" ca="1" si="1"/>
        <v>0.23010380622837368</v>
      </c>
    </row>
    <row r="37" spans="1:16" ht="18" customHeight="1" x14ac:dyDescent="0.2">
      <c r="A37" s="231"/>
      <c r="B37" s="41" t="s">
        <v>75</v>
      </c>
      <c r="C37" s="42"/>
      <c r="D37" s="43">
        <f ca="1">8.2*OFFSET(D$112,MATCH($N$1,$C$112:$C$113,0)-1,0)</f>
        <v>8.1999999999999993</v>
      </c>
      <c r="E37" s="43">
        <f ca="1">20.3*OFFSET(E$112,MATCH($N$1,$C$112:$C$113,0)-1,0)</f>
        <v>20.3</v>
      </c>
      <c r="F37" s="43">
        <f ca="1">4.1*OFFSET(F$112,MATCH($N$1,$C$112:$C$113,0)-1,0)</f>
        <v>4.0999999999999996</v>
      </c>
      <c r="G37" s="43">
        <f ca="1">45.5*OFFSET(G$112,MATCH($N$1,$C$112:$C$113,0)-1,0)</f>
        <v>45.5</v>
      </c>
      <c r="H37" s="43">
        <f ca="1">31.8*OFFSET(H$112,MATCH($N$1,$C$112:$C$113,0)-1,0)</f>
        <v>31.8</v>
      </c>
      <c r="I37" s="43">
        <f ca="1">12.5*OFFSET(I$112,MATCH($N$1,$C$112:$C$113,0)-1,0)</f>
        <v>12.5</v>
      </c>
      <c r="J37" s="43">
        <f ca="1">22.3*OFFSET(J$112,MATCH($N$1,$C$112:$C$113,0)-1,0)</f>
        <v>22.3</v>
      </c>
      <c r="K37" s="43">
        <f ca="1">10.1*OFFSET(K$112,MATCH($N$1,$C$112:$C$113,0)-1,0)</f>
        <v>10.1</v>
      </c>
      <c r="L37" s="43">
        <f ca="1">33.3*OFFSET(L$112,MATCH($N$1,$C$112:$C$113,0)-1,0)</f>
        <v>33.299999999999997</v>
      </c>
      <c r="M37" s="43">
        <f ca="1">30.6*OFFSET(M$112,MATCH($N$1,$C$112:$C$113,0)-1,0)</f>
        <v>30.6</v>
      </c>
      <c r="N37" s="43">
        <v>26</v>
      </c>
      <c r="O37" s="23">
        <f t="shared" ca="1" si="0"/>
        <v>2.1707317073170733</v>
      </c>
      <c r="P37" s="23">
        <f t="shared" ca="1" si="1"/>
        <v>0.16591928251121071</v>
      </c>
    </row>
    <row r="38" spans="1:16" ht="18" customHeight="1" x14ac:dyDescent="0.2">
      <c r="A38" s="231"/>
      <c r="B38" s="33" t="s">
        <v>76</v>
      </c>
      <c r="C38" s="27"/>
      <c r="D38" s="28">
        <f ca="1">9.8*OFFSET(D$112,MATCH($N$1,$C$112:$C$113,0)-1,0)</f>
        <v>9.8000000000000007</v>
      </c>
      <c r="E38" s="28">
        <f ca="1">12.2*OFFSET(E$112,MATCH($N$1,$C$112:$C$113,0)-1,0)</f>
        <v>12.2</v>
      </c>
      <c r="F38" s="28">
        <f ca="1">10.2*OFFSET(F$112,MATCH($N$1,$C$112:$C$113,0)-1,0)</f>
        <v>10.199999999999999</v>
      </c>
      <c r="G38" s="28">
        <f ca="1">7.1*OFFSET(G$112,MATCH($N$1,$C$112:$C$113,0)-1,0)</f>
        <v>7.1</v>
      </c>
      <c r="H38" s="28">
        <f ca="1">10.9*OFFSET(H$112,MATCH($N$1,$C$112:$C$113,0)-1,0)</f>
        <v>10.9</v>
      </c>
      <c r="I38" s="28">
        <f ca="1">4.5*OFFSET(I$112,MATCH($N$1,$C$112:$C$113,0)-1,0)</f>
        <v>4.5</v>
      </c>
      <c r="J38" s="28">
        <f ca="1">8.1*OFFSET(J$112,MATCH($N$1,$C$112:$C$113,0)-1,0)</f>
        <v>8.1</v>
      </c>
      <c r="K38" s="28">
        <f ca="1">6.3*OFFSET(K$112,MATCH($N$1,$C$112:$C$113,0)-1,0)</f>
        <v>6.3</v>
      </c>
      <c r="L38" s="28">
        <f ca="1">10.7*OFFSET(L$112,MATCH($N$1,$C$112:$C$113,0)-1,0)</f>
        <v>10.7</v>
      </c>
      <c r="M38" s="28">
        <f ca="1">10.1*OFFSET(M$112,MATCH($N$1,$C$112:$C$113,0)-1,0)</f>
        <v>10.1</v>
      </c>
      <c r="N38" s="28"/>
      <c r="O38" s="23" t="str">
        <f t="shared" si="0"/>
        <v/>
      </c>
      <c r="P38" s="23" t="str">
        <f t="shared" si="1"/>
        <v/>
      </c>
    </row>
    <row r="39" spans="1:16" ht="18" customHeight="1" x14ac:dyDescent="0.2">
      <c r="A39" s="231"/>
      <c r="B39" s="33" t="s">
        <v>77</v>
      </c>
      <c r="C39" s="27"/>
      <c r="D39" s="28">
        <f ca="1">7.2*OFFSET(D$112,MATCH($N$1,$C$112:$C$113,0)-1,0)</f>
        <v>7.2</v>
      </c>
      <c r="E39" s="28">
        <f ca="1">4.8*OFFSET(E$112,MATCH($N$1,$C$112:$C$113,0)-1,0)</f>
        <v>4.8</v>
      </c>
      <c r="F39" s="28">
        <f ca="1">2.8*OFFSET(F$112,MATCH($N$1,$C$112:$C$113,0)-1,0)</f>
        <v>2.8</v>
      </c>
      <c r="G39" s="28">
        <f ca="1">6*OFFSET(G$112,MATCH($N$1,$C$112:$C$113,0)-1,0)</f>
        <v>6</v>
      </c>
      <c r="H39" s="28">
        <f ca="1">2.7*OFFSET(H$112,MATCH($N$1,$C$112:$C$113,0)-1,0)</f>
        <v>2.7</v>
      </c>
      <c r="I39" s="28">
        <f ca="1">1.5*OFFSET(I$112,MATCH($N$1,$C$112:$C$113,0)-1,0)</f>
        <v>1.5</v>
      </c>
      <c r="J39" s="28">
        <f ca="1">2.2*OFFSET(J$112,MATCH($N$1,$C$112:$C$113,0)-1,0)</f>
        <v>2.2000000000000002</v>
      </c>
      <c r="K39" s="28">
        <f ca="1">2*OFFSET(K$112,MATCH($N$1,$C$112:$C$113,0)-1,0)</f>
        <v>2</v>
      </c>
      <c r="L39" s="28">
        <f ca="1">1.4*OFFSET(L$112,MATCH($N$1,$C$112:$C$113,0)-1,0)</f>
        <v>1.4</v>
      </c>
      <c r="M39" s="28">
        <f ca="1">1.4*OFFSET(M$112,MATCH($N$1,$C$112:$C$113,0)-1,0)</f>
        <v>1.4</v>
      </c>
      <c r="N39" s="28"/>
      <c r="O39" s="23" t="str">
        <f t="shared" si="0"/>
        <v/>
      </c>
      <c r="P39" s="23" t="str">
        <f t="shared" si="1"/>
        <v/>
      </c>
    </row>
    <row r="40" spans="1:16" ht="18" customHeight="1" x14ac:dyDescent="0.2">
      <c r="A40" s="231"/>
      <c r="B40" s="33" t="s">
        <v>78</v>
      </c>
      <c r="C40" s="27"/>
      <c r="D40" s="28"/>
      <c r="E40" s="28">
        <f ca="1">2.9*OFFSET(E$112,MATCH($N$1,$C$112:$C$113,0)-1,0)</f>
        <v>2.9</v>
      </c>
      <c r="F40" s="28">
        <f ca="1">0.2*OFFSET(F$112,MATCH($N$1,$C$112:$C$113,0)-1,0)</f>
        <v>0.2</v>
      </c>
      <c r="G40" s="28">
        <f ca="1">1*OFFSET(G$112,MATCH($N$1,$C$112:$C$113,0)-1,0)</f>
        <v>1</v>
      </c>
      <c r="H40" s="28">
        <f ca="1">0.4*OFFSET(H$112,MATCH($N$1,$C$112:$C$113,0)-1,0)</f>
        <v>0.4</v>
      </c>
      <c r="I40" s="28">
        <f ca="1">4.1*OFFSET(I$112,MATCH($N$1,$C$112:$C$113,0)-1,0)</f>
        <v>4.0999999999999996</v>
      </c>
      <c r="J40" s="28">
        <f ca="1">1.8*OFFSET(J$112,MATCH($N$1,$C$112:$C$113,0)-1,0)</f>
        <v>1.8</v>
      </c>
      <c r="K40" s="28">
        <f ca="1">1.9*OFFSET(K$112,MATCH($N$1,$C$112:$C$113,0)-1,0)</f>
        <v>1.9</v>
      </c>
      <c r="L40" s="28">
        <f ca="1">1.3*OFFSET(L$112,MATCH($N$1,$C$112:$C$113,0)-1,0)</f>
        <v>1.3</v>
      </c>
      <c r="M40" s="28">
        <f ca="1">19.2*OFFSET(M$112,MATCH($N$1,$C$112:$C$113,0)-1,0)</f>
        <v>19.2</v>
      </c>
      <c r="N40" s="28"/>
      <c r="O40" s="23" t="str">
        <f t="shared" si="0"/>
        <v/>
      </c>
      <c r="P40" s="23" t="str">
        <f t="shared" si="1"/>
        <v/>
      </c>
    </row>
    <row r="41" spans="1:16" ht="18" customHeight="1" thickBot="1" x14ac:dyDescent="0.25">
      <c r="A41" s="232"/>
      <c r="B41" s="44" t="s">
        <v>79</v>
      </c>
      <c r="C41" s="45"/>
      <c r="D41" s="46">
        <f ca="1">-8.8*OFFSET(D$112,MATCH($N$1,$C$112:$C$113,0)-1,0)</f>
        <v>-8.8000000000000007</v>
      </c>
      <c r="E41" s="46">
        <f ca="1">0.4*OFFSET(E$112,MATCH($N$1,$C$112:$C$113,0)-1,0)</f>
        <v>0.4</v>
      </c>
      <c r="F41" s="46">
        <f ca="1">-9.1*OFFSET(F$112,MATCH($N$1,$C$112:$C$113,0)-1,0)</f>
        <v>-9.1</v>
      </c>
      <c r="G41" s="46">
        <f ca="1">31.5*OFFSET(G$112,MATCH($N$1,$C$112:$C$113,0)-1,0)</f>
        <v>31.5</v>
      </c>
      <c r="H41" s="46">
        <f ca="1">17.9*OFFSET(H$112,MATCH($N$1,$C$112:$C$113,0)-1,0)</f>
        <v>17.899999999999999</v>
      </c>
      <c r="I41" s="46">
        <f ca="1">2.4*OFFSET(I$112,MATCH($N$1,$C$112:$C$113,0)-1,0)</f>
        <v>2.4</v>
      </c>
      <c r="J41" s="46">
        <f ca="1">10.2*OFFSET(J$112,MATCH($N$1,$C$112:$C$113,0)-1,0)</f>
        <v>10.199999999999999</v>
      </c>
      <c r="K41" s="46">
        <f ca="1">-0.2*OFFSET(K$112,MATCH($N$1,$C$112:$C$113,0)-1,0)</f>
        <v>-0.2</v>
      </c>
      <c r="L41" s="46">
        <f ca="1">20*OFFSET(L$112,MATCH($N$1,$C$112:$C$113,0)-1,0)</f>
        <v>20</v>
      </c>
      <c r="M41" s="46"/>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174</v>
      </c>
      <c r="F46" s="95" t="s">
        <v>18</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North Sea nephrops under 300kW</v>
      </c>
      <c r="C48" s="97"/>
      <c r="D48" s="97"/>
      <c r="E48" s="97"/>
      <c r="F48" s="97"/>
      <c r="G48" s="97"/>
      <c r="K48" s="97" t="str">
        <f>$B24&amp;CHAR(10)&amp;$A$1</f>
        <v>Operating profit per kW day at sea (£)
North Sea nephrops under 300kW</v>
      </c>
    </row>
    <row r="49" spans="1:11" s="83" customFormat="1" x14ac:dyDescent="0.2">
      <c r="A49" s="97" t="str">
        <f>$B22&amp;CHAR(10)&amp;$A$1</f>
        <v>Fishing income per kW day at sea (£)
North Sea nephrops under 300kW</v>
      </c>
    </row>
    <row r="50" spans="1:11" s="83" customFormat="1" x14ac:dyDescent="0.2">
      <c r="A50" s="97" t="str">
        <f>$B20&amp;CHAR(10)&amp;$A$1</f>
        <v>Average price per tonne landed (£)
North Sea nephrops under 300kW</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North Sea nephrops under 300kW</v>
      </c>
      <c r="F62" s="97" t="str">
        <f>$B20&amp;CHAR(10)&amp;$A$1</f>
        <v>Average price per tonne landed (£)
North Sea nephrops under 300kW</v>
      </c>
      <c r="K62" s="97" t="str">
        <f>"Average annual operating profit per vessel (£'000)"&amp;CHAR(10)&amp;$A$1</f>
        <v>Average annual operating profit per vessel (£'000)
North Sea nephrops under 300kW</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North Sea nephrops under 300kW</v>
      </c>
      <c r="F76" s="97" t="str">
        <f>"Top 5 landed species by value in "&amp;A77&amp;CHAR(10)&amp;A1</f>
        <v>Top 5 landed species by value in 2017
North Sea nephrops under 300kW</v>
      </c>
    </row>
    <row r="77" spans="1:9" s="97" customFormat="1" x14ac:dyDescent="0.2">
      <c r="A77" s="97">
        <v>2017</v>
      </c>
      <c r="B77" s="97" t="s">
        <v>301</v>
      </c>
      <c r="C77" s="98">
        <v>0.70129347634069406</v>
      </c>
      <c r="D77" s="99">
        <v>12153634</v>
      </c>
      <c r="G77" s="97" t="s">
        <v>302</v>
      </c>
      <c r="H77" s="98">
        <v>0.82490004669967054</v>
      </c>
      <c r="I77" s="99">
        <v>12153634</v>
      </c>
    </row>
    <row r="78" spans="1:9" s="97" customFormat="1" x14ac:dyDescent="0.2">
      <c r="B78" s="97" t="s">
        <v>303</v>
      </c>
      <c r="C78" s="98">
        <v>7.2321766561514192E-2</v>
      </c>
      <c r="D78" s="99">
        <v>553960</v>
      </c>
      <c r="G78" s="97" t="s">
        <v>304</v>
      </c>
      <c r="H78" s="98">
        <v>2.8683361115550501E-2</v>
      </c>
      <c r="I78" s="99">
        <v>553960</v>
      </c>
    </row>
    <row r="79" spans="1:9" s="97" customFormat="1" x14ac:dyDescent="0.2">
      <c r="B79" s="97" t="s">
        <v>305</v>
      </c>
      <c r="C79" s="98">
        <v>4.8440719242902205E-2</v>
      </c>
      <c r="D79" s="99">
        <v>3689192</v>
      </c>
      <c r="G79" s="97" t="s">
        <v>306</v>
      </c>
      <c r="H79" s="98">
        <v>2.8478044788161447E-2</v>
      </c>
      <c r="I79" s="99">
        <v>3050596</v>
      </c>
    </row>
    <row r="80" spans="1:9" s="97" customFormat="1" x14ac:dyDescent="0.2">
      <c r="B80" s="97" t="s">
        <v>307</v>
      </c>
      <c r="C80" s="98">
        <v>3.4218599369085174E-2</v>
      </c>
      <c r="D80" s="99">
        <v>1692097</v>
      </c>
      <c r="G80" s="97" t="s">
        <v>308</v>
      </c>
      <c r="H80" s="98">
        <v>2.5546261668905723E-2</v>
      </c>
      <c r="I80" s="99">
        <v>1692097</v>
      </c>
    </row>
    <row r="81" spans="1:18" s="97" customFormat="1" x14ac:dyDescent="0.2">
      <c r="B81" s="97" t="s">
        <v>306</v>
      </c>
      <c r="C81" s="98">
        <v>2.787068138801262E-2</v>
      </c>
      <c r="D81" s="99">
        <v>3050596</v>
      </c>
      <c r="G81" s="97" t="s">
        <v>309</v>
      </c>
      <c r="H81" s="98">
        <v>2.0790053384117681E-2</v>
      </c>
      <c r="I81" s="99">
        <v>1692097</v>
      </c>
    </row>
    <row r="82" spans="1:18" s="97" customFormat="1" x14ac:dyDescent="0.2">
      <c r="B82" s="97" t="s">
        <v>310</v>
      </c>
      <c r="C82" s="98">
        <v>0.11585475709779169</v>
      </c>
      <c r="D82" s="99">
        <v>5920853</v>
      </c>
      <c r="G82" s="97" t="s">
        <v>311</v>
      </c>
      <c r="H82" s="98">
        <v>7.1602232343594197E-2</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93</v>
      </c>
      <c r="D92" s="102">
        <v>0.8065624127379073</v>
      </c>
      <c r="E92" s="102">
        <v>0.7960339983473026</v>
      </c>
      <c r="F92" s="102">
        <v>0.8453451102319588</v>
      </c>
      <c r="G92" s="102">
        <v>0.87345533345501392</v>
      </c>
      <c r="H92" s="102">
        <v>0.86755359764912388</v>
      </c>
      <c r="I92" s="102">
        <v>0.84242194081927868</v>
      </c>
      <c r="J92" s="102">
        <v>0.87395726227664217</v>
      </c>
      <c r="K92" s="102">
        <v>0.81288988720656163</v>
      </c>
      <c r="L92" s="102">
        <v>0.82490004669967054</v>
      </c>
      <c r="M92" s="102">
        <v>0.86058861674786091</v>
      </c>
      <c r="O92" s="97">
        <v>12153634</v>
      </c>
    </row>
    <row r="93" spans="1:18" s="97" customFormat="1" hidden="1" x14ac:dyDescent="0.2">
      <c r="B93" s="97">
        <v>2</v>
      </c>
      <c r="C93" s="97" t="s">
        <v>16</v>
      </c>
      <c r="D93" s="102">
        <v>4.675356664956757E-2</v>
      </c>
      <c r="E93" s="102">
        <v>3.7920283909809942E-2</v>
      </c>
      <c r="F93" s="102">
        <v>2.8729002518994091E-2</v>
      </c>
      <c r="G93" s="102">
        <v>2.5215529717225391E-2</v>
      </c>
      <c r="H93" s="102">
        <v>2.3026440833408966E-2</v>
      </c>
      <c r="I93" s="102">
        <v>4.4402761661023596E-2</v>
      </c>
      <c r="J93" s="102">
        <v>1.1199211404180936E-2</v>
      </c>
      <c r="K93" s="102">
        <v>3.0224933323922613E-2</v>
      </c>
      <c r="L93" s="102">
        <v>2.8683361115550501E-2</v>
      </c>
      <c r="M93" s="102">
        <v>2.4978889013412778E-2</v>
      </c>
      <c r="O93" s="97">
        <v>553960</v>
      </c>
    </row>
    <row r="94" spans="1:18" s="97" customFormat="1" hidden="1" x14ac:dyDescent="0.2">
      <c r="B94" s="97">
        <v>3</v>
      </c>
      <c r="C94" s="97" t="s">
        <v>121</v>
      </c>
      <c r="D94" s="102">
        <v>3.907926962540266E-2</v>
      </c>
      <c r="E94" s="102">
        <v>4.7386902372801319E-2</v>
      </c>
      <c r="F94" s="102">
        <v>2.7573449068122591E-2</v>
      </c>
      <c r="G94" s="102">
        <v>1.8538829423499523E-2</v>
      </c>
      <c r="H94" s="102">
        <v>1.9016218479827835E-2</v>
      </c>
      <c r="I94" s="102">
        <v>2.3814825055669037E-2</v>
      </c>
      <c r="J94" s="102">
        <v>3.2214785011503863E-2</v>
      </c>
      <c r="K94" s="102">
        <v>3.7520450482049147E-2</v>
      </c>
      <c r="L94" s="102">
        <v>2.8478044788161447E-2</v>
      </c>
      <c r="M94" s="102">
        <v>2.3763899692507747E-2</v>
      </c>
      <c r="O94" s="97">
        <v>3050596</v>
      </c>
    </row>
    <row r="95" spans="1:18" s="97" customFormat="1" hidden="1" x14ac:dyDescent="0.2">
      <c r="B95" s="97">
        <v>4</v>
      </c>
      <c r="C95" s="97" t="s">
        <v>137</v>
      </c>
      <c r="D95" s="102">
        <v>2.9514971827661329E-2</v>
      </c>
      <c r="E95" s="102">
        <v>4.604452543973557E-2</v>
      </c>
      <c r="F95" s="102">
        <v>2.1198101543957008E-2</v>
      </c>
      <c r="G95" s="102">
        <v>1.4496788445886335E-2</v>
      </c>
      <c r="H95" s="102">
        <v>1.692840514179603E-2</v>
      </c>
      <c r="I95" s="102">
        <v>2.4365318977610517E-2</v>
      </c>
      <c r="J95" s="102">
        <v>1.8420947575077187E-2</v>
      </c>
      <c r="K95" s="102">
        <v>4.4875522437971153E-2</v>
      </c>
      <c r="L95" s="102">
        <v>2.5546261668905723E-2</v>
      </c>
      <c r="M95" s="102">
        <v>1.7717219119792769E-2</v>
      </c>
      <c r="O95" s="97">
        <v>1692097</v>
      </c>
    </row>
    <row r="96" spans="1:18" s="97" customFormat="1" hidden="1" x14ac:dyDescent="0.2">
      <c r="B96" s="97">
        <v>5</v>
      </c>
      <c r="C96" s="97" t="s">
        <v>137</v>
      </c>
      <c r="D96" s="102"/>
      <c r="E96" s="102"/>
      <c r="F96" s="102"/>
      <c r="G96" s="102"/>
      <c r="H96" s="102"/>
      <c r="I96" s="102"/>
      <c r="J96" s="102"/>
      <c r="K96" s="102"/>
      <c r="L96" s="102">
        <v>2.0790053384117681E-2</v>
      </c>
      <c r="M96" s="102">
        <v>2.086292380232669E-2</v>
      </c>
      <c r="O96" s="97">
        <v>3689192</v>
      </c>
    </row>
    <row r="97" spans="1:15" s="97" customFormat="1" hidden="1" x14ac:dyDescent="0.2">
      <c r="B97" s="97">
        <v>6</v>
      </c>
      <c r="C97" s="97" t="s">
        <v>191</v>
      </c>
      <c r="D97" s="102">
        <v>2.0941809790342731E-2</v>
      </c>
      <c r="E97" s="102">
        <v>1.9820937610671704E-2</v>
      </c>
      <c r="F97" s="102">
        <v>2.0081117421192177E-2</v>
      </c>
      <c r="G97" s="102">
        <v>2.0394538539123853E-2</v>
      </c>
      <c r="H97" s="102">
        <v>2.3021424771360755E-2</v>
      </c>
      <c r="I97" s="102">
        <v>2.0842069134997244E-2</v>
      </c>
      <c r="J97" s="102">
        <v>2.0350078598338549E-2</v>
      </c>
      <c r="K97" s="102">
        <v>1.9331318118683376E-2</v>
      </c>
      <c r="L97" s="102"/>
      <c r="M97" s="102"/>
      <c r="O97" s="97">
        <v>11115023</v>
      </c>
    </row>
    <row r="98" spans="1:15" s="97" customFormat="1" hidden="1" x14ac:dyDescent="0.2">
      <c r="B98" s="97">
        <v>7</v>
      </c>
      <c r="C98" s="97" t="s">
        <v>101</v>
      </c>
      <c r="D98" s="102">
        <v>5.7147969369118451E-2</v>
      </c>
      <c r="E98" s="102">
        <v>5.2793352319678903E-2</v>
      </c>
      <c r="F98" s="102">
        <v>5.7073219215775364E-2</v>
      </c>
      <c r="G98" s="102">
        <v>4.7898980419250933E-2</v>
      </c>
      <c r="H98" s="102">
        <v>5.0453913124482531E-2</v>
      </c>
      <c r="I98" s="102">
        <v>4.4153084351420971E-2</v>
      </c>
      <c r="J98" s="102">
        <v>4.3857715134257257E-2</v>
      </c>
      <c r="K98" s="102">
        <v>5.5157888430812096E-2</v>
      </c>
      <c r="L98" s="102">
        <v>7.1602232343594141E-2</v>
      </c>
      <c r="M98" s="102">
        <v>5.2088451624099086E-2</v>
      </c>
      <c r="O98" s="97">
        <v>5920853</v>
      </c>
    </row>
    <row r="99" spans="1:15" s="97" customFormat="1" hidden="1" x14ac:dyDescent="0.2">
      <c r="B99" s="97">
        <v>8</v>
      </c>
      <c r="D99" s="102"/>
      <c r="E99" s="102"/>
      <c r="F99" s="102"/>
      <c r="G99" s="102"/>
      <c r="H99" s="102"/>
      <c r="I99" s="102"/>
      <c r="J99" s="102"/>
      <c r="K99" s="102"/>
      <c r="L99" s="102"/>
      <c r="M99" s="102"/>
      <c r="O99" s="97">
        <v>7434864</v>
      </c>
    </row>
    <row r="100" spans="1:15" s="97" customFormat="1" hidden="1" x14ac:dyDescent="0.2">
      <c r="B100" s="97">
        <v>9</v>
      </c>
      <c r="D100" s="102"/>
      <c r="E100" s="102"/>
      <c r="F100" s="102"/>
      <c r="G100" s="102"/>
      <c r="H100" s="102"/>
      <c r="I100" s="102"/>
      <c r="J100" s="102"/>
      <c r="K100" s="102"/>
      <c r="L100" s="102"/>
      <c r="M100" s="102"/>
      <c r="O100" s="97">
        <v>8497745</v>
      </c>
    </row>
    <row r="101" spans="1:15" s="97" customFormat="1" hidden="1" x14ac:dyDescent="0.2">
      <c r="B101" s="97">
        <v>10</v>
      </c>
      <c r="D101" s="102"/>
      <c r="E101" s="102"/>
      <c r="F101" s="102"/>
      <c r="G101" s="102"/>
      <c r="H101" s="102"/>
      <c r="I101" s="102"/>
      <c r="J101" s="102"/>
      <c r="K101" s="102"/>
      <c r="L101" s="102"/>
      <c r="M101" s="102"/>
      <c r="O101" s="97">
        <v>14393110</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8</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18</v>
      </c>
      <c r="D120" s="56">
        <v>34</v>
      </c>
      <c r="E120" s="56">
        <v>18</v>
      </c>
      <c r="F120" s="57">
        <v>70</v>
      </c>
    </row>
    <row r="121" spans="1:14" ht="18" customHeight="1" x14ac:dyDescent="0.2">
      <c r="A121" s="225" t="s">
        <v>23</v>
      </c>
      <c r="B121" s="30" t="s">
        <v>58</v>
      </c>
      <c r="C121" s="58">
        <v>12.322222709655762</v>
      </c>
      <c r="D121" s="58">
        <v>14.30470609664917</v>
      </c>
      <c r="E121" s="58">
        <v>15.314999580383301</v>
      </c>
      <c r="F121" s="59">
        <v>14.054714202880859</v>
      </c>
    </row>
    <row r="122" spans="1:14" ht="18" customHeight="1" x14ac:dyDescent="0.2">
      <c r="A122" s="226"/>
      <c r="B122" s="33" t="s">
        <v>51</v>
      </c>
      <c r="C122" s="60">
        <v>138.33332824707031</v>
      </c>
      <c r="D122" s="60">
        <v>183.55882263183594</v>
      </c>
      <c r="E122" s="60">
        <v>181.11111450195312</v>
      </c>
      <c r="F122" s="61">
        <v>171.30000305175781</v>
      </c>
    </row>
    <row r="123" spans="1:14" ht="18" customHeight="1" x14ac:dyDescent="0.2">
      <c r="A123" s="226"/>
      <c r="B123" s="33" t="s">
        <v>52</v>
      </c>
      <c r="C123" s="60">
        <v>23.611110687255859</v>
      </c>
      <c r="D123" s="60">
        <v>45.264707565307617</v>
      </c>
      <c r="E123" s="60">
        <v>41.833332061767578</v>
      </c>
      <c r="F123" s="61">
        <v>38.814285278320313</v>
      </c>
    </row>
    <row r="124" spans="1:14" ht="18" customHeight="1" x14ac:dyDescent="0.2">
      <c r="A124" s="226"/>
      <c r="B124" s="33" t="s">
        <v>53</v>
      </c>
      <c r="C124" s="60">
        <v>121.1568603515625</v>
      </c>
      <c r="D124" s="60">
        <v>157.03588104248047</v>
      </c>
      <c r="E124" s="60">
        <v>161.8189697265625</v>
      </c>
      <c r="F124" s="61">
        <v>149.03977966308594</v>
      </c>
    </row>
    <row r="125" spans="1:14" ht="18" customHeight="1" x14ac:dyDescent="0.2">
      <c r="A125" s="226"/>
      <c r="B125" s="33" t="s">
        <v>54</v>
      </c>
      <c r="C125" s="28">
        <v>66.496551513671875</v>
      </c>
      <c r="D125" s="28">
        <v>86.575717926025391</v>
      </c>
      <c r="E125" s="28">
        <v>38.695766448974609</v>
      </c>
      <c r="F125" s="62">
        <v>69.100517272949219</v>
      </c>
    </row>
    <row r="126" spans="1:14" ht="18" customHeight="1" x14ac:dyDescent="0.2">
      <c r="A126" s="226"/>
      <c r="B126" s="33" t="s">
        <v>59</v>
      </c>
      <c r="C126" s="28">
        <f ca="1">185.27184375*OFFSET($L$112,MATCH($N$1,$C$112:$C$113,0)-1,0)</f>
        <v>185.27184374999999</v>
      </c>
      <c r="D126" s="28">
        <f ca="1">222.1552421875*OFFSET($L$112,MATCH($N$1,$C$112:$C$113,0)-1,0)</f>
        <v>222.15524218749999</v>
      </c>
      <c r="E126" s="28">
        <f ca="1">112.7716796875*OFFSET($L$112,MATCH($N$1,$C$112:$C$113,0)-1,0)</f>
        <v>112.7716796875</v>
      </c>
      <c r="F126" s="62">
        <f ca="1">184.543734375*OFFSET($L$112,MATCH($N$1,$C$112:$C$113,0)-1,0)</f>
        <v>184.54373437500001</v>
      </c>
    </row>
    <row r="127" spans="1:14" ht="18" customHeight="1" x14ac:dyDescent="0.2">
      <c r="A127" s="226"/>
      <c r="B127" s="33" t="s">
        <v>56</v>
      </c>
      <c r="C127" s="60">
        <v>121.5</v>
      </c>
      <c r="D127" s="60">
        <v>130.64705657958984</v>
      </c>
      <c r="E127" s="60">
        <v>125.72222137451172</v>
      </c>
      <c r="F127" s="61">
        <v>127.02857208251953</v>
      </c>
    </row>
    <row r="128" spans="1:14" ht="18" customHeight="1" x14ac:dyDescent="0.2">
      <c r="A128" s="226"/>
      <c r="B128" s="33" t="s">
        <v>60</v>
      </c>
      <c r="C128" s="60">
        <v>34.833332061767578</v>
      </c>
      <c r="D128" s="60">
        <v>38.264705657958984</v>
      </c>
      <c r="E128" s="60">
        <v>41.555557250976562</v>
      </c>
      <c r="F128" s="61">
        <v>38.228572845458984</v>
      </c>
    </row>
    <row r="129" spans="1:14" ht="18" customHeight="1" x14ac:dyDescent="0.2">
      <c r="A129" s="226"/>
      <c r="B129" s="33" t="s">
        <v>61</v>
      </c>
      <c r="C129" s="63">
        <v>0.54729670286178589</v>
      </c>
      <c r="D129" s="63">
        <v>0.66266872130627519</v>
      </c>
      <c r="E129" s="63">
        <v>0.30778780579566956</v>
      </c>
      <c r="F129" s="64">
        <v>0.54397618770599365</v>
      </c>
    </row>
    <row r="130" spans="1:14" ht="18" customHeight="1" x14ac:dyDescent="0.2">
      <c r="A130" s="227"/>
      <c r="B130" s="35" t="s">
        <v>24</v>
      </c>
      <c r="C130" s="37">
        <f ca="1">2786.18724629513*OFFSET($L$112,MATCH($N$1,$C$112:$C$113,0)-1,0)</f>
        <v>2786.1872462951301</v>
      </c>
      <c r="D130" s="37">
        <f ca="1">2566.02252351312*OFFSET($L$112,MATCH($N$1,$C$112:$C$113,0)-1,0)</f>
        <v>2566.0225235131202</v>
      </c>
      <c r="E130" s="37">
        <f ca="1">2914.31570004445*OFFSET($L$112,MATCH($N$1,$C$112:$C$113,0)-1,0)</f>
        <v>2914.3157000444498</v>
      </c>
      <c r="F130" s="65">
        <f ca="1">2671*OFFSET($L$112,MATCH($N$1,$C$112:$C$113,0)-1,0)</f>
        <v>2671</v>
      </c>
    </row>
    <row r="131" spans="1:14" ht="18" customHeight="1" x14ac:dyDescent="0.2">
      <c r="A131" s="239" t="s">
        <v>25</v>
      </c>
      <c r="B131" s="30" t="s">
        <v>62</v>
      </c>
      <c r="C131" s="66">
        <v>3.8994683050979075</v>
      </c>
      <c r="D131" s="66">
        <v>3.2977234993194462</v>
      </c>
      <c r="E131" s="66">
        <v>1.679252643179358</v>
      </c>
      <c r="F131" s="67">
        <v>2.9962951278259329</v>
      </c>
    </row>
    <row r="132" spans="1:14" ht="18" customHeight="1" x14ac:dyDescent="0.2">
      <c r="A132" s="228"/>
      <c r="B132" s="33" t="s">
        <v>63</v>
      </c>
      <c r="C132" s="63">
        <f ca="1">10.8646488589959*OFFSET($L$112,MATCH($N$1,$C$112:$C$113,0)-1,0)</f>
        <v>10.864648858995899</v>
      </c>
      <c r="D132" s="63">
        <f ca="1">8.46203277557221*OFFSET($L$112,MATCH($N$1,$C$112:$C$113,0)-1,0)</f>
        <v>8.4620327755722098</v>
      </c>
      <c r="E132" s="63">
        <f ca="1">4.89387234235874*OFFSET($L$112,MATCH($N$1,$C$112:$C$113,0)-1,0)</f>
        <v>4.8938723423587396</v>
      </c>
      <c r="F132" s="64">
        <f ca="1">8.00207457195227*OFFSET($L$112,MATCH($N$1,$C$112:$C$113,0)-1,0)</f>
        <v>8.0020745719522708</v>
      </c>
    </row>
    <row r="133" spans="1:14" ht="18" customHeight="1" x14ac:dyDescent="0.2">
      <c r="A133" s="228"/>
      <c r="B133" s="33" t="s">
        <v>11</v>
      </c>
      <c r="C133" s="63">
        <f ca="1">7.99669728326465*OFFSET($L$112,MATCH($N$1,$C$112:$C$113,0)-1,0)</f>
        <v>7.9966972832646501</v>
      </c>
      <c r="D133" s="63">
        <f ca="1">6.90995066705655*OFFSET($L$112,MATCH($N$1,$C$112:$C$113,0)-1,0)</f>
        <v>6.9099506670565498</v>
      </c>
      <c r="E133" s="63">
        <f ca="1">5.19181377754181*OFFSET($L$112,MATCH($N$1,$C$112:$C$113,0)-1,0)</f>
        <v>5.1918137775418103</v>
      </c>
      <c r="F133" s="64">
        <f ca="1">6.67513207653592*OFFSET($L$112,MATCH($N$1,$C$112:$C$113,0)-1,0)</f>
        <v>6.6751320765359203</v>
      </c>
    </row>
    <row r="134" spans="1:14" ht="18" customHeight="1" x14ac:dyDescent="0.2">
      <c r="A134" s="229"/>
      <c r="B134" s="35" t="s">
        <v>12</v>
      </c>
      <c r="C134" s="68">
        <f ca="1">2.86795157573124*OFFSET($L$112,MATCH($N$1,$C$112:$C$113,0)-1,0)</f>
        <v>2.8679515757312402</v>
      </c>
      <c r="D134" s="68">
        <f ca="1">1.55208210851566*OFFSET($L$112,MATCH($N$1,$C$112:$C$113,0)-1,0)</f>
        <v>1.55208210851566</v>
      </c>
      <c r="E134" s="68">
        <f ca="1">-0.297941435183066*OFFSET($L$112,MATCH($N$1,$C$112:$C$113,0)-1,0)</f>
        <v>-0.29794143518306598</v>
      </c>
      <c r="F134" s="69">
        <f ca="1">1.32694249541635*OFFSET($L$112,MATCH($N$1,$C$112:$C$113,0)-1,0)</f>
        <v>1.32694249541635</v>
      </c>
    </row>
    <row r="135" spans="1:14" ht="18" customHeight="1" x14ac:dyDescent="0.2">
      <c r="A135" s="240" t="s">
        <v>45</v>
      </c>
      <c r="B135" s="33" t="s">
        <v>102</v>
      </c>
      <c r="C135" s="70">
        <f ca="1">21.443361328125*OFFSET($L$112,MATCH($N$1,$C$112:$C$113,0)-1,0)</f>
        <v>21.443361328125</v>
      </c>
      <c r="D135" s="70">
        <f ca="1">43.60768359375*OFFSET($L$112,MATCH($N$1,$C$112:$C$113,0)-1,0)</f>
        <v>43.607683593749996</v>
      </c>
      <c r="E135" s="70">
        <f ca="1">49.68623828125*OFFSET($L$112,MATCH($N$1,$C$112:$C$113,0)-1,0)</f>
        <v>49.686238281249999</v>
      </c>
      <c r="F135" s="71">
        <f ca="1">39.47134375*OFFSET($L$112,MATCH($N$1,$C$112:$C$113,0)-1,0)</f>
        <v>39.471343750000003</v>
      </c>
    </row>
    <row r="136" spans="1:14" ht="18" customHeight="1" x14ac:dyDescent="0.2">
      <c r="A136" s="241"/>
      <c r="B136" s="33" t="s">
        <v>103</v>
      </c>
      <c r="C136" s="26">
        <v>50220.001235961914</v>
      </c>
      <c r="D136" s="26">
        <v>102635.88151652459</v>
      </c>
      <c r="E136" s="26">
        <v>117276.66387191461</v>
      </c>
      <c r="F136" s="72">
        <v>92922.28571428571</v>
      </c>
    </row>
    <row r="137" spans="1:14" ht="18" customHeight="1" x14ac:dyDescent="0.2">
      <c r="A137" s="241"/>
      <c r="B137" s="33" t="s">
        <v>104</v>
      </c>
      <c r="C137" s="26">
        <v>413.33334350585937</v>
      </c>
      <c r="D137" s="26">
        <v>785.5965852089372</v>
      </c>
      <c r="E137" s="26">
        <v>932.82366943359375</v>
      </c>
      <c r="F137" s="72">
        <v>731.5069580078125</v>
      </c>
    </row>
    <row r="138" spans="1:14" ht="18" customHeight="1" x14ac:dyDescent="0.2">
      <c r="A138" s="241"/>
      <c r="B138" s="33" t="s">
        <v>105</v>
      </c>
      <c r="C138" s="26">
        <f ca="1">176.488570601852*OFFSET($L$112,MATCH($N$1,$C$112:$C$113,0)-1,0)</f>
        <v>176.48857060185199</v>
      </c>
      <c r="D138" s="26">
        <f ca="1">333.782365522979*OFFSET($L$112,MATCH($N$1,$C$112:$C$113,0)-1,0)</f>
        <v>333.78236552297898</v>
      </c>
      <c r="E138" s="26">
        <f ca="1">395.206493633616*OFFSET($L$112,MATCH($N$1,$C$112:$C$113,0)-1,0)</f>
        <v>395.20649363361599</v>
      </c>
      <c r="F138" s="72">
        <f ca="1">310.728075604588*OFFSET($L$112,MATCH($N$1,$C$112:$C$113,0)-1,0)</f>
        <v>310.72807560458801</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322.473283802036*OFFSET($L$112,MATCH($N$1,$C$112:$C$113,0)-1,0)</f>
        <v>322.47328380203601</v>
      </c>
      <c r="D139" s="26">
        <f ca="1">503.694160884817*OFFSET($L$112,MATCH($N$1,$C$112:$C$113,0)-1,0)</f>
        <v>503.69416088481699</v>
      </c>
      <c r="E139" s="26">
        <f ca="1">1284.02259060478*OFFSET($L$112,MATCH($N$1,$C$112:$C$113,0)-1,0)</f>
        <v>1284.0225906047799</v>
      </c>
      <c r="F139" s="72">
        <f ca="1">571.216328151162*OFFSET($L$112,MATCH($N$1,$C$112:$C$113,0)-1,0)</f>
        <v>571.21632815116197</v>
      </c>
      <c r="I139" s="49"/>
      <c r="K139" s="73" t="s">
        <v>107</v>
      </c>
      <c r="L139" s="74">
        <f t="shared" ref="L139:M141" ca="1" si="2">C140</f>
        <v>202.59957812499999</v>
      </c>
      <c r="M139" s="74">
        <f t="shared" ca="1" si="2"/>
        <v>242.93253125000001</v>
      </c>
      <c r="N139" s="74">
        <f ca="1">E140</f>
        <v>123.318765625</v>
      </c>
    </row>
    <row r="140" spans="1:14" ht="18" customHeight="1" x14ac:dyDescent="0.2">
      <c r="A140" s="230" t="s">
        <v>46</v>
      </c>
      <c r="B140" s="30" t="s">
        <v>108</v>
      </c>
      <c r="C140" s="75">
        <f ca="1">202.599578125*OFFSET($L$112,MATCH($N$1,$C$112:$C$113,0)-1,0)</f>
        <v>202.59957812499999</v>
      </c>
      <c r="D140" s="75">
        <f ca="1">242.93253125*OFFSET($L$112,MATCH($N$1,$C$112:$C$113,0)-1,0)</f>
        <v>242.93253125000001</v>
      </c>
      <c r="E140" s="75">
        <f ca="1">123.318765625*OFFSET($L$112,MATCH($N$1,$C$112:$C$113,0)-1,0)</f>
        <v>123.318765625</v>
      </c>
      <c r="F140" s="76">
        <f ca="1">201.803375*OFFSET($L$112,MATCH($N$1,$C$112:$C$113,0)-1,0)</f>
        <v>201.80337499999999</v>
      </c>
      <c r="I140" s="49"/>
      <c r="K140" s="73" t="s">
        <v>109</v>
      </c>
      <c r="L140" s="74">
        <f t="shared" ca="1" si="2"/>
        <v>153.693203125</v>
      </c>
      <c r="M140" s="74">
        <f t="shared" ca="1" si="2"/>
        <v>202.18544531250001</v>
      </c>
      <c r="N140" s="74">
        <f ca="1">E141</f>
        <v>130.18435937500001</v>
      </c>
    </row>
    <row r="141" spans="1:14" ht="18" customHeight="1" x14ac:dyDescent="0.2">
      <c r="A141" s="237"/>
      <c r="B141" s="33" t="s">
        <v>110</v>
      </c>
      <c r="C141" s="26">
        <f ca="1">153.693203125*OFFSET($L$112,MATCH($N$1,$C$112:$C$113,0)-1,0)</f>
        <v>153.693203125</v>
      </c>
      <c r="D141" s="26">
        <f ca="1">202.1854453125*OFFSET($L$112,MATCH($N$1,$C$112:$C$113,0)-1,0)</f>
        <v>202.18544531250001</v>
      </c>
      <c r="E141" s="26">
        <f ca="1">130.184359375*OFFSET($L$112,MATCH($N$1,$C$112:$C$113,0)-1,0)</f>
        <v>130.18435937500001</v>
      </c>
      <c r="F141" s="72">
        <f ca="1">171.201453125*OFFSET($L$112,MATCH($N$1,$C$112:$C$113,0)-1,0)</f>
        <v>171.201453125</v>
      </c>
      <c r="I141" s="49"/>
      <c r="K141" s="73" t="s">
        <v>111</v>
      </c>
      <c r="L141" s="74">
        <f t="shared" ca="1" si="2"/>
        <v>48.906374999999997</v>
      </c>
      <c r="M141" s="74">
        <f t="shared" ca="1" si="2"/>
        <v>40.747085937500003</v>
      </c>
      <c r="N141" s="74">
        <f ca="1">E142</f>
        <v>-6.8655937500000004</v>
      </c>
    </row>
    <row r="142" spans="1:14" ht="18" customHeight="1" x14ac:dyDescent="0.2">
      <c r="A142" s="238"/>
      <c r="B142" s="35" t="s">
        <v>112</v>
      </c>
      <c r="C142" s="37">
        <f ca="1">48.906375*OFFSET($L$112,MATCH($N$1,$C$112:$C$113,0)-1,0)</f>
        <v>48.906374999999997</v>
      </c>
      <c r="D142" s="37">
        <f ca="1">40.7470859375*OFFSET($L$112,MATCH($N$1,$C$112:$C$113,0)-1,0)</f>
        <v>40.747085937500003</v>
      </c>
      <c r="E142" s="37">
        <f ca="1">-6.86559375*OFFSET($L$112,MATCH($N$1,$C$112:$C$113,0)-1,0)</f>
        <v>-6.8655937500000004</v>
      </c>
      <c r="F142" s="65">
        <f ca="1">30.6019296875*OFFSET($L$112,MATCH($N$1,$C$112:$C$113,0)-1,0)</f>
        <v>30.6019296875</v>
      </c>
      <c r="I142" s="49"/>
      <c r="K142" s="73" t="s">
        <v>113</v>
      </c>
      <c r="L142" s="77">
        <f ca="1">IFERROR(L140/L$139,"")</f>
        <v>0.75860574117372681</v>
      </c>
      <c r="M142" s="77">
        <f t="shared" ref="M142:N143" ca="1" si="3">IFERROR(M140/M$139,"")</f>
        <v>0.83226994866501647</v>
      </c>
      <c r="N142" s="77">
        <f t="shared" ca="1" si="3"/>
        <v>1.0556735523195033</v>
      </c>
    </row>
    <row r="143" spans="1:14" ht="18" customHeight="1" x14ac:dyDescent="0.2">
      <c r="I143" s="49"/>
      <c r="K143" s="73" t="s">
        <v>114</v>
      </c>
      <c r="L143" s="77">
        <f ca="1">IFERROR(L141/L$139,"")</f>
        <v>0.24139425882627316</v>
      </c>
      <c r="M143" s="77">
        <f t="shared" ca="1" si="3"/>
        <v>0.16773005133498359</v>
      </c>
      <c r="N143" s="77">
        <f t="shared" ca="1" si="3"/>
        <v>-5.5673552319503286E-2</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8</v>
      </c>
      <c r="B161" s="53"/>
      <c r="C161" s="79" t="s">
        <v>41</v>
      </c>
      <c r="D161" s="79" t="s">
        <v>115</v>
      </c>
      <c r="E161" s="79" t="s">
        <v>43</v>
      </c>
      <c r="F161" s="79" t="s">
        <v>116</v>
      </c>
      <c r="G161" s="80">
        <v>9</v>
      </c>
      <c r="H161" s="79"/>
      <c r="I161" s="79" t="s">
        <v>41</v>
      </c>
      <c r="J161" s="79" t="s">
        <v>115</v>
      </c>
      <c r="K161" s="79" t="s">
        <v>43</v>
      </c>
      <c r="L161" s="53" t="s">
        <v>116</v>
      </c>
    </row>
    <row r="162" spans="1:14" s="49" customFormat="1" x14ac:dyDescent="0.2">
      <c r="A162" s="50">
        <v>1</v>
      </c>
      <c r="B162" s="53" t="s">
        <v>93</v>
      </c>
      <c r="C162" s="53">
        <v>0.88130591609694175</v>
      </c>
      <c r="D162" s="53">
        <v>0.58593418134356212</v>
      </c>
      <c r="E162" s="53">
        <v>0.83657858684738651</v>
      </c>
      <c r="F162" s="50">
        <v>12153634</v>
      </c>
      <c r="G162" s="50">
        <v>1</v>
      </c>
      <c r="H162" s="53" t="s">
        <v>93</v>
      </c>
      <c r="I162" s="53">
        <v>0.93519045285183555</v>
      </c>
      <c r="J162" s="53">
        <v>0.77064327002409638</v>
      </c>
      <c r="K162" s="53">
        <v>0.92864783511783577</v>
      </c>
      <c r="L162" s="50">
        <v>12153634</v>
      </c>
    </row>
    <row r="163" spans="1:14" s="49" customFormat="1" x14ac:dyDescent="0.2">
      <c r="A163" s="50">
        <v>2</v>
      </c>
      <c r="B163" s="53" t="s">
        <v>16</v>
      </c>
      <c r="C163" s="53">
        <v>0</v>
      </c>
      <c r="D163" s="53">
        <v>0.13857346427388045</v>
      </c>
      <c r="E163" s="53">
        <v>0</v>
      </c>
      <c r="F163" s="50">
        <v>553960</v>
      </c>
      <c r="G163" s="50">
        <v>2</v>
      </c>
      <c r="H163" s="53" t="s">
        <v>16</v>
      </c>
      <c r="I163" s="53">
        <v>0</v>
      </c>
      <c r="J163" s="53">
        <v>4.9363550798817879E-2</v>
      </c>
      <c r="K163" s="53">
        <v>0</v>
      </c>
      <c r="L163" s="50">
        <v>553960</v>
      </c>
      <c r="N163" s="49" t="s">
        <v>117</v>
      </c>
    </row>
    <row r="164" spans="1:14" s="49" customFormat="1" x14ac:dyDescent="0.2">
      <c r="A164" s="50">
        <v>3</v>
      </c>
      <c r="B164" s="53" t="s">
        <v>191</v>
      </c>
      <c r="C164" s="53">
        <v>1.2664399342152768E-2</v>
      </c>
      <c r="D164" s="53">
        <v>9.3417036855319643E-2</v>
      </c>
      <c r="E164" s="53">
        <v>7.8769601561395064E-2</v>
      </c>
      <c r="F164" s="50">
        <v>3689192</v>
      </c>
      <c r="G164" s="50">
        <v>3</v>
      </c>
      <c r="H164" s="53" t="s">
        <v>121</v>
      </c>
      <c r="I164" s="53">
        <v>2.4413092798927327E-3</v>
      </c>
      <c r="J164" s="53">
        <v>4.6986927438480271E-2</v>
      </c>
      <c r="K164" s="53">
        <v>7.4453398464623998E-3</v>
      </c>
      <c r="L164" s="50">
        <v>3050596</v>
      </c>
      <c r="N164" s="49" t="s">
        <v>118</v>
      </c>
    </row>
    <row r="165" spans="1:14" s="49" customFormat="1" x14ac:dyDescent="0.2">
      <c r="A165" s="50">
        <v>4</v>
      </c>
      <c r="B165" s="53" t="s">
        <v>121</v>
      </c>
      <c r="C165" s="53">
        <v>0</v>
      </c>
      <c r="D165" s="53">
        <v>6.0759626429202573E-2</v>
      </c>
      <c r="E165" s="53">
        <v>7.6863132781059265E-3</v>
      </c>
      <c r="F165" s="50">
        <v>3050596</v>
      </c>
      <c r="G165" s="50">
        <v>4</v>
      </c>
      <c r="H165" s="53" t="s">
        <v>97</v>
      </c>
      <c r="I165" s="53">
        <v>0</v>
      </c>
      <c r="J165" s="53">
        <v>3.5027141604965811E-2</v>
      </c>
      <c r="K165" s="53">
        <v>0</v>
      </c>
      <c r="L165" s="50">
        <v>11115023</v>
      </c>
    </row>
    <row r="166" spans="1:14" s="49" customFormat="1" x14ac:dyDescent="0.2">
      <c r="A166" s="50">
        <v>5</v>
      </c>
      <c r="B166" s="53" t="s">
        <v>137</v>
      </c>
      <c r="C166" s="53">
        <v>5.859016935303258E-2</v>
      </c>
      <c r="D166" s="53">
        <v>3.9180851626209823E-2</v>
      </c>
      <c r="E166" s="53">
        <v>1.5693648512256474E-2</v>
      </c>
      <c r="F166" s="50">
        <v>1692097</v>
      </c>
      <c r="G166" s="50">
        <v>5</v>
      </c>
      <c r="H166" s="53" t="s">
        <v>137</v>
      </c>
      <c r="I166" s="53">
        <v>2.7736106936073479E-2</v>
      </c>
      <c r="J166" s="53">
        <v>5.359028682059664E-2</v>
      </c>
      <c r="K166" s="53">
        <v>1.5301351439837576E-2</v>
      </c>
      <c r="L166" s="50">
        <v>1692097</v>
      </c>
    </row>
    <row r="167" spans="1:14" s="49" customFormat="1" x14ac:dyDescent="0.2">
      <c r="A167" s="50">
        <v>6</v>
      </c>
      <c r="B167" s="53" t="s">
        <v>312</v>
      </c>
      <c r="C167" s="53">
        <v>6.0763379846707644E-3</v>
      </c>
      <c r="D167" s="53">
        <v>0</v>
      </c>
      <c r="E167" s="53">
        <v>0</v>
      </c>
      <c r="F167" s="50">
        <v>7434864</v>
      </c>
      <c r="G167" s="50">
        <v>6</v>
      </c>
      <c r="H167" s="53" t="s">
        <v>191</v>
      </c>
      <c r="I167" s="53">
        <v>2.3911177611496536E-3</v>
      </c>
      <c r="J167" s="53">
        <v>0</v>
      </c>
      <c r="K167" s="53">
        <v>1.9140941957107339E-2</v>
      </c>
      <c r="L167" s="50">
        <v>3689192</v>
      </c>
    </row>
    <row r="168" spans="1:14" s="49" customFormat="1" x14ac:dyDescent="0.2">
      <c r="A168" s="50">
        <v>7</v>
      </c>
      <c r="B168" s="53" t="s">
        <v>101</v>
      </c>
      <c r="C168" s="53">
        <v>2.1588218542625048E-2</v>
      </c>
      <c r="D168" s="53">
        <v>8.2134839471825316E-2</v>
      </c>
      <c r="E168" s="53">
        <v>4.6416220286577659E-2</v>
      </c>
      <c r="F168" s="50">
        <v>5920853</v>
      </c>
      <c r="G168" s="50">
        <v>7</v>
      </c>
      <c r="H168" s="53" t="s">
        <v>138</v>
      </c>
      <c r="I168" s="53">
        <v>0</v>
      </c>
      <c r="J168" s="53">
        <v>0</v>
      </c>
      <c r="K168" s="53">
        <v>7.2969391421029064E-3</v>
      </c>
      <c r="L168" s="50">
        <v>2480382</v>
      </c>
    </row>
    <row r="169" spans="1:14" s="49" customFormat="1" x14ac:dyDescent="0.2">
      <c r="A169" s="50">
        <v>8</v>
      </c>
      <c r="B169" s="53"/>
      <c r="C169" s="53">
        <v>0</v>
      </c>
      <c r="D169" s="53">
        <v>0</v>
      </c>
      <c r="E169" s="53">
        <v>1.4855629514278408E-2</v>
      </c>
      <c r="F169" s="50">
        <v>11115023</v>
      </c>
      <c r="G169" s="50">
        <v>8</v>
      </c>
      <c r="H169" s="53" t="s">
        <v>101</v>
      </c>
      <c r="I169" s="53">
        <v>9.8155747831891738E-3</v>
      </c>
      <c r="J169" s="53">
        <v>4.4388823313042947E-2</v>
      </c>
      <c r="K169" s="53">
        <v>2.2167592496653898E-2</v>
      </c>
      <c r="L169" s="50">
        <v>5920853</v>
      </c>
    </row>
    <row r="170" spans="1:14" s="49" customFormat="1" x14ac:dyDescent="0.2">
      <c r="A170" s="50">
        <v>9</v>
      </c>
      <c r="B170" s="53"/>
      <c r="C170" s="53">
        <v>0</v>
      </c>
      <c r="D170" s="53">
        <v>0</v>
      </c>
      <c r="E170" s="53">
        <v>1.4855629514278408E-2</v>
      </c>
      <c r="F170" s="50">
        <v>11115023</v>
      </c>
      <c r="G170" s="50">
        <v>9</v>
      </c>
      <c r="H170" s="53"/>
      <c r="I170" s="53">
        <v>0</v>
      </c>
      <c r="J170" s="53">
        <v>0</v>
      </c>
      <c r="K170" s="53">
        <v>0</v>
      </c>
      <c r="L170" s="50">
        <v>11115023</v>
      </c>
    </row>
    <row r="171" spans="1:14" s="49" customFormat="1" x14ac:dyDescent="0.2">
      <c r="A171" s="50">
        <v>10</v>
      </c>
      <c r="B171" s="53"/>
      <c r="C171" s="53">
        <v>0</v>
      </c>
      <c r="D171" s="53">
        <v>0</v>
      </c>
      <c r="E171" s="53">
        <v>1.4855629514278408E-2</v>
      </c>
      <c r="F171" s="50">
        <v>11115023</v>
      </c>
      <c r="G171" s="50">
        <v>10</v>
      </c>
      <c r="H171" s="53"/>
      <c r="I171" s="53">
        <v>0</v>
      </c>
      <c r="J171" s="53">
        <v>0</v>
      </c>
      <c r="K171" s="53">
        <v>0</v>
      </c>
      <c r="L171" s="50">
        <v>11115023</v>
      </c>
    </row>
    <row r="172" spans="1:14" s="49" customFormat="1" x14ac:dyDescent="0.2">
      <c r="A172" s="50">
        <v>11</v>
      </c>
      <c r="B172" s="53"/>
      <c r="C172" s="53">
        <v>0</v>
      </c>
      <c r="D172" s="53">
        <v>0</v>
      </c>
      <c r="E172" s="53">
        <v>1.4855629514278408E-2</v>
      </c>
      <c r="F172" s="50">
        <v>11115023</v>
      </c>
      <c r="G172" s="50">
        <v>11</v>
      </c>
      <c r="H172" s="53"/>
      <c r="I172" s="53">
        <v>0</v>
      </c>
      <c r="J172" s="53">
        <v>0</v>
      </c>
      <c r="K172" s="53">
        <v>0</v>
      </c>
      <c r="L172" s="50">
        <v>11115023</v>
      </c>
    </row>
    <row r="173" spans="1:14" s="49" customFormat="1" x14ac:dyDescent="0.2">
      <c r="A173" s="50">
        <v>12</v>
      </c>
      <c r="B173" s="53"/>
      <c r="C173" s="53">
        <v>0</v>
      </c>
      <c r="D173" s="53">
        <v>0</v>
      </c>
      <c r="E173" s="53">
        <v>1.4855629514278408E-2</v>
      </c>
      <c r="F173" s="50">
        <v>11115023</v>
      </c>
      <c r="G173" s="50">
        <v>12</v>
      </c>
      <c r="H173" s="53"/>
      <c r="I173" s="53">
        <v>0</v>
      </c>
      <c r="J173" s="53">
        <v>0</v>
      </c>
      <c r="K173" s="53">
        <v>0</v>
      </c>
      <c r="L173" s="50">
        <v>11115023</v>
      </c>
    </row>
    <row r="174" spans="1:14" s="49" customFormat="1" x14ac:dyDescent="0.2">
      <c r="A174" s="50">
        <v>13</v>
      </c>
      <c r="B174" s="53"/>
      <c r="C174" s="53">
        <v>0</v>
      </c>
      <c r="D174" s="53">
        <v>0</v>
      </c>
      <c r="E174" s="53">
        <v>1.4855629514278408E-2</v>
      </c>
      <c r="F174" s="50">
        <v>11115023</v>
      </c>
      <c r="G174" s="50">
        <v>13</v>
      </c>
      <c r="H174" s="53"/>
      <c r="I174" s="53">
        <v>0</v>
      </c>
      <c r="J174" s="53">
        <v>0</v>
      </c>
      <c r="K174" s="53">
        <v>0</v>
      </c>
      <c r="L174" s="50">
        <v>11115023</v>
      </c>
    </row>
    <row r="175" spans="1:14" s="49" customFormat="1" x14ac:dyDescent="0.2">
      <c r="A175" s="50">
        <v>14</v>
      </c>
      <c r="B175" s="53"/>
      <c r="C175" s="53">
        <v>0</v>
      </c>
      <c r="D175" s="53">
        <v>0</v>
      </c>
      <c r="E175" s="53">
        <v>1.4855629514278408E-2</v>
      </c>
      <c r="F175" s="50">
        <v>11115023</v>
      </c>
      <c r="G175" s="50">
        <v>14</v>
      </c>
      <c r="H175" s="53"/>
      <c r="I175" s="53">
        <v>0</v>
      </c>
      <c r="J175" s="53">
        <v>0</v>
      </c>
      <c r="K175" s="53">
        <v>0</v>
      </c>
      <c r="L175" s="50">
        <v>11115023</v>
      </c>
    </row>
    <row r="176" spans="1:14" s="49" customFormat="1" x14ac:dyDescent="0.2">
      <c r="A176" s="50">
        <v>15</v>
      </c>
      <c r="B176" s="53"/>
      <c r="C176" s="53">
        <v>0</v>
      </c>
      <c r="D176" s="53">
        <v>0</v>
      </c>
      <c r="E176" s="53">
        <v>1.4855629514278408E-2</v>
      </c>
      <c r="F176" s="50">
        <v>11115023</v>
      </c>
      <c r="G176" s="50">
        <v>15</v>
      </c>
      <c r="H176" s="53"/>
      <c r="I176" s="53">
        <v>0</v>
      </c>
      <c r="J176" s="53">
        <v>0</v>
      </c>
      <c r="K176" s="53">
        <v>0</v>
      </c>
      <c r="L176" s="50">
        <v>11115023</v>
      </c>
    </row>
    <row r="177" spans="1:12" s="49" customFormat="1" x14ac:dyDescent="0.2">
      <c r="A177" s="50">
        <v>16</v>
      </c>
      <c r="B177" s="53"/>
      <c r="C177" s="53">
        <v>1.4855629514278408E-2</v>
      </c>
      <c r="D177" s="53">
        <v>0</v>
      </c>
      <c r="E177" s="53">
        <v>1.4855629514278408E-2</v>
      </c>
      <c r="F177" s="50">
        <v>11115023</v>
      </c>
      <c r="G177" s="50">
        <v>16</v>
      </c>
      <c r="H177" s="53"/>
      <c r="I177" s="53">
        <v>0</v>
      </c>
      <c r="J177" s="53">
        <v>0</v>
      </c>
      <c r="K177" s="53">
        <v>0</v>
      </c>
      <c r="L177" s="50">
        <v>11115023</v>
      </c>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'NS nephrops under 300kW'!D3:N3</xm:f>
              <xm:sqref>C3</xm:sqref>
            </x14:sparkline>
            <x14:sparkline>
              <xm:f>'NS nephrops under 300kW'!D4:N4</xm:f>
              <xm:sqref>C4</xm:sqref>
            </x14:sparkline>
            <x14:sparkline>
              <xm:f>'NS nephrops under 300kW'!D5:N5</xm:f>
              <xm:sqref>C5</xm:sqref>
            </x14:sparkline>
            <x14:sparkline>
              <xm:f>'NS nephrops under 300kW'!D6:N6</xm:f>
              <xm:sqref>C6</xm:sqref>
            </x14:sparkline>
            <x14:sparkline>
              <xm:f>'NS nephrops under 300kW'!D7:N7</xm:f>
              <xm:sqref>C7</xm:sqref>
            </x14:sparkline>
            <x14:sparkline>
              <xm:f>'NS nephrops under 300kW'!D8:N8</xm:f>
              <xm:sqref>C8</xm:sqref>
            </x14:sparkline>
            <x14:sparkline>
              <xm:f>'NS nephrops under 300kW'!D9:N9</xm:f>
              <xm:sqref>C9</xm:sqref>
            </x14:sparkline>
            <x14:sparkline>
              <xm:f>'NS nephrops under 300kW'!F10:M10</xm:f>
              <xm:sqref>C10</xm:sqref>
            </x14:sparkline>
            <x14:sparkline>
              <xm:f>'NS nephrops under 300kW'!D11:N11</xm:f>
              <xm:sqref>C11</xm:sqref>
            </x14:sparkline>
            <x14:sparkline>
              <xm:f>'NS nephrops under 300kW'!D12:N12</xm:f>
              <xm:sqref>C12</xm:sqref>
            </x14:sparkline>
            <x14:sparkline>
              <xm:f>'NS nephrops under 300kW'!D13:N13</xm:f>
              <xm:sqref>C13</xm:sqref>
            </x14:sparkline>
            <x14:sparkline>
              <xm:f>'NS nephrops under 300kW'!D14:N14</xm:f>
              <xm:sqref>C14</xm:sqref>
            </x14:sparkline>
            <x14:sparkline>
              <xm:f>'NS nephrops under 300kW'!D15:N15</xm:f>
              <xm:sqref>C15</xm:sqref>
            </x14:sparkline>
            <x14:sparkline>
              <xm:f>'NS nephrops under 300kW'!D16:N16</xm:f>
              <xm:sqref>C16</xm:sqref>
            </x14:sparkline>
            <x14:sparkline>
              <xm:f>'NS nephrops under 300kW'!D17:N17</xm:f>
              <xm:sqref>C17</xm:sqref>
            </x14:sparkline>
            <x14:sparkline>
              <xm:f>'NS nephrops under 300kW'!D18:N18</xm:f>
              <xm:sqref>C18</xm:sqref>
            </x14:sparkline>
            <x14:sparkline>
              <xm:f>'NS nephrops under 300kW'!D19:N19</xm:f>
              <xm:sqref>C19</xm:sqref>
            </x14:sparkline>
            <x14:sparkline>
              <xm:f>'NS nephrops under 300kW'!D20:N20</xm:f>
              <xm:sqref>C20</xm:sqref>
            </x14:sparkline>
            <x14:sparkline>
              <xm:f>'NS nephrops under 300kW'!D21:N21</xm:f>
              <xm:sqref>C21</xm:sqref>
            </x14:sparkline>
            <x14:sparkline>
              <xm:f>'NS nephrops under 300kW'!D22:N22</xm:f>
              <xm:sqref>C22</xm:sqref>
            </x14:sparkline>
            <x14:sparkline>
              <xm:f>'NS nephrops under 300kW'!D23:N23</xm:f>
              <xm:sqref>C23</xm:sqref>
            </x14:sparkline>
            <x14:sparkline>
              <xm:f>'NS nephrops under 300kW'!D24:N24</xm:f>
              <xm:sqref>C24</xm:sqref>
            </x14:sparkline>
            <x14:sparkline>
              <xm:f>'NS nephrops under 300kW'!F25:M25</xm:f>
              <xm:sqref>C25</xm:sqref>
            </x14:sparkline>
            <x14:sparkline>
              <xm:f>'NS nephrops under 300kW'!F26:M26</xm:f>
              <xm:sqref>C26</xm:sqref>
            </x14:sparkline>
            <x14:sparkline>
              <xm:f>'NS nephrops under 300kW'!D27:N27</xm:f>
              <xm:sqref>C27</xm:sqref>
            </x14:sparkline>
            <x14:sparkline>
              <xm:f>'NS nephrops under 300kW'!D28:N28</xm:f>
              <xm:sqref>C28</xm:sqref>
            </x14:sparkline>
            <x14:sparkline>
              <xm:f>'NS nephrops under 300kW'!D29:N29</xm:f>
              <xm:sqref>C29</xm:sqref>
            </x14:sparkline>
            <x14:sparkline>
              <xm:f>'NS nephrops under 300kW'!D30:N30</xm:f>
              <xm:sqref>C30</xm:sqref>
            </x14:sparkline>
            <x14:sparkline>
              <xm:f>'NS nephrops under 300kW'!D31:N31</xm:f>
              <xm:sqref>C31</xm:sqref>
            </x14:sparkline>
            <x14:sparkline>
              <xm:f>'NS nephrops under 300kW'!D32:N32</xm:f>
              <xm:sqref>C32</xm:sqref>
            </x14:sparkline>
            <x14:sparkline>
              <xm:f>'NS nephrops under 300kW'!D33:N33</xm:f>
              <xm:sqref>C33</xm:sqref>
            </x14:sparkline>
            <x14:sparkline>
              <xm:f>'NS nephrops under 300kW'!D34:N34</xm:f>
              <xm:sqref>C34</xm:sqref>
            </x14:sparkline>
            <x14:sparkline>
              <xm:f>'NS nephrops under 300kW'!D35:N35</xm:f>
              <xm:sqref>C35</xm:sqref>
            </x14:sparkline>
            <x14:sparkline>
              <xm:f>'NS nephrops under 300kW'!D36:N36</xm:f>
              <xm:sqref>C36</xm:sqref>
            </x14:sparkline>
            <x14:sparkline>
              <xm:f>'NS nephrops under 300kW'!D37:N37</xm:f>
              <xm:sqref>C37</xm:sqref>
            </x14:sparkline>
            <x14:sparkline>
              <xm:f>'NS nephrops under 300kW'!D38:M38</xm:f>
              <xm:sqref>C38</xm:sqref>
            </x14:sparkline>
            <x14:sparkline>
              <xm:f>'NS nephrops under 300kW'!D39:M39</xm:f>
              <xm:sqref>C39</xm:sqref>
            </x14:sparkline>
            <x14:sparkline>
              <xm:f>'NS nephrops under 300kW'!D40:M40</xm:f>
              <xm:sqref>C40</xm:sqref>
            </x14:sparkline>
            <x14:sparkline>
              <xm:f>'NS nephrops under 300kW'!D41:M41</xm:f>
              <xm:sqref>C41</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pageSetUpPr fitToPage="1"/>
  </sheetPr>
  <dimension ref="A1:C85"/>
  <sheetViews>
    <sheetView zoomScale="90" zoomScaleNormal="90" zoomScalePageLayoutView="90" workbookViewId="0">
      <selection activeCell="C1" sqref="C1"/>
    </sheetView>
  </sheetViews>
  <sheetFormatPr defaultColWidth="9" defaultRowHeight="12.75" x14ac:dyDescent="0.2"/>
  <cols>
    <col min="1" max="1" width="9" style="3"/>
    <col min="2" max="2" width="72.125" style="3" customWidth="1"/>
    <col min="3" max="16384" width="9" style="3"/>
  </cols>
  <sheetData>
    <row r="1" spans="1:3" ht="39.75" customHeight="1" thickBot="1" x14ac:dyDescent="0.25">
      <c r="B1" s="154" t="s">
        <v>615</v>
      </c>
      <c r="C1" s="152" t="s">
        <v>3</v>
      </c>
    </row>
    <row r="2" spans="1:3" ht="64.5" customHeight="1" x14ac:dyDescent="0.2">
      <c r="A2" s="201" t="s">
        <v>616</v>
      </c>
      <c r="B2" s="201"/>
      <c r="C2" s="201"/>
    </row>
    <row r="3" spans="1:3" ht="15" x14ac:dyDescent="0.2">
      <c r="A3" s="155"/>
      <c r="B3" s="155"/>
      <c r="C3" s="155"/>
    </row>
    <row r="4" spans="1:3" ht="15" customHeight="1" x14ac:dyDescent="0.2">
      <c r="A4" s="202" t="s">
        <v>617</v>
      </c>
      <c r="B4" s="202"/>
      <c r="C4" s="202"/>
    </row>
    <row r="5" spans="1:3" ht="15.75" customHeight="1" x14ac:dyDescent="0.2">
      <c r="A5" s="201" t="s">
        <v>618</v>
      </c>
      <c r="B5" s="201"/>
      <c r="C5" s="201"/>
    </row>
    <row r="6" spans="1:3" ht="30.75" customHeight="1" x14ac:dyDescent="0.2">
      <c r="A6" s="201" t="s">
        <v>619</v>
      </c>
      <c r="B6" s="201"/>
      <c r="C6" s="201"/>
    </row>
    <row r="7" spans="1:3" ht="25.5" customHeight="1" x14ac:dyDescent="0.2">
      <c r="A7" s="201" t="s">
        <v>620</v>
      </c>
      <c r="B7" s="201"/>
      <c r="C7" s="201"/>
    </row>
    <row r="8" spans="1:3" ht="50.25" customHeight="1" x14ac:dyDescent="0.2">
      <c r="A8" s="201" t="s">
        <v>621</v>
      </c>
      <c r="B8" s="201"/>
      <c r="C8" s="201"/>
    </row>
    <row r="9" spans="1:3" ht="15" x14ac:dyDescent="0.2">
      <c r="A9" s="155"/>
      <c r="B9" s="155"/>
      <c r="C9" s="155"/>
    </row>
    <row r="10" spans="1:3" ht="15" customHeight="1" x14ac:dyDescent="0.25">
      <c r="A10" s="203" t="s">
        <v>40</v>
      </c>
      <c r="B10" s="203"/>
      <c r="C10" s="155"/>
    </row>
    <row r="11" spans="1:3" ht="27" customHeight="1" x14ac:dyDescent="0.25">
      <c r="A11" s="204" t="s">
        <v>622</v>
      </c>
      <c r="B11" s="204"/>
      <c r="C11" s="204"/>
    </row>
    <row r="12" spans="1:3" ht="15" customHeight="1" x14ac:dyDescent="0.25">
      <c r="A12" s="204" t="s">
        <v>623</v>
      </c>
      <c r="B12" s="204"/>
      <c r="C12" s="155"/>
    </row>
    <row r="13" spans="1:3" ht="15" customHeight="1" x14ac:dyDescent="0.25">
      <c r="A13" s="204" t="s">
        <v>624</v>
      </c>
      <c r="B13" s="204"/>
      <c r="C13" s="204"/>
    </row>
    <row r="14" spans="1:3" ht="15" customHeight="1" x14ac:dyDescent="0.25">
      <c r="A14" s="156"/>
      <c r="B14" s="156"/>
      <c r="C14" s="156"/>
    </row>
    <row r="15" spans="1:3" ht="15" x14ac:dyDescent="0.2">
      <c r="A15" s="155"/>
      <c r="B15" s="155"/>
      <c r="C15" s="155"/>
    </row>
    <row r="16" spans="1:3" ht="15" x14ac:dyDescent="0.25">
      <c r="A16" s="205" t="s">
        <v>625</v>
      </c>
      <c r="B16" s="205"/>
      <c r="C16" s="205"/>
    </row>
    <row r="17" spans="1:3" ht="45" customHeight="1" x14ac:dyDescent="0.2">
      <c r="A17" s="201" t="s">
        <v>626</v>
      </c>
      <c r="B17" s="201"/>
      <c r="C17" s="201"/>
    </row>
    <row r="18" spans="1:3" x14ac:dyDescent="0.2">
      <c r="A18" s="207"/>
      <c r="B18" s="207"/>
      <c r="C18" s="207"/>
    </row>
    <row r="19" spans="1:3" ht="45" customHeight="1" x14ac:dyDescent="0.2">
      <c r="A19" s="201" t="s">
        <v>627</v>
      </c>
      <c r="B19" s="201"/>
      <c r="C19" s="201"/>
    </row>
    <row r="20" spans="1:3" x14ac:dyDescent="0.2">
      <c r="A20" s="207"/>
      <c r="B20" s="207"/>
      <c r="C20" s="207"/>
    </row>
    <row r="21" spans="1:3" ht="32.25" customHeight="1" x14ac:dyDescent="0.2">
      <c r="A21" s="201" t="s">
        <v>628</v>
      </c>
      <c r="B21" s="201"/>
      <c r="C21" s="201"/>
    </row>
    <row r="22" spans="1:3" x14ac:dyDescent="0.2">
      <c r="A22" s="207"/>
      <c r="B22" s="207"/>
      <c r="C22" s="207"/>
    </row>
    <row r="23" spans="1:3" ht="40.5" customHeight="1" x14ac:dyDescent="0.2">
      <c r="A23" s="201" t="s">
        <v>629</v>
      </c>
      <c r="B23" s="201"/>
      <c r="C23" s="201"/>
    </row>
    <row r="24" spans="1:3" x14ac:dyDescent="0.2">
      <c r="A24" s="207"/>
      <c r="B24" s="207"/>
      <c r="C24" s="207"/>
    </row>
    <row r="25" spans="1:3" ht="36.75" customHeight="1" x14ac:dyDescent="0.2">
      <c r="A25" s="201" t="s">
        <v>630</v>
      </c>
      <c r="B25" s="201"/>
      <c r="C25" s="201"/>
    </row>
    <row r="26" spans="1:3" x14ac:dyDescent="0.2">
      <c r="A26" s="207"/>
      <c r="B26" s="207"/>
      <c r="C26" s="207"/>
    </row>
    <row r="27" spans="1:3" ht="28.5" customHeight="1" x14ac:dyDescent="0.2">
      <c r="A27" s="206" t="s">
        <v>631</v>
      </c>
      <c r="B27" s="206"/>
      <c r="C27" s="206"/>
    </row>
    <row r="28" spans="1:3" x14ac:dyDescent="0.2">
      <c r="A28" s="207"/>
      <c r="B28" s="207"/>
      <c r="C28" s="207"/>
    </row>
    <row r="29" spans="1:3" ht="27.75" customHeight="1" x14ac:dyDescent="0.2">
      <c r="A29" s="206" t="s">
        <v>632</v>
      </c>
      <c r="B29" s="206"/>
      <c r="C29" s="206"/>
    </row>
    <row r="30" spans="1:3" x14ac:dyDescent="0.2">
      <c r="A30" s="207"/>
      <c r="B30" s="207"/>
      <c r="C30" s="207"/>
    </row>
    <row r="31" spans="1:3" ht="38.25" customHeight="1" x14ac:dyDescent="0.2">
      <c r="A31" s="206" t="s">
        <v>633</v>
      </c>
      <c r="B31" s="206"/>
      <c r="C31" s="206"/>
    </row>
    <row r="32" spans="1:3" x14ac:dyDescent="0.2">
      <c r="A32" s="207"/>
      <c r="B32" s="207"/>
      <c r="C32" s="207"/>
    </row>
    <row r="33" spans="1:3" ht="24" customHeight="1" x14ac:dyDescent="0.2">
      <c r="A33" s="208" t="s">
        <v>634</v>
      </c>
      <c r="B33" s="208"/>
      <c r="C33" s="208"/>
    </row>
    <row r="34" spans="1:3" ht="30.75" customHeight="1" x14ac:dyDescent="0.2">
      <c r="A34" s="209" t="s">
        <v>635</v>
      </c>
      <c r="B34" s="209"/>
      <c r="C34" s="209"/>
    </row>
    <row r="35" spans="1:3" ht="27.75" customHeight="1" x14ac:dyDescent="0.2">
      <c r="A35" s="210" t="s">
        <v>636</v>
      </c>
      <c r="B35" s="210"/>
      <c r="C35" s="210"/>
    </row>
    <row r="36" spans="1:3" ht="63" customHeight="1" x14ac:dyDescent="0.2">
      <c r="A36" s="208" t="s">
        <v>637</v>
      </c>
      <c r="B36" s="208"/>
      <c r="C36" s="208"/>
    </row>
    <row r="37" spans="1:3" ht="38.25" customHeight="1" x14ac:dyDescent="0.2">
      <c r="A37" s="208" t="s">
        <v>638</v>
      </c>
      <c r="B37" s="208"/>
      <c r="C37" s="208"/>
    </row>
    <row r="38" spans="1:3" ht="15" customHeight="1" x14ac:dyDescent="0.2">
      <c r="A38" s="207"/>
      <c r="B38" s="207"/>
      <c r="C38" s="207"/>
    </row>
    <row r="39" spans="1:3" ht="12.75" customHeight="1" x14ac:dyDescent="0.2">
      <c r="A39" s="206" t="s">
        <v>639</v>
      </c>
      <c r="B39" s="206"/>
      <c r="C39" s="206"/>
    </row>
    <row r="40" spans="1:3" x14ac:dyDescent="0.2">
      <c r="A40" s="207"/>
      <c r="B40" s="207"/>
      <c r="C40" s="207"/>
    </row>
    <row r="41" spans="1:3" ht="39" customHeight="1" x14ac:dyDescent="0.2">
      <c r="A41" s="201" t="s">
        <v>640</v>
      </c>
      <c r="B41" s="201"/>
      <c r="C41" s="201"/>
    </row>
    <row r="42" spans="1:3" ht="15" x14ac:dyDescent="0.2">
      <c r="A42" s="155"/>
      <c r="B42" s="155"/>
      <c r="C42" s="155"/>
    </row>
    <row r="43" spans="1:3" ht="15" x14ac:dyDescent="0.25">
      <c r="A43" s="211" t="s">
        <v>641</v>
      </c>
      <c r="B43" s="211"/>
      <c r="C43" s="211"/>
    </row>
    <row r="44" spans="1:3" ht="77.25" customHeight="1" x14ac:dyDescent="0.2">
      <c r="A44" s="212" t="s">
        <v>642</v>
      </c>
      <c r="B44" s="212"/>
      <c r="C44" s="212"/>
    </row>
    <row r="45" spans="1:3" ht="19.5" customHeight="1" x14ac:dyDescent="0.2">
      <c r="A45" s="207"/>
      <c r="B45" s="207"/>
      <c r="C45" s="207"/>
    </row>
    <row r="46" spans="1:3" ht="79.5" customHeight="1" x14ac:dyDescent="0.2">
      <c r="A46" s="201" t="s">
        <v>643</v>
      </c>
      <c r="B46" s="201"/>
      <c r="C46" s="201"/>
    </row>
    <row r="47" spans="1:3" x14ac:dyDescent="0.2">
      <c r="A47" s="207"/>
      <c r="B47" s="207"/>
      <c r="C47" s="207"/>
    </row>
    <row r="48" spans="1:3" ht="49.5" customHeight="1" x14ac:dyDescent="0.2">
      <c r="A48" s="201" t="s">
        <v>644</v>
      </c>
      <c r="B48" s="201"/>
      <c r="C48" s="201"/>
    </row>
    <row r="49" spans="1:3" x14ac:dyDescent="0.2">
      <c r="A49" s="207"/>
      <c r="B49" s="207"/>
      <c r="C49" s="207"/>
    </row>
    <row r="50" spans="1:3" x14ac:dyDescent="0.2">
      <c r="A50" s="207"/>
      <c r="B50" s="207"/>
      <c r="C50" s="207"/>
    </row>
    <row r="51" spans="1:3" x14ac:dyDescent="0.2">
      <c r="A51" s="207"/>
      <c r="B51" s="207"/>
      <c r="C51" s="207"/>
    </row>
    <row r="52" spans="1:3" x14ac:dyDescent="0.2">
      <c r="A52" s="207"/>
      <c r="B52" s="207"/>
      <c r="C52" s="207"/>
    </row>
    <row r="53" spans="1:3" x14ac:dyDescent="0.2">
      <c r="A53" s="207"/>
      <c r="B53" s="207"/>
      <c r="C53" s="207"/>
    </row>
    <row r="54" spans="1:3" x14ac:dyDescent="0.2">
      <c r="A54" s="207"/>
      <c r="B54" s="207"/>
      <c r="C54" s="207"/>
    </row>
    <row r="55" spans="1:3" x14ac:dyDescent="0.2">
      <c r="A55" s="207"/>
      <c r="B55" s="207"/>
      <c r="C55" s="207"/>
    </row>
    <row r="56" spans="1:3" x14ac:dyDescent="0.2">
      <c r="A56" s="207"/>
      <c r="B56" s="207"/>
      <c r="C56" s="207"/>
    </row>
    <row r="57" spans="1:3" x14ac:dyDescent="0.2">
      <c r="A57" s="207"/>
      <c r="B57" s="207"/>
      <c r="C57" s="207"/>
    </row>
    <row r="58" spans="1:3" x14ac:dyDescent="0.2">
      <c r="A58" s="207"/>
      <c r="B58" s="207"/>
      <c r="C58" s="207"/>
    </row>
    <row r="59" spans="1:3" x14ac:dyDescent="0.2">
      <c r="A59" s="207"/>
      <c r="B59" s="207"/>
      <c r="C59" s="207"/>
    </row>
    <row r="60" spans="1:3" x14ac:dyDescent="0.2">
      <c r="A60" s="207"/>
      <c r="B60" s="207"/>
      <c r="C60" s="207"/>
    </row>
    <row r="61" spans="1:3" x14ac:dyDescent="0.2">
      <c r="A61" s="207"/>
      <c r="B61" s="207"/>
      <c r="C61" s="207"/>
    </row>
    <row r="62" spans="1:3" x14ac:dyDescent="0.2">
      <c r="A62" s="207"/>
      <c r="B62" s="207"/>
      <c r="C62" s="207"/>
    </row>
    <row r="63" spans="1:3" x14ac:dyDescent="0.2">
      <c r="A63" s="207"/>
      <c r="B63" s="207"/>
      <c r="C63" s="207"/>
    </row>
    <row r="64" spans="1:3" x14ac:dyDescent="0.2">
      <c r="A64" s="207"/>
      <c r="B64" s="207"/>
      <c r="C64" s="207"/>
    </row>
    <row r="65" spans="1:3" x14ac:dyDescent="0.2">
      <c r="A65" s="207"/>
      <c r="B65" s="207"/>
      <c r="C65" s="207"/>
    </row>
    <row r="66" spans="1:3" x14ac:dyDescent="0.2">
      <c r="A66" s="207"/>
      <c r="B66" s="207"/>
      <c r="C66" s="207"/>
    </row>
    <row r="67" spans="1:3" x14ac:dyDescent="0.2">
      <c r="A67" s="207"/>
      <c r="B67" s="207"/>
      <c r="C67" s="207"/>
    </row>
    <row r="68" spans="1:3" x14ac:dyDescent="0.2">
      <c r="A68" s="207"/>
      <c r="B68" s="207"/>
      <c r="C68" s="207"/>
    </row>
    <row r="69" spans="1:3" x14ac:dyDescent="0.2">
      <c r="A69" s="207"/>
      <c r="B69" s="207"/>
      <c r="C69" s="207"/>
    </row>
    <row r="70" spans="1:3" x14ac:dyDescent="0.2">
      <c r="A70" s="207"/>
      <c r="B70" s="207"/>
      <c r="C70" s="207"/>
    </row>
    <row r="71" spans="1:3" x14ac:dyDescent="0.2">
      <c r="A71" s="207"/>
      <c r="B71" s="207"/>
      <c r="C71" s="207"/>
    </row>
    <row r="72" spans="1:3" x14ac:dyDescent="0.2">
      <c r="A72" s="207"/>
      <c r="B72" s="207"/>
      <c r="C72" s="207"/>
    </row>
    <row r="73" spans="1:3" x14ac:dyDescent="0.2">
      <c r="A73" s="207"/>
      <c r="B73" s="207"/>
      <c r="C73" s="207"/>
    </row>
    <row r="74" spans="1:3" x14ac:dyDescent="0.2">
      <c r="A74" s="207"/>
      <c r="B74" s="207"/>
      <c r="C74" s="207"/>
    </row>
    <row r="75" spans="1:3" x14ac:dyDescent="0.2">
      <c r="A75" s="207"/>
      <c r="B75" s="207"/>
      <c r="C75" s="207"/>
    </row>
    <row r="76" spans="1:3" x14ac:dyDescent="0.2">
      <c r="A76" s="207"/>
      <c r="B76" s="207"/>
      <c r="C76" s="207"/>
    </row>
    <row r="77" spans="1:3" x14ac:dyDescent="0.2">
      <c r="A77" s="207"/>
      <c r="B77" s="207"/>
      <c r="C77" s="207"/>
    </row>
    <row r="78" spans="1:3" x14ac:dyDescent="0.2">
      <c r="A78" s="207"/>
      <c r="B78" s="207"/>
      <c r="C78" s="207"/>
    </row>
    <row r="79" spans="1:3" x14ac:dyDescent="0.2">
      <c r="A79" s="207"/>
      <c r="B79" s="207"/>
      <c r="C79" s="207"/>
    </row>
    <row r="80" spans="1:3" x14ac:dyDescent="0.2">
      <c r="A80" s="207"/>
      <c r="B80" s="207"/>
      <c r="C80" s="207"/>
    </row>
    <row r="81" spans="1:3" x14ac:dyDescent="0.2">
      <c r="A81" s="207"/>
      <c r="B81" s="207"/>
      <c r="C81" s="207"/>
    </row>
    <row r="82" spans="1:3" x14ac:dyDescent="0.2">
      <c r="A82" s="207"/>
      <c r="B82" s="207"/>
      <c r="C82" s="207"/>
    </row>
    <row r="83" spans="1:3" x14ac:dyDescent="0.2">
      <c r="A83" s="207"/>
      <c r="B83" s="207"/>
      <c r="C83" s="207"/>
    </row>
    <row r="84" spans="1:3" x14ac:dyDescent="0.2">
      <c r="A84" s="207"/>
      <c r="B84" s="207"/>
      <c r="C84" s="207"/>
    </row>
    <row r="85" spans="1:3" x14ac:dyDescent="0.2">
      <c r="A85" s="207"/>
      <c r="B85" s="207"/>
      <c r="C85" s="207"/>
    </row>
  </sheetData>
  <mergeCells count="79">
    <mergeCell ref="A85:C85"/>
    <mergeCell ref="A79:C79"/>
    <mergeCell ref="A80:C80"/>
    <mergeCell ref="A81:C81"/>
    <mergeCell ref="A82:C82"/>
    <mergeCell ref="A83:C83"/>
    <mergeCell ref="A84:C84"/>
    <mergeCell ref="A78:C78"/>
    <mergeCell ref="A67:C67"/>
    <mergeCell ref="A68:C68"/>
    <mergeCell ref="A69:C69"/>
    <mergeCell ref="A70:C70"/>
    <mergeCell ref="A71:C71"/>
    <mergeCell ref="A72:C72"/>
    <mergeCell ref="A73:C73"/>
    <mergeCell ref="A74:C74"/>
    <mergeCell ref="A75:C75"/>
    <mergeCell ref="A76:C76"/>
    <mergeCell ref="A77:C77"/>
    <mergeCell ref="A66:C66"/>
    <mergeCell ref="A55:C55"/>
    <mergeCell ref="A56:C56"/>
    <mergeCell ref="A57:C57"/>
    <mergeCell ref="A58:C58"/>
    <mergeCell ref="A59:C59"/>
    <mergeCell ref="A60:C60"/>
    <mergeCell ref="A61:C61"/>
    <mergeCell ref="A62:C62"/>
    <mergeCell ref="A63:C63"/>
    <mergeCell ref="A64:C64"/>
    <mergeCell ref="A65:C65"/>
    <mergeCell ref="A54:C54"/>
    <mergeCell ref="A43:C43"/>
    <mergeCell ref="A44:C44"/>
    <mergeCell ref="A45:C45"/>
    <mergeCell ref="A46:C46"/>
    <mergeCell ref="A47:C47"/>
    <mergeCell ref="A48:C48"/>
    <mergeCell ref="A49:C49"/>
    <mergeCell ref="A50:C50"/>
    <mergeCell ref="A51:C51"/>
    <mergeCell ref="A52:C52"/>
    <mergeCell ref="A53:C53"/>
    <mergeCell ref="A41:C41"/>
    <mergeCell ref="A30:C30"/>
    <mergeCell ref="A31:C31"/>
    <mergeCell ref="A32:C32"/>
    <mergeCell ref="A33:C33"/>
    <mergeCell ref="A34:C34"/>
    <mergeCell ref="A35:C35"/>
    <mergeCell ref="A36:C36"/>
    <mergeCell ref="A37:C37"/>
    <mergeCell ref="A38:C38"/>
    <mergeCell ref="A39:C39"/>
    <mergeCell ref="A40:C40"/>
    <mergeCell ref="A29:C29"/>
    <mergeCell ref="A18:C18"/>
    <mergeCell ref="A19:C19"/>
    <mergeCell ref="A20:C20"/>
    <mergeCell ref="A21:C21"/>
    <mergeCell ref="A22:C22"/>
    <mergeCell ref="A23:C23"/>
    <mergeCell ref="A24:C24"/>
    <mergeCell ref="A25:C25"/>
    <mergeCell ref="A26:C26"/>
    <mergeCell ref="A27:C27"/>
    <mergeCell ref="A28:C28"/>
    <mergeCell ref="A17:C17"/>
    <mergeCell ref="A2:C2"/>
    <mergeCell ref="A4:C4"/>
    <mergeCell ref="A5:C5"/>
    <mergeCell ref="A6:C6"/>
    <mergeCell ref="A7:C7"/>
    <mergeCell ref="A8:C8"/>
    <mergeCell ref="A10:B10"/>
    <mergeCell ref="A11:C11"/>
    <mergeCell ref="A12:B12"/>
    <mergeCell ref="A13:C13"/>
    <mergeCell ref="A16:C16"/>
  </mergeCells>
  <hyperlinks>
    <hyperlink ref="C1" location="Home_page" display="Back to_x000a_home page"/>
  </hyperlinks>
  <printOptions horizontalCentered="1"/>
  <pageMargins left="0.70866141732283472" right="0.70866141732283472" top="0.74803149606299213" bottom="0.74803149606299213" header="0.31496062992125984" footer="0.31496062992125984"/>
  <pageSetup paperSize="9" scale="8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313</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47</v>
      </c>
      <c r="E3" s="22">
        <v>50</v>
      </c>
      <c r="F3" s="22">
        <v>50</v>
      </c>
      <c r="G3" s="22">
        <v>45</v>
      </c>
      <c r="H3" s="22">
        <v>46</v>
      </c>
      <c r="I3" s="22">
        <v>49</v>
      </c>
      <c r="J3" s="22">
        <v>36</v>
      </c>
      <c r="K3" s="22">
        <v>43</v>
      </c>
      <c r="L3" s="22">
        <v>44</v>
      </c>
      <c r="M3" s="22">
        <v>43</v>
      </c>
      <c r="N3" s="22">
        <v>44</v>
      </c>
      <c r="O3" s="23">
        <f t="shared" ref="O3:O41" si="0">IF(N3=0,"",IFERROR(IF(AND(N3&gt;0,D3&lt;0),"na",IF(AND(N3&lt;0,D3&lt;0),-1,1)*(N3-D3)/D3),""))</f>
        <v>-6.3829787234042548E-2</v>
      </c>
      <c r="P3" s="23">
        <f>IF(N3=0,"",IFERROR(IF(AND(N3&gt;0,J3&lt;0),"na",IF(AND(N3&lt;0,J3&lt;0),-1,1)*(N3-J3)/J3),""))</f>
        <v>0.22222222222222221</v>
      </c>
    </row>
    <row r="4" spans="1:17" ht="18" customHeight="1" x14ac:dyDescent="0.2">
      <c r="A4" s="224"/>
      <c r="B4" s="24" t="s">
        <v>51</v>
      </c>
      <c r="C4" s="25"/>
      <c r="D4" s="26">
        <v>42272</v>
      </c>
      <c r="E4" s="26">
        <v>43238</v>
      </c>
      <c r="F4" s="26">
        <v>43790</v>
      </c>
      <c r="G4" s="26">
        <v>40369</v>
      </c>
      <c r="H4" s="26">
        <v>41051</v>
      </c>
      <c r="I4" s="26">
        <v>37831</v>
      </c>
      <c r="J4" s="26">
        <v>30580</v>
      </c>
      <c r="K4" s="26">
        <v>35259</v>
      </c>
      <c r="L4" s="26">
        <v>36341</v>
      </c>
      <c r="M4" s="26">
        <v>35886</v>
      </c>
      <c r="N4" s="26">
        <v>35354</v>
      </c>
      <c r="O4" s="23">
        <f t="shared" si="0"/>
        <v>-0.1636544284632854</v>
      </c>
      <c r="P4" s="23">
        <f t="shared" ref="P4:P41" si="1">IF(N4=0,"",IFERROR(IF(AND(N4&gt;0,J4&lt;0),"na",IF(AND(N4&lt;0,J4&lt;0),-1,1)*(N4-J4)/J4),""))</f>
        <v>0.15611510791366906</v>
      </c>
    </row>
    <row r="5" spans="1:17" ht="18" customHeight="1" x14ac:dyDescent="0.2">
      <c r="A5" s="224"/>
      <c r="B5" s="24" t="s">
        <v>52</v>
      </c>
      <c r="C5" s="25"/>
      <c r="D5" s="26">
        <v>17148</v>
      </c>
      <c r="E5" s="26">
        <v>17524</v>
      </c>
      <c r="F5" s="26">
        <v>18023</v>
      </c>
      <c r="G5" s="26">
        <v>16539</v>
      </c>
      <c r="H5" s="26">
        <v>16533</v>
      </c>
      <c r="I5" s="26">
        <v>15862</v>
      </c>
      <c r="J5" s="26">
        <v>12506</v>
      </c>
      <c r="K5" s="26">
        <v>14482</v>
      </c>
      <c r="L5" s="26">
        <v>15000</v>
      </c>
      <c r="M5" s="26">
        <v>14868</v>
      </c>
      <c r="N5" s="26">
        <v>14754</v>
      </c>
      <c r="O5" s="23">
        <f t="shared" si="0"/>
        <v>-0.13960811756473057</v>
      </c>
      <c r="P5" s="23">
        <f t="shared" si="1"/>
        <v>0.17975371821525668</v>
      </c>
      <c r="Q5" s="27"/>
    </row>
    <row r="6" spans="1:17" ht="18" customHeight="1" x14ac:dyDescent="0.2">
      <c r="A6" s="224"/>
      <c r="B6" s="24" t="s">
        <v>53</v>
      </c>
      <c r="C6" s="25"/>
      <c r="D6" s="26">
        <v>31255.375</v>
      </c>
      <c r="E6" s="26">
        <v>32067.490234375</v>
      </c>
      <c r="F6" s="26">
        <v>32558.64453125</v>
      </c>
      <c r="G6" s="26">
        <v>29673.14453125</v>
      </c>
      <c r="H6" s="26">
        <v>30120.4765625</v>
      </c>
      <c r="I6" s="26">
        <v>28606.150390625</v>
      </c>
      <c r="J6" s="26">
        <v>22551.802734375</v>
      </c>
      <c r="K6" s="26">
        <v>26204.484375</v>
      </c>
      <c r="L6" s="26">
        <v>27036.7734375</v>
      </c>
      <c r="M6" s="26">
        <v>26739.416015625</v>
      </c>
      <c r="N6" s="26">
        <v>26501.9453125</v>
      </c>
      <c r="O6" s="23">
        <f t="shared" si="0"/>
        <v>-0.15208359162224097</v>
      </c>
      <c r="P6" s="23">
        <f t="shared" si="1"/>
        <v>0.17515861701397034</v>
      </c>
    </row>
    <row r="7" spans="1:17" ht="18" customHeight="1" x14ac:dyDescent="0.2">
      <c r="A7" s="224"/>
      <c r="B7" s="24" t="s">
        <v>54</v>
      </c>
      <c r="C7" s="25"/>
      <c r="D7" s="26">
        <v>39648.8515625</v>
      </c>
      <c r="E7" s="26">
        <v>41560.11328125</v>
      </c>
      <c r="F7" s="26">
        <v>41846.328125</v>
      </c>
      <c r="G7" s="26">
        <v>39319.74609375</v>
      </c>
      <c r="H7" s="26">
        <v>41628.98046875</v>
      </c>
      <c r="I7" s="26">
        <v>50573.4609375</v>
      </c>
      <c r="J7" s="26">
        <v>40113.48046875</v>
      </c>
      <c r="K7" s="26">
        <v>43756.546875</v>
      </c>
      <c r="L7" s="26">
        <v>49764.796875</v>
      </c>
      <c r="M7" s="26">
        <v>47577.28125</v>
      </c>
      <c r="N7" s="26">
        <v>49672.62890625</v>
      </c>
      <c r="O7" s="23">
        <f t="shared" si="0"/>
        <v>0.25281381297889893</v>
      </c>
      <c r="P7" s="23">
        <f t="shared" si="1"/>
        <v>0.23830264354515329</v>
      </c>
    </row>
    <row r="8" spans="1:17" ht="18" customHeight="1" x14ac:dyDescent="0.2">
      <c r="A8" s="224"/>
      <c r="B8" s="24" t="s">
        <v>55</v>
      </c>
      <c r="C8" s="27"/>
      <c r="D8" s="28">
        <f ca="1">69.384952*OFFSET(D$112,MATCH($N$1,$C$112:$C$113,0)-1,0)</f>
        <v>69.384951999999998</v>
      </c>
      <c r="E8" s="28">
        <f ca="1">71.399416*OFFSET(E$112,MATCH($N$1,$C$112:$C$113,0)-1,0)</f>
        <v>71.399416000000002</v>
      </c>
      <c r="F8" s="28">
        <f ca="1">76.018728*OFFSET(F$112,MATCH($N$1,$C$112:$C$113,0)-1,0)</f>
        <v>76.018727999999996</v>
      </c>
      <c r="G8" s="28">
        <f ca="1">76.91932*OFFSET(G$112,MATCH($N$1,$C$112:$C$113,0)-1,0)</f>
        <v>76.919319999999999</v>
      </c>
      <c r="H8" s="28">
        <f ca="1">70.703536*OFFSET(H$112,MATCH($N$1,$C$112:$C$113,0)-1,0)</f>
        <v>70.703536</v>
      </c>
      <c r="I8" s="28">
        <f ca="1">79.692144*OFFSET(I$112,MATCH($N$1,$C$112:$C$113,0)-1,0)</f>
        <v>79.692143999999999</v>
      </c>
      <c r="J8" s="28">
        <f ca="1">67.464272*OFFSET(J$112,MATCH($N$1,$C$112:$C$113,0)-1,0)</f>
        <v>67.464271999999994</v>
      </c>
      <c r="K8" s="28">
        <f ca="1">71.60136*OFFSET(K$112,MATCH($N$1,$C$112:$C$113,0)-1,0)</f>
        <v>71.60136</v>
      </c>
      <c r="L8" s="28">
        <f ca="1">88.912848*OFFSET(L$112,MATCH($N$1,$C$112:$C$113,0)-1,0)</f>
        <v>88.912847999999997</v>
      </c>
      <c r="M8" s="28">
        <f ca="1">91.896656*OFFSET(M$112,MATCH($N$1,$C$112:$C$113,0)-1,0)</f>
        <v>91.896655999999993</v>
      </c>
      <c r="N8" s="28">
        <v>96.213399999999993</v>
      </c>
      <c r="O8" s="23">
        <f t="shared" ca="1" si="0"/>
        <v>0.38666090019057725</v>
      </c>
      <c r="P8" s="23">
        <f t="shared" ca="1" si="1"/>
        <v>0.42613856412769119</v>
      </c>
    </row>
    <row r="9" spans="1:17" ht="18" customHeight="1" x14ac:dyDescent="0.2">
      <c r="A9" s="224"/>
      <c r="B9" s="24" t="s">
        <v>56</v>
      </c>
      <c r="C9" s="27"/>
      <c r="D9" s="26">
        <v>10646</v>
      </c>
      <c r="E9" s="26">
        <v>11384</v>
      </c>
      <c r="F9" s="26">
        <v>11044</v>
      </c>
      <c r="G9" s="26">
        <v>9800</v>
      </c>
      <c r="H9" s="26">
        <v>9216</v>
      </c>
      <c r="I9" s="26">
        <v>9630</v>
      </c>
      <c r="J9" s="26">
        <v>7752</v>
      </c>
      <c r="K9" s="26">
        <v>8957</v>
      </c>
      <c r="L9" s="26">
        <v>9082</v>
      </c>
      <c r="M9" s="26">
        <v>8401</v>
      </c>
      <c r="N9" s="26">
        <v>9840</v>
      </c>
      <c r="O9" s="23">
        <f t="shared" si="0"/>
        <v>-7.5709186548938573E-2</v>
      </c>
      <c r="P9" s="23">
        <f t="shared" si="1"/>
        <v>0.26934984520123839</v>
      </c>
    </row>
    <row r="10" spans="1:17" ht="18" customHeight="1" x14ac:dyDescent="0.2">
      <c r="A10" s="224"/>
      <c r="B10" s="24" t="s">
        <v>57</v>
      </c>
      <c r="C10" s="27"/>
      <c r="D10" s="26"/>
      <c r="E10" s="26">
        <v>379.09317016601562</v>
      </c>
      <c r="F10" s="26">
        <v>825.9102783203125</v>
      </c>
      <c r="G10" s="26">
        <v>812.86614990234375</v>
      </c>
      <c r="H10" s="26">
        <v>722.96435546875</v>
      </c>
      <c r="I10" s="26">
        <v>647.4659423828125</v>
      </c>
      <c r="J10" s="26">
        <v>617.35784912109375</v>
      </c>
      <c r="K10" s="26">
        <v>419.14959716796875</v>
      </c>
      <c r="L10" s="26">
        <v>527.78656005859375</v>
      </c>
      <c r="M10" s="26">
        <v>640.909912109375</v>
      </c>
      <c r="N10" s="26">
        <v>518.353759765625</v>
      </c>
      <c r="O10" s="29" t="str">
        <f t="shared" si="0"/>
        <v/>
      </c>
      <c r="P10" s="29">
        <f t="shared" si="1"/>
        <v>-0.16036742627702341</v>
      </c>
    </row>
    <row r="11" spans="1:17" ht="18" customHeight="1" x14ac:dyDescent="0.2">
      <c r="A11" s="225" t="s">
        <v>23</v>
      </c>
      <c r="B11" s="30" t="s">
        <v>58</v>
      </c>
      <c r="C11" s="31"/>
      <c r="D11" s="32">
        <v>30.399148941040039</v>
      </c>
      <c r="E11" s="32">
        <v>29.790000915527344</v>
      </c>
      <c r="F11" s="32">
        <v>30.224599838256836</v>
      </c>
      <c r="G11" s="32">
        <v>29.906221389770508</v>
      </c>
      <c r="H11" s="32">
        <v>29.884347915649414</v>
      </c>
      <c r="I11" s="32">
        <v>28.813264846801758</v>
      </c>
      <c r="J11" s="32">
        <v>29.198610305786133</v>
      </c>
      <c r="K11" s="32">
        <v>29.048837661743164</v>
      </c>
      <c r="L11" s="32">
        <v>29.227500915527344</v>
      </c>
      <c r="M11" s="32">
        <v>29.306976318359375</v>
      </c>
      <c r="N11" s="32">
        <v>28.938180923461914</v>
      </c>
      <c r="O11" s="23">
        <f t="shared" si="0"/>
        <v>-4.8059503916103426E-2</v>
      </c>
      <c r="P11" s="23">
        <f t="shared" si="1"/>
        <v>-8.9192389499650557E-3</v>
      </c>
    </row>
    <row r="12" spans="1:17" ht="18" customHeight="1" x14ac:dyDescent="0.2">
      <c r="A12" s="226"/>
      <c r="B12" s="33" t="s">
        <v>51</v>
      </c>
      <c r="C12" s="25"/>
      <c r="D12" s="26">
        <v>899.40423583984375</v>
      </c>
      <c r="E12" s="26">
        <v>864.760009765625</v>
      </c>
      <c r="F12" s="26">
        <v>875.79998779296875</v>
      </c>
      <c r="G12" s="26">
        <v>897.0888671875</v>
      </c>
      <c r="H12" s="26">
        <v>892.41302490234375</v>
      </c>
      <c r="I12" s="26">
        <v>772.06121826171875</v>
      </c>
      <c r="J12" s="26">
        <v>849.4444580078125</v>
      </c>
      <c r="K12" s="26">
        <v>819.97674560546875</v>
      </c>
      <c r="L12" s="26">
        <v>825.93182373046875</v>
      </c>
      <c r="M12" s="26">
        <v>834.55816650390625</v>
      </c>
      <c r="N12" s="26">
        <v>803.5</v>
      </c>
      <c r="O12" s="23">
        <f t="shared" si="0"/>
        <v>-0.10663084741900343</v>
      </c>
      <c r="P12" s="23">
        <f t="shared" si="1"/>
        <v>-5.4087654083429124E-2</v>
      </c>
    </row>
    <row r="13" spans="1:17" ht="18" customHeight="1" x14ac:dyDescent="0.2">
      <c r="A13" s="226"/>
      <c r="B13" s="33" t="s">
        <v>52</v>
      </c>
      <c r="C13" s="25"/>
      <c r="D13" s="26">
        <v>364.85107421875</v>
      </c>
      <c r="E13" s="26">
        <v>350.48001098632812</v>
      </c>
      <c r="F13" s="26">
        <v>360.45999145507812</v>
      </c>
      <c r="G13" s="26">
        <v>367.5333251953125</v>
      </c>
      <c r="H13" s="26">
        <v>359.41305541992187</v>
      </c>
      <c r="I13" s="26">
        <v>323.71429443359375</v>
      </c>
      <c r="J13" s="26">
        <v>347.38888549804687</v>
      </c>
      <c r="K13" s="26">
        <v>336.79071044921875</v>
      </c>
      <c r="L13" s="26">
        <v>340.90908813476562</v>
      </c>
      <c r="M13" s="26">
        <v>345.7674560546875</v>
      </c>
      <c r="N13" s="26">
        <v>335.31817626953125</v>
      </c>
      <c r="O13" s="23">
        <f t="shared" si="0"/>
        <v>-8.094507604906219E-2</v>
      </c>
      <c r="P13" s="23">
        <f t="shared" si="1"/>
        <v>-3.4746964374551041E-2</v>
      </c>
    </row>
    <row r="14" spans="1:17" ht="18" customHeight="1" x14ac:dyDescent="0.2">
      <c r="A14" s="226"/>
      <c r="B14" s="33" t="s">
        <v>53</v>
      </c>
      <c r="C14" s="25"/>
      <c r="D14" s="26">
        <v>665.00799560546875</v>
      </c>
      <c r="E14" s="26">
        <v>641.34979248046875</v>
      </c>
      <c r="F14" s="26">
        <v>651.1728515625</v>
      </c>
      <c r="G14" s="26">
        <v>659.4031982421875</v>
      </c>
      <c r="H14" s="26">
        <v>654.79296875</v>
      </c>
      <c r="I14" s="26">
        <v>583.79901123046875</v>
      </c>
      <c r="J14" s="26">
        <v>626.43896484375</v>
      </c>
      <c r="K14" s="26">
        <v>609.4066162109375</v>
      </c>
      <c r="L14" s="26">
        <v>614.47210693359375</v>
      </c>
      <c r="M14" s="26">
        <v>621.84686279296875</v>
      </c>
      <c r="N14" s="26">
        <v>602.31695556640625</v>
      </c>
      <c r="O14" s="23">
        <f t="shared" si="0"/>
        <v>-9.4271107194710185E-2</v>
      </c>
      <c r="P14" s="23">
        <f t="shared" si="1"/>
        <v>-3.8506559507134747E-2</v>
      </c>
    </row>
    <row r="15" spans="1:17" ht="18" customHeight="1" x14ac:dyDescent="0.2">
      <c r="A15" s="226"/>
      <c r="B15" s="33" t="s">
        <v>54</v>
      </c>
      <c r="C15" s="27"/>
      <c r="D15" s="28">
        <v>843.59259033203125</v>
      </c>
      <c r="E15" s="28">
        <v>831.2022705078125</v>
      </c>
      <c r="F15" s="28">
        <v>836.92657470703125</v>
      </c>
      <c r="G15" s="28">
        <v>873.77215576171875</v>
      </c>
      <c r="H15" s="28">
        <v>904.97784423828125</v>
      </c>
      <c r="I15" s="28">
        <v>1032.1114501953125</v>
      </c>
      <c r="J15" s="28">
        <v>1114.2633056640625</v>
      </c>
      <c r="K15" s="28">
        <v>1017.5941162109375</v>
      </c>
      <c r="L15" s="28">
        <v>1131.01806640625</v>
      </c>
      <c r="M15" s="28">
        <v>1106.448486328125</v>
      </c>
      <c r="N15" s="28">
        <v>1128.92333984375</v>
      </c>
      <c r="O15" s="23">
        <f t="shared" si="0"/>
        <v>0.33823287779165401</v>
      </c>
      <c r="P15" s="23">
        <f t="shared" si="1"/>
        <v>1.3156705515803219E-2</v>
      </c>
    </row>
    <row r="16" spans="1:17" ht="18" customHeight="1" x14ac:dyDescent="0.2">
      <c r="A16" s="226"/>
      <c r="B16" s="33" t="s">
        <v>59</v>
      </c>
      <c r="C16" s="27"/>
      <c r="D16" s="28">
        <f ca="1">1476.2755*OFFSET(D$112,MATCH($N$1,$C$112:$C$113,0)-1,0)</f>
        <v>1476.2755</v>
      </c>
      <c r="E16" s="28">
        <f ca="1">1427.98825*OFFSET(E$112,MATCH($N$1,$C$112:$C$113,0)-1,0)</f>
        <v>1427.9882500000001</v>
      </c>
      <c r="F16" s="28">
        <f ca="1">1520.374625*OFFSET(F$112,MATCH($N$1,$C$112:$C$113,0)-1,0)</f>
        <v>1520.3746249999999</v>
      </c>
      <c r="G16" s="28">
        <f ca="1">1709.31825*OFFSET(G$112,MATCH($N$1,$C$112:$C$113,0)-1,0)</f>
        <v>1709.31825</v>
      </c>
      <c r="H16" s="28">
        <f ca="1">1537.033375*OFFSET(H$112,MATCH($N$1,$C$112:$C$113,0)-1,0)</f>
        <v>1537.033375</v>
      </c>
      <c r="I16" s="28">
        <f ca="1">1626.37025*OFFSET(I$112,MATCH($N$1,$C$112:$C$113,0)-1,0)</f>
        <v>1626.3702499999999</v>
      </c>
      <c r="J16" s="28">
        <f ca="1">1874.007625*OFFSET(J$112,MATCH($N$1,$C$112:$C$113,0)-1,0)</f>
        <v>1874.007625</v>
      </c>
      <c r="K16" s="28">
        <f ca="1">1665.148*OFFSET(K$112,MATCH($N$1,$C$112:$C$113,0)-1,0)</f>
        <v>1665.1479999999999</v>
      </c>
      <c r="L16" s="28">
        <f ca="1">2020.746625*OFFSET(L$112,MATCH($N$1,$C$112:$C$113,0)-1,0)</f>
        <v>2020.746625</v>
      </c>
      <c r="M16" s="28">
        <f ca="1">2137.1315*OFFSET(M$112,MATCH($N$1,$C$112:$C$113,0)-1,0)</f>
        <v>2137.1315</v>
      </c>
      <c r="N16" s="28">
        <v>2186.6680000000001</v>
      </c>
      <c r="O16" s="23">
        <f t="shared" ca="1" si="0"/>
        <v>0.4812059131239394</v>
      </c>
      <c r="P16" s="23">
        <f t="shared" ca="1" si="1"/>
        <v>0.16684050311694978</v>
      </c>
    </row>
    <row r="17" spans="1:16" ht="18" customHeight="1" x14ac:dyDescent="0.2">
      <c r="A17" s="226"/>
      <c r="B17" s="33" t="s">
        <v>56</v>
      </c>
      <c r="C17" s="25"/>
      <c r="D17" s="26">
        <v>226.51063537597656</v>
      </c>
      <c r="E17" s="26">
        <v>227.67999267578125</v>
      </c>
      <c r="F17" s="26">
        <v>220.8800048828125</v>
      </c>
      <c r="G17" s="26">
        <v>217.77777099609375</v>
      </c>
      <c r="H17" s="26">
        <v>200.34782409667969</v>
      </c>
      <c r="I17" s="26">
        <v>196.53060913085937</v>
      </c>
      <c r="J17" s="26">
        <v>215.33332824707031</v>
      </c>
      <c r="K17" s="26">
        <v>208.30232238769531</v>
      </c>
      <c r="L17" s="26">
        <v>206.40908813476562</v>
      </c>
      <c r="M17" s="26">
        <v>195.37208557128906</v>
      </c>
      <c r="N17" s="26">
        <v>223.63636779785156</v>
      </c>
      <c r="O17" s="23">
        <f t="shared" si="0"/>
        <v>-1.2689327251032211E-2</v>
      </c>
      <c r="P17" s="23">
        <f t="shared" si="1"/>
        <v>3.8559008112550343E-2</v>
      </c>
    </row>
    <row r="18" spans="1:16" ht="18" customHeight="1" x14ac:dyDescent="0.2">
      <c r="A18" s="226"/>
      <c r="B18" s="33" t="s">
        <v>60</v>
      </c>
      <c r="C18" s="25"/>
      <c r="D18" s="26">
        <v>15.212765693664551</v>
      </c>
      <c r="E18" s="26">
        <v>15.800000190734863</v>
      </c>
      <c r="F18" s="26">
        <v>17.319999694824219</v>
      </c>
      <c r="G18" s="26">
        <v>17.022222518920898</v>
      </c>
      <c r="H18" s="26">
        <v>18.326086044311523</v>
      </c>
      <c r="I18" s="26">
        <v>21.408163070678711</v>
      </c>
      <c r="J18" s="26">
        <v>20.80555534362793</v>
      </c>
      <c r="K18" s="26">
        <v>21.418603897094727</v>
      </c>
      <c r="L18" s="26">
        <v>21.977272033691406</v>
      </c>
      <c r="M18" s="26">
        <v>21.139533996582031</v>
      </c>
      <c r="N18" s="26">
        <v>22.227272033691406</v>
      </c>
      <c r="O18" s="23">
        <f t="shared" si="0"/>
        <v>0.46109343174516187</v>
      </c>
      <c r="P18" s="23">
        <f t="shared" si="1"/>
        <v>6.8333513169063401E-2</v>
      </c>
    </row>
    <row r="19" spans="1:16" ht="18" customHeight="1" x14ac:dyDescent="0.2">
      <c r="A19" s="226"/>
      <c r="B19" s="33" t="s">
        <v>61</v>
      </c>
      <c r="C19" s="25"/>
      <c r="D19" s="34">
        <v>3.7242956161499023</v>
      </c>
      <c r="E19" s="34">
        <v>3.6507480144500732</v>
      </c>
      <c r="F19" s="34">
        <v>3.789055347442627</v>
      </c>
      <c r="G19" s="34">
        <v>4.0122194290161133</v>
      </c>
      <c r="H19" s="34">
        <v>4.517033576965332</v>
      </c>
      <c r="I19" s="34">
        <v>5.2516574859619141</v>
      </c>
      <c r="J19" s="34">
        <v>5.1745977401733398</v>
      </c>
      <c r="K19" s="34">
        <v>4.8851790428161621</v>
      </c>
      <c r="L19" s="34">
        <v>5.4794974327087402</v>
      </c>
      <c r="M19" s="34">
        <v>5.6632885932922363</v>
      </c>
      <c r="N19" s="34">
        <v>5.0480313301086426</v>
      </c>
      <c r="O19" s="23">
        <f t="shared" si="0"/>
        <v>0.35543250332184695</v>
      </c>
      <c r="P19" s="23">
        <f t="shared" si="1"/>
        <v>-2.4459178552583977E-2</v>
      </c>
    </row>
    <row r="20" spans="1:16" ht="18" customHeight="1" x14ac:dyDescent="0.2">
      <c r="A20" s="227"/>
      <c r="B20" s="35" t="s">
        <v>24</v>
      </c>
      <c r="C20" s="36"/>
      <c r="D20" s="37">
        <f ca="1">1750*OFFSET(D$112,MATCH($N$1,$C$112:$C$113,0)-1,0)</f>
        <v>1750</v>
      </c>
      <c r="E20" s="37">
        <f ca="1">1718*OFFSET(E$112,MATCH($N$1,$C$112:$C$113,0)-1,0)</f>
        <v>1718</v>
      </c>
      <c r="F20" s="37">
        <f ca="1">1817*OFFSET(F$112,MATCH($N$1,$C$112:$C$113,0)-1,0)</f>
        <v>1817</v>
      </c>
      <c r="G20" s="37">
        <f ca="1">1956*OFFSET(G$112,MATCH($N$1,$C$112:$C$113,0)-1,0)</f>
        <v>1956</v>
      </c>
      <c r="H20" s="37">
        <f ca="1">1698*OFFSET(H$112,MATCH($N$1,$C$112:$C$113,0)-1,0)</f>
        <v>1698</v>
      </c>
      <c r="I20" s="37">
        <f ca="1">1576*OFFSET(I$112,MATCH($N$1,$C$112:$C$113,0)-1,0)</f>
        <v>1576</v>
      </c>
      <c r="J20" s="37">
        <f ca="1">1682*OFFSET(J$112,MATCH($N$1,$C$112:$C$113,0)-1,0)</f>
        <v>1682</v>
      </c>
      <c r="K20" s="37">
        <f ca="1">1636*OFFSET(K$112,MATCH($N$1,$C$112:$C$113,0)-1,0)</f>
        <v>1636</v>
      </c>
      <c r="L20" s="37">
        <f ca="1">1787*OFFSET(L$112,MATCH($N$1,$C$112:$C$113,0)-1,0)</f>
        <v>1787</v>
      </c>
      <c r="M20" s="37">
        <f ca="1">1932*OFFSET(M$112,MATCH($N$1,$C$112:$C$113,0)-1,0)</f>
        <v>1932</v>
      </c>
      <c r="N20" s="37">
        <v>1937</v>
      </c>
      <c r="O20" s="29">
        <f t="shared" ca="1" si="0"/>
        <v>0.10685714285714286</v>
      </c>
      <c r="P20" s="29">
        <f t="shared" ca="1" si="1"/>
        <v>0.1516052318668252</v>
      </c>
    </row>
    <row r="21" spans="1:16" ht="18" customHeight="1" x14ac:dyDescent="0.2">
      <c r="A21" s="228" t="s">
        <v>25</v>
      </c>
      <c r="B21" s="30" t="s">
        <v>62</v>
      </c>
      <c r="C21" s="38"/>
      <c r="D21" s="39">
        <v>4.1161663001515034</v>
      </c>
      <c r="E21" s="39">
        <v>4.0991386854848484</v>
      </c>
      <c r="F21" s="39">
        <v>4.1426064546934214</v>
      </c>
      <c r="G21" s="39">
        <v>4.2001505743402552</v>
      </c>
      <c r="H21" s="39">
        <v>4.9244921370931571</v>
      </c>
      <c r="I21" s="39">
        <v>6.536627684064257</v>
      </c>
      <c r="J21" s="39">
        <v>5.9072879949506349</v>
      </c>
      <c r="K21" s="39">
        <v>5.7053870655541958</v>
      </c>
      <c r="L21" s="39">
        <v>6.2341197585729624</v>
      </c>
      <c r="M21" s="39">
        <v>6.4940021155827719</v>
      </c>
      <c r="N21" s="39">
        <v>5.9872477076232125</v>
      </c>
      <c r="O21" s="23">
        <f t="shared" si="0"/>
        <v>0.45456895349511034</v>
      </c>
      <c r="P21" s="23">
        <f t="shared" si="1"/>
        <v>1.3535773563253488E-2</v>
      </c>
    </row>
    <row r="22" spans="1:16" ht="18" customHeight="1" x14ac:dyDescent="0.2">
      <c r="A22" s="228"/>
      <c r="B22" s="33" t="s">
        <v>63</v>
      </c>
      <c r="C22" s="25"/>
      <c r="D22" s="34">
        <f ca="1">7.20323475156131*OFFSET(D$112,MATCH($N$1,$C$112:$C$113,0)-1,0)</f>
        <v>7.2032347515613102</v>
      </c>
      <c r="E22" s="34">
        <f ca="1">7.04223518833349*OFFSET(E$112,MATCH($N$1,$C$112:$C$113,0)-1,0)</f>
        <v>7.0422351883334899</v>
      </c>
      <c r="F22" s="34">
        <f ca="1">7.52552723909124*OFFSET(F$112,MATCH($N$1,$C$112:$C$113,0)-1,0)</f>
        <v>7.5255272390912404</v>
      </c>
      <c r="G22" s="34">
        <f ca="1">8.21655162862117*OFFSET(G$112,MATCH($N$1,$C$112:$C$113,0)-1,0)</f>
        <v>8.2165516286211702</v>
      </c>
      <c r="H22" s="34">
        <f ca="1">8.3638608589453*OFFSET(H$112,MATCH($N$1,$C$112:$C$113,0)-1,0)</f>
        <v>8.3638608589452996</v>
      </c>
      <c r="I22" s="34">
        <f ca="1">10.3002217431817*OFFSET(I$112,MATCH($N$1,$C$112:$C$113,0)-1,0)</f>
        <v>10.3002217431817</v>
      </c>
      <c r="J22" s="34">
        <f ca="1">9.93508687698455*OFFSET(J$112,MATCH($N$1,$C$112:$C$113,0)-1,0)</f>
        <v>9.9350868769845508</v>
      </c>
      <c r="K22" s="34">
        <f ca="1">9.33605423821467*OFFSET(K$112,MATCH($N$1,$C$112:$C$113,0)-1,0)</f>
        <v>9.3360542382146701</v>
      </c>
      <c r="L22" s="34">
        <f ca="1">11.1382628060136*OFFSET(L$112,MATCH($N$1,$C$112:$C$113,0)-1,0)</f>
        <v>11.1382628060136</v>
      </c>
      <c r="M22" s="34">
        <f ca="1">12.5433191456894*OFFSET(M$112,MATCH($N$1,$C$112:$C$113,0)-1,0)</f>
        <v>12.5433191456894</v>
      </c>
      <c r="N22" s="34">
        <v>11.596999112574878</v>
      </c>
      <c r="O22" s="23">
        <f t="shared" ca="1" si="0"/>
        <v>0.60997100782550695</v>
      </c>
      <c r="P22" s="23">
        <f t="shared" ca="1" si="1"/>
        <v>0.16727707126953101</v>
      </c>
    </row>
    <row r="23" spans="1:16" ht="18" customHeight="1" x14ac:dyDescent="0.2">
      <c r="A23" s="228"/>
      <c r="B23" s="33" t="s">
        <v>11</v>
      </c>
      <c r="C23" s="25"/>
      <c r="D23" s="34">
        <f ca="1">6.90661569241194*OFFSET(D$112,MATCH($N$1,$C$112:$C$113,0)-1,0)</f>
        <v>6.9066156924119397</v>
      </c>
      <c r="E23" s="34">
        <f ca="1">6.29439572510029*OFFSET(E$112,MATCH($N$1,$C$112:$C$113,0)-1,0)</f>
        <v>6.2943957251002898</v>
      </c>
      <c r="F23" s="34">
        <f ca="1">6.99864008529098*OFFSET(F$112,MATCH($N$1,$C$112:$C$113,0)-1,0)</f>
        <v>6.9986400852909796</v>
      </c>
      <c r="G23" s="34">
        <f ca="1">7.77933911420229*OFFSET(G$112,MATCH($N$1,$C$112:$C$113,0)-1,0)</f>
        <v>7.7793391142022896</v>
      </c>
      <c r="H23" s="34">
        <f ca="1">8.31474044051647*OFFSET(H$112,MATCH($N$1,$C$112:$C$113,0)-1,0)</f>
        <v>8.31474044051647</v>
      </c>
      <c r="I23" s="34">
        <f ca="1">9.6929422226805*OFFSET(I$112,MATCH($N$1,$C$112:$C$113,0)-1,0)</f>
        <v>9.6929422226805002</v>
      </c>
      <c r="J23" s="34">
        <f ca="1">9.16163991553355*OFFSET(J$112,MATCH($N$1,$C$112:$C$113,0)-1,0)</f>
        <v>9.1616399155335504</v>
      </c>
      <c r="K23" s="34">
        <f ca="1">8.35166888162154*OFFSET(K$112,MATCH($N$1,$C$112:$C$113,0)-1,0)</f>
        <v>8.3516688816215403</v>
      </c>
      <c r="L23" s="34">
        <f ca="1">9.53062441742305*OFFSET(L$112,MATCH($N$1,$C$112:$C$113,0)-1,0)</f>
        <v>9.5306244174230503</v>
      </c>
      <c r="M23" s="34">
        <f ca="1">10.8260719784188*OFFSET(M$112,MATCH($N$1,$C$112:$C$113,0)-1,0)</f>
        <v>10.826071978418801</v>
      </c>
      <c r="N23" s="34">
        <v>10.28322385329783</v>
      </c>
      <c r="O23" s="23">
        <f t="shared" ca="1" si="0"/>
        <v>0.48889475124490467</v>
      </c>
      <c r="P23" s="23">
        <f t="shared" ca="1" si="1"/>
        <v>0.12242174415331861</v>
      </c>
    </row>
    <row r="24" spans="1:16" ht="18" customHeight="1" x14ac:dyDescent="0.2">
      <c r="A24" s="228"/>
      <c r="B24" s="33" t="s">
        <v>12</v>
      </c>
      <c r="C24" s="25"/>
      <c r="D24" s="34">
        <f ca="1">0.666312025809214*OFFSET(D$112,MATCH($N$1,$C$112:$C$113,0)-1,0)</f>
        <v>0.666312025809214</v>
      </c>
      <c r="E24" s="34">
        <f ca="1">0.808739464820551*OFFSET(E$112,MATCH($N$1,$C$112:$C$113,0)-1,0)</f>
        <v>0.80873946482055104</v>
      </c>
      <c r="F24" s="34">
        <f ca="1">0.770495956837876*OFFSET(F$112,MATCH($N$1,$C$112:$C$113,0)-1,0)</f>
        <v>0.77049595683787597</v>
      </c>
      <c r="G24" s="34">
        <f ca="1">0.635520595913549*OFFSET(G$112,MATCH($N$1,$C$112:$C$113,0)-1,0)</f>
        <v>0.63552059591354904</v>
      </c>
      <c r="H24" s="34">
        <f ca="1">0.492975539928262*OFFSET(H$112,MATCH($N$1,$C$112:$C$113,0)-1,0)</f>
        <v>0.49297553992826199</v>
      </c>
      <c r="I24" s="34">
        <f ca="1">0.931577068224226*OFFSET(I$112,MATCH($N$1,$C$112:$C$113,0)-1,0)</f>
        <v>0.93157706822422603</v>
      </c>
      <c r="J24" s="34">
        <f ca="1">1.32266270113052*OFFSET(J$112,MATCH($N$1,$C$112:$C$113,0)-1,0)</f>
        <v>1.3226627011305201</v>
      </c>
      <c r="K24" s="34">
        <f ca="1">1.30422319035851*OFFSET(K$112,MATCH($N$1,$C$112:$C$113,0)-1,0)</f>
        <v>1.30422319035851</v>
      </c>
      <c r="L24" s="34">
        <f ca="1">2.07764362580824*OFFSET(L$112,MATCH($N$1,$C$112:$C$113,0)-1,0)</f>
        <v>2.07764362580824</v>
      </c>
      <c r="M24" s="34">
        <f ca="1">2.15959760550035*OFFSET(M$112,MATCH($N$1,$C$112:$C$113,0)-1,0)</f>
        <v>2.1595976055003501</v>
      </c>
      <c r="N24" s="34">
        <v>1.722752945370527</v>
      </c>
      <c r="O24" s="23">
        <f t="shared" ca="1" si="0"/>
        <v>1.5855048065180881</v>
      </c>
      <c r="P24" s="23">
        <f t="shared" ca="1" si="1"/>
        <v>0.3024884907528107</v>
      </c>
    </row>
    <row r="25" spans="1:16" ht="18" customHeight="1" x14ac:dyDescent="0.2">
      <c r="A25" s="228"/>
      <c r="B25" s="33" t="s">
        <v>64</v>
      </c>
      <c r="C25" s="25"/>
      <c r="D25" s="28"/>
      <c r="E25" s="28">
        <f ca="1">188.34*OFFSET(E$112,MATCH($N$1,$C$112:$C$113,0)-1,0)</f>
        <v>188.34</v>
      </c>
      <c r="F25" s="28">
        <f ca="1">92.04*OFFSET(F$112,MATCH($N$1,$C$112:$C$113,0)-1,0)</f>
        <v>92.04</v>
      </c>
      <c r="G25" s="28">
        <f ca="1">94.63*OFFSET(G$112,MATCH($N$1,$C$112:$C$113,0)-1,0)</f>
        <v>94.63</v>
      </c>
      <c r="H25" s="28">
        <f ca="1">97.79*OFFSET(H$112,MATCH($N$1,$C$112:$C$113,0)-1,0)</f>
        <v>97.79</v>
      </c>
      <c r="I25" s="28">
        <f ca="1">123.09*OFFSET(I$112,MATCH($N$1,$C$112:$C$113,0)-1,0)</f>
        <v>123.09</v>
      </c>
      <c r="J25" s="28">
        <f ca="1">109.28*OFFSET(J$112,MATCH($N$1,$C$112:$C$113,0)-1,0)</f>
        <v>109.28</v>
      </c>
      <c r="K25" s="28">
        <f ca="1">170.82*OFFSET(K$112,MATCH($N$1,$C$112:$C$113,0)-1,0)</f>
        <v>170.82</v>
      </c>
      <c r="L25" s="28">
        <f ca="1">168.46*OFFSET(L$112,MATCH($N$1,$C$112:$C$113,0)-1,0)</f>
        <v>168.46</v>
      </c>
      <c r="M25" s="28">
        <f ca="1">143.38*OFFSET(M$112,MATCH($N$1,$C$112:$C$113,0)-1,0)</f>
        <v>143.38</v>
      </c>
      <c r="N25" s="28">
        <v>185.62</v>
      </c>
      <c r="O25" s="23" t="str">
        <f t="shared" si="0"/>
        <v/>
      </c>
      <c r="P25" s="23">
        <f t="shared" ca="1" si="1"/>
        <v>0.69857247437774528</v>
      </c>
    </row>
    <row r="26" spans="1:16" ht="18" customHeight="1" x14ac:dyDescent="0.2">
      <c r="A26" s="229"/>
      <c r="B26" s="33" t="s">
        <v>65</v>
      </c>
      <c r="C26" s="40"/>
      <c r="D26" s="28"/>
      <c r="E26" s="28">
        <f ca="1">21.63*OFFSET(E$112,MATCH($N$1,$C$112:$C$113,0)-1,0)</f>
        <v>21.63</v>
      </c>
      <c r="F26" s="28">
        <f ca="1">9.43*OFFSET(F$112,MATCH($N$1,$C$112:$C$113,0)-1,0)</f>
        <v>9.43</v>
      </c>
      <c r="G26" s="28">
        <f ca="1">7.32*OFFSET(G$112,MATCH($N$1,$C$112:$C$113,0)-1,0)</f>
        <v>7.32</v>
      </c>
      <c r="H26" s="28">
        <f ca="1">5.76*OFFSET(H$112,MATCH($N$1,$C$112:$C$113,0)-1,0)</f>
        <v>5.76</v>
      </c>
      <c r="I26" s="28">
        <f ca="1">11.13*OFFSET(I$112,MATCH($N$1,$C$112:$C$113,0)-1,0)</f>
        <v>11.13</v>
      </c>
      <c r="J26" s="28">
        <f ca="1">14.55*OFFSET(J$112,MATCH($N$1,$C$112:$C$113,0)-1,0)</f>
        <v>14.55</v>
      </c>
      <c r="K26" s="28">
        <f ca="1">23.86*OFFSET(K$112,MATCH($N$1,$C$112:$C$113,0)-1,0)</f>
        <v>23.86</v>
      </c>
      <c r="L26" s="28">
        <f ca="1">31.42*OFFSET(L$112,MATCH($N$1,$C$112:$C$113,0)-1,0)</f>
        <v>31.42</v>
      </c>
      <c r="M26" s="28">
        <f ca="1">24.69*OFFSET(M$112,MATCH($N$1,$C$112:$C$113,0)-1,0)</f>
        <v>24.69</v>
      </c>
      <c r="N26" s="28">
        <v>27.57</v>
      </c>
      <c r="O26" s="29" t="str">
        <f t="shared" si="0"/>
        <v/>
      </c>
      <c r="P26" s="29">
        <f t="shared" ca="1" si="1"/>
        <v>0.8948453608247422</v>
      </c>
    </row>
    <row r="27" spans="1:16" ht="18" customHeight="1" x14ac:dyDescent="0.2">
      <c r="A27" s="230" t="s">
        <v>26</v>
      </c>
      <c r="B27" s="30" t="s">
        <v>59</v>
      </c>
      <c r="C27" s="31"/>
      <c r="D27" s="32">
        <f ca="1">1476.3*OFFSET(D$112,MATCH($N$1,$C$112:$C$113,0)-1,0)</f>
        <v>1476.3</v>
      </c>
      <c r="E27" s="32">
        <f ca="1">1428*OFFSET(E$112,MATCH($N$1,$C$112:$C$113,0)-1,0)</f>
        <v>1428</v>
      </c>
      <c r="F27" s="32">
        <f ca="1">1520.4*OFFSET(F$112,MATCH($N$1,$C$112:$C$113,0)-1,0)</f>
        <v>1520.4</v>
      </c>
      <c r="G27" s="32">
        <f ca="1">1709.3*OFFSET(G$112,MATCH($N$1,$C$112:$C$113,0)-1,0)</f>
        <v>1709.3</v>
      </c>
      <c r="H27" s="32">
        <f ca="1">1537*OFFSET(H$112,MATCH($N$1,$C$112:$C$113,0)-1,0)</f>
        <v>1537</v>
      </c>
      <c r="I27" s="32">
        <f ca="1">1626.4*OFFSET(I$112,MATCH($N$1,$C$112:$C$113,0)-1,0)</f>
        <v>1626.4</v>
      </c>
      <c r="J27" s="32">
        <f ca="1">1874*OFFSET(J$112,MATCH($N$1,$C$112:$C$113,0)-1,0)</f>
        <v>1874</v>
      </c>
      <c r="K27" s="32">
        <f ca="1">1665.1*OFFSET(K$112,MATCH($N$1,$C$112:$C$113,0)-1,0)</f>
        <v>1665.1</v>
      </c>
      <c r="L27" s="32">
        <f ca="1">2020.7*OFFSET(L$112,MATCH($N$1,$C$112:$C$113,0)-1,0)</f>
        <v>2020.7</v>
      </c>
      <c r="M27" s="32">
        <f ca="1">2137.1*OFFSET(M$112,MATCH($N$1,$C$112:$C$113,0)-1,0)</f>
        <v>2137.1</v>
      </c>
      <c r="N27" s="32">
        <v>2186.6999999999998</v>
      </c>
      <c r="O27" s="23">
        <f t="shared" ca="1" si="0"/>
        <v>0.48120300751879691</v>
      </c>
      <c r="P27" s="23">
        <f t="shared" ca="1" si="1"/>
        <v>0.1668623265741728</v>
      </c>
    </row>
    <row r="28" spans="1:16" ht="18" customHeight="1" x14ac:dyDescent="0.2">
      <c r="A28" s="231"/>
      <c r="B28" s="33" t="s">
        <v>66</v>
      </c>
      <c r="C28" s="27"/>
      <c r="D28" s="28">
        <f ca="1">75.8*OFFSET(D$112,MATCH($N$1,$C$112:$C$113,0)-1,0)</f>
        <v>75.8</v>
      </c>
      <c r="E28" s="28">
        <f ca="1">12.3*OFFSET(E$112,MATCH($N$1,$C$112:$C$113,0)-1,0)</f>
        <v>12.3</v>
      </c>
      <c r="F28" s="28">
        <f ca="1">49.2*OFFSET(F$112,MATCH($N$1,$C$112:$C$113,0)-1,0)</f>
        <v>49.2</v>
      </c>
      <c r="G28" s="28">
        <f ca="1">41.3*OFFSET(G$112,MATCH($N$1,$C$112:$C$113,0)-1,0)</f>
        <v>41.3</v>
      </c>
      <c r="H28" s="28">
        <f ca="1">81.6*OFFSET(H$112,MATCH($N$1,$C$112:$C$113,0)-1,0)</f>
        <v>81.599999999999994</v>
      </c>
      <c r="I28" s="28">
        <f ca="1">51.2*OFFSET(I$112,MATCH($N$1,$C$112:$C$113,0)-1,0)</f>
        <v>51.2</v>
      </c>
      <c r="J28" s="28">
        <f ca="1">103.6*OFFSET(J$112,MATCH($N$1,$C$112:$C$113,0)-1,0)</f>
        <v>103.6</v>
      </c>
      <c r="K28" s="28">
        <f ca="1">57*OFFSET(K$112,MATCH($N$1,$C$112:$C$113,0)-1,0)</f>
        <v>57</v>
      </c>
      <c r="L28" s="28">
        <f ca="1">85.3*OFFSET(L$112,MATCH($N$1,$C$112:$C$113,0)-1,0)</f>
        <v>85.3</v>
      </c>
      <c r="M28" s="28">
        <f ca="1">75.4*OFFSET(M$112,MATCH($N$1,$C$112:$C$113,0)-1,0)</f>
        <v>75.400000000000006</v>
      </c>
      <c r="N28" s="28">
        <v>77.100000000000009</v>
      </c>
      <c r="O28" s="23">
        <f t="shared" ca="1" si="0"/>
        <v>1.7150395778364268E-2</v>
      </c>
      <c r="P28" s="23">
        <f t="shared" ca="1" si="1"/>
        <v>-0.25579150579150567</v>
      </c>
    </row>
    <row r="29" spans="1:16" ht="18" customHeight="1" x14ac:dyDescent="0.2">
      <c r="A29" s="231"/>
      <c r="B29" s="41" t="s">
        <v>67</v>
      </c>
      <c r="C29" s="42"/>
      <c r="D29" s="43">
        <f ca="1">1552*OFFSET(D$112,MATCH($N$1,$C$112:$C$113,0)-1,0)</f>
        <v>1552</v>
      </c>
      <c r="E29" s="43">
        <f ca="1">1440.3*OFFSET(E$112,MATCH($N$1,$C$112:$C$113,0)-1,0)</f>
        <v>1440.3</v>
      </c>
      <c r="F29" s="43">
        <f ca="1">1569.6*OFFSET(F$112,MATCH($N$1,$C$112:$C$113,0)-1,0)</f>
        <v>1569.6</v>
      </c>
      <c r="G29" s="43">
        <f ca="1">1750.6*OFFSET(G$112,MATCH($N$1,$C$112:$C$113,0)-1,0)</f>
        <v>1750.6</v>
      </c>
      <c r="H29" s="43">
        <f ca="1">1618.6*OFFSET(H$112,MATCH($N$1,$C$112:$C$113,0)-1,0)</f>
        <v>1618.6</v>
      </c>
      <c r="I29" s="43">
        <f ca="1">1677.6*OFFSET(I$112,MATCH($N$1,$C$112:$C$113,0)-1,0)</f>
        <v>1677.6</v>
      </c>
      <c r="J29" s="43">
        <f ca="1">1977.6*OFFSET(J$112,MATCH($N$1,$C$112:$C$113,0)-1,0)</f>
        <v>1977.6</v>
      </c>
      <c r="K29" s="43">
        <f ca="1">1722.2*OFFSET(K$112,MATCH($N$1,$C$112:$C$113,0)-1,0)</f>
        <v>1722.2</v>
      </c>
      <c r="L29" s="43">
        <f ca="1">2106*OFFSET(L$112,MATCH($N$1,$C$112:$C$113,0)-1,0)</f>
        <v>2106</v>
      </c>
      <c r="M29" s="43">
        <f ca="1">2212.5*OFFSET(M$112,MATCH($N$1,$C$112:$C$113,0)-1,0)</f>
        <v>2212.5</v>
      </c>
      <c r="N29" s="43">
        <v>2263.8000000000002</v>
      </c>
      <c r="O29" s="23">
        <f t="shared" ca="1" si="0"/>
        <v>0.45863402061855679</v>
      </c>
      <c r="P29" s="23">
        <f t="shared" ca="1" si="1"/>
        <v>0.14472087378640791</v>
      </c>
    </row>
    <row r="30" spans="1:16" ht="18" customHeight="1" x14ac:dyDescent="0.2">
      <c r="A30" s="231"/>
      <c r="B30" s="33" t="s">
        <v>68</v>
      </c>
      <c r="C30" s="27"/>
      <c r="D30" s="28">
        <f ca="1">485.4*OFFSET(D$112,MATCH($N$1,$C$112:$C$113,0)-1,0)</f>
        <v>485.4</v>
      </c>
      <c r="E30" s="28">
        <f ca="1">335.7*OFFSET(E$112,MATCH($N$1,$C$112:$C$113,0)-1,0)</f>
        <v>335.7</v>
      </c>
      <c r="F30" s="28">
        <f ca="1">422.3*OFFSET(F$112,MATCH($N$1,$C$112:$C$113,0)-1,0)</f>
        <v>422.3</v>
      </c>
      <c r="G30" s="28">
        <f ca="1">550.8*OFFSET(G$112,MATCH($N$1,$C$112:$C$113,0)-1,0)</f>
        <v>550.79999999999995</v>
      </c>
      <c r="H30" s="28">
        <f ca="1">506.3*OFFSET(H$112,MATCH($N$1,$C$112:$C$113,0)-1,0)</f>
        <v>506.3</v>
      </c>
      <c r="I30" s="28">
        <f ca="1">434.4*OFFSET(I$112,MATCH($N$1,$C$112:$C$113,0)-1,0)</f>
        <v>434.4</v>
      </c>
      <c r="J30" s="28">
        <f ca="1">449.8*OFFSET(J$112,MATCH($N$1,$C$112:$C$113,0)-1,0)</f>
        <v>449.8</v>
      </c>
      <c r="K30" s="28">
        <f ca="1">299.4*OFFSET(K$112,MATCH($N$1,$C$112:$C$113,0)-1,0)</f>
        <v>299.39999999999998</v>
      </c>
      <c r="L30" s="28">
        <f ca="1">282.4*OFFSET(L$112,MATCH($N$1,$C$112:$C$113,0)-1,0)</f>
        <v>282.39999999999998</v>
      </c>
      <c r="M30" s="28">
        <f ca="1">318.1*OFFSET(M$112,MATCH($N$1,$C$112:$C$113,0)-1,0)</f>
        <v>318.10000000000002</v>
      </c>
      <c r="N30" s="28">
        <v>421.1</v>
      </c>
      <c r="O30" s="23">
        <f t="shared" ca="1" si="0"/>
        <v>-0.13246806757313548</v>
      </c>
      <c r="P30" s="23">
        <f t="shared" ca="1" si="1"/>
        <v>-6.3806136060471294E-2</v>
      </c>
    </row>
    <row r="31" spans="1:16" ht="18" customHeight="1" x14ac:dyDescent="0.2">
      <c r="A31" s="231"/>
      <c r="B31" s="33" t="s">
        <v>69</v>
      </c>
      <c r="C31" s="27"/>
      <c r="D31" s="28">
        <f ca="1">339.9*OFFSET(D$112,MATCH($N$1,$C$112:$C$113,0)-1,0)</f>
        <v>339.9</v>
      </c>
      <c r="E31" s="28">
        <f ca="1">326.6*OFFSET(E$112,MATCH($N$1,$C$112:$C$113,0)-1,0)</f>
        <v>326.60000000000002</v>
      </c>
      <c r="F31" s="28">
        <f ca="1">342.3*OFFSET(F$112,MATCH($N$1,$C$112:$C$113,0)-1,0)</f>
        <v>342.3</v>
      </c>
      <c r="G31" s="28">
        <f ca="1">352.2*OFFSET(G$112,MATCH($N$1,$C$112:$C$113,0)-1,0)</f>
        <v>352.2</v>
      </c>
      <c r="H31" s="28">
        <f ca="1">310.9*OFFSET(H$112,MATCH($N$1,$C$112:$C$113,0)-1,0)</f>
        <v>310.89999999999998</v>
      </c>
      <c r="I31" s="28">
        <f ca="1">349.2*OFFSET(I$112,MATCH($N$1,$C$112:$C$113,0)-1,0)</f>
        <v>349.2</v>
      </c>
      <c r="J31" s="28">
        <f ca="1">430.2*OFFSET(J$112,MATCH($N$1,$C$112:$C$113,0)-1,0)</f>
        <v>430.2</v>
      </c>
      <c r="K31" s="28">
        <f ca="1">405.2*OFFSET(K$112,MATCH($N$1,$C$112:$C$113,0)-1,0)</f>
        <v>405.2</v>
      </c>
      <c r="L31" s="28">
        <f ca="1">538.9*OFFSET(L$112,MATCH($N$1,$C$112:$C$113,0)-1,0)</f>
        <v>538.9</v>
      </c>
      <c r="M31" s="28">
        <f ca="1">569.5*OFFSET(M$112,MATCH($N$1,$C$112:$C$113,0)-1,0)</f>
        <v>569.5</v>
      </c>
      <c r="N31" s="28">
        <v>538.79999999999995</v>
      </c>
      <c r="O31" s="23">
        <f t="shared" ca="1" si="0"/>
        <v>0.58517210944395404</v>
      </c>
      <c r="P31" s="23">
        <f t="shared" ca="1" si="1"/>
        <v>0.25244072524407246</v>
      </c>
    </row>
    <row r="32" spans="1:16" ht="18" customHeight="1" x14ac:dyDescent="0.2">
      <c r="A32" s="231"/>
      <c r="B32" s="33" t="s">
        <v>70</v>
      </c>
      <c r="C32" s="27"/>
      <c r="D32" s="28">
        <f ca="1">297.6*OFFSET(D$112,MATCH($N$1,$C$112:$C$113,0)-1,0)</f>
        <v>297.60000000000002</v>
      </c>
      <c r="E32" s="28">
        <f ca="1">321.3*OFFSET(E$112,MATCH($N$1,$C$112:$C$113,0)-1,0)</f>
        <v>321.3</v>
      </c>
      <c r="F32" s="28">
        <f ca="1">308.7*OFFSET(F$112,MATCH($N$1,$C$112:$C$113,0)-1,0)</f>
        <v>308.7</v>
      </c>
      <c r="G32" s="28">
        <f ca="1">402*OFFSET(G$112,MATCH($N$1,$C$112:$C$113,0)-1,0)</f>
        <v>402</v>
      </c>
      <c r="H32" s="28">
        <f ca="1">420.1*OFFSET(H$112,MATCH($N$1,$C$112:$C$113,0)-1,0)</f>
        <v>420.1</v>
      </c>
      <c r="I32" s="28">
        <f ca="1">443.5*OFFSET(I$112,MATCH($N$1,$C$112:$C$113,0)-1,0)</f>
        <v>443.5</v>
      </c>
      <c r="J32" s="28">
        <f ca="1">527.9*OFFSET(J$112,MATCH($N$1,$C$112:$C$113,0)-1,0)</f>
        <v>527.9</v>
      </c>
      <c r="K32" s="28">
        <f ca="1">458.9*OFFSET(K$112,MATCH($N$1,$C$112:$C$113,0)-1,0)</f>
        <v>458.9</v>
      </c>
      <c r="L32" s="28">
        <f ca="1">543.2*OFFSET(L$112,MATCH($N$1,$C$112:$C$113,0)-1,0)</f>
        <v>543.20000000000005</v>
      </c>
      <c r="M32" s="28">
        <f ca="1">579.4*OFFSET(M$112,MATCH($N$1,$C$112:$C$113,0)-1,0)</f>
        <v>579.4</v>
      </c>
      <c r="N32" s="28">
        <v>592.80000000000007</v>
      </c>
      <c r="O32" s="23">
        <f t="shared" ca="1" si="0"/>
        <v>0.99193548387096786</v>
      </c>
      <c r="P32" s="23">
        <f t="shared" ca="1" si="1"/>
        <v>0.12293995074824796</v>
      </c>
    </row>
    <row r="33" spans="1:16" ht="18" customHeight="1" x14ac:dyDescent="0.2">
      <c r="A33" s="231"/>
      <c r="B33" s="33" t="s">
        <v>71</v>
      </c>
      <c r="C33" s="27"/>
      <c r="D33" s="28">
        <f ca="1">1122.9*OFFSET(D$112,MATCH($N$1,$C$112:$C$113,0)-1,0)</f>
        <v>1122.9000000000001</v>
      </c>
      <c r="E33" s="28">
        <f ca="1">983.7*OFFSET(E$112,MATCH($N$1,$C$112:$C$113,0)-1,0)</f>
        <v>983.7</v>
      </c>
      <c r="F33" s="28">
        <f ca="1">1073.2*OFFSET(F$112,MATCH($N$1,$C$112:$C$113,0)-1,0)</f>
        <v>1073.2</v>
      </c>
      <c r="G33" s="28">
        <f ca="1">1305.1*OFFSET(G$112,MATCH($N$1,$C$112:$C$113,0)-1,0)</f>
        <v>1305.0999999999999</v>
      </c>
      <c r="H33" s="28">
        <f ca="1">1237.2*OFFSET(H$112,MATCH($N$1,$C$112:$C$113,0)-1,0)</f>
        <v>1237.2</v>
      </c>
      <c r="I33" s="28">
        <f ca="1">1227.1*OFFSET(I$112,MATCH($N$1,$C$112:$C$113,0)-1,0)</f>
        <v>1227.0999999999999</v>
      </c>
      <c r="J33" s="28">
        <f ca="1">1407.9*OFFSET(J$112,MATCH($N$1,$C$112:$C$113,0)-1,0)</f>
        <v>1407.9</v>
      </c>
      <c r="K33" s="28">
        <f ca="1">1163.6*OFFSET(K$112,MATCH($N$1,$C$112:$C$113,0)-1,0)</f>
        <v>1163.5999999999999</v>
      </c>
      <c r="L33" s="28">
        <f ca="1">1364.4*OFFSET(L$112,MATCH($N$1,$C$112:$C$113,0)-1,0)</f>
        <v>1364.4</v>
      </c>
      <c r="M33" s="28">
        <f ca="1">1467.1*OFFSET(M$112,MATCH($N$1,$C$112:$C$113,0)-1,0)</f>
        <v>1467.1</v>
      </c>
      <c r="N33" s="28">
        <v>1552.7</v>
      </c>
      <c r="O33" s="23">
        <f t="shared" ca="1" si="0"/>
        <v>0.38275892777629344</v>
      </c>
      <c r="P33" s="23">
        <f t="shared" ca="1" si="1"/>
        <v>0.10284821365153771</v>
      </c>
    </row>
    <row r="34" spans="1:16" ht="18" customHeight="1" x14ac:dyDescent="0.2">
      <c r="A34" s="231"/>
      <c r="B34" s="33" t="s">
        <v>72</v>
      </c>
      <c r="C34" s="27"/>
      <c r="D34" s="28">
        <f ca="1">292.6*OFFSET(D$112,MATCH($N$1,$C$112:$C$113,0)-1,0)</f>
        <v>292.60000000000002</v>
      </c>
      <c r="E34" s="28">
        <f ca="1">292.7*OFFSET(E$112,MATCH($N$1,$C$112:$C$113,0)-1,0)</f>
        <v>292.7</v>
      </c>
      <c r="F34" s="28">
        <f ca="1">340.7*OFFSET(F$112,MATCH($N$1,$C$112:$C$113,0)-1,0)</f>
        <v>340.7</v>
      </c>
      <c r="G34" s="28">
        <f ca="1">313.3*OFFSET(G$112,MATCH($N$1,$C$112:$C$113,0)-1,0)</f>
        <v>313.3</v>
      </c>
      <c r="H34" s="28">
        <f ca="1">290.8*OFFSET(H$112,MATCH($N$1,$C$112:$C$113,0)-1,0)</f>
        <v>290.8</v>
      </c>
      <c r="I34" s="28">
        <f ca="1">303.4*OFFSET(I$112,MATCH($N$1,$C$112:$C$113,0)-1,0)</f>
        <v>303.39999999999998</v>
      </c>
      <c r="J34" s="28">
        <f ca="1">320.2*OFFSET(J$112,MATCH($N$1,$C$112:$C$113,0)-1,0)</f>
        <v>320.2</v>
      </c>
      <c r="K34" s="28">
        <f ca="1">326*OFFSET(K$112,MATCH($N$1,$C$112:$C$113,0)-1,0)</f>
        <v>326</v>
      </c>
      <c r="L34" s="28">
        <f ca="1">364.6*OFFSET(L$112,MATCH($N$1,$C$112:$C$113,0)-1,0)</f>
        <v>364.6</v>
      </c>
      <c r="M34" s="28">
        <f ca="1">377.5*OFFSET(M$112,MATCH($N$1,$C$112:$C$113,0)-1,0)</f>
        <v>377.5</v>
      </c>
      <c r="N34" s="28">
        <v>386.2</v>
      </c>
      <c r="O34" s="23">
        <f t="shared" ca="1" si="0"/>
        <v>0.31989063568010923</v>
      </c>
      <c r="P34" s="23">
        <f t="shared" ca="1" si="1"/>
        <v>0.2061211742660837</v>
      </c>
    </row>
    <row r="35" spans="1:16" ht="18" customHeight="1" x14ac:dyDescent="0.2">
      <c r="A35" s="231"/>
      <c r="B35" s="33" t="s">
        <v>73</v>
      </c>
      <c r="C35" s="27"/>
      <c r="D35" s="28">
        <f ca="1">1415.5*OFFSET(D$112,MATCH($N$1,$C$112:$C$113,0)-1,0)</f>
        <v>1415.5</v>
      </c>
      <c r="E35" s="28">
        <f ca="1">1276.3*OFFSET(E$112,MATCH($N$1,$C$112:$C$113,0)-1,0)</f>
        <v>1276.3</v>
      </c>
      <c r="F35" s="28">
        <f ca="1">1413.9*OFFSET(F$112,MATCH($N$1,$C$112:$C$113,0)-1,0)</f>
        <v>1413.9</v>
      </c>
      <c r="G35" s="28">
        <f ca="1">1618.4*OFFSET(G$112,MATCH($N$1,$C$112:$C$113,0)-1,0)</f>
        <v>1618.4</v>
      </c>
      <c r="H35" s="28">
        <f ca="1">1528*OFFSET(H$112,MATCH($N$1,$C$112:$C$113,0)-1,0)</f>
        <v>1528</v>
      </c>
      <c r="I35" s="28">
        <f ca="1">1530.5*OFFSET(I$112,MATCH($N$1,$C$112:$C$113,0)-1,0)</f>
        <v>1530.5</v>
      </c>
      <c r="J35" s="28">
        <f ca="1">1728.1*OFFSET(J$112,MATCH($N$1,$C$112:$C$113,0)-1,0)</f>
        <v>1728.1</v>
      </c>
      <c r="K35" s="28">
        <f ca="1">1489.6*OFFSET(K$112,MATCH($N$1,$C$112:$C$113,0)-1,0)</f>
        <v>1489.6</v>
      </c>
      <c r="L35" s="28">
        <f ca="1">1729.1*OFFSET(L$112,MATCH($N$1,$C$112:$C$113,0)-1,0)</f>
        <v>1729.1</v>
      </c>
      <c r="M35" s="28">
        <f ca="1">1844.5*OFFSET(M$112,MATCH($N$1,$C$112:$C$113,0)-1,0)</f>
        <v>1844.5</v>
      </c>
      <c r="N35" s="28">
        <v>1938.9</v>
      </c>
      <c r="O35" s="23">
        <f t="shared" ca="1" si="0"/>
        <v>0.36976333451077364</v>
      </c>
      <c r="P35" s="23">
        <f t="shared" ca="1" si="1"/>
        <v>0.12198368149991332</v>
      </c>
    </row>
    <row r="36" spans="1:16" ht="18" customHeight="1" x14ac:dyDescent="0.2">
      <c r="A36" s="231"/>
      <c r="B36" s="41" t="s">
        <v>74</v>
      </c>
      <c r="C36" s="42"/>
      <c r="D36" s="43">
        <f ca="1">476.5*OFFSET(D$112,MATCH($N$1,$C$112:$C$113,0)-1,0)</f>
        <v>476.5</v>
      </c>
      <c r="E36" s="43">
        <f ca="1">490.6*OFFSET(E$112,MATCH($N$1,$C$112:$C$113,0)-1,0)</f>
        <v>490.6</v>
      </c>
      <c r="F36" s="43">
        <f ca="1">498*OFFSET(F$112,MATCH($N$1,$C$112:$C$113,0)-1,0)</f>
        <v>498</v>
      </c>
      <c r="G36" s="43">
        <f ca="1">484.4*OFFSET(G$112,MATCH($N$1,$C$112:$C$113,0)-1,0)</f>
        <v>484.4</v>
      </c>
      <c r="H36" s="43">
        <f ca="1">401.5*OFFSET(H$112,MATCH($N$1,$C$112:$C$113,0)-1,0)</f>
        <v>401.5</v>
      </c>
      <c r="I36" s="43">
        <f ca="1">496.3*OFFSET(I$112,MATCH($N$1,$C$112:$C$113,0)-1,0)</f>
        <v>496.3</v>
      </c>
      <c r="J36" s="43">
        <f ca="1">679.7*OFFSET(J$112,MATCH($N$1,$C$112:$C$113,0)-1,0)</f>
        <v>679.7</v>
      </c>
      <c r="K36" s="43">
        <f ca="1">637.8*OFFSET(K$112,MATCH($N$1,$C$112:$C$113,0)-1,0)</f>
        <v>637.79999999999995</v>
      </c>
      <c r="L36" s="43">
        <f ca="1">915.8*OFFSET(L$112,MATCH($N$1,$C$112:$C$113,0)-1,0)</f>
        <v>915.8</v>
      </c>
      <c r="M36" s="43">
        <f ca="1">937.5*OFFSET(M$112,MATCH($N$1,$C$112:$C$113,0)-1,0)</f>
        <v>937.5</v>
      </c>
      <c r="N36" s="43">
        <v>863.59999999999991</v>
      </c>
      <c r="O36" s="23">
        <f t="shared" ca="1" si="0"/>
        <v>0.8123819517313744</v>
      </c>
      <c r="P36" s="23">
        <f t="shared" ca="1" si="1"/>
        <v>0.27056054141533009</v>
      </c>
    </row>
    <row r="37" spans="1:16" ht="18" customHeight="1" x14ac:dyDescent="0.2">
      <c r="A37" s="231"/>
      <c r="B37" s="41" t="s">
        <v>75</v>
      </c>
      <c r="C37" s="42"/>
      <c r="D37" s="43">
        <f ca="1">136.6*OFFSET(D$112,MATCH($N$1,$C$112:$C$113,0)-1,0)</f>
        <v>136.6</v>
      </c>
      <c r="E37" s="43">
        <f ca="1">164*OFFSET(E$112,MATCH($N$1,$C$112:$C$113,0)-1,0)</f>
        <v>164</v>
      </c>
      <c r="F37" s="43">
        <f ca="1">155.7*OFFSET(F$112,MATCH($N$1,$C$112:$C$113,0)-1,0)</f>
        <v>155.69999999999999</v>
      </c>
      <c r="G37" s="43">
        <f ca="1">132.2*OFFSET(G$112,MATCH($N$1,$C$112:$C$113,0)-1,0)</f>
        <v>132.19999999999999</v>
      </c>
      <c r="H37" s="43">
        <f ca="1">90.6*OFFSET(H$112,MATCH($N$1,$C$112:$C$113,0)-1,0)</f>
        <v>90.6</v>
      </c>
      <c r="I37" s="43">
        <f ca="1">147.1*OFFSET(I$112,MATCH($N$1,$C$112:$C$113,0)-1,0)</f>
        <v>147.1</v>
      </c>
      <c r="J37" s="43">
        <f ca="1">249.5*OFFSET(J$112,MATCH($N$1,$C$112:$C$113,0)-1,0)</f>
        <v>249.5</v>
      </c>
      <c r="K37" s="43">
        <f ca="1">232.6*OFFSET(K$112,MATCH($N$1,$C$112:$C$113,0)-1,0)</f>
        <v>232.6</v>
      </c>
      <c r="L37" s="43">
        <f ca="1">376.9*OFFSET(L$112,MATCH($N$1,$C$112:$C$113,0)-1,0)</f>
        <v>376.9</v>
      </c>
      <c r="M37" s="43">
        <f ca="1">368*OFFSET(M$112,MATCH($N$1,$C$112:$C$113,0)-1,0)</f>
        <v>368</v>
      </c>
      <c r="N37" s="43">
        <v>324.8</v>
      </c>
      <c r="O37" s="23">
        <f t="shared" ca="1" si="0"/>
        <v>1.3777452415812594</v>
      </c>
      <c r="P37" s="23">
        <f t="shared" ca="1" si="1"/>
        <v>0.30180360721442889</v>
      </c>
    </row>
    <row r="38" spans="1:16" ht="18" customHeight="1" x14ac:dyDescent="0.2">
      <c r="A38" s="231"/>
      <c r="B38" s="33" t="s">
        <v>76</v>
      </c>
      <c r="C38" s="27"/>
      <c r="D38" s="28">
        <f ca="1">84.5*OFFSET(D$112,MATCH($N$1,$C$112:$C$113,0)-1,0)</f>
        <v>84.5</v>
      </c>
      <c r="E38" s="28">
        <f ca="1">93.5*OFFSET(E$112,MATCH($N$1,$C$112:$C$113,0)-1,0)</f>
        <v>93.5</v>
      </c>
      <c r="F38" s="28">
        <f ca="1">87*OFFSET(F$112,MATCH($N$1,$C$112:$C$113,0)-1,0)</f>
        <v>87</v>
      </c>
      <c r="G38" s="28">
        <f ca="1">89.4*OFFSET(G$112,MATCH($N$1,$C$112:$C$113,0)-1,0)</f>
        <v>89.4</v>
      </c>
      <c r="H38" s="28">
        <f ca="1">102.2*OFFSET(H$112,MATCH($N$1,$C$112:$C$113,0)-1,0)</f>
        <v>102.2</v>
      </c>
      <c r="I38" s="28">
        <f ca="1">80.3*OFFSET(I$112,MATCH($N$1,$C$112:$C$113,0)-1,0)</f>
        <v>80.3</v>
      </c>
      <c r="J38" s="28">
        <f ca="1">78.6*OFFSET(J$112,MATCH($N$1,$C$112:$C$113,0)-1,0)</f>
        <v>78.599999999999994</v>
      </c>
      <c r="K38" s="28">
        <f ca="1">84.8*OFFSET(K$112,MATCH($N$1,$C$112:$C$113,0)-1,0)</f>
        <v>84.8</v>
      </c>
      <c r="L38" s="28">
        <f ca="1">51.4*OFFSET(L$112,MATCH($N$1,$C$112:$C$113,0)-1,0)</f>
        <v>51.4</v>
      </c>
      <c r="M38" s="28">
        <f ca="1">97.1*OFFSET(M$112,MATCH($N$1,$C$112:$C$113,0)-1,0)</f>
        <v>97.1</v>
      </c>
      <c r="N38" s="28"/>
      <c r="O38" s="23" t="str">
        <f t="shared" si="0"/>
        <v/>
      </c>
      <c r="P38" s="23" t="str">
        <f t="shared" si="1"/>
        <v/>
      </c>
    </row>
    <row r="39" spans="1:16" ht="18" customHeight="1" x14ac:dyDescent="0.2">
      <c r="A39" s="231"/>
      <c r="B39" s="33" t="s">
        <v>77</v>
      </c>
      <c r="C39" s="27"/>
      <c r="D39" s="28">
        <f ca="1">43.6*OFFSET(D$112,MATCH($N$1,$C$112:$C$113,0)-1,0)</f>
        <v>43.6</v>
      </c>
      <c r="E39" s="28">
        <f ca="1">30.2*OFFSET(E$112,MATCH($N$1,$C$112:$C$113,0)-1,0)</f>
        <v>30.2</v>
      </c>
      <c r="F39" s="28">
        <f ca="1">24.8*OFFSET(F$112,MATCH($N$1,$C$112:$C$113,0)-1,0)</f>
        <v>24.8</v>
      </c>
      <c r="G39" s="28">
        <f ca="1">24.9*OFFSET(G$112,MATCH($N$1,$C$112:$C$113,0)-1,0)</f>
        <v>24.9</v>
      </c>
      <c r="H39" s="28">
        <f ca="1">29.2*OFFSET(H$112,MATCH($N$1,$C$112:$C$113,0)-1,0)</f>
        <v>29.2</v>
      </c>
      <c r="I39" s="28">
        <f ca="1">14.5*OFFSET(I$112,MATCH($N$1,$C$112:$C$113,0)-1,0)</f>
        <v>14.5</v>
      </c>
      <c r="J39" s="28">
        <f ca="1">17.8*OFFSET(J$112,MATCH($N$1,$C$112:$C$113,0)-1,0)</f>
        <v>17.8</v>
      </c>
      <c r="K39" s="28">
        <f ca="1">9.8*OFFSET(K$112,MATCH($N$1,$C$112:$C$113,0)-1,0)</f>
        <v>9.8000000000000007</v>
      </c>
      <c r="L39" s="28">
        <f ca="1">12.7*OFFSET(L$112,MATCH($N$1,$C$112:$C$113,0)-1,0)</f>
        <v>12.7</v>
      </c>
      <c r="M39" s="28">
        <f ca="1">11.6*OFFSET(M$112,MATCH($N$1,$C$112:$C$113,0)-1,0)</f>
        <v>11.6</v>
      </c>
      <c r="N39" s="28"/>
      <c r="O39" s="23" t="str">
        <f t="shared" si="0"/>
        <v/>
      </c>
      <c r="P39" s="23" t="str">
        <f t="shared" si="1"/>
        <v/>
      </c>
    </row>
    <row r="40" spans="1:16" ht="18" customHeight="1" x14ac:dyDescent="0.2">
      <c r="A40" s="231"/>
      <c r="B40" s="33" t="s">
        <v>78</v>
      </c>
      <c r="C40" s="27"/>
      <c r="D40" s="28"/>
      <c r="E40" s="28">
        <f ca="1">0.7*OFFSET(E$112,MATCH($N$1,$C$112:$C$113,0)-1,0)</f>
        <v>0.7</v>
      </c>
      <c r="F40" s="28">
        <f ca="1">0.3*OFFSET(F$112,MATCH($N$1,$C$112:$C$113,0)-1,0)</f>
        <v>0.3</v>
      </c>
      <c r="G40" s="28">
        <f ca="1">5.3*OFFSET(G$112,MATCH($N$1,$C$112:$C$113,0)-1,0)</f>
        <v>5.3</v>
      </c>
      <c r="H40" s="28">
        <f ca="1">2.4*OFFSET(H$112,MATCH($N$1,$C$112:$C$113,0)-1,0)</f>
        <v>2.4</v>
      </c>
      <c r="I40" s="28">
        <f ca="1">5.3*OFFSET(I$112,MATCH($N$1,$C$112:$C$113,0)-1,0)</f>
        <v>5.3</v>
      </c>
      <c r="J40" s="28">
        <f ca="1">30.3*OFFSET(J$112,MATCH($N$1,$C$112:$C$113,0)-1,0)</f>
        <v>30.3</v>
      </c>
      <c r="K40" s="28">
        <f ca="1">4.6*OFFSET(K$112,MATCH($N$1,$C$112:$C$113,0)-1,0)</f>
        <v>4.5999999999999996</v>
      </c>
      <c r="L40" s="28">
        <f ca="1">2.6*OFFSET(L$112,MATCH($N$1,$C$112:$C$113,0)-1,0)</f>
        <v>2.6</v>
      </c>
      <c r="M40" s="28">
        <f ca="1">9.2*OFFSET(M$112,MATCH($N$1,$C$112:$C$113,0)-1,0)</f>
        <v>9.1999999999999993</v>
      </c>
      <c r="N40" s="28"/>
      <c r="O40" s="23" t="str">
        <f t="shared" si="0"/>
        <v/>
      </c>
      <c r="P40" s="23" t="str">
        <f t="shared" si="1"/>
        <v/>
      </c>
    </row>
    <row r="41" spans="1:16" ht="18" customHeight="1" thickBot="1" x14ac:dyDescent="0.25">
      <c r="A41" s="232"/>
      <c r="B41" s="44" t="s">
        <v>79</v>
      </c>
      <c r="C41" s="45"/>
      <c r="D41" s="46">
        <f ca="1">8.4*OFFSET(D$112,MATCH($N$1,$C$112:$C$113,0)-1,0)</f>
        <v>8.4</v>
      </c>
      <c r="E41" s="46">
        <f ca="1">39.6*OFFSET(E$112,MATCH($N$1,$C$112:$C$113,0)-1,0)</f>
        <v>39.6</v>
      </c>
      <c r="F41" s="46">
        <f ca="1">43.6*OFFSET(F$112,MATCH($N$1,$C$112:$C$113,0)-1,0)</f>
        <v>43.6</v>
      </c>
      <c r="G41" s="46">
        <f ca="1">12.7*OFFSET(G$112,MATCH($N$1,$C$112:$C$113,0)-1,0)</f>
        <v>12.7</v>
      </c>
      <c r="H41" s="46">
        <f ca="1">-43.2*OFFSET(H$112,MATCH($N$1,$C$112:$C$113,0)-1,0)</f>
        <v>-43.2</v>
      </c>
      <c r="I41" s="46">
        <f ca="1">47.1*OFFSET(I$112,MATCH($N$1,$C$112:$C$113,0)-1,0)</f>
        <v>47.1</v>
      </c>
      <c r="J41" s="46">
        <f ca="1">122.8*OFFSET(J$112,MATCH($N$1,$C$112:$C$113,0)-1,0)</f>
        <v>122.8</v>
      </c>
      <c r="K41" s="46">
        <f ca="1">133.3*OFFSET(K$112,MATCH($N$1,$C$112:$C$113,0)-1,0)</f>
        <v>133.30000000000001</v>
      </c>
      <c r="L41" s="46">
        <f ca="1">310.3*OFFSET(L$112,MATCH($N$1,$C$112:$C$113,0)-1,0)</f>
        <v>310.3</v>
      </c>
      <c r="M41" s="46">
        <f ca="1">250.1*OFFSET(M$112,MATCH($N$1,$C$112:$C$113,0)-1,0)</f>
        <v>250.1</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NSWOS demersal over 24m</v>
      </c>
      <c r="C48" s="97"/>
      <c r="D48" s="97"/>
      <c r="E48" s="97"/>
      <c r="F48" s="97"/>
      <c r="G48" s="97"/>
      <c r="K48" s="97" t="str">
        <f>$B24&amp;CHAR(10)&amp;$A$1</f>
        <v>Operating profit per kW day at sea (£)
NSWOS demersal over 24m</v>
      </c>
    </row>
    <row r="49" spans="1:11" s="83" customFormat="1" x14ac:dyDescent="0.2">
      <c r="A49" s="97" t="str">
        <f>$B22&amp;CHAR(10)&amp;$A$1</f>
        <v>Fishing income per kW day at sea (£)
NSWOS demersal over 24m</v>
      </c>
    </row>
    <row r="50" spans="1:11" s="83" customFormat="1" x14ac:dyDescent="0.2">
      <c r="A50" s="97" t="str">
        <f>$B20&amp;CHAR(10)&amp;$A$1</f>
        <v>Average price per tonne landed (£)
NSWOS demersal over 24m</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NSWOS demersal over 24m</v>
      </c>
      <c r="F62" s="97" t="str">
        <f>$B20&amp;CHAR(10)&amp;$A$1</f>
        <v>Average price per tonne landed (£)
NSWOS demersal over 24m</v>
      </c>
      <c r="K62" s="97" t="str">
        <f>"Average annual operating profit per vessel (£'000)"&amp;CHAR(10)&amp;$A$1</f>
        <v>Average annual operating profit per vessel (£'000)
NSWOS demersal over 24m</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NSWOS demersal over 24m</v>
      </c>
      <c r="F76" s="97" t="str">
        <f>"Top 5 landed species by value in "&amp;A77&amp;CHAR(10)&amp;A1</f>
        <v>Top 5 landed species by value in 2017
NSWOS demersal over 24m</v>
      </c>
    </row>
    <row r="77" spans="1:9" s="97" customFormat="1" x14ac:dyDescent="0.2">
      <c r="A77" s="97">
        <v>2017</v>
      </c>
      <c r="B77" s="97" t="s">
        <v>314</v>
      </c>
      <c r="C77" s="98">
        <v>0.25767788657007384</v>
      </c>
      <c r="D77" s="99">
        <v>12153634</v>
      </c>
      <c r="G77" s="97" t="s">
        <v>315</v>
      </c>
      <c r="H77" s="98">
        <v>0.22330973444108565</v>
      </c>
      <c r="I77" s="99">
        <v>12153634</v>
      </c>
    </row>
    <row r="78" spans="1:9" s="97" customFormat="1" x14ac:dyDescent="0.2">
      <c r="B78" s="97" t="s">
        <v>316</v>
      </c>
      <c r="C78" s="98">
        <v>0.15109157518721186</v>
      </c>
      <c r="D78" s="99">
        <v>553960</v>
      </c>
      <c r="G78" s="97" t="s">
        <v>317</v>
      </c>
      <c r="H78" s="98">
        <v>0.17802943382963241</v>
      </c>
      <c r="I78" s="99">
        <v>553960</v>
      </c>
    </row>
    <row r="79" spans="1:9" s="97" customFormat="1" x14ac:dyDescent="0.2">
      <c r="B79" s="97" t="s">
        <v>318</v>
      </c>
      <c r="C79" s="98">
        <v>0.13280111330381558</v>
      </c>
      <c r="D79" s="99">
        <v>3689192</v>
      </c>
      <c r="G79" s="97" t="s">
        <v>319</v>
      </c>
      <c r="H79" s="98">
        <v>0.17013125217620911</v>
      </c>
      <c r="I79" s="99">
        <v>3050596</v>
      </c>
    </row>
    <row r="80" spans="1:9" s="97" customFormat="1" x14ac:dyDescent="0.2">
      <c r="B80" s="97" t="s">
        <v>320</v>
      </c>
      <c r="C80" s="98">
        <v>0.12463014532934245</v>
      </c>
      <c r="D80" s="99">
        <v>1692097</v>
      </c>
      <c r="G80" s="97" t="s">
        <v>321</v>
      </c>
      <c r="H80" s="98">
        <v>9.4150110482928456E-2</v>
      </c>
      <c r="I80" s="99">
        <v>1692097</v>
      </c>
    </row>
    <row r="81" spans="1:18" s="97" customFormat="1" x14ac:dyDescent="0.2">
      <c r="B81" s="97" t="s">
        <v>322</v>
      </c>
      <c r="C81" s="98">
        <v>0.10481988022119276</v>
      </c>
      <c r="D81" s="99">
        <v>3050596</v>
      </c>
      <c r="G81" s="97" t="s">
        <v>323</v>
      </c>
      <c r="H81" s="98">
        <v>6.9029486320217576E-2</v>
      </c>
      <c r="I81" s="99">
        <v>3689192</v>
      </c>
    </row>
    <row r="82" spans="1:18" s="97" customFormat="1" x14ac:dyDescent="0.2">
      <c r="B82" s="97" t="s">
        <v>324</v>
      </c>
      <c r="C82" s="98">
        <v>0.22897939938836354</v>
      </c>
      <c r="D82" s="99">
        <v>5920853</v>
      </c>
      <c r="G82" s="97" t="s">
        <v>325</v>
      </c>
      <c r="H82" s="98">
        <v>0.26534998274992683</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16</v>
      </c>
      <c r="D92" s="102">
        <v>0.19544181489146453</v>
      </c>
      <c r="E92" s="102">
        <v>0.18225206881792741</v>
      </c>
      <c r="F92" s="102">
        <v>0.1673171910449309</v>
      </c>
      <c r="G92" s="102">
        <v>0.19786634429072528</v>
      </c>
      <c r="H92" s="102">
        <v>0.23697174117707814</v>
      </c>
      <c r="I92" s="102">
        <v>0.24994934063747604</v>
      </c>
      <c r="J92" s="102">
        <v>0.23322583392535906</v>
      </c>
      <c r="K92" s="102">
        <v>0.20905459721103339</v>
      </c>
      <c r="L92" s="102">
        <v>0.22330973444108565</v>
      </c>
      <c r="M92" s="102">
        <v>0.21783799346037039</v>
      </c>
      <c r="O92" s="97">
        <v>12153634</v>
      </c>
    </row>
    <row r="93" spans="1:18" s="97" customFormat="1" hidden="1" x14ac:dyDescent="0.2">
      <c r="B93" s="97">
        <v>2</v>
      </c>
      <c r="C93" s="97" t="s">
        <v>97</v>
      </c>
      <c r="D93" s="102">
        <v>0.10228715260107947</v>
      </c>
      <c r="E93" s="102">
        <v>0.1360706025892108</v>
      </c>
      <c r="F93" s="102">
        <v>0.13771047123977204</v>
      </c>
      <c r="G93" s="102">
        <v>0.12921807280091224</v>
      </c>
      <c r="H93" s="102">
        <v>0.17041383695107296</v>
      </c>
      <c r="I93" s="102">
        <v>0.15373297660369384</v>
      </c>
      <c r="J93" s="102">
        <v>0.14857824799557004</v>
      </c>
      <c r="K93" s="102">
        <v>0.14834474945186052</v>
      </c>
      <c r="L93" s="102">
        <v>0.17802943382963241</v>
      </c>
      <c r="M93" s="102">
        <v>0.208155204992236</v>
      </c>
      <c r="O93" s="97">
        <v>553960</v>
      </c>
    </row>
    <row r="94" spans="1:18" s="97" customFormat="1" hidden="1" x14ac:dyDescent="0.2">
      <c r="B94" s="97">
        <v>3</v>
      </c>
      <c r="C94" s="97" t="s">
        <v>121</v>
      </c>
      <c r="D94" s="102">
        <v>0.23499962311592135</v>
      </c>
      <c r="E94" s="102">
        <v>0.18687756923738735</v>
      </c>
      <c r="F94" s="102">
        <v>0.17675107178507685</v>
      </c>
      <c r="G94" s="102">
        <v>0.13372483942446939</v>
      </c>
      <c r="H94" s="102">
        <v>0.10363691156687753</v>
      </c>
      <c r="I94" s="102">
        <v>0.13414287616751405</v>
      </c>
      <c r="J94" s="102">
        <v>0.14639623999862306</v>
      </c>
      <c r="K94" s="102">
        <v>0.16599606278083104</v>
      </c>
      <c r="L94" s="102">
        <v>0.17013125217620911</v>
      </c>
      <c r="M94" s="102">
        <v>0.16280245786969383</v>
      </c>
      <c r="O94" s="97">
        <v>3050596</v>
      </c>
    </row>
    <row r="95" spans="1:18" s="97" customFormat="1" hidden="1" x14ac:dyDescent="0.2">
      <c r="B95" s="97">
        <v>4</v>
      </c>
      <c r="C95" s="97" t="s">
        <v>170</v>
      </c>
      <c r="D95" s="102">
        <v>8.8238969436198342E-2</v>
      </c>
      <c r="E95" s="102">
        <v>8.037592788805345E-2</v>
      </c>
      <c r="F95" s="102">
        <v>8.5412281666706377E-2</v>
      </c>
      <c r="G95" s="102">
        <v>0.12069446293926574</v>
      </c>
      <c r="H95" s="102">
        <v>8.3718842531059823E-2</v>
      </c>
      <c r="I95" s="102">
        <v>7.4115019053803938E-2</v>
      </c>
      <c r="J95" s="102">
        <v>9.779992705768259E-2</v>
      </c>
      <c r="K95" s="102">
        <v>0.11642605102331076</v>
      </c>
      <c r="L95" s="102">
        <v>9.4150110482928456E-2</v>
      </c>
      <c r="M95" s="102">
        <v>8.6077692920112997E-2</v>
      </c>
      <c r="O95" s="97">
        <v>1692097</v>
      </c>
    </row>
    <row r="96" spans="1:18" s="97" customFormat="1" hidden="1" x14ac:dyDescent="0.2">
      <c r="B96" s="97">
        <v>5</v>
      </c>
      <c r="C96" s="97" t="s">
        <v>228</v>
      </c>
      <c r="D96" s="102">
        <v>0.12535046476511399</v>
      </c>
      <c r="E96" s="102">
        <v>0.13309977414435831</v>
      </c>
      <c r="F96" s="102">
        <v>0.14793546202601712</v>
      </c>
      <c r="G96" s="102">
        <v>0.1400803567234567</v>
      </c>
      <c r="H96" s="102">
        <v>0.12522724704922036</v>
      </c>
      <c r="I96" s="102">
        <v>0.11502475555236419</v>
      </c>
      <c r="J96" s="102">
        <v>0.10082049720664754</v>
      </c>
      <c r="K96" s="102">
        <v>8.6431302475298483E-2</v>
      </c>
      <c r="L96" s="102">
        <v>6.9029486320217576E-2</v>
      </c>
      <c r="M96" s="102">
        <v>6.2341472185787013E-2</v>
      </c>
      <c r="O96" s="97">
        <v>3689192</v>
      </c>
    </row>
    <row r="97" spans="1:15" s="97" customFormat="1" hidden="1" x14ac:dyDescent="0.2">
      <c r="B97" s="97">
        <v>6</v>
      </c>
      <c r="C97" s="97" t="s">
        <v>101</v>
      </c>
      <c r="D97" s="102">
        <v>0.25368197519022229</v>
      </c>
      <c r="E97" s="102">
        <v>0.2813240573230627</v>
      </c>
      <c r="F97" s="102">
        <v>0.28487352223749673</v>
      </c>
      <c r="G97" s="102">
        <v>0.2784159238211707</v>
      </c>
      <c r="H97" s="102">
        <v>0.28003142072469117</v>
      </c>
      <c r="I97" s="102">
        <v>0.27303503198514795</v>
      </c>
      <c r="J97" s="102">
        <v>0.27317925381611768</v>
      </c>
      <c r="K97" s="102">
        <v>0.27374723705766579</v>
      </c>
      <c r="L97" s="102">
        <v>0.26534998274992677</v>
      </c>
      <c r="M97" s="102">
        <v>0.26278517857179978</v>
      </c>
      <c r="O97" s="97">
        <v>5920853</v>
      </c>
    </row>
    <row r="98" spans="1:15" s="97" customFormat="1" hidden="1" x14ac:dyDescent="0.2">
      <c r="B98" s="97">
        <v>7</v>
      </c>
      <c r="D98" s="102"/>
      <c r="E98" s="102"/>
      <c r="F98" s="102"/>
      <c r="G98" s="102"/>
      <c r="H98" s="102"/>
      <c r="I98" s="102"/>
      <c r="J98" s="102"/>
      <c r="K98" s="102"/>
      <c r="L98" s="102"/>
      <c r="M98" s="102"/>
      <c r="O98" s="97">
        <v>2480382</v>
      </c>
    </row>
    <row r="99" spans="1:15" s="97" customFormat="1" hidden="1" x14ac:dyDescent="0.2">
      <c r="B99" s="97">
        <v>8</v>
      </c>
      <c r="D99" s="102"/>
      <c r="E99" s="102"/>
      <c r="F99" s="102"/>
      <c r="G99" s="102"/>
      <c r="H99" s="102"/>
      <c r="I99" s="102"/>
      <c r="J99" s="102"/>
      <c r="K99" s="102"/>
      <c r="L99" s="102"/>
      <c r="M99" s="102"/>
      <c r="O99" s="97">
        <v>7434864</v>
      </c>
    </row>
    <row r="100" spans="1:15" s="97" customFormat="1" hidden="1" x14ac:dyDescent="0.2">
      <c r="B100" s="97">
        <v>9</v>
      </c>
      <c r="D100" s="102"/>
      <c r="E100" s="102"/>
      <c r="F100" s="102"/>
      <c r="G100" s="102"/>
      <c r="H100" s="102"/>
      <c r="I100" s="102"/>
      <c r="J100" s="102"/>
      <c r="K100" s="102"/>
      <c r="L100" s="102"/>
      <c r="M100" s="102"/>
      <c r="O100" s="97">
        <v>8497745</v>
      </c>
    </row>
    <row r="101" spans="1:15" s="97" customFormat="1" hidden="1" x14ac:dyDescent="0.2">
      <c r="B101" s="97">
        <v>10</v>
      </c>
      <c r="D101" s="102"/>
      <c r="E101" s="102"/>
      <c r="F101" s="102"/>
      <c r="G101" s="102"/>
      <c r="H101" s="102"/>
      <c r="I101" s="102"/>
      <c r="J101" s="102"/>
      <c r="K101" s="102"/>
      <c r="L101" s="102"/>
      <c r="M101" s="102"/>
      <c r="O101" s="97">
        <v>14393110</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7</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11</v>
      </c>
      <c r="D120" s="56">
        <v>21</v>
      </c>
      <c r="E120" s="56">
        <v>11</v>
      </c>
      <c r="F120" s="57">
        <v>43</v>
      </c>
    </row>
    <row r="121" spans="1:14" ht="18" customHeight="1" x14ac:dyDescent="0.2">
      <c r="A121" s="225" t="s">
        <v>23</v>
      </c>
      <c r="B121" s="30" t="s">
        <v>58</v>
      </c>
      <c r="C121" s="58">
        <v>28.098182678222656</v>
      </c>
      <c r="D121" s="58">
        <v>27.710952486310685</v>
      </c>
      <c r="E121" s="58">
        <v>33.562728881835938</v>
      </c>
      <c r="F121" s="59">
        <v>29.306976318359375</v>
      </c>
    </row>
    <row r="122" spans="1:14" ht="18" customHeight="1" x14ac:dyDescent="0.2">
      <c r="A122" s="226"/>
      <c r="B122" s="33" t="s">
        <v>51</v>
      </c>
      <c r="C122" s="60">
        <v>641.272705078125</v>
      </c>
      <c r="D122" s="60">
        <v>813.14286004929318</v>
      </c>
      <c r="E122" s="60">
        <v>1068.727294921875</v>
      </c>
      <c r="F122" s="61">
        <v>834.55816650390625</v>
      </c>
    </row>
    <row r="123" spans="1:14" ht="18" customHeight="1" x14ac:dyDescent="0.2">
      <c r="A123" s="226"/>
      <c r="B123" s="33" t="s">
        <v>52</v>
      </c>
      <c r="C123" s="60">
        <v>336.3636474609375</v>
      </c>
      <c r="D123" s="60">
        <v>337.66666085379467</v>
      </c>
      <c r="E123" s="60">
        <v>370.6363525390625</v>
      </c>
      <c r="F123" s="61">
        <v>345.7674560546875</v>
      </c>
    </row>
    <row r="124" spans="1:14" ht="18" customHeight="1" x14ac:dyDescent="0.2">
      <c r="A124" s="226"/>
      <c r="B124" s="33" t="s">
        <v>53</v>
      </c>
      <c r="C124" s="60">
        <v>521.06060791015625</v>
      </c>
      <c r="D124" s="60">
        <v>601.95034935360866</v>
      </c>
      <c r="E124" s="60">
        <v>760.61737060546875</v>
      </c>
      <c r="F124" s="61">
        <v>621.84686279296875</v>
      </c>
    </row>
    <row r="125" spans="1:14" ht="18" customHeight="1" x14ac:dyDescent="0.2">
      <c r="A125" s="226"/>
      <c r="B125" s="33" t="s">
        <v>54</v>
      </c>
      <c r="C125" s="28">
        <v>1205.03857421875</v>
      </c>
      <c r="D125" s="28">
        <v>1132.0260620117187</v>
      </c>
      <c r="E125" s="28">
        <v>959.02838134765625</v>
      </c>
      <c r="F125" s="62">
        <v>1106.448486328125</v>
      </c>
    </row>
    <row r="126" spans="1:14" ht="18" customHeight="1" x14ac:dyDescent="0.2">
      <c r="A126" s="226"/>
      <c r="B126" s="33" t="s">
        <v>59</v>
      </c>
      <c r="C126" s="28">
        <f ca="1">2519.895*OFFSET($L$112,MATCH($N$1,$C$112:$C$113,0)-1,0)</f>
        <v>2519.895</v>
      </c>
      <c r="D126" s="28">
        <f ca="1">2163.98889880952*OFFSET($L$112,MATCH($N$1,$C$112:$C$113,0)-1,0)</f>
        <v>2163.9888988095199</v>
      </c>
      <c r="E126" s="28">
        <f ca="1">1703.094875*OFFSET($L$112,MATCH($N$1,$C$112:$C$113,0)-1,0)</f>
        <v>1703.094875</v>
      </c>
      <c r="F126" s="62">
        <f ca="1">2137.1315*OFFSET($L$112,MATCH($N$1,$C$112:$C$113,0)-1,0)</f>
        <v>2137.1315</v>
      </c>
    </row>
    <row r="127" spans="1:14" ht="18" customHeight="1" x14ac:dyDescent="0.2">
      <c r="A127" s="226"/>
      <c r="B127" s="33" t="s">
        <v>56</v>
      </c>
      <c r="C127" s="60">
        <v>187.09091186523437</v>
      </c>
      <c r="D127" s="60">
        <v>189.6190468924386</v>
      </c>
      <c r="E127" s="60">
        <v>214.63636779785156</v>
      </c>
      <c r="F127" s="61">
        <v>195.37208557128906</v>
      </c>
    </row>
    <row r="128" spans="1:14" ht="18" customHeight="1" x14ac:dyDescent="0.2">
      <c r="A128" s="226"/>
      <c r="B128" s="33" t="s">
        <v>60</v>
      </c>
      <c r="C128" s="60">
        <v>15.636363983154297</v>
      </c>
      <c r="D128" s="60">
        <v>21.761905034383137</v>
      </c>
      <c r="E128" s="60">
        <v>25.454545974731445</v>
      </c>
      <c r="F128" s="61">
        <v>21.139533996582031</v>
      </c>
    </row>
    <row r="129" spans="1:14" ht="18" customHeight="1" x14ac:dyDescent="0.2">
      <c r="A129" s="226"/>
      <c r="B129" s="33" t="s">
        <v>61</v>
      </c>
      <c r="C129" s="63">
        <v>6.440925121307373</v>
      </c>
      <c r="D129" s="63">
        <v>5.9700018566903799</v>
      </c>
      <c r="E129" s="63">
        <v>4.4681539535522461</v>
      </c>
      <c r="F129" s="64">
        <v>5.6632885932922363</v>
      </c>
    </row>
    <row r="130" spans="1:14" ht="18" customHeight="1" x14ac:dyDescent="0.2">
      <c r="A130" s="227"/>
      <c r="B130" s="35" t="s">
        <v>24</v>
      </c>
      <c r="C130" s="37">
        <f ca="1">2091.13222921822*OFFSET($L$112,MATCH($N$1,$C$112:$C$113,0)-1,0)</f>
        <v>2091.1322292182199</v>
      </c>
      <c r="D130" s="37">
        <f ca="1">1911.60695979376*OFFSET($L$112,MATCH($N$1,$C$112:$C$113,0)-1,0)</f>
        <v>1911.6069597937601</v>
      </c>
      <c r="E130" s="37">
        <f ca="1">1775.85450871304*OFFSET($L$112,MATCH($N$1,$C$112:$C$113,0)-1,0)</f>
        <v>1775.8545087130401</v>
      </c>
      <c r="F130" s="65">
        <f ca="1">1932*OFFSET($L$112,MATCH($N$1,$C$112:$C$113,0)-1,0)</f>
        <v>1932</v>
      </c>
    </row>
    <row r="131" spans="1:14" ht="18" customHeight="1" x14ac:dyDescent="0.2">
      <c r="A131" s="239" t="s">
        <v>25</v>
      </c>
      <c r="B131" s="30" t="s">
        <v>62</v>
      </c>
      <c r="C131" s="66">
        <v>9.931559649874794</v>
      </c>
      <c r="D131" s="66">
        <v>7.0200721013260656</v>
      </c>
      <c r="E131" s="66">
        <v>4.0491769122634587</v>
      </c>
      <c r="F131" s="67">
        <v>6.4940021155827719</v>
      </c>
    </row>
    <row r="132" spans="1:14" ht="18" customHeight="1" x14ac:dyDescent="0.2">
      <c r="A132" s="228"/>
      <c r="B132" s="33" t="s">
        <v>63</v>
      </c>
      <c r="C132" s="63">
        <f ca="1">20.7682044702564*OFFSET($L$112,MATCH($N$1,$C$112:$C$113,0)-1,0)</f>
        <v>20.7682044702564</v>
      </c>
      <c r="D132" s="63">
        <f ca="1">13.4196186871489*OFFSET($L$112,MATCH($N$1,$C$112:$C$113,0)-1,0)</f>
        <v>13.419618687148899</v>
      </c>
      <c r="E132" s="63">
        <f ca="1">7.19074907621979*OFFSET($L$112,MATCH($N$1,$C$112:$C$113,0)-1,0)</f>
        <v>7.1907490762197899</v>
      </c>
      <c r="F132" s="64">
        <f ca="1">12.5433191456894*OFFSET($L$112,MATCH($N$1,$C$112:$C$113,0)-1,0)</f>
        <v>12.5433191456894</v>
      </c>
    </row>
    <row r="133" spans="1:14" ht="18" customHeight="1" x14ac:dyDescent="0.2">
      <c r="A133" s="228"/>
      <c r="B133" s="33" t="s">
        <v>11</v>
      </c>
      <c r="C133" s="63">
        <f ca="1">16.2232978921158*OFFSET($L$112,MATCH($N$1,$C$112:$C$113,0)-1,0)</f>
        <v>16.223297892115799</v>
      </c>
      <c r="D133" s="63">
        <f ca="1">11.0049847931193*OFFSET($L$112,MATCH($N$1,$C$112:$C$113,0)-1,0)</f>
        <v>11.0049847931193</v>
      </c>
      <c r="E133" s="63">
        <f ca="1">6.58462589334268*OFFSET($L$112,MATCH($N$1,$C$112:$C$113,0)-1,0)</f>
        <v>6.5846258933426798</v>
      </c>
      <c r="F133" s="64">
        <f ca="1">10.383721540189*OFFSET($L$112,MATCH($N$1,$C$112:$C$113,0)-1,0)</f>
        <v>10.383721540189001</v>
      </c>
    </row>
    <row r="134" spans="1:14" ht="18" customHeight="1" x14ac:dyDescent="0.2">
      <c r="A134" s="229"/>
      <c r="B134" s="35" t="s">
        <v>12</v>
      </c>
      <c r="C134" s="68">
        <f ca="1">4.54490657814057*OFFSET($L$112,MATCH($N$1,$C$112:$C$113,0)-1,0)</f>
        <v>4.5449065781405702</v>
      </c>
      <c r="D134" s="68">
        <f ca="1">2.41463389402962*OFFSET($L$112,MATCH($N$1,$C$112:$C$113,0)-1,0)</f>
        <v>2.4146338940296199</v>
      </c>
      <c r="E134" s="68">
        <f ca="1">0.606123182877112*OFFSET($L$112,MATCH($N$1,$C$112:$C$113,0)-1,0)</f>
        <v>0.60612318287711198</v>
      </c>
      <c r="F134" s="69">
        <f ca="1">2.15959760550035*OFFSET($L$112,MATCH($N$1,$C$112:$C$113,0)-1,0)</f>
        <v>2.1595976055003501</v>
      </c>
    </row>
    <row r="135" spans="1:14" ht="18" customHeight="1" x14ac:dyDescent="0.2">
      <c r="A135" s="240" t="s">
        <v>45</v>
      </c>
      <c r="B135" s="33" t="s">
        <v>102</v>
      </c>
      <c r="C135" s="70">
        <f ca="1">257.505671875*OFFSET($L$112,MATCH($N$1,$C$112:$C$113,0)-1,0)</f>
        <v>257.50567187500002</v>
      </c>
      <c r="D135" s="70">
        <f ca="1">305.329125*OFFSET($L$112,MATCH($N$1,$C$112:$C$113,0)-1,0)</f>
        <v>305.32912499999998</v>
      </c>
      <c r="E135" s="70">
        <f ca="1">403.184875*OFFSET($L$112,MATCH($N$1,$C$112:$C$113,0)-1,0)</f>
        <v>403.18487499999998</v>
      </c>
      <c r="F135" s="71">
        <f ca="1">318.12809375*OFFSET($L$112,MATCH($N$1,$C$112:$C$113,0)-1,0)</f>
        <v>318.12809375000001</v>
      </c>
    </row>
    <row r="136" spans="1:14" ht="18" customHeight="1" x14ac:dyDescent="0.2">
      <c r="A136" s="241"/>
      <c r="B136" s="33" t="s">
        <v>103</v>
      </c>
      <c r="C136" s="26">
        <v>602627.27238614112</v>
      </c>
      <c r="D136" s="26">
        <v>719554.75606105698</v>
      </c>
      <c r="E136" s="26">
        <v>955036.36124581844</v>
      </c>
      <c r="F136" s="72">
        <v>749882.5581395349</v>
      </c>
    </row>
    <row r="137" spans="1:14" ht="18" customHeight="1" x14ac:dyDescent="0.2">
      <c r="A137" s="241"/>
      <c r="B137" s="33" t="s">
        <v>104</v>
      </c>
      <c r="C137" s="26">
        <v>3221.039794921875</v>
      </c>
      <c r="D137" s="26">
        <v>3794.7388084342833</v>
      </c>
      <c r="E137" s="26">
        <v>4449.55517578125</v>
      </c>
      <c r="F137" s="72">
        <v>3838.2275390625</v>
      </c>
    </row>
    <row r="138" spans="1:14" ht="18" customHeight="1" x14ac:dyDescent="0.2">
      <c r="A138" s="241"/>
      <c r="B138" s="33" t="s">
        <v>105</v>
      </c>
      <c r="C138" s="26">
        <f ca="1">1376.36654451974*OFFSET($L$112,MATCH($N$1,$C$112:$C$113,0)-1,0)</f>
        <v>1376.36654451974</v>
      </c>
      <c r="D138" s="26">
        <f ca="1">1610.22392003266*OFFSET($L$112,MATCH($N$1,$C$112:$C$113,0)-1,0)</f>
        <v>1610.2239200326601</v>
      </c>
      <c r="E138" s="26">
        <f ca="1">1878.45554384207*OFFSET($L$112,MATCH($N$1,$C$112:$C$113,0)-1,0)</f>
        <v>1878.45554384207</v>
      </c>
      <c r="F138" s="72">
        <f ca="1">1628.31907546955*OFFSET($L$112,MATCH($N$1,$C$112:$C$113,0)-1,0)</f>
        <v>1628.3190754695499</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213.690812380795*OFFSET($L$112,MATCH($N$1,$C$112:$C$113,0)-1,0)</f>
        <v>213.69081238079499</v>
      </c>
      <c r="D139" s="26">
        <f ca="1">269.71916570313*OFFSET($L$112,MATCH($N$1,$C$112:$C$113,0)-1,0)</f>
        <v>269.71916570312999</v>
      </c>
      <c r="E139" s="26">
        <f ca="1">420.409742653739*OFFSET($L$112,MATCH($N$1,$C$112:$C$113,0)-1,0)</f>
        <v>420.40974265373899</v>
      </c>
      <c r="F139" s="72">
        <f ca="1">287.521830144794*OFFSET($L$112,MATCH($N$1,$C$112:$C$113,0)-1,0)</f>
        <v>287.52183014479402</v>
      </c>
      <c r="I139" s="49"/>
      <c r="K139" s="73" t="s">
        <v>107</v>
      </c>
      <c r="L139" s="74">
        <f t="shared" ref="L139:M141" ca="1" si="2">C140</f>
        <v>2608.76125</v>
      </c>
      <c r="M139" s="74">
        <f t="shared" ca="1" si="2"/>
        <v>2240.30375</v>
      </c>
      <c r="N139" s="74">
        <f ca="1">E140</f>
        <v>1763.1559999999999</v>
      </c>
    </row>
    <row r="140" spans="1:14" ht="18" customHeight="1" x14ac:dyDescent="0.2">
      <c r="A140" s="230" t="s">
        <v>46</v>
      </c>
      <c r="B140" s="30" t="s">
        <v>108</v>
      </c>
      <c r="C140" s="75">
        <f ca="1">2608.76125*OFFSET($L$112,MATCH($N$1,$C$112:$C$113,0)-1,0)</f>
        <v>2608.76125</v>
      </c>
      <c r="D140" s="75">
        <f ca="1">2240.30375*OFFSET($L$112,MATCH($N$1,$C$112:$C$113,0)-1,0)</f>
        <v>2240.30375</v>
      </c>
      <c r="E140" s="75">
        <f ca="1">1763.156*OFFSET($L$112,MATCH($N$1,$C$112:$C$113,0)-1,0)</f>
        <v>1763.1559999999999</v>
      </c>
      <c r="F140" s="76">
        <f ca="1">2212.49925*OFFSET($L$112,MATCH($N$1,$C$112:$C$113,0)-1,0)</f>
        <v>2212.4992499999998</v>
      </c>
      <c r="I140" s="49"/>
      <c r="K140" s="73" t="s">
        <v>109</v>
      </c>
      <c r="L140" s="74">
        <f t="shared" ca="1" si="2"/>
        <v>2057.30825</v>
      </c>
      <c r="M140" s="74">
        <f t="shared" ca="1" si="2"/>
        <v>1850.9304702381</v>
      </c>
      <c r="N140" s="74">
        <f ca="1">E141</f>
        <v>1619.5986250000001</v>
      </c>
    </row>
    <row r="141" spans="1:14" ht="18" customHeight="1" x14ac:dyDescent="0.2">
      <c r="A141" s="237"/>
      <c r="B141" s="33" t="s">
        <v>110</v>
      </c>
      <c r="C141" s="26">
        <f ca="1">2057.30825*OFFSET($L$112,MATCH($N$1,$C$112:$C$113,0)-1,0)</f>
        <v>2057.30825</v>
      </c>
      <c r="D141" s="26">
        <f ca="1">1850.9304702381*OFFSET($L$112,MATCH($N$1,$C$112:$C$113,0)-1,0)</f>
        <v>1850.9304702381</v>
      </c>
      <c r="E141" s="26">
        <f ca="1">1619.598625*OFFSET($L$112,MATCH($N$1,$C$112:$C$113,0)-1,0)</f>
        <v>1619.5986250000001</v>
      </c>
      <c r="F141" s="72">
        <f ca="1">1844.546875*OFFSET($L$112,MATCH($N$1,$C$112:$C$113,0)-1,0)</f>
        <v>1844.546875</v>
      </c>
      <c r="I141" s="49"/>
      <c r="K141" s="73" t="s">
        <v>111</v>
      </c>
      <c r="L141" s="74">
        <f t="shared" ca="1" si="2"/>
        <v>551.45299999999997</v>
      </c>
      <c r="M141" s="74">
        <f t="shared" ca="1" si="2"/>
        <v>389.373279761905</v>
      </c>
      <c r="N141" s="74">
        <f ca="1">E142</f>
        <v>143.55737500000001</v>
      </c>
    </row>
    <row r="142" spans="1:14" ht="18" customHeight="1" x14ac:dyDescent="0.2">
      <c r="A142" s="238"/>
      <c r="B142" s="35" t="s">
        <v>112</v>
      </c>
      <c r="C142" s="37">
        <f ca="1">551.453*OFFSET($L$112,MATCH($N$1,$C$112:$C$113,0)-1,0)</f>
        <v>551.45299999999997</v>
      </c>
      <c r="D142" s="37">
        <f ca="1">389.373279761905*OFFSET($L$112,MATCH($N$1,$C$112:$C$113,0)-1,0)</f>
        <v>389.373279761905</v>
      </c>
      <c r="E142" s="37">
        <f ca="1">143.557375*OFFSET($L$112,MATCH($N$1,$C$112:$C$113,0)-1,0)</f>
        <v>143.55737500000001</v>
      </c>
      <c r="F142" s="65">
        <f ca="1">367.952375*OFFSET($L$112,MATCH($N$1,$C$112:$C$113,0)-1,0)</f>
        <v>367.95237500000002</v>
      </c>
      <c r="I142" s="49"/>
      <c r="K142" s="73" t="s">
        <v>113</v>
      </c>
      <c r="L142" s="77">
        <f ca="1">IFERROR(L140/L$139,"")</f>
        <v>0.78861499878534302</v>
      </c>
      <c r="M142" s="77">
        <f t="shared" ref="M142:N143" ca="1" si="3">IFERROR(M140/M$139,"")</f>
        <v>0.82619621122274156</v>
      </c>
      <c r="N142" s="77">
        <f t="shared" ca="1" si="3"/>
        <v>0.91857931175687246</v>
      </c>
    </row>
    <row r="143" spans="1:14" ht="18" customHeight="1" x14ac:dyDescent="0.2">
      <c r="I143" s="49"/>
      <c r="K143" s="73" t="s">
        <v>114</v>
      </c>
      <c r="L143" s="77">
        <f ca="1">IFERROR(L141/L$139,"")</f>
        <v>0.21138500121465695</v>
      </c>
      <c r="M143" s="77">
        <f t="shared" ca="1" si="3"/>
        <v>0.17380378877726066</v>
      </c>
      <c r="N143" s="77">
        <f t="shared" ca="1" si="3"/>
        <v>8.1420688243127676E-2</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8</v>
      </c>
      <c r="B161" s="53"/>
      <c r="C161" s="79" t="s">
        <v>41</v>
      </c>
      <c r="D161" s="79" t="s">
        <v>115</v>
      </c>
      <c r="E161" s="79" t="s">
        <v>43</v>
      </c>
      <c r="F161" s="79" t="s">
        <v>116</v>
      </c>
      <c r="G161" s="80">
        <v>9</v>
      </c>
      <c r="H161" s="79"/>
      <c r="I161" s="79" t="s">
        <v>41</v>
      </c>
      <c r="J161" s="79" t="s">
        <v>115</v>
      </c>
      <c r="K161" s="79" t="s">
        <v>43</v>
      </c>
      <c r="L161" s="53" t="s">
        <v>116</v>
      </c>
    </row>
    <row r="162" spans="1:14" s="49" customFormat="1" x14ac:dyDescent="0.2">
      <c r="A162" s="50">
        <v>1</v>
      </c>
      <c r="B162" s="53" t="s">
        <v>16</v>
      </c>
      <c r="C162" s="53">
        <v>0.39488604089982626</v>
      </c>
      <c r="D162" s="53">
        <v>0.27150949738212093</v>
      </c>
      <c r="E162" s="53">
        <v>0.18135047215014011</v>
      </c>
      <c r="F162" s="50">
        <v>12153634</v>
      </c>
      <c r="G162" s="50">
        <v>1</v>
      </c>
      <c r="H162" s="53" t="s">
        <v>121</v>
      </c>
      <c r="I162" s="53">
        <v>0.15103195191269586</v>
      </c>
      <c r="J162" s="53">
        <v>0.24245072466325535</v>
      </c>
      <c r="K162" s="53">
        <v>5.2153709558056788E-2</v>
      </c>
      <c r="L162" s="50">
        <v>3050596</v>
      </c>
    </row>
    <row r="163" spans="1:14" s="49" customFormat="1" x14ac:dyDescent="0.2">
      <c r="A163" s="50">
        <v>2</v>
      </c>
      <c r="B163" s="53" t="s">
        <v>228</v>
      </c>
      <c r="C163" s="53">
        <v>8.3520821076042431E-2</v>
      </c>
      <c r="D163" s="53">
        <v>0.15563214299993211</v>
      </c>
      <c r="E163" s="53">
        <v>5.1507187551839868E-2</v>
      </c>
      <c r="F163" s="50">
        <v>3689192</v>
      </c>
      <c r="G163" s="50">
        <v>2</v>
      </c>
      <c r="H163" s="53" t="s">
        <v>97</v>
      </c>
      <c r="I163" s="53">
        <v>0.19430583335544138</v>
      </c>
      <c r="J163" s="53">
        <v>0.22034139783901788</v>
      </c>
      <c r="K163" s="53">
        <v>7.7838297359205513E-2</v>
      </c>
      <c r="L163" s="50">
        <v>553960</v>
      </c>
      <c r="N163" s="49" t="s">
        <v>117</v>
      </c>
    </row>
    <row r="164" spans="1:14" s="49" customFormat="1" x14ac:dyDescent="0.2">
      <c r="A164" s="50">
        <v>3</v>
      </c>
      <c r="B164" s="53" t="s">
        <v>121</v>
      </c>
      <c r="C164" s="53">
        <v>0.10062822345569922</v>
      </c>
      <c r="D164" s="53">
        <v>0.14389306883495329</v>
      </c>
      <c r="E164" s="53">
        <v>0</v>
      </c>
      <c r="F164" s="50">
        <v>3050596</v>
      </c>
      <c r="G164" s="50">
        <v>3</v>
      </c>
      <c r="H164" s="53" t="s">
        <v>16</v>
      </c>
      <c r="I164" s="53">
        <v>0.33243473026511938</v>
      </c>
      <c r="J164" s="53">
        <v>0.18860783977744647</v>
      </c>
      <c r="K164" s="53">
        <v>0.16873433269883051</v>
      </c>
      <c r="L164" s="50">
        <v>12153634</v>
      </c>
      <c r="N164" s="49" t="s">
        <v>118</v>
      </c>
    </row>
    <row r="165" spans="1:14" s="49" customFormat="1" x14ac:dyDescent="0.2">
      <c r="A165" s="50">
        <v>4</v>
      </c>
      <c r="B165" s="53" t="s">
        <v>97</v>
      </c>
      <c r="C165" s="53">
        <v>0.16478193551961409</v>
      </c>
      <c r="D165" s="53">
        <v>0.12207638686001784</v>
      </c>
      <c r="E165" s="53">
        <v>5.6901241851883118E-2</v>
      </c>
      <c r="F165" s="50">
        <v>553960</v>
      </c>
      <c r="G165" s="50">
        <v>4</v>
      </c>
      <c r="H165" s="53" t="s">
        <v>228</v>
      </c>
      <c r="I165" s="53">
        <v>0</v>
      </c>
      <c r="J165" s="53">
        <v>0.10732214799102541</v>
      </c>
      <c r="K165" s="53">
        <v>0</v>
      </c>
      <c r="L165" s="50">
        <v>3689192</v>
      </c>
    </row>
    <row r="166" spans="1:14" s="49" customFormat="1" x14ac:dyDescent="0.2">
      <c r="A166" s="50">
        <v>5</v>
      </c>
      <c r="B166" s="53" t="s">
        <v>170</v>
      </c>
      <c r="C166" s="53">
        <v>5.8050806001140161E-2</v>
      </c>
      <c r="D166" s="53">
        <v>0.11444505704875026</v>
      </c>
      <c r="E166" s="53">
        <v>0.46687196181326984</v>
      </c>
      <c r="F166" s="50">
        <v>1692097</v>
      </c>
      <c r="G166" s="50">
        <v>5</v>
      </c>
      <c r="H166" s="53" t="s">
        <v>206</v>
      </c>
      <c r="I166" s="53">
        <v>0</v>
      </c>
      <c r="J166" s="53">
        <v>6.9549624817399805E-2</v>
      </c>
      <c r="K166" s="53">
        <v>0</v>
      </c>
      <c r="L166" s="50">
        <v>11115023</v>
      </c>
    </row>
    <row r="167" spans="1:14" s="49" customFormat="1" x14ac:dyDescent="0.2">
      <c r="A167" s="50">
        <v>6</v>
      </c>
      <c r="B167" s="53" t="s">
        <v>191</v>
      </c>
      <c r="C167" s="53">
        <v>0</v>
      </c>
      <c r="D167" s="53">
        <v>0</v>
      </c>
      <c r="E167" s="53">
        <v>3.906456549486341E-2</v>
      </c>
      <c r="F167" s="50">
        <v>2480382</v>
      </c>
      <c r="G167" s="50">
        <v>6</v>
      </c>
      <c r="H167" s="53" t="s">
        <v>170</v>
      </c>
      <c r="I167" s="53">
        <v>4.5711563958097265E-2</v>
      </c>
      <c r="J167" s="53">
        <v>0</v>
      </c>
      <c r="K167" s="53">
        <v>0.37749945578317096</v>
      </c>
      <c r="L167" s="50">
        <v>1692097</v>
      </c>
    </row>
    <row r="168" spans="1:14" s="49" customFormat="1" x14ac:dyDescent="0.2">
      <c r="A168" s="50">
        <v>7</v>
      </c>
      <c r="B168" s="53" t="s">
        <v>101</v>
      </c>
      <c r="C168" s="53">
        <v>0.19813217304767783</v>
      </c>
      <c r="D168" s="53">
        <v>0.19244384687422555</v>
      </c>
      <c r="E168" s="53">
        <v>0.2043045711380036</v>
      </c>
      <c r="F168" s="50">
        <v>5920853</v>
      </c>
      <c r="G168" s="50">
        <v>7</v>
      </c>
      <c r="H168" s="53" t="s">
        <v>137</v>
      </c>
      <c r="I168" s="53">
        <v>6.3116681145290107E-2</v>
      </c>
      <c r="J168" s="53">
        <v>0</v>
      </c>
      <c r="K168" s="53">
        <v>7.340178169304605E-2</v>
      </c>
      <c r="L168" s="50">
        <v>7434864</v>
      </c>
    </row>
    <row r="169" spans="1:14" s="49" customFormat="1" x14ac:dyDescent="0.2">
      <c r="A169" s="50">
        <v>8</v>
      </c>
      <c r="B169" s="53"/>
      <c r="C169" s="53">
        <v>0</v>
      </c>
      <c r="D169" s="53">
        <v>0</v>
      </c>
      <c r="E169" s="53">
        <v>0</v>
      </c>
      <c r="F169" s="50"/>
      <c r="G169" s="50">
        <v>8</v>
      </c>
      <c r="H169" s="53" t="s">
        <v>101</v>
      </c>
      <c r="I169" s="53">
        <v>0.21339923936335603</v>
      </c>
      <c r="J169" s="53">
        <v>0.17172826491185511</v>
      </c>
      <c r="K169" s="53">
        <v>0.25037242290769024</v>
      </c>
      <c r="L169" s="50">
        <v>5920853</v>
      </c>
    </row>
    <row r="170" spans="1:14" s="49" customFormat="1" x14ac:dyDescent="0.2">
      <c r="A170" s="50">
        <v>9</v>
      </c>
      <c r="B170" s="53"/>
      <c r="C170" s="53">
        <v>0</v>
      </c>
      <c r="D170" s="53">
        <v>0</v>
      </c>
      <c r="E170" s="53">
        <v>0</v>
      </c>
      <c r="F170" s="50"/>
      <c r="G170" s="50">
        <v>9</v>
      </c>
      <c r="H170" s="53"/>
      <c r="I170" s="53">
        <v>0</v>
      </c>
      <c r="J170" s="53">
        <v>0</v>
      </c>
      <c r="K170" s="53">
        <v>0</v>
      </c>
      <c r="L170" s="50"/>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'NSWOS demersal over 24m'!D3:N3</xm:f>
              <xm:sqref>C3</xm:sqref>
            </x14:sparkline>
            <x14:sparkline>
              <xm:f>'NSWOS demersal over 24m'!D4:N4</xm:f>
              <xm:sqref>C4</xm:sqref>
            </x14:sparkline>
            <x14:sparkline>
              <xm:f>'NSWOS demersal over 24m'!D5:N5</xm:f>
              <xm:sqref>C5</xm:sqref>
            </x14:sparkline>
            <x14:sparkline>
              <xm:f>'NSWOS demersal over 24m'!D6:N6</xm:f>
              <xm:sqref>C6</xm:sqref>
            </x14:sparkline>
            <x14:sparkline>
              <xm:f>'NSWOS demersal over 24m'!D7:N7</xm:f>
              <xm:sqref>C7</xm:sqref>
            </x14:sparkline>
            <x14:sparkline>
              <xm:f>'NSWOS demersal over 24m'!D8:N8</xm:f>
              <xm:sqref>C8</xm:sqref>
            </x14:sparkline>
            <x14:sparkline>
              <xm:f>'NSWOS demersal over 24m'!D9:N9</xm:f>
              <xm:sqref>C9</xm:sqref>
            </x14:sparkline>
            <x14:sparkline>
              <xm:f>'NSWOS demersal over 24m'!F10:M10</xm:f>
              <xm:sqref>C10</xm:sqref>
            </x14:sparkline>
            <x14:sparkline>
              <xm:f>'NSWOS demersal over 24m'!D11:N11</xm:f>
              <xm:sqref>C11</xm:sqref>
            </x14:sparkline>
            <x14:sparkline>
              <xm:f>'NSWOS demersal over 24m'!D12:N12</xm:f>
              <xm:sqref>C12</xm:sqref>
            </x14:sparkline>
            <x14:sparkline>
              <xm:f>'NSWOS demersal over 24m'!D13:N13</xm:f>
              <xm:sqref>C13</xm:sqref>
            </x14:sparkline>
            <x14:sparkline>
              <xm:f>'NSWOS demersal over 24m'!D14:N14</xm:f>
              <xm:sqref>C14</xm:sqref>
            </x14:sparkline>
            <x14:sparkline>
              <xm:f>'NSWOS demersal over 24m'!D15:N15</xm:f>
              <xm:sqref>C15</xm:sqref>
            </x14:sparkline>
            <x14:sparkline>
              <xm:f>'NSWOS demersal over 24m'!D16:N16</xm:f>
              <xm:sqref>C16</xm:sqref>
            </x14:sparkline>
            <x14:sparkline>
              <xm:f>'NSWOS demersal over 24m'!D17:N17</xm:f>
              <xm:sqref>C17</xm:sqref>
            </x14:sparkline>
            <x14:sparkline>
              <xm:f>'NSWOS demersal over 24m'!D18:N18</xm:f>
              <xm:sqref>C18</xm:sqref>
            </x14:sparkline>
            <x14:sparkline>
              <xm:f>'NSWOS demersal over 24m'!D19:N19</xm:f>
              <xm:sqref>C19</xm:sqref>
            </x14:sparkline>
            <x14:sparkline>
              <xm:f>'NSWOS demersal over 24m'!D20:N20</xm:f>
              <xm:sqref>C20</xm:sqref>
            </x14:sparkline>
            <x14:sparkline>
              <xm:f>'NSWOS demersal over 24m'!D21:N21</xm:f>
              <xm:sqref>C21</xm:sqref>
            </x14:sparkline>
            <x14:sparkline>
              <xm:f>'NSWOS demersal over 24m'!D22:N22</xm:f>
              <xm:sqref>C22</xm:sqref>
            </x14:sparkline>
            <x14:sparkline>
              <xm:f>'NSWOS demersal over 24m'!D23:N23</xm:f>
              <xm:sqref>C23</xm:sqref>
            </x14:sparkline>
            <x14:sparkline>
              <xm:f>'NSWOS demersal over 24m'!D24:N24</xm:f>
              <xm:sqref>C24</xm:sqref>
            </x14:sparkline>
            <x14:sparkline>
              <xm:f>'NSWOS demersal over 24m'!F25:M25</xm:f>
              <xm:sqref>C25</xm:sqref>
            </x14:sparkline>
            <x14:sparkline>
              <xm:f>'NSWOS demersal over 24m'!F26:M26</xm:f>
              <xm:sqref>C26</xm:sqref>
            </x14:sparkline>
            <x14:sparkline>
              <xm:f>'NSWOS demersal over 24m'!D27:N27</xm:f>
              <xm:sqref>C27</xm:sqref>
            </x14:sparkline>
            <x14:sparkline>
              <xm:f>'NSWOS demersal over 24m'!D28:N28</xm:f>
              <xm:sqref>C28</xm:sqref>
            </x14:sparkline>
            <x14:sparkline>
              <xm:f>'NSWOS demersal over 24m'!D29:N29</xm:f>
              <xm:sqref>C29</xm:sqref>
            </x14:sparkline>
            <x14:sparkline>
              <xm:f>'NSWOS demersal over 24m'!D30:N30</xm:f>
              <xm:sqref>C30</xm:sqref>
            </x14:sparkline>
            <x14:sparkline>
              <xm:f>'NSWOS demersal over 24m'!D31:N31</xm:f>
              <xm:sqref>C31</xm:sqref>
            </x14:sparkline>
            <x14:sparkline>
              <xm:f>'NSWOS demersal over 24m'!D32:N32</xm:f>
              <xm:sqref>C32</xm:sqref>
            </x14:sparkline>
            <x14:sparkline>
              <xm:f>'NSWOS demersal over 24m'!D33:N33</xm:f>
              <xm:sqref>C33</xm:sqref>
            </x14:sparkline>
            <x14:sparkline>
              <xm:f>'NSWOS demersal over 24m'!D34:N34</xm:f>
              <xm:sqref>C34</xm:sqref>
            </x14:sparkline>
            <x14:sparkline>
              <xm:f>'NSWOS demersal over 24m'!D35:N35</xm:f>
              <xm:sqref>C35</xm:sqref>
            </x14:sparkline>
            <x14:sparkline>
              <xm:f>'NSWOS demersal over 24m'!D36:N36</xm:f>
              <xm:sqref>C36</xm:sqref>
            </x14:sparkline>
            <x14:sparkline>
              <xm:f>'NSWOS demersal over 24m'!D37:N37</xm:f>
              <xm:sqref>C37</xm:sqref>
            </x14:sparkline>
            <x14:sparkline>
              <xm:f>'NSWOS demersal over 24m'!D38:M38</xm:f>
              <xm:sqref>C38</xm:sqref>
            </x14:sparkline>
            <x14:sparkline>
              <xm:f>'NSWOS demersal over 24m'!D39:M39</xm:f>
              <xm:sqref>C39</xm:sqref>
            </x14:sparkline>
            <x14:sparkline>
              <xm:f>'NSWOS demersal over 24m'!D40:M40</xm:f>
              <xm:sqref>C40</xm:sqref>
            </x14:sparkline>
            <x14:sparkline>
              <xm:f>'NSWOS demersal over 24m'!D41:M41</xm:f>
              <xm:sqref>C41</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326</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41</v>
      </c>
      <c r="E3" s="22">
        <v>41</v>
      </c>
      <c r="F3" s="22">
        <v>38</v>
      </c>
      <c r="G3" s="22">
        <v>32</v>
      </c>
      <c r="H3" s="22">
        <v>30</v>
      </c>
      <c r="I3" s="22">
        <v>20</v>
      </c>
      <c r="J3" s="22">
        <v>30</v>
      </c>
      <c r="K3" s="22">
        <v>28</v>
      </c>
      <c r="L3" s="22">
        <v>25</v>
      </c>
      <c r="M3" s="22">
        <v>25</v>
      </c>
      <c r="N3" s="22">
        <v>25</v>
      </c>
      <c r="O3" s="23">
        <f t="shared" ref="O3:O41" si="0">IF(N3=0,"",IFERROR(IF(AND(N3&gt;0,D3&lt;0),"na",IF(AND(N3&lt;0,D3&lt;0),-1,1)*(N3-D3)/D3),""))</f>
        <v>-0.3902439024390244</v>
      </c>
      <c r="P3" s="23">
        <f>IF(N3=0,"",IFERROR(IF(AND(N3&gt;0,J3&lt;0),"na",IF(AND(N3&lt;0,J3&lt;0),-1,1)*(N3-J3)/J3),""))</f>
        <v>-0.16666666666666666</v>
      </c>
    </row>
    <row r="4" spans="1:17" ht="18" customHeight="1" x14ac:dyDescent="0.2">
      <c r="A4" s="224"/>
      <c r="B4" s="24" t="s">
        <v>51</v>
      </c>
      <c r="C4" s="25"/>
      <c r="D4" s="26">
        <v>20216</v>
      </c>
      <c r="E4" s="26">
        <v>20309</v>
      </c>
      <c r="F4" s="26">
        <v>19030</v>
      </c>
      <c r="G4" s="26">
        <v>16549</v>
      </c>
      <c r="H4" s="26">
        <v>15632</v>
      </c>
      <c r="I4" s="26">
        <v>10872</v>
      </c>
      <c r="J4" s="26">
        <v>15932</v>
      </c>
      <c r="K4" s="26">
        <v>15054</v>
      </c>
      <c r="L4" s="26">
        <v>13551</v>
      </c>
      <c r="M4" s="26">
        <v>13455</v>
      </c>
      <c r="N4" s="26">
        <v>13179</v>
      </c>
      <c r="O4" s="23">
        <f t="shared" si="0"/>
        <v>-0.34809062129006729</v>
      </c>
      <c r="P4" s="23">
        <f t="shared" ref="P4:P41" si="1">IF(N4=0,"",IFERROR(IF(AND(N4&gt;0,J4&lt;0),"na",IF(AND(N4&lt;0,J4&lt;0),-1,1)*(N4-J4)/J4),""))</f>
        <v>-0.17279688676876725</v>
      </c>
    </row>
    <row r="5" spans="1:17" ht="18" customHeight="1" x14ac:dyDescent="0.2">
      <c r="A5" s="224"/>
      <c r="B5" s="24" t="s">
        <v>52</v>
      </c>
      <c r="C5" s="25"/>
      <c r="D5" s="26">
        <v>8327</v>
      </c>
      <c r="E5" s="26">
        <v>8368</v>
      </c>
      <c r="F5" s="26">
        <v>7944</v>
      </c>
      <c r="G5" s="26">
        <v>6872</v>
      </c>
      <c r="H5" s="26">
        <v>6504</v>
      </c>
      <c r="I5" s="26">
        <v>4706</v>
      </c>
      <c r="J5" s="26">
        <v>7057</v>
      </c>
      <c r="K5" s="26">
        <v>6617</v>
      </c>
      <c r="L5" s="26">
        <v>6108</v>
      </c>
      <c r="M5" s="26">
        <v>6228</v>
      </c>
      <c r="N5" s="26">
        <v>6237</v>
      </c>
      <c r="O5" s="23">
        <f t="shared" si="0"/>
        <v>-0.25099075297225892</v>
      </c>
      <c r="P5" s="23">
        <f t="shared" si="1"/>
        <v>-0.11619668414340371</v>
      </c>
      <c r="Q5" s="27"/>
    </row>
    <row r="6" spans="1:17" ht="18" customHeight="1" x14ac:dyDescent="0.2">
      <c r="A6" s="224"/>
      <c r="B6" s="24" t="s">
        <v>53</v>
      </c>
      <c r="C6" s="25"/>
      <c r="D6" s="26">
        <v>16347.6103515625</v>
      </c>
      <c r="E6" s="26">
        <v>16418.083984375</v>
      </c>
      <c r="F6" s="26">
        <v>15354.54296875</v>
      </c>
      <c r="G6" s="26">
        <v>13277.625</v>
      </c>
      <c r="H6" s="26">
        <v>12519.72265625</v>
      </c>
      <c r="I6" s="26">
        <v>8615.2529296875</v>
      </c>
      <c r="J6" s="26">
        <v>12865.4208984375</v>
      </c>
      <c r="K6" s="26">
        <v>12095.1064453125</v>
      </c>
      <c r="L6" s="26">
        <v>10978.869140625</v>
      </c>
      <c r="M6" s="26">
        <v>11007.3056640625</v>
      </c>
      <c r="N6" s="26">
        <v>10882.615234375</v>
      </c>
      <c r="O6" s="23">
        <f t="shared" si="0"/>
        <v>-0.3342993256910578</v>
      </c>
      <c r="P6" s="23">
        <f t="shared" si="1"/>
        <v>-0.15411898916601408</v>
      </c>
    </row>
    <row r="7" spans="1:17" ht="18" customHeight="1" x14ac:dyDescent="0.2">
      <c r="A7" s="224"/>
      <c r="B7" s="24" t="s">
        <v>54</v>
      </c>
      <c r="C7" s="25"/>
      <c r="D7" s="26">
        <v>20531.44921875</v>
      </c>
      <c r="E7" s="26">
        <v>24270.57421875</v>
      </c>
      <c r="F7" s="26">
        <v>23678.0859375</v>
      </c>
      <c r="G7" s="26">
        <v>20660.240234375</v>
      </c>
      <c r="H7" s="26">
        <v>20617.294921875</v>
      </c>
      <c r="I7" s="26">
        <v>17024.552734375</v>
      </c>
      <c r="J7" s="26">
        <v>24155.08203125</v>
      </c>
      <c r="K7" s="26">
        <v>26031.48046875</v>
      </c>
      <c r="L7" s="26">
        <v>27196.4609375</v>
      </c>
      <c r="M7" s="26">
        <v>27765.5078125</v>
      </c>
      <c r="N7" s="26">
        <v>28044.119140625</v>
      </c>
      <c r="O7" s="23">
        <f t="shared" si="0"/>
        <v>0.36591035741472067</v>
      </c>
      <c r="P7" s="23">
        <f t="shared" si="1"/>
        <v>0.16100285249885141</v>
      </c>
    </row>
    <row r="8" spans="1:17" ht="18" customHeight="1" x14ac:dyDescent="0.2">
      <c r="A8" s="224"/>
      <c r="B8" s="24" t="s">
        <v>55</v>
      </c>
      <c r="C8" s="27"/>
      <c r="D8" s="28">
        <f ca="1">31.246212*OFFSET(D$112,MATCH($N$1,$C$112:$C$113,0)-1,0)</f>
        <v>31.246212</v>
      </c>
      <c r="E8" s="28">
        <f ca="1">33.266472*OFFSET(E$112,MATCH($N$1,$C$112:$C$113,0)-1,0)</f>
        <v>33.266472</v>
      </c>
      <c r="F8" s="28">
        <f ca="1">37.426068*OFFSET(F$112,MATCH($N$1,$C$112:$C$113,0)-1,0)</f>
        <v>37.426068000000001</v>
      </c>
      <c r="G8" s="28">
        <f ca="1">35.064844*OFFSET(G$112,MATCH($N$1,$C$112:$C$113,0)-1,0)</f>
        <v>35.064844000000001</v>
      </c>
      <c r="H8" s="28">
        <f ca="1">30.739242*OFFSET(H$112,MATCH($N$1,$C$112:$C$113,0)-1,0)</f>
        <v>30.739242000000001</v>
      </c>
      <c r="I8" s="28">
        <f ca="1">24.595306*OFFSET(I$112,MATCH($N$1,$C$112:$C$113,0)-1,0)</f>
        <v>24.595306000000001</v>
      </c>
      <c r="J8" s="28">
        <f ca="1">38.308116*OFFSET(J$112,MATCH($N$1,$C$112:$C$113,0)-1,0)</f>
        <v>38.308115999999998</v>
      </c>
      <c r="K8" s="28">
        <f ca="1">40.198356*OFFSET(K$112,MATCH($N$1,$C$112:$C$113,0)-1,0)</f>
        <v>40.198355999999997</v>
      </c>
      <c r="L8" s="28">
        <f ca="1">45.187792*OFFSET(L$112,MATCH($N$1,$C$112:$C$113,0)-1,0)</f>
        <v>45.187792000000002</v>
      </c>
      <c r="M8" s="28">
        <f ca="1">50.754828*OFFSET(M$112,MATCH($N$1,$C$112:$C$113,0)-1,0)</f>
        <v>50.754828000000003</v>
      </c>
      <c r="N8" s="28">
        <v>47.837071999999999</v>
      </c>
      <c r="O8" s="23">
        <f t="shared" ca="1" si="0"/>
        <v>0.53097188228768333</v>
      </c>
      <c r="P8" s="23">
        <f t="shared" ca="1" si="1"/>
        <v>0.24874509620885563</v>
      </c>
    </row>
    <row r="9" spans="1:17" ht="18" customHeight="1" x14ac:dyDescent="0.2">
      <c r="A9" s="224"/>
      <c r="B9" s="24" t="s">
        <v>56</v>
      </c>
      <c r="C9" s="27"/>
      <c r="D9" s="26">
        <v>7111</v>
      </c>
      <c r="E9" s="26">
        <v>7776</v>
      </c>
      <c r="F9" s="26">
        <v>6728</v>
      </c>
      <c r="G9" s="26">
        <v>5472</v>
      </c>
      <c r="H9" s="26">
        <v>4525</v>
      </c>
      <c r="I9" s="26">
        <v>3233</v>
      </c>
      <c r="J9" s="26">
        <v>4515</v>
      </c>
      <c r="K9" s="26">
        <v>5346</v>
      </c>
      <c r="L9" s="26">
        <v>4995</v>
      </c>
      <c r="M9" s="26">
        <v>4823</v>
      </c>
      <c r="N9" s="26">
        <v>5523</v>
      </c>
      <c r="O9" s="23">
        <f t="shared" si="0"/>
        <v>-0.22331598931233301</v>
      </c>
      <c r="P9" s="23">
        <f t="shared" si="1"/>
        <v>0.22325581395348837</v>
      </c>
    </row>
    <row r="10" spans="1:17" ht="18" customHeight="1" x14ac:dyDescent="0.2">
      <c r="A10" s="224"/>
      <c r="B10" s="24" t="s">
        <v>57</v>
      </c>
      <c r="C10" s="27"/>
      <c r="D10" s="26"/>
      <c r="E10" s="26">
        <v>301.29946899414062</v>
      </c>
      <c r="F10" s="26">
        <v>340.3311767578125</v>
      </c>
      <c r="G10" s="26">
        <v>280.30868530273437</v>
      </c>
      <c r="H10" s="26">
        <v>266.02474975585938</v>
      </c>
      <c r="I10" s="26">
        <v>217.43096923828125</v>
      </c>
      <c r="J10" s="26">
        <v>148.2779541015625</v>
      </c>
      <c r="K10" s="26">
        <v>236.91007995605469</v>
      </c>
      <c r="L10" s="26">
        <v>277.51959228515625</v>
      </c>
      <c r="M10" s="26">
        <v>322.54342651367187</v>
      </c>
      <c r="N10" s="26">
        <v>207.80708312988281</v>
      </c>
      <c r="O10" s="29" t="str">
        <f t="shared" si="0"/>
        <v/>
      </c>
      <c r="P10" s="29">
        <f t="shared" si="1"/>
        <v>0.40146985699267224</v>
      </c>
    </row>
    <row r="11" spans="1:17" ht="18" customHeight="1" x14ac:dyDescent="0.2">
      <c r="A11" s="225" t="s">
        <v>23</v>
      </c>
      <c r="B11" s="30" t="s">
        <v>58</v>
      </c>
      <c r="C11" s="31"/>
      <c r="D11" s="32">
        <v>24.534877777099609</v>
      </c>
      <c r="E11" s="32">
        <v>24.493169784545898</v>
      </c>
      <c r="F11" s="32">
        <v>24.556316375732422</v>
      </c>
      <c r="G11" s="32">
        <v>24.929374694824219</v>
      </c>
      <c r="H11" s="32">
        <v>24.821332931518555</v>
      </c>
      <c r="I11" s="32">
        <v>24.888999938964844</v>
      </c>
      <c r="J11" s="32">
        <v>25.580333709716797</v>
      </c>
      <c r="K11" s="32">
        <v>25.558929443359375</v>
      </c>
      <c r="L11" s="32">
        <v>25.900400161743164</v>
      </c>
      <c r="M11" s="32">
        <v>26.18120002746582</v>
      </c>
      <c r="N11" s="32">
        <v>26.014400482177734</v>
      </c>
      <c r="O11" s="23">
        <f t="shared" si="0"/>
        <v>6.0302835763831823E-2</v>
      </c>
      <c r="P11" s="23">
        <f t="shared" si="1"/>
        <v>1.6968768953004528E-2</v>
      </c>
    </row>
    <row r="12" spans="1:17" ht="18" customHeight="1" x14ac:dyDescent="0.2">
      <c r="A12" s="226"/>
      <c r="B12" s="33" t="s">
        <v>51</v>
      </c>
      <c r="C12" s="25"/>
      <c r="D12" s="26">
        <v>493.07318115234375</v>
      </c>
      <c r="E12" s="26">
        <v>495.34146118164062</v>
      </c>
      <c r="F12" s="26">
        <v>500.78945922851562</v>
      </c>
      <c r="G12" s="26">
        <v>517.15625</v>
      </c>
      <c r="H12" s="26">
        <v>521.066650390625</v>
      </c>
      <c r="I12" s="26">
        <v>543.5999755859375</v>
      </c>
      <c r="J12" s="26">
        <v>531.066650390625</v>
      </c>
      <c r="K12" s="26">
        <v>537.64288330078125</v>
      </c>
      <c r="L12" s="26">
        <v>542.03997802734375</v>
      </c>
      <c r="M12" s="26">
        <v>538.20001220703125</v>
      </c>
      <c r="N12" s="26">
        <v>527.15997314453125</v>
      </c>
      <c r="O12" s="23">
        <f t="shared" si="0"/>
        <v>6.913130402372418E-2</v>
      </c>
      <c r="P12" s="23">
        <f t="shared" si="1"/>
        <v>-7.3562842690652885E-3</v>
      </c>
    </row>
    <row r="13" spans="1:17" ht="18" customHeight="1" x14ac:dyDescent="0.2">
      <c r="A13" s="226"/>
      <c r="B13" s="33" t="s">
        <v>52</v>
      </c>
      <c r="C13" s="25"/>
      <c r="D13" s="26">
        <v>203.09756469726562</v>
      </c>
      <c r="E13" s="26">
        <v>204.09756469726562</v>
      </c>
      <c r="F13" s="26">
        <v>209.05262756347656</v>
      </c>
      <c r="G13" s="26">
        <v>214.75</v>
      </c>
      <c r="H13" s="26">
        <v>216.80000305175781</v>
      </c>
      <c r="I13" s="26">
        <v>235.30000305175781</v>
      </c>
      <c r="J13" s="26">
        <v>235.23333740234375</v>
      </c>
      <c r="K13" s="26">
        <v>236.32142639160156</v>
      </c>
      <c r="L13" s="26">
        <v>244.32000732421875</v>
      </c>
      <c r="M13" s="26">
        <v>249.1199951171875</v>
      </c>
      <c r="N13" s="26">
        <v>249.47999572753906</v>
      </c>
      <c r="O13" s="23">
        <f t="shared" si="0"/>
        <v>0.22837512157967249</v>
      </c>
      <c r="P13" s="23">
        <f t="shared" si="1"/>
        <v>6.0563942519880967E-2</v>
      </c>
    </row>
    <row r="14" spans="1:17" ht="18" customHeight="1" x14ac:dyDescent="0.2">
      <c r="A14" s="226"/>
      <c r="B14" s="33" t="s">
        <v>53</v>
      </c>
      <c r="C14" s="25"/>
      <c r="D14" s="26">
        <v>398.72219848632812</v>
      </c>
      <c r="E14" s="26">
        <v>400.44107055664062</v>
      </c>
      <c r="F14" s="26">
        <v>404.06692504882812</v>
      </c>
      <c r="G14" s="26">
        <v>414.92578125</v>
      </c>
      <c r="H14" s="26">
        <v>417.3240966796875</v>
      </c>
      <c r="I14" s="26">
        <v>430.76266479492187</v>
      </c>
      <c r="J14" s="26">
        <v>428.84738159179687</v>
      </c>
      <c r="K14" s="26">
        <v>431.96807861328125</v>
      </c>
      <c r="L14" s="26">
        <v>439.15478515625</v>
      </c>
      <c r="M14" s="26">
        <v>440.292236328125</v>
      </c>
      <c r="N14" s="26">
        <v>435.30459594726562</v>
      </c>
      <c r="O14" s="23">
        <f t="shared" si="0"/>
        <v>9.1749086456223178E-2</v>
      </c>
      <c r="P14" s="23">
        <f t="shared" si="1"/>
        <v>1.5057138349547208E-2</v>
      </c>
    </row>
    <row r="15" spans="1:17" ht="18" customHeight="1" x14ac:dyDescent="0.2">
      <c r="A15" s="226"/>
      <c r="B15" s="33" t="s">
        <v>54</v>
      </c>
      <c r="C15" s="27"/>
      <c r="D15" s="28">
        <v>500.76705932617187</v>
      </c>
      <c r="E15" s="28">
        <v>591.96527099609375</v>
      </c>
      <c r="F15" s="28">
        <v>623.1075439453125</v>
      </c>
      <c r="G15" s="28">
        <v>645.63250732421875</v>
      </c>
      <c r="H15" s="28">
        <v>687.2431640625</v>
      </c>
      <c r="I15" s="28">
        <v>851.2276611328125</v>
      </c>
      <c r="J15" s="28">
        <v>805.16943359375</v>
      </c>
      <c r="K15" s="28">
        <v>929.69573974609375</v>
      </c>
      <c r="L15" s="28">
        <v>1087.8585205078125</v>
      </c>
      <c r="M15" s="28">
        <v>1110.620361328125</v>
      </c>
      <c r="N15" s="28">
        <v>1121.7647705078125</v>
      </c>
      <c r="O15" s="23">
        <f t="shared" si="0"/>
        <v>1.24009297260337</v>
      </c>
      <c r="P15" s="23">
        <f t="shared" si="1"/>
        <v>0.39320337273732298</v>
      </c>
    </row>
    <row r="16" spans="1:17" ht="18" customHeight="1" x14ac:dyDescent="0.2">
      <c r="A16" s="226"/>
      <c r="B16" s="33" t="s">
        <v>59</v>
      </c>
      <c r="C16" s="27"/>
      <c r="D16" s="28">
        <f ca="1">762.10275*OFFSET(D$112,MATCH($N$1,$C$112:$C$113,0)-1,0)</f>
        <v>762.10275000000001</v>
      </c>
      <c r="E16" s="28">
        <f ca="1">811.377375*OFFSET(E$112,MATCH($N$1,$C$112:$C$113,0)-1,0)</f>
        <v>811.37737500000003</v>
      </c>
      <c r="F16" s="28">
        <f ca="1">984.8965625*OFFSET(F$112,MATCH($N$1,$C$112:$C$113,0)-1,0)</f>
        <v>984.89656249999996</v>
      </c>
      <c r="G16" s="28">
        <f ca="1">1095.776375*OFFSET(G$112,MATCH($N$1,$C$112:$C$113,0)-1,0)</f>
        <v>1095.7763749999999</v>
      </c>
      <c r="H16" s="28">
        <f ca="1">1024.641375*OFFSET(H$112,MATCH($N$1,$C$112:$C$113,0)-1,0)</f>
        <v>1024.6413749999999</v>
      </c>
      <c r="I16" s="28">
        <f ca="1">1229.76525*OFFSET(I$112,MATCH($N$1,$C$112:$C$113,0)-1,0)</f>
        <v>1229.7652499999999</v>
      </c>
      <c r="J16" s="28">
        <f ca="1">1276.93725*OFFSET(J$112,MATCH($N$1,$C$112:$C$113,0)-1,0)</f>
        <v>1276.9372499999999</v>
      </c>
      <c r="K16" s="28">
        <f ca="1">1435.655625*OFFSET(K$112,MATCH($N$1,$C$112:$C$113,0)-1,0)</f>
        <v>1435.6556250000001</v>
      </c>
      <c r="L16" s="28">
        <f ca="1">1807.51175*OFFSET(L$112,MATCH($N$1,$C$112:$C$113,0)-1,0)</f>
        <v>1807.5117499999999</v>
      </c>
      <c r="M16" s="28">
        <f ca="1">2030.193125*OFFSET(M$112,MATCH($N$1,$C$112:$C$113,0)-1,0)</f>
        <v>2030.193125</v>
      </c>
      <c r="N16" s="28">
        <v>1913.4828750000001</v>
      </c>
      <c r="O16" s="23">
        <f t="shared" ca="1" si="0"/>
        <v>1.5107938201246487</v>
      </c>
      <c r="P16" s="23">
        <f t="shared" ca="1" si="1"/>
        <v>0.49849405285968457</v>
      </c>
    </row>
    <row r="17" spans="1:16" ht="18" customHeight="1" x14ac:dyDescent="0.2">
      <c r="A17" s="226"/>
      <c r="B17" s="33" t="s">
        <v>56</v>
      </c>
      <c r="C17" s="25"/>
      <c r="D17" s="26">
        <v>173.43902587890625</v>
      </c>
      <c r="E17" s="26">
        <v>189.65853881835937</v>
      </c>
      <c r="F17" s="26">
        <v>177.05262756347656</v>
      </c>
      <c r="G17" s="26">
        <v>171</v>
      </c>
      <c r="H17" s="26">
        <v>150.83332824707031</v>
      </c>
      <c r="I17" s="26">
        <v>161.64999389648437</v>
      </c>
      <c r="J17" s="26">
        <v>150.5</v>
      </c>
      <c r="K17" s="26">
        <v>190.92857360839844</v>
      </c>
      <c r="L17" s="26">
        <v>199.80000305175781</v>
      </c>
      <c r="M17" s="26">
        <v>192.91999816894531</v>
      </c>
      <c r="N17" s="26">
        <v>220.91999816894531</v>
      </c>
      <c r="O17" s="23">
        <f t="shared" si="0"/>
        <v>0.27376175603747854</v>
      </c>
      <c r="P17" s="23">
        <f t="shared" si="1"/>
        <v>0.46790696457770969</v>
      </c>
    </row>
    <row r="18" spans="1:16" ht="18" customHeight="1" x14ac:dyDescent="0.2">
      <c r="A18" s="226"/>
      <c r="B18" s="33" t="s">
        <v>60</v>
      </c>
      <c r="C18" s="25"/>
      <c r="D18" s="26">
        <v>20.121952056884766</v>
      </c>
      <c r="E18" s="26">
        <v>20.902439117431641</v>
      </c>
      <c r="F18" s="26">
        <v>20.605262756347656</v>
      </c>
      <c r="G18" s="26">
        <v>22.4375</v>
      </c>
      <c r="H18" s="26">
        <v>23.066667556762695</v>
      </c>
      <c r="I18" s="26">
        <v>20.649999618530273</v>
      </c>
      <c r="J18" s="26">
        <v>23.566667556762695</v>
      </c>
      <c r="K18" s="26">
        <v>23.928571701049805</v>
      </c>
      <c r="L18" s="26">
        <v>23.920000076293945</v>
      </c>
      <c r="M18" s="26">
        <v>23.239999771118164</v>
      </c>
      <c r="N18" s="26">
        <v>21.959999084472656</v>
      </c>
      <c r="O18" s="23">
        <f t="shared" si="0"/>
        <v>9.1345363630314341E-2</v>
      </c>
      <c r="P18" s="23">
        <f t="shared" si="1"/>
        <v>-6.8175463010212031E-2</v>
      </c>
    </row>
    <row r="19" spans="1:16" ht="18" customHeight="1" x14ac:dyDescent="0.2">
      <c r="A19" s="226"/>
      <c r="B19" s="33" t="s">
        <v>61</v>
      </c>
      <c r="C19" s="25"/>
      <c r="D19" s="34">
        <v>2.8872802257537842</v>
      </c>
      <c r="E19" s="34">
        <v>3.1212160587310791</v>
      </c>
      <c r="F19" s="34">
        <v>3.5193352699279785</v>
      </c>
      <c r="G19" s="34">
        <v>3.7756288051605225</v>
      </c>
      <c r="H19" s="34">
        <v>4.5563082695007324</v>
      </c>
      <c r="I19" s="34">
        <v>5.2658686637878418</v>
      </c>
      <c r="J19" s="34">
        <v>5.3499631881713867</v>
      </c>
      <c r="K19" s="34">
        <v>4.8693380355834961</v>
      </c>
      <c r="L19" s="34">
        <v>5.444737434387207</v>
      </c>
      <c r="M19" s="34">
        <v>5.7568960189819336</v>
      </c>
      <c r="N19" s="34">
        <v>5.0776968002319336</v>
      </c>
      <c r="O19" s="23">
        <f t="shared" si="0"/>
        <v>0.75864356876073424</v>
      </c>
      <c r="P19" s="23">
        <f t="shared" si="1"/>
        <v>-5.0891263801856844E-2</v>
      </c>
    </row>
    <row r="20" spans="1:16" ht="18" customHeight="1" x14ac:dyDescent="0.2">
      <c r="A20" s="227"/>
      <c r="B20" s="35" t="s">
        <v>24</v>
      </c>
      <c r="C20" s="36"/>
      <c r="D20" s="37">
        <f ca="1">1522*OFFSET(D$112,MATCH($N$1,$C$112:$C$113,0)-1,0)</f>
        <v>1522</v>
      </c>
      <c r="E20" s="37">
        <f ca="1">1371*OFFSET(E$112,MATCH($N$1,$C$112:$C$113,0)-1,0)</f>
        <v>1371</v>
      </c>
      <c r="F20" s="37">
        <f ca="1">1581*OFFSET(F$112,MATCH($N$1,$C$112:$C$113,0)-1,0)</f>
        <v>1581</v>
      </c>
      <c r="G20" s="37">
        <f ca="1">1697*OFFSET(G$112,MATCH($N$1,$C$112:$C$113,0)-1,0)</f>
        <v>1697</v>
      </c>
      <c r="H20" s="37">
        <f ca="1">1491*OFFSET(H$112,MATCH($N$1,$C$112:$C$113,0)-1,0)</f>
        <v>1491</v>
      </c>
      <c r="I20" s="37">
        <f ca="1">1445*OFFSET(I$112,MATCH($N$1,$C$112:$C$113,0)-1,0)</f>
        <v>1445</v>
      </c>
      <c r="J20" s="37">
        <f ca="1">1586*OFFSET(J$112,MATCH($N$1,$C$112:$C$113,0)-1,0)</f>
        <v>1586</v>
      </c>
      <c r="K20" s="37">
        <f ca="1">1544*OFFSET(K$112,MATCH($N$1,$C$112:$C$113,0)-1,0)</f>
        <v>1544</v>
      </c>
      <c r="L20" s="37">
        <f ca="1">1662*OFFSET(L$112,MATCH($N$1,$C$112:$C$113,0)-1,0)</f>
        <v>1662</v>
      </c>
      <c r="M20" s="37">
        <f ca="1">1828*OFFSET(M$112,MATCH($N$1,$C$112:$C$113,0)-1,0)</f>
        <v>1828</v>
      </c>
      <c r="N20" s="37">
        <v>1706</v>
      </c>
      <c r="O20" s="29">
        <f t="shared" ca="1" si="0"/>
        <v>0.12089356110381078</v>
      </c>
      <c r="P20" s="29">
        <f t="shared" ca="1" si="1"/>
        <v>7.5662042875157626E-2</v>
      </c>
    </row>
    <row r="21" spans="1:16" ht="18" customHeight="1" x14ac:dyDescent="0.2">
      <c r="A21" s="228" t="s">
        <v>25</v>
      </c>
      <c r="B21" s="30" t="s">
        <v>62</v>
      </c>
      <c r="C21" s="38"/>
      <c r="D21" s="39">
        <v>5.8348286690779183</v>
      </c>
      <c r="E21" s="39">
        <v>6.2582969825584014</v>
      </c>
      <c r="F21" s="39">
        <v>6.94164620712308</v>
      </c>
      <c r="G21" s="39">
        <v>7.1894664177786547</v>
      </c>
      <c r="H21" s="39">
        <v>8.4725175468327283</v>
      </c>
      <c r="I21" s="39">
        <v>9.6639979068770963</v>
      </c>
      <c r="J21" s="39">
        <v>9.9904098579477321</v>
      </c>
      <c r="K21" s="39">
        <v>8.9323761829757782</v>
      </c>
      <c r="L21" s="39">
        <v>9.9780684272057822</v>
      </c>
      <c r="M21" s="39">
        <v>10.641930282489183</v>
      </c>
      <c r="N21" s="39">
        <v>9.618954218121571</v>
      </c>
      <c r="O21" s="23">
        <f t="shared" si="0"/>
        <v>0.64854098786103009</v>
      </c>
      <c r="P21" s="23">
        <f t="shared" si="1"/>
        <v>-3.7181221302012415E-2</v>
      </c>
    </row>
    <row r="22" spans="1:16" ht="18" customHeight="1" x14ac:dyDescent="0.2">
      <c r="A22" s="228"/>
      <c r="B22" s="33" t="s">
        <v>63</v>
      </c>
      <c r="C22" s="25"/>
      <c r="D22" s="34">
        <f ca="1">8.87985519747768*OFFSET(D$112,MATCH($N$1,$C$112:$C$113,0)-1,0)</f>
        <v>8.8798551974776796</v>
      </c>
      <c r="E22" s="34">
        <f ca="1">8.57793662309653*OFFSET(E$112,MATCH($N$1,$C$112:$C$113,0)-1,0)</f>
        <v>8.5779366230965302</v>
      </c>
      <c r="F22" s="34">
        <f ca="1">10.972108352594*OFFSET(F$112,MATCH($N$1,$C$112:$C$113,0)-1,0)</f>
        <v>10.972108352594001</v>
      </c>
      <c r="G22" s="34">
        <f ca="1">12.202061327593*OFFSET(G$112,MATCH($N$1,$C$112:$C$113,0)-1,0)</f>
        <v>12.202061327593</v>
      </c>
      <c r="H22" s="34">
        <f ca="1">12.63205293681*OFFSET(H$112,MATCH($N$1,$C$112:$C$113,0)-1,0)</f>
        <v>12.63205293681</v>
      </c>
      <c r="I22" s="34">
        <f ca="1">13.961539720331*OFFSET(I$112,MATCH($N$1,$C$112:$C$113,0)-1,0)</f>
        <v>13.961539720331</v>
      </c>
      <c r="J22" s="34">
        <f ca="1">15.8440273042174*OFFSET(J$112,MATCH($N$1,$C$112:$C$113,0)-1,0)</f>
        <v>15.8440273042174</v>
      </c>
      <c r="K22" s="34">
        <f ca="1">13.7935623058867*OFFSET(K$112,MATCH($N$1,$C$112:$C$113,0)-1,0)</f>
        <v>13.793562305886701</v>
      </c>
      <c r="L22" s="34">
        <f ca="1">16.578880051479*OFFSET(L$112,MATCH($N$1,$C$112:$C$113,0)-1,0)</f>
        <v>16.578880051479</v>
      </c>
      <c r="M22" s="34">
        <f ca="1">19.4532483362744*OFFSET(M$112,MATCH($N$1,$C$112:$C$113,0)-1,0)</f>
        <v>19.453248336274399</v>
      </c>
      <c r="N22" s="34">
        <v>16.407810849196622</v>
      </c>
      <c r="O22" s="23">
        <f t="shared" ca="1" si="0"/>
        <v>0.84775657759118139</v>
      </c>
      <c r="P22" s="23">
        <f t="shared" ca="1" si="1"/>
        <v>3.558334848546698E-2</v>
      </c>
    </row>
    <row r="23" spans="1:16" ht="18" customHeight="1" x14ac:dyDescent="0.2">
      <c r="A23" s="228"/>
      <c r="B23" s="33" t="s">
        <v>11</v>
      </c>
      <c r="C23" s="25"/>
      <c r="D23" s="34">
        <f ca="1">8.31896359855824*OFFSET(D$112,MATCH($N$1,$C$112:$C$113,0)-1,0)</f>
        <v>8.3189635985582395</v>
      </c>
      <c r="E23" s="34">
        <f ca="1">8.09580064045256*OFFSET(E$112,MATCH($N$1,$C$112:$C$113,0)-1,0)</f>
        <v>8.0958006404525609</v>
      </c>
      <c r="F23" s="34">
        <f ca="1">9.89106135095391*OFFSET(F$112,MATCH($N$1,$C$112:$C$113,0)-1,0)</f>
        <v>9.89106135095391</v>
      </c>
      <c r="G23" s="34">
        <f ca="1">11.2812195947568*OFFSET(G$112,MATCH($N$1,$C$112:$C$113,0)-1,0)</f>
        <v>11.2812195947568</v>
      </c>
      <c r="H23" s="34">
        <f ca="1">11.9337406669959*OFFSET(H$112,MATCH($N$1,$C$112:$C$113,0)-1,0)</f>
        <v>11.933740666995901</v>
      </c>
      <c r="I23" s="34">
        <f ca="1">13.4670112069307*OFFSET(I$112,MATCH($N$1,$C$112:$C$113,0)-1,0)</f>
        <v>13.4670112069307</v>
      </c>
      <c r="J23" s="34">
        <f ca="1">14.1917658114114*OFFSET(J$112,MATCH($N$1,$C$112:$C$113,0)-1,0)</f>
        <v>14.1917658114114</v>
      </c>
      <c r="K23" s="34">
        <f ca="1">12.9477310501882*OFFSET(K$112,MATCH($N$1,$C$112:$C$113,0)-1,0)</f>
        <v>12.947731050188199</v>
      </c>
      <c r="L23" s="34">
        <f ca="1">13.7904179053034*OFFSET(L$112,MATCH($N$1,$C$112:$C$113,0)-1,0)</f>
        <v>13.7904179053034</v>
      </c>
      <c r="M23" s="34">
        <f ca="1">16.7783762349792*OFFSET(M$112,MATCH($N$1,$C$112:$C$113,0)-1,0)</f>
        <v>16.778376234979199</v>
      </c>
      <c r="N23" s="34">
        <v>14.381103904895372</v>
      </c>
      <c r="O23" s="23">
        <f t="shared" ca="1" si="0"/>
        <v>0.72871340696667586</v>
      </c>
      <c r="P23" s="23">
        <f t="shared" ca="1" si="1"/>
        <v>1.3341404868147401E-2</v>
      </c>
    </row>
    <row r="24" spans="1:16" ht="18" customHeight="1" x14ac:dyDescent="0.2">
      <c r="A24" s="228"/>
      <c r="B24" s="33" t="s">
        <v>12</v>
      </c>
      <c r="C24" s="25"/>
      <c r="D24" s="34">
        <f ca="1">0.680596888027466*OFFSET(D$112,MATCH($N$1,$C$112:$C$113,0)-1,0)</f>
        <v>0.68059688802746598</v>
      </c>
      <c r="E24" s="34">
        <f ca="1">0.640287127450242*OFFSET(E$112,MATCH($N$1,$C$112:$C$113,0)-1,0)</f>
        <v>0.64028712745024197</v>
      </c>
      <c r="F24" s="34">
        <f ca="1">1.18756216411361*OFFSET(F$112,MATCH($N$1,$C$112:$C$113,0)-1,0)</f>
        <v>1.18756216411361</v>
      </c>
      <c r="G24" s="34">
        <f ca="1">1.27962210154081*OFFSET(G$112,MATCH($N$1,$C$112:$C$113,0)-1,0)</f>
        <v>1.27962210154081</v>
      </c>
      <c r="H24" s="34">
        <f ca="1">1.34506348720648*OFFSET(H$112,MATCH($N$1,$C$112:$C$113,0)-1,0)</f>
        <v>1.3450634872064799</v>
      </c>
      <c r="I24" s="34">
        <f ca="1">3.12310292720564*OFFSET(I$112,MATCH($N$1,$C$112:$C$113,0)-1,0)</f>
        <v>3.1231029272056401</v>
      </c>
      <c r="J24" s="34">
        <f ca="1">3.77178190670044*OFFSET(J$112,MATCH($N$1,$C$112:$C$113,0)-1,0)</f>
        <v>3.7717819067004399</v>
      </c>
      <c r="K24" s="34">
        <f ca="1">1.26193480609147*OFFSET(K$112,MATCH($N$1,$C$112:$C$113,0)-1,0)</f>
        <v>1.2619348060914699</v>
      </c>
      <c r="L24" s="34">
        <f ca="1">3.8867260543475*OFFSET(L$112,MATCH($N$1,$C$112:$C$113,0)-1,0)</f>
        <v>3.8867260543475002</v>
      </c>
      <c r="M24" s="34">
        <f ca="1">3.44597322603125*OFFSET(M$112,MATCH($N$1,$C$112:$C$113,0)-1,0)</f>
        <v>3.4459732260312501</v>
      </c>
      <c r="N24" s="34">
        <v>2.6770909933289748</v>
      </c>
      <c r="O24" s="23">
        <f t="shared" ca="1" si="0"/>
        <v>2.9334458332418043</v>
      </c>
      <c r="P24" s="23">
        <f t="shared" ca="1" si="1"/>
        <v>-0.29023176324876698</v>
      </c>
    </row>
    <row r="25" spans="1:16" ht="18" customHeight="1" x14ac:dyDescent="0.2">
      <c r="A25" s="228"/>
      <c r="B25" s="33" t="s">
        <v>64</v>
      </c>
      <c r="C25" s="25"/>
      <c r="D25" s="28"/>
      <c r="E25" s="28">
        <f ca="1">110.41*OFFSET(E$112,MATCH($N$1,$C$112:$C$113,0)-1,0)</f>
        <v>110.41</v>
      </c>
      <c r="F25" s="28">
        <f ca="1">109.97*OFFSET(F$112,MATCH($N$1,$C$112:$C$113,0)-1,0)</f>
        <v>109.97</v>
      </c>
      <c r="G25" s="28">
        <f ca="1">125.1*OFFSET(G$112,MATCH($N$1,$C$112:$C$113,0)-1,0)</f>
        <v>125.1</v>
      </c>
      <c r="H25" s="28">
        <f ca="1">115.55*OFFSET(H$112,MATCH($N$1,$C$112:$C$113,0)-1,0)</f>
        <v>115.55</v>
      </c>
      <c r="I25" s="28">
        <f ca="1">113.12*OFFSET(I$112,MATCH($N$1,$C$112:$C$113,0)-1,0)</f>
        <v>113.12</v>
      </c>
      <c r="J25" s="28">
        <f ca="1">258.35*OFFSET(J$112,MATCH($N$1,$C$112:$C$113,0)-1,0)</f>
        <v>258.35000000000002</v>
      </c>
      <c r="K25" s="28">
        <f ca="1">169.68*OFFSET(K$112,MATCH($N$1,$C$112:$C$113,0)-1,0)</f>
        <v>169.68</v>
      </c>
      <c r="L25" s="28">
        <f ca="1">162.83*OFFSET(L$112,MATCH($N$1,$C$112:$C$113,0)-1,0)</f>
        <v>162.83000000000001</v>
      </c>
      <c r="M25" s="28">
        <f ca="1">157.36*OFFSET(M$112,MATCH($N$1,$C$112:$C$113,0)-1,0)</f>
        <v>157.36000000000001</v>
      </c>
      <c r="N25" s="28">
        <v>230.2</v>
      </c>
      <c r="O25" s="23" t="str">
        <f t="shared" si="0"/>
        <v/>
      </c>
      <c r="P25" s="23">
        <f t="shared" ca="1" si="1"/>
        <v>-0.10896071221211547</v>
      </c>
    </row>
    <row r="26" spans="1:16" ht="18" customHeight="1" x14ac:dyDescent="0.2">
      <c r="A26" s="229"/>
      <c r="B26" s="33" t="s">
        <v>65</v>
      </c>
      <c r="C26" s="40"/>
      <c r="D26" s="28"/>
      <c r="E26" s="28">
        <f ca="1">8.25*OFFSET(E$112,MATCH($N$1,$C$112:$C$113,0)-1,0)</f>
        <v>8.25</v>
      </c>
      <c r="F26" s="28">
        <f ca="1">11.9*OFFSET(F$112,MATCH($N$1,$C$112:$C$113,0)-1,0)</f>
        <v>11.9</v>
      </c>
      <c r="G26" s="28">
        <f ca="1">13.12*OFFSET(G$112,MATCH($N$1,$C$112:$C$113,0)-1,0)</f>
        <v>13.12</v>
      </c>
      <c r="H26" s="28">
        <f ca="1">12.3*OFFSET(H$112,MATCH($N$1,$C$112:$C$113,0)-1,0)</f>
        <v>12.3</v>
      </c>
      <c r="I26" s="28">
        <f ca="1">25.3*OFFSET(I$112,MATCH($N$1,$C$112:$C$113,0)-1,0)</f>
        <v>25.3</v>
      </c>
      <c r="J26" s="28">
        <f ca="1">61.51*OFFSET(J$112,MATCH($N$1,$C$112:$C$113,0)-1,0)</f>
        <v>61.51</v>
      </c>
      <c r="K26" s="28">
        <f ca="1">15.52*OFFSET(K$112,MATCH($N$1,$C$112:$C$113,0)-1,0)</f>
        <v>15.52</v>
      </c>
      <c r="L26" s="28">
        <f ca="1">38.18*OFFSET(L$112,MATCH($N$1,$C$112:$C$113,0)-1,0)</f>
        <v>38.18</v>
      </c>
      <c r="M26" s="28">
        <f ca="1">27.87*OFFSET(M$112,MATCH($N$1,$C$112:$C$113,0)-1,0)</f>
        <v>27.87</v>
      </c>
      <c r="N26" s="28">
        <v>37.56</v>
      </c>
      <c r="O26" s="29" t="str">
        <f t="shared" si="0"/>
        <v/>
      </c>
      <c r="P26" s="29">
        <f t="shared" ca="1" si="1"/>
        <v>-0.38936758250690939</v>
      </c>
    </row>
    <row r="27" spans="1:16" ht="18" customHeight="1" x14ac:dyDescent="0.2">
      <c r="A27" s="230" t="s">
        <v>26</v>
      </c>
      <c r="B27" s="30" t="s">
        <v>59</v>
      </c>
      <c r="C27" s="31"/>
      <c r="D27" s="32">
        <f ca="1">762.1*OFFSET(D$112,MATCH($N$1,$C$112:$C$113,0)-1,0)</f>
        <v>762.1</v>
      </c>
      <c r="E27" s="32">
        <f ca="1">811.4*OFFSET(E$112,MATCH($N$1,$C$112:$C$113,0)-1,0)</f>
        <v>811.4</v>
      </c>
      <c r="F27" s="32">
        <f ca="1">984.9*OFFSET(F$112,MATCH($N$1,$C$112:$C$113,0)-1,0)</f>
        <v>984.9</v>
      </c>
      <c r="G27" s="32">
        <f ca="1">1095.8*OFFSET(G$112,MATCH($N$1,$C$112:$C$113,0)-1,0)</f>
        <v>1095.8</v>
      </c>
      <c r="H27" s="32">
        <f ca="1">1024.6*OFFSET(H$112,MATCH($N$1,$C$112:$C$113,0)-1,0)</f>
        <v>1024.5999999999999</v>
      </c>
      <c r="I27" s="32">
        <f ca="1">1229.8*OFFSET(I$112,MATCH($N$1,$C$112:$C$113,0)-1,0)</f>
        <v>1229.8</v>
      </c>
      <c r="J27" s="32">
        <f ca="1">1276.9*OFFSET(J$112,MATCH($N$1,$C$112:$C$113,0)-1,0)</f>
        <v>1276.9000000000001</v>
      </c>
      <c r="K27" s="32">
        <f ca="1">1435.7*OFFSET(K$112,MATCH($N$1,$C$112:$C$113,0)-1,0)</f>
        <v>1435.7</v>
      </c>
      <c r="L27" s="32">
        <f ca="1">1807.5*OFFSET(L$112,MATCH($N$1,$C$112:$C$113,0)-1,0)</f>
        <v>1807.5</v>
      </c>
      <c r="M27" s="32">
        <f ca="1">2030.2*OFFSET(M$112,MATCH($N$1,$C$112:$C$113,0)-1,0)</f>
        <v>2030.2</v>
      </c>
      <c r="N27" s="32">
        <v>1913.5</v>
      </c>
      <c r="O27" s="23">
        <f t="shared" ca="1" si="0"/>
        <v>1.5108253510038054</v>
      </c>
      <c r="P27" s="23">
        <f t="shared" ca="1" si="1"/>
        <v>0.49855117863575837</v>
      </c>
    </row>
    <row r="28" spans="1:16" ht="18" customHeight="1" x14ac:dyDescent="0.2">
      <c r="A28" s="231"/>
      <c r="B28" s="33" t="s">
        <v>66</v>
      </c>
      <c r="C28" s="27"/>
      <c r="D28" s="28">
        <f ca="1">10.3*OFFSET(D$112,MATCH($N$1,$C$112:$C$113,0)-1,0)</f>
        <v>10.3</v>
      </c>
      <c r="E28" s="28">
        <f ca="1">15*OFFSET(E$112,MATCH($N$1,$C$112:$C$113,0)-1,0)</f>
        <v>15</v>
      </c>
      <c r="F28" s="28">
        <f ca="1">9.6*OFFSET(F$112,MATCH($N$1,$C$112:$C$113,0)-1,0)</f>
        <v>9.6</v>
      </c>
      <c r="G28" s="28">
        <f ca="1">32.2*OFFSET(G$112,MATCH($N$1,$C$112:$C$113,0)-1,0)</f>
        <v>32.200000000000003</v>
      </c>
      <c r="H28" s="28">
        <f ca="1">52.5*OFFSET(H$112,MATCH($N$1,$C$112:$C$113,0)-1,0)</f>
        <v>52.5</v>
      </c>
      <c r="I28" s="28">
        <f ca="1">231.5*OFFSET(I$112,MATCH($N$1,$C$112:$C$113,0)-1,0)</f>
        <v>231.5</v>
      </c>
      <c r="J28" s="28">
        <f ca="1">170.8*OFFSET(J$112,MATCH($N$1,$C$112:$C$113,0)-1,0)</f>
        <v>170.8</v>
      </c>
      <c r="K28" s="28">
        <f ca="1">43.3*OFFSET(K$112,MATCH($N$1,$C$112:$C$113,0)-1,0)</f>
        <v>43.3</v>
      </c>
      <c r="L28" s="28">
        <f ca="1">119.7*OFFSET(L$112,MATCH($N$1,$C$112:$C$113,0)-1,0)</f>
        <v>119.7</v>
      </c>
      <c r="M28" s="28">
        <f ca="1">80.5*OFFSET(M$112,MATCH($N$1,$C$112:$C$113,0)-1,0)</f>
        <v>80.5</v>
      </c>
      <c r="N28" s="28">
        <v>75.8</v>
      </c>
      <c r="O28" s="23">
        <f t="shared" ca="1" si="0"/>
        <v>6.3592233009708732</v>
      </c>
      <c r="P28" s="23">
        <f t="shared" ca="1" si="1"/>
        <v>-0.5562060889929743</v>
      </c>
    </row>
    <row r="29" spans="1:16" ht="18" customHeight="1" x14ac:dyDescent="0.2">
      <c r="A29" s="231"/>
      <c r="B29" s="41" t="s">
        <v>67</v>
      </c>
      <c r="C29" s="42"/>
      <c r="D29" s="43">
        <f ca="1">772.4*OFFSET(D$112,MATCH($N$1,$C$112:$C$113,0)-1,0)</f>
        <v>772.4</v>
      </c>
      <c r="E29" s="43">
        <f ca="1">826.3*OFFSET(E$112,MATCH($N$1,$C$112:$C$113,0)-1,0)</f>
        <v>826.3</v>
      </c>
      <c r="F29" s="43">
        <f ca="1">994.5*OFFSET(F$112,MATCH($N$1,$C$112:$C$113,0)-1,0)</f>
        <v>994.5</v>
      </c>
      <c r="G29" s="43">
        <f ca="1">1128*OFFSET(G$112,MATCH($N$1,$C$112:$C$113,0)-1,0)</f>
        <v>1128</v>
      </c>
      <c r="H29" s="43">
        <f ca="1">1077.1*OFFSET(H$112,MATCH($N$1,$C$112:$C$113,0)-1,0)</f>
        <v>1077.0999999999999</v>
      </c>
      <c r="I29" s="43">
        <f ca="1">1461.3*OFFSET(I$112,MATCH($N$1,$C$112:$C$113,0)-1,0)</f>
        <v>1461.3</v>
      </c>
      <c r="J29" s="43">
        <f ca="1">1447.8*OFFSET(J$112,MATCH($N$1,$C$112:$C$113,0)-1,0)</f>
        <v>1447.8</v>
      </c>
      <c r="K29" s="43">
        <f ca="1">1479*OFFSET(K$112,MATCH($N$1,$C$112:$C$113,0)-1,0)</f>
        <v>1479</v>
      </c>
      <c r="L29" s="43">
        <f ca="1">1927.3*OFFSET(L$112,MATCH($N$1,$C$112:$C$113,0)-1,0)</f>
        <v>1927.3</v>
      </c>
      <c r="M29" s="43">
        <f ca="1">2110.7*OFFSET(M$112,MATCH($N$1,$C$112:$C$113,0)-1,0)</f>
        <v>2110.6999999999998</v>
      </c>
      <c r="N29" s="43">
        <v>1989.3</v>
      </c>
      <c r="O29" s="23">
        <f t="shared" ca="1" si="0"/>
        <v>1.575479026411186</v>
      </c>
      <c r="P29" s="23">
        <f t="shared" ca="1" si="1"/>
        <v>0.37401574803149606</v>
      </c>
    </row>
    <row r="30" spans="1:16" ht="18" customHeight="1" x14ac:dyDescent="0.2">
      <c r="A30" s="231"/>
      <c r="B30" s="33" t="s">
        <v>68</v>
      </c>
      <c r="C30" s="27"/>
      <c r="D30" s="28">
        <f ca="1">134.9*OFFSET(D$112,MATCH($N$1,$C$112:$C$113,0)-1,0)</f>
        <v>134.9</v>
      </c>
      <c r="E30" s="28">
        <f ca="1">100.8*OFFSET(E$112,MATCH($N$1,$C$112:$C$113,0)-1,0)</f>
        <v>100.8</v>
      </c>
      <c r="F30" s="28">
        <f ca="1">121.5*OFFSET(F$112,MATCH($N$1,$C$112:$C$113,0)-1,0)</f>
        <v>121.5</v>
      </c>
      <c r="G30" s="28">
        <f ca="1">158.1*OFFSET(G$112,MATCH($N$1,$C$112:$C$113,0)-1,0)</f>
        <v>158.1</v>
      </c>
      <c r="H30" s="28">
        <f ca="1">145*OFFSET(H$112,MATCH($N$1,$C$112:$C$113,0)-1,0)</f>
        <v>145</v>
      </c>
      <c r="I30" s="28">
        <f ca="1">144.2*OFFSET(I$112,MATCH($N$1,$C$112:$C$113,0)-1,0)</f>
        <v>144.19999999999999</v>
      </c>
      <c r="J30" s="28">
        <f ca="1">121.8*OFFSET(J$112,MATCH($N$1,$C$112:$C$113,0)-1,0)</f>
        <v>121.8</v>
      </c>
      <c r="K30" s="28">
        <f ca="1">109*OFFSET(K$112,MATCH($N$1,$C$112:$C$113,0)-1,0)</f>
        <v>109</v>
      </c>
      <c r="L30" s="28">
        <f ca="1">108.6*OFFSET(L$112,MATCH($N$1,$C$112:$C$113,0)-1,0)</f>
        <v>108.6</v>
      </c>
      <c r="M30" s="28">
        <f ca="1">127.2*OFFSET(M$112,MATCH($N$1,$C$112:$C$113,0)-1,0)</f>
        <v>127.2</v>
      </c>
      <c r="N30" s="28">
        <v>171</v>
      </c>
      <c r="O30" s="23">
        <f t="shared" ca="1" si="0"/>
        <v>0.26760563380281682</v>
      </c>
      <c r="P30" s="23">
        <f t="shared" ca="1" si="1"/>
        <v>0.4039408866995074</v>
      </c>
    </row>
    <row r="31" spans="1:16" ht="18" customHeight="1" x14ac:dyDescent="0.2">
      <c r="A31" s="231"/>
      <c r="B31" s="33" t="s">
        <v>69</v>
      </c>
      <c r="C31" s="27"/>
      <c r="D31" s="28">
        <f ca="1">221.5*OFFSET(D$112,MATCH($N$1,$C$112:$C$113,0)-1,0)</f>
        <v>221.5</v>
      </c>
      <c r="E31" s="28">
        <f ca="1">236.7*OFFSET(E$112,MATCH($N$1,$C$112:$C$113,0)-1,0)</f>
        <v>236.7</v>
      </c>
      <c r="F31" s="28">
        <f ca="1">245.4*OFFSET(F$112,MATCH($N$1,$C$112:$C$113,0)-1,0)</f>
        <v>245.4</v>
      </c>
      <c r="G31" s="28">
        <f ca="1">254.6*OFFSET(G$112,MATCH($N$1,$C$112:$C$113,0)-1,0)</f>
        <v>254.6</v>
      </c>
      <c r="H31" s="28">
        <f ca="1">258.6*OFFSET(H$112,MATCH($N$1,$C$112:$C$113,0)-1,0)</f>
        <v>258.60000000000002</v>
      </c>
      <c r="I31" s="28">
        <f ca="1">288.6*OFFSET(I$112,MATCH($N$1,$C$112:$C$113,0)-1,0)</f>
        <v>288.60000000000002</v>
      </c>
      <c r="J31" s="28">
        <f ca="1">282.4*OFFSET(J$112,MATCH($N$1,$C$112:$C$113,0)-1,0)</f>
        <v>282.39999999999998</v>
      </c>
      <c r="K31" s="28">
        <f ca="1">336.8*OFFSET(K$112,MATCH($N$1,$C$112:$C$113,0)-1,0)</f>
        <v>336.8</v>
      </c>
      <c r="L31" s="28">
        <f ca="1">484.1*OFFSET(L$112,MATCH($N$1,$C$112:$C$113,0)-1,0)</f>
        <v>484.1</v>
      </c>
      <c r="M31" s="28">
        <f ca="1">559.9*OFFSET(M$112,MATCH($N$1,$C$112:$C$113,0)-1,0)</f>
        <v>559.9</v>
      </c>
      <c r="N31" s="28">
        <v>503.3</v>
      </c>
      <c r="O31" s="23">
        <f t="shared" ca="1" si="0"/>
        <v>1.272234762979684</v>
      </c>
      <c r="P31" s="23">
        <f t="shared" ca="1" si="1"/>
        <v>0.7822237960339945</v>
      </c>
    </row>
    <row r="32" spans="1:16" ht="18" customHeight="1" x14ac:dyDescent="0.2">
      <c r="A32" s="231"/>
      <c r="B32" s="33" t="s">
        <v>70</v>
      </c>
      <c r="C32" s="27"/>
      <c r="D32" s="28">
        <f ca="1">180*OFFSET(D$112,MATCH($N$1,$C$112:$C$113,0)-1,0)</f>
        <v>180</v>
      </c>
      <c r="E32" s="28">
        <f ca="1">234.6*OFFSET(E$112,MATCH($N$1,$C$112:$C$113,0)-1,0)</f>
        <v>234.6</v>
      </c>
      <c r="F32" s="28">
        <f ca="1">313.5*OFFSET(F$112,MATCH($N$1,$C$112:$C$113,0)-1,0)</f>
        <v>313.5</v>
      </c>
      <c r="G32" s="28">
        <f ca="1">406.8*OFFSET(G$112,MATCH($N$1,$C$112:$C$113,0)-1,0)</f>
        <v>406.8</v>
      </c>
      <c r="H32" s="28">
        <f ca="1">362.7*OFFSET(H$112,MATCH($N$1,$C$112:$C$113,0)-1,0)</f>
        <v>362.7</v>
      </c>
      <c r="I32" s="28">
        <f ca="1">525*OFFSET(I$112,MATCH($N$1,$C$112:$C$113,0)-1,0)</f>
        <v>525</v>
      </c>
      <c r="J32" s="28">
        <f ca="1">464.8*OFFSET(J$112,MATCH($N$1,$C$112:$C$113,0)-1,0)</f>
        <v>464.8</v>
      </c>
      <c r="K32" s="28">
        <f ca="1">594.8*OFFSET(K$112,MATCH($N$1,$C$112:$C$113,0)-1,0)</f>
        <v>594.79999999999995</v>
      </c>
      <c r="L32" s="28">
        <f ca="1">632*OFFSET(L$112,MATCH($N$1,$C$112:$C$113,0)-1,0)</f>
        <v>632</v>
      </c>
      <c r="M32" s="28">
        <f ca="1">729.2*OFFSET(M$112,MATCH($N$1,$C$112:$C$113,0)-1,0)</f>
        <v>729.2</v>
      </c>
      <c r="N32" s="28">
        <v>687.30000000000007</v>
      </c>
      <c r="O32" s="23">
        <f t="shared" ca="1" si="0"/>
        <v>2.8183333333333338</v>
      </c>
      <c r="P32" s="23">
        <f t="shared" ca="1" si="1"/>
        <v>0.47870051635111888</v>
      </c>
    </row>
    <row r="33" spans="1:16" ht="18" customHeight="1" x14ac:dyDescent="0.2">
      <c r="A33" s="231"/>
      <c r="B33" s="33" t="s">
        <v>71</v>
      </c>
      <c r="C33" s="27"/>
      <c r="D33" s="28">
        <f ca="1">536.4*OFFSET(D$112,MATCH($N$1,$C$112:$C$113,0)-1,0)</f>
        <v>536.4</v>
      </c>
      <c r="E33" s="28">
        <f ca="1">572.1*OFFSET(E$112,MATCH($N$1,$C$112:$C$113,0)-1,0)</f>
        <v>572.1</v>
      </c>
      <c r="F33" s="28">
        <f ca="1">680.5*OFFSET(F$112,MATCH($N$1,$C$112:$C$113,0)-1,0)</f>
        <v>680.5</v>
      </c>
      <c r="G33" s="28">
        <f ca="1">819.5*OFFSET(G$112,MATCH($N$1,$C$112:$C$113,0)-1,0)</f>
        <v>819.5</v>
      </c>
      <c r="H33" s="28">
        <f ca="1">766.2*OFFSET(H$112,MATCH($N$1,$C$112:$C$113,0)-1,0)</f>
        <v>766.2</v>
      </c>
      <c r="I33" s="28">
        <f ca="1">957.8*OFFSET(I$112,MATCH($N$1,$C$112:$C$113,0)-1,0)</f>
        <v>957.8</v>
      </c>
      <c r="J33" s="28">
        <f ca="1">869*OFFSET(J$112,MATCH($N$1,$C$112:$C$113,0)-1,0)</f>
        <v>869</v>
      </c>
      <c r="K33" s="28">
        <f ca="1">1040.6*OFFSET(K$112,MATCH($N$1,$C$112:$C$113,0)-1,0)</f>
        <v>1040.5999999999999</v>
      </c>
      <c r="L33" s="28">
        <f ca="1">1224.7*OFFSET(L$112,MATCH($N$1,$C$112:$C$113,0)-1,0)</f>
        <v>1224.7</v>
      </c>
      <c r="M33" s="28">
        <f ca="1">1416.4*OFFSET(M$112,MATCH($N$1,$C$112:$C$113,0)-1,0)</f>
        <v>1416.4</v>
      </c>
      <c r="N33" s="28">
        <v>1361.7</v>
      </c>
      <c r="O33" s="23">
        <f t="shared" ca="1" si="0"/>
        <v>1.5385906040268458</v>
      </c>
      <c r="P33" s="23">
        <f t="shared" ca="1" si="1"/>
        <v>0.56697353279631768</v>
      </c>
    </row>
    <row r="34" spans="1:16" ht="18" customHeight="1" x14ac:dyDescent="0.2">
      <c r="A34" s="231"/>
      <c r="B34" s="33" t="s">
        <v>72</v>
      </c>
      <c r="C34" s="27"/>
      <c r="D34" s="28">
        <f ca="1">177.6*OFFSET(D$112,MATCH($N$1,$C$112:$C$113,0)-1,0)</f>
        <v>177.6</v>
      </c>
      <c r="E34" s="28">
        <f ca="1">193.7*OFFSET(E$112,MATCH($N$1,$C$112:$C$113,0)-1,0)</f>
        <v>193.7</v>
      </c>
      <c r="F34" s="28">
        <f ca="1">207.4*OFFSET(F$112,MATCH($N$1,$C$112:$C$113,0)-1,0)</f>
        <v>207.4</v>
      </c>
      <c r="G34" s="28">
        <f ca="1">193.6*OFFSET(G$112,MATCH($N$1,$C$112:$C$113,0)-1,0)</f>
        <v>193.6</v>
      </c>
      <c r="H34" s="28">
        <f ca="1">201.8*OFFSET(H$112,MATCH($N$1,$C$112:$C$113,0)-1,0)</f>
        <v>201.8</v>
      </c>
      <c r="I34" s="28">
        <f ca="1">228.4*OFFSET(I$112,MATCH($N$1,$C$112:$C$113,0)-1,0)</f>
        <v>228.4</v>
      </c>
      <c r="J34" s="28">
        <f ca="1">274.8*OFFSET(J$112,MATCH($N$1,$C$112:$C$113,0)-1,0)</f>
        <v>274.8</v>
      </c>
      <c r="K34" s="28">
        <f ca="1">307*OFFSET(K$112,MATCH($N$1,$C$112:$C$113,0)-1,0)</f>
        <v>307</v>
      </c>
      <c r="L34" s="28">
        <f ca="1">278.8*OFFSET(L$112,MATCH($N$1,$C$112:$C$113,0)-1,0)</f>
        <v>278.8</v>
      </c>
      <c r="M34" s="28">
        <f ca="1">334.7*OFFSET(M$112,MATCH($N$1,$C$112:$C$113,0)-1,0)</f>
        <v>334.7</v>
      </c>
      <c r="N34" s="28">
        <v>315.40000000000003</v>
      </c>
      <c r="O34" s="23">
        <f t="shared" ca="1" si="0"/>
        <v>0.77590090090090114</v>
      </c>
      <c r="P34" s="23">
        <f t="shared" ca="1" si="1"/>
        <v>0.14774381368267839</v>
      </c>
    </row>
    <row r="35" spans="1:16" ht="18" customHeight="1" x14ac:dyDescent="0.2">
      <c r="A35" s="231"/>
      <c r="B35" s="33" t="s">
        <v>73</v>
      </c>
      <c r="C35" s="27"/>
      <c r="D35" s="28">
        <f ca="1">714*OFFSET(D$112,MATCH($N$1,$C$112:$C$113,0)-1,0)</f>
        <v>714</v>
      </c>
      <c r="E35" s="28">
        <f ca="1">765.8*OFFSET(E$112,MATCH($N$1,$C$112:$C$113,0)-1,0)</f>
        <v>765.8</v>
      </c>
      <c r="F35" s="28">
        <f ca="1">887.9*OFFSET(F$112,MATCH($N$1,$C$112:$C$113,0)-1,0)</f>
        <v>887.9</v>
      </c>
      <c r="G35" s="28">
        <f ca="1">1013.1*OFFSET(G$112,MATCH($N$1,$C$112:$C$113,0)-1,0)</f>
        <v>1013.1</v>
      </c>
      <c r="H35" s="28">
        <f ca="1">968*OFFSET(H$112,MATCH($N$1,$C$112:$C$113,0)-1,0)</f>
        <v>968</v>
      </c>
      <c r="I35" s="28">
        <f ca="1">1186.2*OFFSET(I$112,MATCH($N$1,$C$112:$C$113,0)-1,0)</f>
        <v>1186.2</v>
      </c>
      <c r="J35" s="28">
        <f ca="1">1143.8*OFFSET(J$112,MATCH($N$1,$C$112:$C$113,0)-1,0)</f>
        <v>1143.8</v>
      </c>
      <c r="K35" s="28">
        <f ca="1">1347.6*OFFSET(K$112,MATCH($N$1,$C$112:$C$113,0)-1,0)</f>
        <v>1347.6</v>
      </c>
      <c r="L35" s="28">
        <f ca="1">1503.5*OFFSET(L$112,MATCH($N$1,$C$112:$C$113,0)-1,0)</f>
        <v>1503.5</v>
      </c>
      <c r="M35" s="28">
        <f ca="1">1751*OFFSET(M$112,MATCH($N$1,$C$112:$C$113,0)-1,0)</f>
        <v>1751</v>
      </c>
      <c r="N35" s="28">
        <v>1677.1000000000001</v>
      </c>
      <c r="O35" s="23">
        <f t="shared" ca="1" si="0"/>
        <v>1.3488795518207284</v>
      </c>
      <c r="P35" s="23">
        <f t="shared" ca="1" si="1"/>
        <v>0.46625284140584033</v>
      </c>
    </row>
    <row r="36" spans="1:16" ht="18" customHeight="1" x14ac:dyDescent="0.2">
      <c r="A36" s="231"/>
      <c r="B36" s="41" t="s">
        <v>74</v>
      </c>
      <c r="C36" s="42"/>
      <c r="D36" s="43">
        <f ca="1">279.9*OFFSET(D$112,MATCH($N$1,$C$112:$C$113,0)-1,0)</f>
        <v>279.89999999999998</v>
      </c>
      <c r="E36" s="43">
        <f ca="1">297.3*OFFSET(E$112,MATCH($N$1,$C$112:$C$113,0)-1,0)</f>
        <v>297.3</v>
      </c>
      <c r="F36" s="43">
        <f ca="1">352*OFFSET(F$112,MATCH($N$1,$C$112:$C$113,0)-1,0)</f>
        <v>352</v>
      </c>
      <c r="G36" s="43">
        <f ca="1">369.5*OFFSET(G$112,MATCH($N$1,$C$112:$C$113,0)-1,0)</f>
        <v>369.5</v>
      </c>
      <c r="H36" s="43">
        <f ca="1">367.7*OFFSET(H$112,MATCH($N$1,$C$112:$C$113,0)-1,0)</f>
        <v>367.7</v>
      </c>
      <c r="I36" s="43">
        <f ca="1">563.7*OFFSET(I$112,MATCH($N$1,$C$112:$C$113,0)-1,0)</f>
        <v>563.70000000000005</v>
      </c>
      <c r="J36" s="43">
        <f ca="1">586.4*OFFSET(J$112,MATCH($N$1,$C$112:$C$113,0)-1,0)</f>
        <v>586.4</v>
      </c>
      <c r="K36" s="43">
        <f ca="1">468.1*OFFSET(K$112,MATCH($N$1,$C$112:$C$113,0)-1,0)</f>
        <v>468.1</v>
      </c>
      <c r="L36" s="43">
        <f ca="1">907.9*OFFSET(L$112,MATCH($N$1,$C$112:$C$113,0)-1,0)</f>
        <v>907.9</v>
      </c>
      <c r="M36" s="43">
        <f ca="1">919.5*OFFSET(M$112,MATCH($N$1,$C$112:$C$113,0)-1,0)</f>
        <v>919.5</v>
      </c>
      <c r="N36" s="43">
        <v>815.5</v>
      </c>
      <c r="O36" s="23">
        <f t="shared" ca="1" si="0"/>
        <v>1.913540550196499</v>
      </c>
      <c r="P36" s="23">
        <f t="shared" ca="1" si="1"/>
        <v>0.39068894952251026</v>
      </c>
    </row>
    <row r="37" spans="1:16" ht="18" customHeight="1" x14ac:dyDescent="0.2">
      <c r="A37" s="231"/>
      <c r="B37" s="41" t="s">
        <v>75</v>
      </c>
      <c r="C37" s="42"/>
      <c r="D37" s="43">
        <f ca="1">58.4*OFFSET(D$112,MATCH($N$1,$C$112:$C$113,0)-1,0)</f>
        <v>58.4</v>
      </c>
      <c r="E37" s="43">
        <f ca="1">60.6*OFFSET(E$112,MATCH($N$1,$C$112:$C$113,0)-1,0)</f>
        <v>60.6</v>
      </c>
      <c r="F37" s="43">
        <f ca="1">106.6*OFFSET(F$112,MATCH($N$1,$C$112:$C$113,0)-1,0)</f>
        <v>106.6</v>
      </c>
      <c r="G37" s="43">
        <f ca="1">114.9*OFFSET(G$112,MATCH($N$1,$C$112:$C$113,0)-1,0)</f>
        <v>114.9</v>
      </c>
      <c r="H37" s="43">
        <f ca="1">109.1*OFFSET(H$112,MATCH($N$1,$C$112:$C$113,0)-1,0)</f>
        <v>109.1</v>
      </c>
      <c r="I37" s="43">
        <f ca="1">275.1*OFFSET(I$112,MATCH($N$1,$C$112:$C$113,0)-1,0)</f>
        <v>275.10000000000002</v>
      </c>
      <c r="J37" s="43">
        <f ca="1">304*OFFSET(J$112,MATCH($N$1,$C$112:$C$113,0)-1,0)</f>
        <v>304</v>
      </c>
      <c r="K37" s="43">
        <f ca="1">131.3*OFFSET(K$112,MATCH($N$1,$C$112:$C$113,0)-1,0)</f>
        <v>131.30000000000001</v>
      </c>
      <c r="L37" s="43">
        <f ca="1">423.8*OFFSET(L$112,MATCH($N$1,$C$112:$C$113,0)-1,0)</f>
        <v>423.8</v>
      </c>
      <c r="M37" s="43">
        <f ca="1">359.6*OFFSET(M$112,MATCH($N$1,$C$112:$C$113,0)-1,0)</f>
        <v>359.6</v>
      </c>
      <c r="N37" s="43">
        <v>312.2</v>
      </c>
      <c r="O37" s="23">
        <f t="shared" ca="1" si="0"/>
        <v>4.345890410958904</v>
      </c>
      <c r="P37" s="23">
        <f t="shared" ca="1" si="1"/>
        <v>2.6973684210526278E-2</v>
      </c>
    </row>
    <row r="38" spans="1:16" ht="18" customHeight="1" x14ac:dyDescent="0.2">
      <c r="A38" s="231"/>
      <c r="B38" s="33" t="s">
        <v>76</v>
      </c>
      <c r="C38" s="27"/>
      <c r="D38" s="28">
        <f ca="1">41.8*OFFSET(D$112,MATCH($N$1,$C$112:$C$113,0)-1,0)</f>
        <v>41.8</v>
      </c>
      <c r="E38" s="28">
        <f ca="1">47.5*OFFSET(E$112,MATCH($N$1,$C$112:$C$113,0)-1,0)</f>
        <v>47.5</v>
      </c>
      <c r="F38" s="28">
        <f ca="1">52.9*OFFSET(F$112,MATCH($N$1,$C$112:$C$113,0)-1,0)</f>
        <v>52.9</v>
      </c>
      <c r="G38" s="28">
        <f ca="1">43*OFFSET(G$112,MATCH($N$1,$C$112:$C$113,0)-1,0)</f>
        <v>43</v>
      </c>
      <c r="H38" s="28">
        <f ca="1">47.8*OFFSET(H$112,MATCH($N$1,$C$112:$C$113,0)-1,0)</f>
        <v>47.8</v>
      </c>
      <c r="I38" s="28">
        <f ca="1">63.6*OFFSET(I$112,MATCH($N$1,$C$112:$C$113,0)-1,0)</f>
        <v>63.6</v>
      </c>
      <c r="J38" s="28">
        <f ca="1">46*OFFSET(J$112,MATCH($N$1,$C$112:$C$113,0)-1,0)</f>
        <v>46</v>
      </c>
      <c r="K38" s="28">
        <f ca="1">89.9*OFFSET(K$112,MATCH($N$1,$C$112:$C$113,0)-1,0)</f>
        <v>89.9</v>
      </c>
      <c r="L38" s="28">
        <f ca="1">43.4*OFFSET(L$112,MATCH($N$1,$C$112:$C$113,0)-1,0)</f>
        <v>43.4</v>
      </c>
      <c r="M38" s="28">
        <f ca="1">86.7*OFFSET(M$112,MATCH($N$1,$C$112:$C$113,0)-1,0)</f>
        <v>86.7</v>
      </c>
      <c r="N38" s="28"/>
      <c r="O38" s="23" t="str">
        <f t="shared" si="0"/>
        <v/>
      </c>
      <c r="P38" s="23" t="str">
        <f t="shared" si="1"/>
        <v/>
      </c>
    </row>
    <row r="39" spans="1:16" ht="18" customHeight="1" x14ac:dyDescent="0.2">
      <c r="A39" s="231"/>
      <c r="B39" s="33" t="s">
        <v>77</v>
      </c>
      <c r="C39" s="27"/>
      <c r="D39" s="28">
        <f ca="1">25.8*OFFSET(D$112,MATCH($N$1,$C$112:$C$113,0)-1,0)</f>
        <v>25.8</v>
      </c>
      <c r="E39" s="28">
        <f ca="1">10.3*OFFSET(E$112,MATCH($N$1,$C$112:$C$113,0)-1,0)</f>
        <v>10.3</v>
      </c>
      <c r="F39" s="28">
        <f ca="1">9.3*OFFSET(F$112,MATCH($N$1,$C$112:$C$113,0)-1,0)</f>
        <v>9.3000000000000007</v>
      </c>
      <c r="G39" s="28">
        <f ca="1">12.2*OFFSET(G$112,MATCH($N$1,$C$112:$C$113,0)-1,0)</f>
        <v>12.2</v>
      </c>
      <c r="H39" s="28">
        <f ca="1">16.2*OFFSET(H$112,MATCH($N$1,$C$112:$C$113,0)-1,0)</f>
        <v>16.2</v>
      </c>
      <c r="I39" s="28">
        <f ca="1">14.4*OFFSET(I$112,MATCH($N$1,$C$112:$C$113,0)-1,0)</f>
        <v>14.4</v>
      </c>
      <c r="J39" s="28">
        <f ca="1">2.5*OFFSET(J$112,MATCH($N$1,$C$112:$C$113,0)-1,0)</f>
        <v>2.5</v>
      </c>
      <c r="K39" s="28">
        <f ca="1">2.9*OFFSET(K$112,MATCH($N$1,$C$112:$C$113,0)-1,0)</f>
        <v>2.9</v>
      </c>
      <c r="L39" s="28">
        <f ca="1">2.7*OFFSET(L$112,MATCH($N$1,$C$112:$C$113,0)-1,0)</f>
        <v>2.7</v>
      </c>
      <c r="M39" s="28">
        <f ca="1">3.3*OFFSET(M$112,MATCH($N$1,$C$112:$C$113,0)-1,0)</f>
        <v>3.3</v>
      </c>
      <c r="N39" s="28"/>
      <c r="O39" s="23" t="str">
        <f t="shared" si="0"/>
        <v/>
      </c>
      <c r="P39" s="23" t="str">
        <f t="shared" si="1"/>
        <v/>
      </c>
    </row>
    <row r="40" spans="1:16" ht="18" customHeight="1" x14ac:dyDescent="0.2">
      <c r="A40" s="231"/>
      <c r="B40" s="33" t="s">
        <v>78</v>
      </c>
      <c r="C40" s="27"/>
      <c r="D40" s="28"/>
      <c r="E40" s="28">
        <f ca="1">0.9*OFFSET(E$112,MATCH($N$1,$C$112:$C$113,0)-1,0)</f>
        <v>0.9</v>
      </c>
      <c r="F40" s="28">
        <f ca="1">0.1*OFFSET(F$112,MATCH($N$1,$C$112:$C$113,0)-1,0)</f>
        <v>0.1</v>
      </c>
      <c r="G40" s="28">
        <f ca="1">1.8*OFFSET(G$112,MATCH($N$1,$C$112:$C$113,0)-1,0)</f>
        <v>1.8</v>
      </c>
      <c r="H40" s="28">
        <f ca="1">2.1*OFFSET(H$112,MATCH($N$1,$C$112:$C$113,0)-1,0)</f>
        <v>2.1</v>
      </c>
      <c r="I40" s="28">
        <f ca="1">7.5*OFFSET(I$112,MATCH($N$1,$C$112:$C$113,0)-1,0)</f>
        <v>7.5</v>
      </c>
      <c r="J40" s="28">
        <f ca="1">0.7*OFFSET(J$112,MATCH($N$1,$C$112:$C$113,0)-1,0)</f>
        <v>0.7</v>
      </c>
      <c r="K40" s="28">
        <f ca="1">1.1*OFFSET(K$112,MATCH($N$1,$C$112:$C$113,0)-1,0)</f>
        <v>1.1000000000000001</v>
      </c>
      <c r="L40" s="28">
        <f ca="1">1.3*OFFSET(L$112,MATCH($N$1,$C$112:$C$113,0)-1,0)</f>
        <v>1.3</v>
      </c>
      <c r="M40" s="28">
        <f ca="1">0.5*OFFSET(M$112,MATCH($N$1,$C$112:$C$113,0)-1,0)</f>
        <v>0.5</v>
      </c>
      <c r="N40" s="28"/>
      <c r="O40" s="23" t="str">
        <f t="shared" si="0"/>
        <v/>
      </c>
      <c r="P40" s="23" t="str">
        <f t="shared" si="1"/>
        <v/>
      </c>
    </row>
    <row r="41" spans="1:16" ht="18" customHeight="1" thickBot="1" x14ac:dyDescent="0.25">
      <c r="A41" s="232"/>
      <c r="B41" s="44" t="s">
        <v>79</v>
      </c>
      <c r="C41" s="45"/>
      <c r="D41" s="46">
        <f ca="1">-9.2*OFFSET(D$112,MATCH($N$1,$C$112:$C$113,0)-1,0)</f>
        <v>-9.1999999999999993</v>
      </c>
      <c r="E41" s="46">
        <f ca="1">1.9*OFFSET(E$112,MATCH($N$1,$C$112:$C$113,0)-1,0)</f>
        <v>1.9</v>
      </c>
      <c r="F41" s="46">
        <f ca="1">44.3*OFFSET(F$112,MATCH($N$1,$C$112:$C$113,0)-1,0)</f>
        <v>44.3</v>
      </c>
      <c r="G41" s="46">
        <f ca="1">57.9*OFFSET(G$112,MATCH($N$1,$C$112:$C$113,0)-1,0)</f>
        <v>57.9</v>
      </c>
      <c r="H41" s="46">
        <f ca="1">43*OFFSET(H$112,MATCH($N$1,$C$112:$C$113,0)-1,0)</f>
        <v>43</v>
      </c>
      <c r="I41" s="46">
        <f ca="1">189.6*OFFSET(I$112,MATCH($N$1,$C$112:$C$113,0)-1,0)</f>
        <v>189.6</v>
      </c>
      <c r="J41" s="46">
        <f ca="1">254.8*OFFSET(J$112,MATCH($N$1,$C$112:$C$113,0)-1,0)</f>
        <v>254.8</v>
      </c>
      <c r="K41" s="46">
        <f ca="1">37.4*OFFSET(K$112,MATCH($N$1,$C$112:$C$113,0)-1,0)</f>
        <v>37.4</v>
      </c>
      <c r="L41" s="46">
        <f ca="1">376.4*OFFSET(L$112,MATCH($N$1,$C$112:$C$113,0)-1,0)</f>
        <v>376.4</v>
      </c>
      <c r="M41" s="46">
        <f ca="1">269.1*OFFSET(M$112,MATCH($N$1,$C$112:$C$113,0)-1,0)</f>
        <v>269.10000000000002</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NSWOS demersal pair trawl seine</v>
      </c>
      <c r="C48" s="97"/>
      <c r="D48" s="97"/>
      <c r="E48" s="97"/>
      <c r="F48" s="97"/>
      <c r="G48" s="97"/>
      <c r="K48" s="97" t="str">
        <f>$B24&amp;CHAR(10)&amp;$A$1</f>
        <v>Operating profit per kW day at sea (£)
NSWOS demersal pair trawl seine</v>
      </c>
    </row>
    <row r="49" spans="1:11" s="83" customFormat="1" x14ac:dyDescent="0.2">
      <c r="A49" s="97" t="str">
        <f>$B22&amp;CHAR(10)&amp;$A$1</f>
        <v>Fishing income per kW day at sea (£)
NSWOS demersal pair trawl seine</v>
      </c>
    </row>
    <row r="50" spans="1:11" s="83" customFormat="1" x14ac:dyDescent="0.2">
      <c r="A50" s="97" t="str">
        <f>$B20&amp;CHAR(10)&amp;$A$1</f>
        <v>Average price per tonne landed (£)
NSWOS demersal pair trawl seine</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NSWOS demersal pair trawl seine</v>
      </c>
      <c r="F62" s="97" t="str">
        <f>$B20&amp;CHAR(10)&amp;$A$1</f>
        <v>Average price per tonne landed (£)
NSWOS demersal pair trawl seine</v>
      </c>
      <c r="K62" s="97" t="str">
        <f>"Average annual operating profit per vessel (£'000)"&amp;CHAR(10)&amp;$A$1</f>
        <v>Average annual operating profit per vessel (£'000)
NSWOS demersal pair trawl seine</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NSWOS demersal pair trawl seine</v>
      </c>
      <c r="F76" s="97" t="str">
        <f>"Top 5 landed species by value in "&amp;A77&amp;CHAR(10)&amp;A1</f>
        <v>Top 5 landed species by value in 2017
NSWOS demersal pair trawl seine</v>
      </c>
    </row>
    <row r="77" spans="1:9" s="97" customFormat="1" x14ac:dyDescent="0.2">
      <c r="A77" s="97">
        <v>2017</v>
      </c>
      <c r="B77" s="97" t="s">
        <v>327</v>
      </c>
      <c r="C77" s="98">
        <v>0.35765475234138577</v>
      </c>
      <c r="D77" s="99">
        <v>12153634</v>
      </c>
      <c r="G77" s="97" t="s">
        <v>328</v>
      </c>
      <c r="H77" s="98">
        <v>0.31186411787648871</v>
      </c>
      <c r="I77" s="99">
        <v>12153634</v>
      </c>
    </row>
    <row r="78" spans="1:9" s="97" customFormat="1" x14ac:dyDescent="0.2">
      <c r="B78" s="97" t="s">
        <v>329</v>
      </c>
      <c r="C78" s="98">
        <v>0.23094702144212764</v>
      </c>
      <c r="D78" s="99">
        <v>553960</v>
      </c>
      <c r="G78" s="97" t="s">
        <v>330</v>
      </c>
      <c r="H78" s="98">
        <v>0.30324822088059317</v>
      </c>
      <c r="I78" s="99">
        <v>553960</v>
      </c>
    </row>
    <row r="79" spans="1:9" s="97" customFormat="1" x14ac:dyDescent="0.2">
      <c r="B79" s="97" t="s">
        <v>331</v>
      </c>
      <c r="C79" s="98">
        <v>0.12453259334240296</v>
      </c>
      <c r="D79" s="99">
        <v>3050596</v>
      </c>
      <c r="G79" s="97" t="s">
        <v>332</v>
      </c>
      <c r="H79" s="98">
        <v>0.136463076022944</v>
      </c>
      <c r="I79" s="99">
        <v>3050596</v>
      </c>
    </row>
    <row r="80" spans="1:9" s="97" customFormat="1" x14ac:dyDescent="0.2">
      <c r="B80" s="97" t="s">
        <v>333</v>
      </c>
      <c r="C80" s="98">
        <v>0.10671899818091522</v>
      </c>
      <c r="D80" s="99">
        <v>3689192</v>
      </c>
      <c r="G80" s="97" t="s">
        <v>334</v>
      </c>
      <c r="H80" s="98">
        <v>7.4243428253147434E-2</v>
      </c>
      <c r="I80" s="99">
        <v>1692097</v>
      </c>
    </row>
    <row r="81" spans="1:18" s="97" customFormat="1" x14ac:dyDescent="0.2">
      <c r="B81" s="97" t="s">
        <v>335</v>
      </c>
      <c r="C81" s="98">
        <v>9.5676446650731509E-2</v>
      </c>
      <c r="D81" s="99">
        <v>1692097</v>
      </c>
      <c r="G81" s="97" t="s">
        <v>336</v>
      </c>
      <c r="H81" s="98">
        <v>6.0456125784025011E-2</v>
      </c>
      <c r="I81" s="99">
        <v>3689192</v>
      </c>
    </row>
    <row r="82" spans="1:18" s="97" customFormat="1" x14ac:dyDescent="0.2">
      <c r="B82" s="97" t="s">
        <v>337</v>
      </c>
      <c r="C82" s="98">
        <v>8.4470188042436889E-2</v>
      </c>
      <c r="D82" s="99">
        <v>5920853</v>
      </c>
      <c r="G82" s="97" t="s">
        <v>338</v>
      </c>
      <c r="H82" s="98">
        <v>0.11372503118280175</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16</v>
      </c>
      <c r="D92" s="102">
        <v>0.38551740608865409</v>
      </c>
      <c r="E92" s="102">
        <v>0.36719551449146187</v>
      </c>
      <c r="F92" s="102">
        <v>0.35228427007098967</v>
      </c>
      <c r="G92" s="102">
        <v>0.35235411232168662</v>
      </c>
      <c r="H92" s="102">
        <v>0.43568205751330619</v>
      </c>
      <c r="I92" s="102">
        <v>0.45572136728729962</v>
      </c>
      <c r="J92" s="102">
        <v>0.39313096614794296</v>
      </c>
      <c r="K92" s="102">
        <v>0.31525322249881704</v>
      </c>
      <c r="L92" s="102">
        <v>0.31186411787648871</v>
      </c>
      <c r="M92" s="102">
        <v>0.27289536031803951</v>
      </c>
      <c r="O92" s="97">
        <v>12153634</v>
      </c>
    </row>
    <row r="93" spans="1:18" s="97" customFormat="1" hidden="1" x14ac:dyDescent="0.2">
      <c r="B93" s="97">
        <v>2</v>
      </c>
      <c r="C93" s="97" t="s">
        <v>97</v>
      </c>
      <c r="D93" s="102">
        <v>0.22631575564996467</v>
      </c>
      <c r="E93" s="102">
        <v>0.29785738506985138</v>
      </c>
      <c r="F93" s="102">
        <v>0.27954583894152302</v>
      </c>
      <c r="G93" s="102">
        <v>0.27269879400900365</v>
      </c>
      <c r="H93" s="102">
        <v>0.24822521420368757</v>
      </c>
      <c r="I93" s="102">
        <v>0.25206868056234105</v>
      </c>
      <c r="J93" s="102">
        <v>0.27458945988326627</v>
      </c>
      <c r="K93" s="102">
        <v>0.30305407697875503</v>
      </c>
      <c r="L93" s="102">
        <v>0.30324822088059317</v>
      </c>
      <c r="M93" s="102">
        <v>0.29659231651970674</v>
      </c>
      <c r="O93" s="97">
        <v>553960</v>
      </c>
    </row>
    <row r="94" spans="1:18" s="97" customFormat="1" hidden="1" x14ac:dyDescent="0.2">
      <c r="B94" s="97">
        <v>3</v>
      </c>
      <c r="C94" s="97" t="s">
        <v>95</v>
      </c>
      <c r="D94" s="102">
        <v>5.556367309505942E-2</v>
      </c>
      <c r="E94" s="102">
        <v>4.9277158323811181E-2</v>
      </c>
      <c r="F94" s="102">
        <v>6.8343990094533957E-2</v>
      </c>
      <c r="G94" s="102">
        <v>0.10321781446429588</v>
      </c>
      <c r="H94" s="102">
        <v>6.5936914097181457E-2</v>
      </c>
      <c r="I94" s="102">
        <v>7.5130450908800009E-2</v>
      </c>
      <c r="J94" s="102">
        <v>8.6951573196641152E-2</v>
      </c>
      <c r="K94" s="102">
        <v>0.11397079997032863</v>
      </c>
      <c r="L94" s="102">
        <v>0.136463076022944</v>
      </c>
      <c r="M94" s="102">
        <v>0.13722934380264745</v>
      </c>
      <c r="O94" s="97">
        <v>3050596</v>
      </c>
    </row>
    <row r="95" spans="1:18" s="97" customFormat="1" hidden="1" x14ac:dyDescent="0.2">
      <c r="B95" s="97">
        <v>4</v>
      </c>
      <c r="C95" s="97" t="s">
        <v>191</v>
      </c>
      <c r="D95" s="102">
        <v>9.7507640033755921E-2</v>
      </c>
      <c r="E95" s="102">
        <v>7.8207463025651264E-2</v>
      </c>
      <c r="F95" s="102">
        <v>0.10769171555240527</v>
      </c>
      <c r="G95" s="102">
        <v>0.10500993099662148</v>
      </c>
      <c r="H95" s="102">
        <v>0.10149551170420033</v>
      </c>
      <c r="I95" s="102">
        <v>8.3691051558998947E-2</v>
      </c>
      <c r="J95" s="102">
        <v>8.2947646164777192E-2</v>
      </c>
      <c r="K95" s="102">
        <v>7.1452072226729751E-2</v>
      </c>
      <c r="L95" s="102">
        <v>7.4243428253147434E-2</v>
      </c>
      <c r="M95" s="102">
        <v>8.8468479007243583E-2</v>
      </c>
      <c r="O95" s="97">
        <v>1692097</v>
      </c>
    </row>
    <row r="96" spans="1:18" s="97" customFormat="1" hidden="1" x14ac:dyDescent="0.2">
      <c r="B96" s="97">
        <v>5</v>
      </c>
      <c r="C96" s="97" t="s">
        <v>228</v>
      </c>
      <c r="D96" s="102">
        <v>9.597944991756957E-2</v>
      </c>
      <c r="E96" s="102">
        <v>0.11219917301723345</v>
      </c>
      <c r="F96" s="102">
        <v>0.10528075168111203</v>
      </c>
      <c r="G96" s="102">
        <v>8.3453622404029135E-2</v>
      </c>
      <c r="H96" s="102">
        <v>7.8996826924197086E-2</v>
      </c>
      <c r="I96" s="102">
        <v>7.4743093822931927E-2</v>
      </c>
      <c r="J96" s="102">
        <v>7.8761213691446952E-2</v>
      </c>
      <c r="K96" s="102">
        <v>7.8732786348224768E-2</v>
      </c>
      <c r="L96" s="102">
        <v>6.0456125784025011E-2</v>
      </c>
      <c r="M96" s="102">
        <v>8.1963905524986974E-2</v>
      </c>
      <c r="O96" s="97">
        <v>3689192</v>
      </c>
    </row>
    <row r="97" spans="1:15" s="97" customFormat="1" hidden="1" x14ac:dyDescent="0.2">
      <c r="B97" s="97">
        <v>6</v>
      </c>
      <c r="C97" s="97" t="s">
        <v>101</v>
      </c>
      <c r="D97" s="102">
        <v>0.13911607521499633</v>
      </c>
      <c r="E97" s="102">
        <v>9.5263306071990864E-2</v>
      </c>
      <c r="F97" s="102">
        <v>8.6853433659436069E-2</v>
      </c>
      <c r="G97" s="102">
        <v>8.3265725804363255E-2</v>
      </c>
      <c r="H97" s="102">
        <v>6.9663475557427343E-2</v>
      </c>
      <c r="I97" s="102">
        <v>5.8645355859628427E-2</v>
      </c>
      <c r="J97" s="102">
        <v>8.3619140915925441E-2</v>
      </c>
      <c r="K97" s="102">
        <v>0.11753704197714476</v>
      </c>
      <c r="L97" s="102">
        <v>0.11372503118280165</v>
      </c>
      <c r="M97" s="102">
        <v>0.12285059482737572</v>
      </c>
      <c r="O97" s="97">
        <v>5920853</v>
      </c>
    </row>
    <row r="98" spans="1:15" s="97" customFormat="1" hidden="1" x14ac:dyDescent="0.2">
      <c r="B98" s="97">
        <v>7</v>
      </c>
      <c r="D98" s="102"/>
      <c r="E98" s="102"/>
      <c r="F98" s="102"/>
      <c r="G98" s="102"/>
      <c r="H98" s="102"/>
      <c r="I98" s="102"/>
      <c r="J98" s="102"/>
      <c r="K98" s="102"/>
      <c r="L98" s="102"/>
      <c r="M98" s="102"/>
      <c r="O98" s="97">
        <v>2480382</v>
      </c>
    </row>
    <row r="99" spans="1:15" s="97" customFormat="1" hidden="1" x14ac:dyDescent="0.2">
      <c r="B99" s="97">
        <v>8</v>
      </c>
      <c r="D99" s="102"/>
      <c r="E99" s="102"/>
      <c r="F99" s="102"/>
      <c r="G99" s="102"/>
      <c r="H99" s="102"/>
      <c r="I99" s="102"/>
      <c r="J99" s="102"/>
      <c r="K99" s="102"/>
      <c r="L99" s="102"/>
      <c r="M99" s="102"/>
      <c r="O99" s="97">
        <v>7434864</v>
      </c>
    </row>
    <row r="100" spans="1:15" s="97" customFormat="1" hidden="1" x14ac:dyDescent="0.2">
      <c r="B100" s="97">
        <v>9</v>
      </c>
      <c r="D100" s="102"/>
      <c r="E100" s="102"/>
      <c r="F100" s="102"/>
      <c r="G100" s="102"/>
      <c r="H100" s="102"/>
      <c r="I100" s="102"/>
      <c r="J100" s="102"/>
      <c r="K100" s="102"/>
      <c r="L100" s="102"/>
      <c r="M100" s="102"/>
      <c r="O100" s="97">
        <v>8497745</v>
      </c>
    </row>
    <row r="101" spans="1:15" s="97" customFormat="1" hidden="1" x14ac:dyDescent="0.2">
      <c r="B101" s="97">
        <v>10</v>
      </c>
      <c r="D101" s="102"/>
      <c r="E101" s="102"/>
      <c r="F101" s="102"/>
      <c r="G101" s="102"/>
      <c r="H101" s="102"/>
      <c r="I101" s="102"/>
      <c r="J101" s="102"/>
      <c r="K101" s="102"/>
      <c r="L101" s="102"/>
      <c r="M101" s="102"/>
      <c r="O101" s="97">
        <v>14393110</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7</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6</v>
      </c>
      <c r="D120" s="56">
        <v>13</v>
      </c>
      <c r="E120" s="56">
        <v>6</v>
      </c>
      <c r="F120" s="57">
        <v>25</v>
      </c>
    </row>
    <row r="121" spans="1:14" ht="18" customHeight="1" x14ac:dyDescent="0.2">
      <c r="A121" s="225" t="s">
        <v>23</v>
      </c>
      <c r="B121" s="30" t="s">
        <v>58</v>
      </c>
      <c r="C121" s="58">
        <v>26.226667404174805</v>
      </c>
      <c r="D121" s="58">
        <v>26.11846190232497</v>
      </c>
      <c r="E121" s="58">
        <v>26.27166748046875</v>
      </c>
      <c r="F121" s="59">
        <v>26.18120002746582</v>
      </c>
    </row>
    <row r="122" spans="1:14" ht="18" customHeight="1" x14ac:dyDescent="0.2">
      <c r="A122" s="226"/>
      <c r="B122" s="33" t="s">
        <v>51</v>
      </c>
      <c r="C122" s="60">
        <v>506.66665649414062</v>
      </c>
      <c r="D122" s="60">
        <v>552.76921198918274</v>
      </c>
      <c r="E122" s="60">
        <v>538.16668701171875</v>
      </c>
      <c r="F122" s="61">
        <v>538.20001220703125</v>
      </c>
    </row>
    <row r="123" spans="1:14" ht="18" customHeight="1" x14ac:dyDescent="0.2">
      <c r="A123" s="226"/>
      <c r="B123" s="33" t="s">
        <v>52</v>
      </c>
      <c r="C123" s="60">
        <v>286</v>
      </c>
      <c r="D123" s="60">
        <v>240.61538578913763</v>
      </c>
      <c r="E123" s="60">
        <v>230.66667175292969</v>
      </c>
      <c r="F123" s="61">
        <v>249.1199951171875</v>
      </c>
    </row>
    <row r="124" spans="1:14" ht="18" customHeight="1" x14ac:dyDescent="0.2">
      <c r="A124" s="226"/>
      <c r="B124" s="33" t="s">
        <v>53</v>
      </c>
      <c r="C124" s="60">
        <v>430.79290771484375</v>
      </c>
      <c r="D124" s="60">
        <v>446.56303757887622</v>
      </c>
      <c r="E124" s="60">
        <v>436.204833984375</v>
      </c>
      <c r="F124" s="61">
        <v>440.292236328125</v>
      </c>
    </row>
    <row r="125" spans="1:14" ht="18" customHeight="1" x14ac:dyDescent="0.2">
      <c r="A125" s="226"/>
      <c r="B125" s="33" t="s">
        <v>54</v>
      </c>
      <c r="C125" s="28">
        <v>1711.296875</v>
      </c>
      <c r="D125" s="28">
        <v>987.85102726862976</v>
      </c>
      <c r="E125" s="28">
        <v>775.9439697265625</v>
      </c>
      <c r="F125" s="62">
        <v>1110.620361328125</v>
      </c>
    </row>
    <row r="126" spans="1:14" ht="18" customHeight="1" x14ac:dyDescent="0.2">
      <c r="A126" s="226"/>
      <c r="B126" s="33" t="s">
        <v>59</v>
      </c>
      <c r="C126" s="28">
        <f ca="1">3268.39275*OFFSET($L$112,MATCH($N$1,$C$112:$C$113,0)-1,0)</f>
        <v>3268.39275</v>
      </c>
      <c r="D126" s="28">
        <f ca="1">1758.95786538462*OFFSET($L$112,MATCH($N$1,$C$112:$C$113,0)-1,0)</f>
        <v>1758.9578653846199</v>
      </c>
      <c r="E126" s="28">
        <f ca="1">1379.669875*OFFSET($L$112,MATCH($N$1,$C$112:$C$113,0)-1,0)</f>
        <v>1379.669875</v>
      </c>
      <c r="F126" s="62">
        <f ca="1">2030.193125*OFFSET($L$112,MATCH($N$1,$C$112:$C$113,0)-1,0)</f>
        <v>2030.193125</v>
      </c>
    </row>
    <row r="127" spans="1:14" ht="18" customHeight="1" x14ac:dyDescent="0.2">
      <c r="A127" s="226"/>
      <c r="B127" s="33" t="s">
        <v>56</v>
      </c>
      <c r="C127" s="60">
        <v>261.83334350585937</v>
      </c>
      <c r="D127" s="60">
        <v>174.46153494027945</v>
      </c>
      <c r="E127" s="60">
        <v>164</v>
      </c>
      <c r="F127" s="61">
        <v>192.91999816894531</v>
      </c>
    </row>
    <row r="128" spans="1:14" ht="18" customHeight="1" x14ac:dyDescent="0.2">
      <c r="A128" s="226"/>
      <c r="B128" s="33" t="s">
        <v>60</v>
      </c>
      <c r="C128" s="60">
        <v>14.166666984558105</v>
      </c>
      <c r="D128" s="60">
        <v>24.230768937330978</v>
      </c>
      <c r="E128" s="60">
        <v>30.166666030883789</v>
      </c>
      <c r="F128" s="61">
        <v>23.239999771118164</v>
      </c>
    </row>
    <row r="129" spans="1:14" ht="18" customHeight="1" x14ac:dyDescent="0.2">
      <c r="A129" s="226"/>
      <c r="B129" s="33" t="s">
        <v>61</v>
      </c>
      <c r="C129" s="63">
        <v>6.5358247756958008</v>
      </c>
      <c r="D129" s="63">
        <v>5.6622855439554893</v>
      </c>
      <c r="E129" s="63">
        <v>4.7313656806945801</v>
      </c>
      <c r="F129" s="64">
        <v>5.7568960189819336</v>
      </c>
    </row>
    <row r="130" spans="1:14" ht="18" customHeight="1" x14ac:dyDescent="0.2">
      <c r="A130" s="227"/>
      <c r="B130" s="35" t="s">
        <v>24</v>
      </c>
      <c r="C130" s="37">
        <f ca="1">1909.89231485624*OFFSET($L$112,MATCH($N$1,$C$112:$C$113,0)-1,0)</f>
        <v>1909.8923148562401</v>
      </c>
      <c r="D130" s="37">
        <f ca="1">1780.59020725834*OFFSET($L$112,MATCH($N$1,$C$112:$C$113,0)-1,0)</f>
        <v>1780.5902072583399</v>
      </c>
      <c r="E130" s="37">
        <f ca="1">1778.05347915287*OFFSET($L$112,MATCH($N$1,$C$112:$C$113,0)-1,0)</f>
        <v>1778.0534791528701</v>
      </c>
      <c r="F130" s="65">
        <f ca="1">1828*OFFSET($L$112,MATCH($N$1,$C$112:$C$113,0)-1,0)</f>
        <v>1828</v>
      </c>
    </row>
    <row r="131" spans="1:14" ht="18" customHeight="1" x14ac:dyDescent="0.2">
      <c r="A131" s="239" t="s">
        <v>25</v>
      </c>
      <c r="B131" s="30" t="s">
        <v>62</v>
      </c>
      <c r="C131" s="66">
        <v>12.824531560867376</v>
      </c>
      <c r="D131" s="66">
        <v>10.042967793336476</v>
      </c>
      <c r="E131" s="66">
        <v>8.7889311471919545</v>
      </c>
      <c r="F131" s="67">
        <v>10.641930282489183</v>
      </c>
    </row>
    <row r="132" spans="1:14" ht="18" customHeight="1" x14ac:dyDescent="0.2">
      <c r="A132" s="228"/>
      <c r="B132" s="33" t="s">
        <v>63</v>
      </c>
      <c r="C132" s="63">
        <f ca="1">24.4934742697319*OFFSET($L$112,MATCH($N$1,$C$112:$C$113,0)-1,0)</f>
        <v>24.493474269731902</v>
      </c>
      <c r="D132" s="63">
        <f ca="1">17.8824101046259*OFFSET($L$112,MATCH($N$1,$C$112:$C$113,0)-1,0)</f>
        <v>17.882410104625901</v>
      </c>
      <c r="E132" s="63">
        <f ca="1">15.6271896042996*OFFSET($L$112,MATCH($N$1,$C$112:$C$113,0)-1,0)</f>
        <v>15.6271896042996</v>
      </c>
      <c r="F132" s="64">
        <f ca="1">19.4532483362744*OFFSET($L$112,MATCH($N$1,$C$112:$C$113,0)-1,0)</f>
        <v>19.453248336274399</v>
      </c>
    </row>
    <row r="133" spans="1:14" ht="18" customHeight="1" x14ac:dyDescent="0.2">
      <c r="A133" s="228"/>
      <c r="B133" s="33" t="s">
        <v>11</v>
      </c>
      <c r="C133" s="63">
        <f ca="1">19.8325320367391*OFFSET($L$112,MATCH($N$1,$C$112:$C$113,0)-1,0)</f>
        <v>19.832532036739099</v>
      </c>
      <c r="D133" s="63">
        <f ca="1">14.7540349119003*OFFSET($L$112,MATCH($N$1,$C$112:$C$113,0)-1,0)</f>
        <v>14.7540349119003</v>
      </c>
      <c r="E133" s="63">
        <f ca="1">13.2508999464811*OFFSET($L$112,MATCH($N$1,$C$112:$C$113,0)-1,0)</f>
        <v>13.2508999464811</v>
      </c>
      <c r="F133" s="64">
        <f ca="1">16.0072751102432*OFFSET($L$112,MATCH($N$1,$C$112:$C$113,0)-1,0)</f>
        <v>16.007275110243199</v>
      </c>
    </row>
    <row r="134" spans="1:14" ht="18" customHeight="1" x14ac:dyDescent="0.2">
      <c r="A134" s="229"/>
      <c r="B134" s="35" t="s">
        <v>12</v>
      </c>
      <c r="C134" s="68">
        <f ca="1">4.66094223299283*OFFSET($L$112,MATCH($N$1,$C$112:$C$113,0)-1,0)</f>
        <v>4.6609422329928298</v>
      </c>
      <c r="D134" s="68">
        <f ca="1">3.12837519272552*OFFSET($L$112,MATCH($N$1,$C$112:$C$113,0)-1,0)</f>
        <v>3.1283751927255201</v>
      </c>
      <c r="E134" s="68">
        <f ca="1">2.37628965781858*OFFSET($L$112,MATCH($N$1,$C$112:$C$113,0)-1,0)</f>
        <v>2.3762896578185799</v>
      </c>
      <c r="F134" s="69">
        <f ca="1">3.44597322603125*OFFSET($L$112,MATCH($N$1,$C$112:$C$113,0)-1,0)</f>
        <v>3.4459732260312501</v>
      </c>
    </row>
    <row r="135" spans="1:14" ht="18" customHeight="1" x14ac:dyDescent="0.2">
      <c r="A135" s="240" t="s">
        <v>45</v>
      </c>
      <c r="B135" s="33" t="s">
        <v>102</v>
      </c>
      <c r="C135" s="70">
        <f ca="1">161.77796875*OFFSET($L$112,MATCH($N$1,$C$112:$C$113,0)-1,0)</f>
        <v>161.77796875000001</v>
      </c>
      <c r="D135" s="70">
        <f ca="1">114.067448317308*OFFSET($L$112,MATCH($N$1,$C$112:$C$113,0)-1,0)</f>
        <v>114.06744831730801</v>
      </c>
      <c r="E135" s="70">
        <f ca="1">121.038015625*OFFSET($L$112,MATCH($N$1,$C$112:$C$113,0)-1,0)</f>
        <v>121.038015625</v>
      </c>
      <c r="F135" s="71">
        <f ca="1">127.19090625*OFFSET($L$112,MATCH($N$1,$C$112:$C$113,0)-1,0)</f>
        <v>127.19090625</v>
      </c>
    </row>
    <row r="136" spans="1:14" ht="18" customHeight="1" x14ac:dyDescent="0.2">
      <c r="A136" s="241"/>
      <c r="B136" s="33" t="s">
        <v>103</v>
      </c>
      <c r="C136" s="26">
        <v>381841.67763609439</v>
      </c>
      <c r="D136" s="26">
        <v>268303.84010661335</v>
      </c>
      <c r="E136" s="26">
        <v>287000</v>
      </c>
      <c r="F136" s="72">
        <v>300040</v>
      </c>
    </row>
    <row r="137" spans="1:14" ht="18" customHeight="1" x14ac:dyDescent="0.2">
      <c r="A137" s="241"/>
      <c r="B137" s="33" t="s">
        <v>104</v>
      </c>
      <c r="C137" s="26">
        <v>1458.338623046875</v>
      </c>
      <c r="D137" s="26">
        <v>1537.8968217748252</v>
      </c>
      <c r="E137" s="26">
        <v>1750</v>
      </c>
      <c r="F137" s="72">
        <v>1555.256103515625</v>
      </c>
    </row>
    <row r="138" spans="1:14" ht="18" customHeight="1" x14ac:dyDescent="0.2">
      <c r="A138" s="241"/>
      <c r="B138" s="33" t="s">
        <v>105</v>
      </c>
      <c r="C138" s="26">
        <f ca="1">617.866183824596*OFFSET($L$112,MATCH($N$1,$C$112:$C$113,0)-1,0)</f>
        <v>617.86618382459596</v>
      </c>
      <c r="D138" s="26">
        <f ca="1">653.825775156424*OFFSET($L$112,MATCH($N$1,$C$112:$C$113,0)-1,0)</f>
        <v>653.82577515642402</v>
      </c>
      <c r="E138" s="26">
        <f ca="1">738.036680640244*OFFSET($L$112,MATCH($N$1,$C$112:$C$113,0)-1,0)</f>
        <v>738.03668064024396</v>
      </c>
      <c r="F138" s="72">
        <f ca="1">659.293528183716*OFFSET($L$112,MATCH($N$1,$C$112:$C$113,0)-1,0)</f>
        <v>659.29352818371603</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94.5353030870228*OFFSET($L$112,MATCH($N$1,$C$112:$C$113,0)-1,0)</f>
        <v>94.535303087022797</v>
      </c>
      <c r="D139" s="26">
        <f ca="1">115.470293767573*OFFSET($L$112,MATCH($N$1,$C$112:$C$113,0)-1,0)</f>
        <v>115.470293767573</v>
      </c>
      <c r="E139" s="26">
        <f ca="1">155.988087216726*OFFSET($L$112,MATCH($N$1,$C$112:$C$113,0)-1,0)</f>
        <v>155.988087216726</v>
      </c>
      <c r="F139" s="72">
        <f ca="1">114.522397282452*OFFSET($L$112,MATCH($N$1,$C$112:$C$113,0)-1,0)</f>
        <v>114.522397282452</v>
      </c>
      <c r="I139" s="49"/>
      <c r="K139" s="73" t="s">
        <v>107</v>
      </c>
      <c r="L139" s="74">
        <f t="shared" ref="L139:M141" ca="1" si="2">C140</f>
        <v>3397.9477499999998</v>
      </c>
      <c r="M139" s="74">
        <f t="shared" ca="1" si="2"/>
        <v>1828.68064423077</v>
      </c>
      <c r="N139" s="74">
        <f ca="1">E140</f>
        <v>1434.358125</v>
      </c>
    </row>
    <row r="140" spans="1:14" ht="18" customHeight="1" x14ac:dyDescent="0.2">
      <c r="A140" s="230" t="s">
        <v>46</v>
      </c>
      <c r="B140" s="30" t="s">
        <v>108</v>
      </c>
      <c r="C140" s="75">
        <f ca="1">3397.94775*OFFSET($L$112,MATCH($N$1,$C$112:$C$113,0)-1,0)</f>
        <v>3397.9477499999998</v>
      </c>
      <c r="D140" s="75">
        <f ca="1">1828.68064423077*OFFSET($L$112,MATCH($N$1,$C$112:$C$113,0)-1,0)</f>
        <v>1828.68064423077</v>
      </c>
      <c r="E140" s="75">
        <f ca="1">1434.358125*OFFSET($L$112,MATCH($N$1,$C$112:$C$113,0)-1,0)</f>
        <v>1434.358125</v>
      </c>
      <c r="F140" s="76">
        <f ca="1">2110.66725*OFFSET($L$112,MATCH($N$1,$C$112:$C$113,0)-1,0)</f>
        <v>2110.66725</v>
      </c>
      <c r="I140" s="49"/>
      <c r="K140" s="73" t="s">
        <v>109</v>
      </c>
      <c r="L140" s="74">
        <f t="shared" ca="1" si="2"/>
        <v>2775.9947499999998</v>
      </c>
      <c r="M140" s="74">
        <f t="shared" ca="1" si="2"/>
        <v>1520.9659615384601</v>
      </c>
      <c r="N140" s="74">
        <f ca="1">E141</f>
        <v>1224.5638750000001</v>
      </c>
    </row>
    <row r="141" spans="1:14" ht="18" customHeight="1" x14ac:dyDescent="0.2">
      <c r="A141" s="237"/>
      <c r="B141" s="33" t="s">
        <v>110</v>
      </c>
      <c r="C141" s="26">
        <f ca="1">2775.99475*OFFSET($L$112,MATCH($N$1,$C$112:$C$113,0)-1,0)</f>
        <v>2775.9947499999998</v>
      </c>
      <c r="D141" s="26">
        <f ca="1">1520.96596153846*OFFSET($L$112,MATCH($N$1,$C$112:$C$113,0)-1,0)</f>
        <v>1520.9659615384601</v>
      </c>
      <c r="E141" s="26">
        <f ca="1">1224.563875*OFFSET($L$112,MATCH($N$1,$C$112:$C$113,0)-1,0)</f>
        <v>1224.5638750000001</v>
      </c>
      <c r="F141" s="72">
        <f ca="1">1751.036375*OFFSET($L$112,MATCH($N$1,$C$112:$C$113,0)-1,0)</f>
        <v>1751.0363749999999</v>
      </c>
      <c r="I141" s="49"/>
      <c r="K141" s="73" t="s">
        <v>111</v>
      </c>
      <c r="L141" s="74">
        <f t="shared" ca="1" si="2"/>
        <v>621.95299999999997</v>
      </c>
      <c r="M141" s="74">
        <f t="shared" ca="1" si="2"/>
        <v>307.71468269230797</v>
      </c>
      <c r="N141" s="74">
        <f ca="1">E142</f>
        <v>209.79425000000001</v>
      </c>
    </row>
    <row r="142" spans="1:14" ht="18" customHeight="1" x14ac:dyDescent="0.2">
      <c r="A142" s="238"/>
      <c r="B142" s="35" t="s">
        <v>112</v>
      </c>
      <c r="C142" s="37">
        <f ca="1">621.953*OFFSET($L$112,MATCH($N$1,$C$112:$C$113,0)-1,0)</f>
        <v>621.95299999999997</v>
      </c>
      <c r="D142" s="37">
        <f ca="1">307.714682692308*OFFSET($L$112,MATCH($N$1,$C$112:$C$113,0)-1,0)</f>
        <v>307.71468269230797</v>
      </c>
      <c r="E142" s="37">
        <f ca="1">209.79425*OFFSET($L$112,MATCH($N$1,$C$112:$C$113,0)-1,0)</f>
        <v>209.79425000000001</v>
      </c>
      <c r="F142" s="65">
        <f ca="1">359.631*OFFSET($L$112,MATCH($N$1,$C$112:$C$113,0)-1,0)</f>
        <v>359.63099999999997</v>
      </c>
      <c r="I142" s="49"/>
      <c r="K142" s="73" t="s">
        <v>113</v>
      </c>
      <c r="L142" s="77">
        <f ca="1">IFERROR(L140/L$139,"")</f>
        <v>0.8169621648832005</v>
      </c>
      <c r="M142" s="77">
        <f t="shared" ref="M142:N143" ca="1" si="3">IFERROR(M140/M$139,"")</f>
        <v>0.83172858330233523</v>
      </c>
      <c r="N142" s="77">
        <f t="shared" ca="1" si="3"/>
        <v>0.85373649276048136</v>
      </c>
    </row>
    <row r="143" spans="1:14" ht="18" customHeight="1" x14ac:dyDescent="0.2">
      <c r="I143" s="49"/>
      <c r="K143" s="73" t="s">
        <v>114</v>
      </c>
      <c r="L143" s="77">
        <f ca="1">IFERROR(L141/L$139,"")</f>
        <v>0.18303783511679955</v>
      </c>
      <c r="M143" s="77">
        <f t="shared" ca="1" si="3"/>
        <v>0.16827141669766368</v>
      </c>
      <c r="N143" s="77">
        <f t="shared" ca="1" si="3"/>
        <v>0.14626350723951873</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7</v>
      </c>
      <c r="B161" s="53"/>
      <c r="C161" s="79" t="s">
        <v>41</v>
      </c>
      <c r="D161" s="79" t="s">
        <v>115</v>
      </c>
      <c r="E161" s="79" t="s">
        <v>43</v>
      </c>
      <c r="F161" s="79" t="s">
        <v>116</v>
      </c>
      <c r="G161" s="80">
        <v>7</v>
      </c>
      <c r="H161" s="79"/>
      <c r="I161" s="79" t="s">
        <v>41</v>
      </c>
      <c r="J161" s="79" t="s">
        <v>115</v>
      </c>
      <c r="K161" s="79" t="s">
        <v>43</v>
      </c>
      <c r="L161" s="53" t="s">
        <v>116</v>
      </c>
    </row>
    <row r="162" spans="1:14" s="49" customFormat="1" x14ac:dyDescent="0.2">
      <c r="A162" s="50">
        <v>1</v>
      </c>
      <c r="B162" s="53" t="s">
        <v>16</v>
      </c>
      <c r="C162" s="53">
        <v>0.31939452786172767</v>
      </c>
      <c r="D162" s="53">
        <v>0.40871510182628484</v>
      </c>
      <c r="E162" s="53">
        <v>0.40641486974031965</v>
      </c>
      <c r="F162" s="50">
        <v>12153634</v>
      </c>
      <c r="G162" s="50">
        <v>1</v>
      </c>
      <c r="H162" s="53" t="s">
        <v>16</v>
      </c>
      <c r="I162" s="53">
        <v>0.27948952787670206</v>
      </c>
      <c r="J162" s="53">
        <v>0.32919261166071007</v>
      </c>
      <c r="K162" s="53">
        <v>0.36880000807136215</v>
      </c>
      <c r="L162" s="50">
        <v>12153634</v>
      </c>
    </row>
    <row r="163" spans="1:14" s="49" customFormat="1" x14ac:dyDescent="0.2">
      <c r="A163" s="50">
        <v>2</v>
      </c>
      <c r="B163" s="53" t="s">
        <v>97</v>
      </c>
      <c r="C163" s="53">
        <v>0.25051489850685854</v>
      </c>
      <c r="D163" s="53">
        <v>0.21969153881093181</v>
      </c>
      <c r="E163" s="53">
        <v>0.20587180643537359</v>
      </c>
      <c r="F163" s="50">
        <v>553960</v>
      </c>
      <c r="G163" s="50">
        <v>2</v>
      </c>
      <c r="H163" s="53" t="s">
        <v>97</v>
      </c>
      <c r="I163" s="53">
        <v>0.31280544645146119</v>
      </c>
      <c r="J163" s="53">
        <v>0.31571816678927794</v>
      </c>
      <c r="K163" s="53">
        <v>0.27311926957125382</v>
      </c>
      <c r="L163" s="50">
        <v>553960</v>
      </c>
      <c r="N163" s="49" t="s">
        <v>117</v>
      </c>
    </row>
    <row r="164" spans="1:14" s="49" customFormat="1" x14ac:dyDescent="0.2">
      <c r="A164" s="50">
        <v>3</v>
      </c>
      <c r="B164" s="53" t="s">
        <v>228</v>
      </c>
      <c r="C164" s="53">
        <v>9.5034214655064841E-2</v>
      </c>
      <c r="D164" s="53">
        <v>0.11576128774961286</v>
      </c>
      <c r="E164" s="53">
        <v>9.2328975175147876E-2</v>
      </c>
      <c r="F164" s="50">
        <v>3689192</v>
      </c>
      <c r="G164" s="50">
        <v>3</v>
      </c>
      <c r="H164" s="53" t="s">
        <v>95</v>
      </c>
      <c r="I164" s="53">
        <v>0.17619652064238386</v>
      </c>
      <c r="J164" s="53">
        <v>0.12202087012672599</v>
      </c>
      <c r="K164" s="53">
        <v>9.2648464001940073E-2</v>
      </c>
      <c r="L164" s="50">
        <v>3050596</v>
      </c>
      <c r="N164" s="49" t="s">
        <v>118</v>
      </c>
    </row>
    <row r="165" spans="1:14" s="49" customFormat="1" x14ac:dyDescent="0.2">
      <c r="A165" s="50">
        <v>4</v>
      </c>
      <c r="B165" s="53" t="s">
        <v>191</v>
      </c>
      <c r="C165" s="53">
        <v>8.7023833606867967E-2</v>
      </c>
      <c r="D165" s="53">
        <v>0.10547058094716662</v>
      </c>
      <c r="E165" s="53">
        <v>0.10535526439988253</v>
      </c>
      <c r="F165" s="50">
        <v>1692097</v>
      </c>
      <c r="G165" s="50">
        <v>4</v>
      </c>
      <c r="H165" s="53" t="s">
        <v>191</v>
      </c>
      <c r="I165" s="53">
        <v>6.7519091312128562E-2</v>
      </c>
      <c r="J165" s="53">
        <v>8.0442698904834298E-2</v>
      </c>
      <c r="K165" s="53">
        <v>7.9917466630731057E-2</v>
      </c>
      <c r="L165" s="50">
        <v>1692097</v>
      </c>
    </row>
    <row r="166" spans="1:14" s="49" customFormat="1" x14ac:dyDescent="0.2">
      <c r="A166" s="50">
        <v>5</v>
      </c>
      <c r="B166" s="53" t="s">
        <v>95</v>
      </c>
      <c r="C166" s="53">
        <v>0.16361554526979113</v>
      </c>
      <c r="D166" s="53">
        <v>9.3180952560078883E-2</v>
      </c>
      <c r="E166" s="53">
        <v>8.4953099435751148E-2</v>
      </c>
      <c r="F166" s="50">
        <v>3050596</v>
      </c>
      <c r="G166" s="50">
        <v>5</v>
      </c>
      <c r="H166" s="53" t="s">
        <v>228</v>
      </c>
      <c r="I166" s="53">
        <v>5.2548787292929014E-2</v>
      </c>
      <c r="J166" s="53">
        <v>7.1925625594637582E-2</v>
      </c>
      <c r="K166" s="53">
        <v>5.3647435949096524E-2</v>
      </c>
      <c r="L166" s="50">
        <v>3689192</v>
      </c>
    </row>
    <row r="167" spans="1:14" s="49" customFormat="1" x14ac:dyDescent="0.2">
      <c r="A167" s="50">
        <v>6</v>
      </c>
      <c r="B167" s="53" t="s">
        <v>101</v>
      </c>
      <c r="C167" s="53">
        <v>8.4416980099689787E-2</v>
      </c>
      <c r="D167" s="53">
        <v>5.7180538105925049E-2</v>
      </c>
      <c r="E167" s="53">
        <v>0.10507598481352531</v>
      </c>
      <c r="F167" s="50">
        <v>5920853</v>
      </c>
      <c r="G167" s="50">
        <v>6</v>
      </c>
      <c r="H167" s="53" t="s">
        <v>101</v>
      </c>
      <c r="I167" s="53">
        <v>0.11144062642439534</v>
      </c>
      <c r="J167" s="53">
        <v>8.0700026923814172E-2</v>
      </c>
      <c r="K167" s="53">
        <v>0.13186735577561648</v>
      </c>
      <c r="L167" s="50">
        <v>5920853</v>
      </c>
    </row>
    <row r="168" spans="1:14" s="49" customFormat="1" x14ac:dyDescent="0.2">
      <c r="A168" s="50">
        <v>7</v>
      </c>
      <c r="B168" s="53"/>
      <c r="C168" s="53">
        <v>0</v>
      </c>
      <c r="D168" s="53">
        <v>0</v>
      </c>
      <c r="E168" s="53">
        <v>0</v>
      </c>
      <c r="F168" s="50"/>
      <c r="G168" s="50">
        <v>7</v>
      </c>
      <c r="H168" s="53"/>
      <c r="I168" s="53">
        <v>0</v>
      </c>
      <c r="J168" s="53">
        <v>0</v>
      </c>
      <c r="K168" s="53">
        <v>0</v>
      </c>
      <c r="L168" s="50"/>
    </row>
    <row r="169" spans="1:14" s="49" customFormat="1" x14ac:dyDescent="0.2">
      <c r="A169" s="50">
        <v>8</v>
      </c>
      <c r="B169" s="53"/>
      <c r="C169" s="53">
        <v>0</v>
      </c>
      <c r="D169" s="53">
        <v>0</v>
      </c>
      <c r="E169" s="53">
        <v>0</v>
      </c>
      <c r="F169" s="50"/>
      <c r="G169" s="50">
        <v>8</v>
      </c>
      <c r="H169" s="53"/>
      <c r="I169" s="53">
        <v>0</v>
      </c>
      <c r="J169" s="53">
        <v>0</v>
      </c>
      <c r="K169" s="53">
        <v>0</v>
      </c>
      <c r="L169" s="50"/>
    </row>
    <row r="170" spans="1:14" s="49" customFormat="1" x14ac:dyDescent="0.2">
      <c r="A170" s="50">
        <v>9</v>
      </c>
      <c r="B170" s="53"/>
      <c r="C170" s="53">
        <v>0</v>
      </c>
      <c r="D170" s="53">
        <v>0</v>
      </c>
      <c r="E170" s="53">
        <v>0</v>
      </c>
      <c r="F170" s="50"/>
      <c r="G170" s="50">
        <v>9</v>
      </c>
      <c r="H170" s="53"/>
      <c r="I170" s="53">
        <v>0</v>
      </c>
      <c r="J170" s="53">
        <v>0</v>
      </c>
      <c r="K170" s="53">
        <v>0</v>
      </c>
      <c r="L170" s="50"/>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'NSWOS dem pair trawl seine'!D3:N3</xm:f>
              <xm:sqref>C3</xm:sqref>
            </x14:sparkline>
            <x14:sparkline>
              <xm:f>'NSWOS dem pair trawl seine'!D4:N4</xm:f>
              <xm:sqref>C4</xm:sqref>
            </x14:sparkline>
            <x14:sparkline>
              <xm:f>'NSWOS dem pair trawl seine'!D5:N5</xm:f>
              <xm:sqref>C5</xm:sqref>
            </x14:sparkline>
            <x14:sparkline>
              <xm:f>'NSWOS dem pair trawl seine'!D6:N6</xm:f>
              <xm:sqref>C6</xm:sqref>
            </x14:sparkline>
            <x14:sparkline>
              <xm:f>'NSWOS dem pair trawl seine'!D7:N7</xm:f>
              <xm:sqref>C7</xm:sqref>
            </x14:sparkline>
            <x14:sparkline>
              <xm:f>'NSWOS dem pair trawl seine'!D8:N8</xm:f>
              <xm:sqref>C8</xm:sqref>
            </x14:sparkline>
            <x14:sparkline>
              <xm:f>'NSWOS dem pair trawl seine'!D9:N9</xm:f>
              <xm:sqref>C9</xm:sqref>
            </x14:sparkline>
            <x14:sparkline>
              <xm:f>'NSWOS dem pair trawl seine'!F10:M10</xm:f>
              <xm:sqref>C10</xm:sqref>
            </x14:sparkline>
            <x14:sparkline>
              <xm:f>'NSWOS dem pair trawl seine'!D11:N11</xm:f>
              <xm:sqref>C11</xm:sqref>
            </x14:sparkline>
            <x14:sparkline>
              <xm:f>'NSWOS dem pair trawl seine'!D12:N12</xm:f>
              <xm:sqref>C12</xm:sqref>
            </x14:sparkline>
            <x14:sparkline>
              <xm:f>'NSWOS dem pair trawl seine'!D13:N13</xm:f>
              <xm:sqref>C13</xm:sqref>
            </x14:sparkline>
            <x14:sparkline>
              <xm:f>'NSWOS dem pair trawl seine'!D14:N14</xm:f>
              <xm:sqref>C14</xm:sqref>
            </x14:sparkline>
            <x14:sparkline>
              <xm:f>'NSWOS dem pair trawl seine'!D15:N15</xm:f>
              <xm:sqref>C15</xm:sqref>
            </x14:sparkline>
            <x14:sparkline>
              <xm:f>'NSWOS dem pair trawl seine'!D16:N16</xm:f>
              <xm:sqref>C16</xm:sqref>
            </x14:sparkline>
            <x14:sparkline>
              <xm:f>'NSWOS dem pair trawl seine'!D17:N17</xm:f>
              <xm:sqref>C17</xm:sqref>
            </x14:sparkline>
            <x14:sparkline>
              <xm:f>'NSWOS dem pair trawl seine'!D18:N18</xm:f>
              <xm:sqref>C18</xm:sqref>
            </x14:sparkline>
            <x14:sparkline>
              <xm:f>'NSWOS dem pair trawl seine'!D19:N19</xm:f>
              <xm:sqref>C19</xm:sqref>
            </x14:sparkline>
            <x14:sparkline>
              <xm:f>'NSWOS dem pair trawl seine'!D20:N20</xm:f>
              <xm:sqref>C20</xm:sqref>
            </x14:sparkline>
            <x14:sparkline>
              <xm:f>'NSWOS dem pair trawl seine'!D21:N21</xm:f>
              <xm:sqref>C21</xm:sqref>
            </x14:sparkline>
            <x14:sparkline>
              <xm:f>'NSWOS dem pair trawl seine'!D22:N22</xm:f>
              <xm:sqref>C22</xm:sqref>
            </x14:sparkline>
            <x14:sparkline>
              <xm:f>'NSWOS dem pair trawl seine'!D23:N23</xm:f>
              <xm:sqref>C23</xm:sqref>
            </x14:sparkline>
            <x14:sparkline>
              <xm:f>'NSWOS dem pair trawl seine'!D24:N24</xm:f>
              <xm:sqref>C24</xm:sqref>
            </x14:sparkline>
            <x14:sparkline>
              <xm:f>'NSWOS dem pair trawl seine'!F25:M25</xm:f>
              <xm:sqref>C25</xm:sqref>
            </x14:sparkline>
            <x14:sparkline>
              <xm:f>'NSWOS dem pair trawl seine'!F26:M26</xm:f>
              <xm:sqref>C26</xm:sqref>
            </x14:sparkline>
            <x14:sparkline>
              <xm:f>'NSWOS dem pair trawl seine'!D27:N27</xm:f>
              <xm:sqref>C27</xm:sqref>
            </x14:sparkline>
            <x14:sparkline>
              <xm:f>'NSWOS dem pair trawl seine'!D28:N28</xm:f>
              <xm:sqref>C28</xm:sqref>
            </x14:sparkline>
            <x14:sparkline>
              <xm:f>'NSWOS dem pair trawl seine'!D29:N29</xm:f>
              <xm:sqref>C29</xm:sqref>
            </x14:sparkline>
            <x14:sparkline>
              <xm:f>'NSWOS dem pair trawl seine'!D30:N30</xm:f>
              <xm:sqref>C30</xm:sqref>
            </x14:sparkline>
            <x14:sparkline>
              <xm:f>'NSWOS dem pair trawl seine'!D31:N31</xm:f>
              <xm:sqref>C31</xm:sqref>
            </x14:sparkline>
            <x14:sparkline>
              <xm:f>'NSWOS dem pair trawl seine'!D32:N32</xm:f>
              <xm:sqref>C32</xm:sqref>
            </x14:sparkline>
            <x14:sparkline>
              <xm:f>'NSWOS dem pair trawl seine'!D33:N33</xm:f>
              <xm:sqref>C33</xm:sqref>
            </x14:sparkline>
            <x14:sparkline>
              <xm:f>'NSWOS dem pair trawl seine'!D34:N34</xm:f>
              <xm:sqref>C34</xm:sqref>
            </x14:sparkline>
            <x14:sparkline>
              <xm:f>'NSWOS dem pair trawl seine'!D35:N35</xm:f>
              <xm:sqref>C35</xm:sqref>
            </x14:sparkline>
            <x14:sparkline>
              <xm:f>'NSWOS dem pair trawl seine'!D36:N36</xm:f>
              <xm:sqref>C36</xm:sqref>
            </x14:sparkline>
            <x14:sparkline>
              <xm:f>'NSWOS dem pair trawl seine'!D37:N37</xm:f>
              <xm:sqref>C37</xm:sqref>
            </x14:sparkline>
            <x14:sparkline>
              <xm:f>'NSWOS dem pair trawl seine'!D38:M38</xm:f>
              <xm:sqref>C38</xm:sqref>
            </x14:sparkline>
            <x14:sparkline>
              <xm:f>'NSWOS dem pair trawl seine'!D39:M39</xm:f>
              <xm:sqref>C39</xm:sqref>
            </x14:sparkline>
            <x14:sparkline>
              <xm:f>'NSWOS dem pair trawl seine'!D40:M40</xm:f>
              <xm:sqref>C40</xm:sqref>
            </x14:sparkline>
            <x14:sparkline>
              <xm:f>'NSWOS dem pair trawl seine'!D41:M41</xm:f>
              <xm:sqref>C41</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pageSetUpPr fitToPage="1"/>
  </sheetPr>
  <dimension ref="A1:R153"/>
  <sheetViews>
    <sheetView topLeftCell="A69" zoomScale="87" zoomScaleNormal="87" zoomScalePageLayoutView="87" workbookViewId="0">
      <selection activeCell="A115" sqref="A115:XFD153"/>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339</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26</v>
      </c>
      <c r="E3" s="22">
        <v>25</v>
      </c>
      <c r="F3" s="22">
        <v>20</v>
      </c>
      <c r="G3" s="22">
        <v>17</v>
      </c>
      <c r="H3" s="22">
        <v>13</v>
      </c>
      <c r="I3" s="22">
        <v>17</v>
      </c>
      <c r="J3" s="22">
        <v>19</v>
      </c>
      <c r="K3" s="22">
        <v>16</v>
      </c>
      <c r="L3" s="22">
        <v>16</v>
      </c>
      <c r="M3" s="22">
        <v>17</v>
      </c>
      <c r="N3" s="22">
        <v>15</v>
      </c>
      <c r="O3" s="23">
        <f t="shared" ref="O3:O41" si="0">IF(N3=0,"",IFERROR(IF(AND(N3&gt;0,D3&lt;0),"na",IF(AND(N3&lt;0,D3&lt;0),-1,1)*(N3-D3)/D3),""))</f>
        <v>-0.42307692307692307</v>
      </c>
      <c r="P3" s="23">
        <f>IF(N3=0,"",IFERROR(IF(AND(N3&gt;0,J3&lt;0),"na",IF(AND(N3&lt;0,J3&lt;0),-1,1)*(N3-J3)/J3),""))</f>
        <v>-0.21052631578947367</v>
      </c>
    </row>
    <row r="4" spans="1:17" ht="18" customHeight="1" x14ac:dyDescent="0.2">
      <c r="A4" s="224"/>
      <c r="B4" s="24" t="s">
        <v>51</v>
      </c>
      <c r="C4" s="25"/>
      <c r="D4" s="26">
        <v>12154</v>
      </c>
      <c r="E4" s="26">
        <v>10030</v>
      </c>
      <c r="F4" s="26">
        <v>8007</v>
      </c>
      <c r="G4" s="26">
        <v>7483</v>
      </c>
      <c r="H4" s="26">
        <v>5660</v>
      </c>
      <c r="I4" s="26">
        <v>8300</v>
      </c>
      <c r="J4" s="26">
        <v>8728</v>
      </c>
      <c r="K4" s="26">
        <v>7522</v>
      </c>
      <c r="L4" s="26">
        <v>7090</v>
      </c>
      <c r="M4" s="26">
        <v>9270</v>
      </c>
      <c r="N4" s="26">
        <v>7385</v>
      </c>
      <c r="O4" s="23">
        <f t="shared" si="0"/>
        <v>-0.39238110909988483</v>
      </c>
      <c r="P4" s="23">
        <f t="shared" ref="P4:P41" si="1">IF(N4=0,"",IFERROR(IF(AND(N4&gt;0,J4&lt;0),"na",IF(AND(N4&lt;0,J4&lt;0),-1,1)*(N4-J4)/J4),""))</f>
        <v>-0.15387259395050412</v>
      </c>
    </row>
    <row r="5" spans="1:17" ht="18" customHeight="1" x14ac:dyDescent="0.2">
      <c r="A5" s="224"/>
      <c r="B5" s="24" t="s">
        <v>52</v>
      </c>
      <c r="C5" s="25"/>
      <c r="D5" s="26">
        <v>4714</v>
      </c>
      <c r="E5" s="26">
        <v>3935</v>
      </c>
      <c r="F5" s="26">
        <v>3061</v>
      </c>
      <c r="G5" s="26">
        <v>3028</v>
      </c>
      <c r="H5" s="26">
        <v>2273</v>
      </c>
      <c r="I5" s="26">
        <v>3582</v>
      </c>
      <c r="J5" s="26">
        <v>3752</v>
      </c>
      <c r="K5" s="26">
        <v>3090</v>
      </c>
      <c r="L5" s="26">
        <v>3114</v>
      </c>
      <c r="M5" s="26">
        <v>3881</v>
      </c>
      <c r="N5" s="26">
        <v>3320</v>
      </c>
      <c r="O5" s="23">
        <f t="shared" si="0"/>
        <v>-0.29571489181162497</v>
      </c>
      <c r="P5" s="23">
        <f t="shared" si="1"/>
        <v>-0.11513859275053305</v>
      </c>
      <c r="Q5" s="27"/>
    </row>
    <row r="6" spans="1:17" ht="18" customHeight="1" x14ac:dyDescent="0.2">
      <c r="A6" s="224"/>
      <c r="B6" s="24" t="s">
        <v>53</v>
      </c>
      <c r="C6" s="25"/>
      <c r="D6" s="26">
        <v>9914.8505859375</v>
      </c>
      <c r="E6" s="26">
        <v>8612.6142578125</v>
      </c>
      <c r="F6" s="26">
        <v>6585.52294921875</v>
      </c>
      <c r="G6" s="26">
        <v>6155.298828125</v>
      </c>
      <c r="H6" s="26">
        <v>4576.29833984375</v>
      </c>
      <c r="I6" s="26">
        <v>7149.58544921875</v>
      </c>
      <c r="J6" s="26">
        <v>7459.82177734375</v>
      </c>
      <c r="K6" s="26">
        <v>6182.36181640625</v>
      </c>
      <c r="L6" s="26">
        <v>5993.2705078125</v>
      </c>
      <c r="M6" s="26">
        <v>7455.298828125</v>
      </c>
      <c r="N6" s="26">
        <v>6086.94189453125</v>
      </c>
      <c r="O6" s="23">
        <f t="shared" si="0"/>
        <v>-0.38607830327120374</v>
      </c>
      <c r="P6" s="23">
        <f t="shared" si="1"/>
        <v>-0.18403655258656154</v>
      </c>
    </row>
    <row r="7" spans="1:17" ht="18" customHeight="1" x14ac:dyDescent="0.2">
      <c r="A7" s="224"/>
      <c r="B7" s="24" t="s">
        <v>54</v>
      </c>
      <c r="C7" s="25"/>
      <c r="D7" s="26">
        <v>11342.6279296875</v>
      </c>
      <c r="E7" s="26">
        <v>11523.265625</v>
      </c>
      <c r="F7" s="26">
        <v>8814.40234375</v>
      </c>
      <c r="G7" s="26">
        <v>9244.359375</v>
      </c>
      <c r="H7" s="26">
        <v>8051.01611328125</v>
      </c>
      <c r="I7" s="26">
        <v>11603.03515625</v>
      </c>
      <c r="J7" s="26">
        <v>13589.15234375</v>
      </c>
      <c r="K7" s="26">
        <v>10911.8828125</v>
      </c>
      <c r="L7" s="26">
        <v>11545.3828125</v>
      </c>
      <c r="M7" s="26">
        <v>14208.15625</v>
      </c>
      <c r="N7" s="26">
        <v>12588.494140625</v>
      </c>
      <c r="O7" s="23">
        <f t="shared" si="0"/>
        <v>0.10983929109379019</v>
      </c>
      <c r="P7" s="23">
        <f t="shared" si="1"/>
        <v>-7.3636543164167886E-2</v>
      </c>
    </row>
    <row r="8" spans="1:17" ht="18" customHeight="1" x14ac:dyDescent="0.2">
      <c r="A8" s="224"/>
      <c r="B8" s="24" t="s">
        <v>55</v>
      </c>
      <c r="C8" s="27"/>
      <c r="D8" s="28">
        <f ca="1">18.3873*OFFSET(D$112,MATCH($N$1,$C$112:$C$113,0)-1,0)</f>
        <v>18.3873</v>
      </c>
      <c r="E8" s="28">
        <f ca="1">15.020451*OFFSET(E$112,MATCH($N$1,$C$112:$C$113,0)-1,0)</f>
        <v>15.020451</v>
      </c>
      <c r="F8" s="28">
        <f ca="1">13.171126*OFFSET(F$112,MATCH($N$1,$C$112:$C$113,0)-1,0)</f>
        <v>13.171125999999999</v>
      </c>
      <c r="G8" s="28">
        <f ca="1">15.22992*OFFSET(G$112,MATCH($N$1,$C$112:$C$113,0)-1,0)</f>
        <v>15.22992</v>
      </c>
      <c r="H8" s="28">
        <f ca="1">11.249596*OFFSET(H$112,MATCH($N$1,$C$112:$C$113,0)-1,0)</f>
        <v>11.249596</v>
      </c>
      <c r="I8" s="28">
        <f ca="1">16.433744*OFFSET(I$112,MATCH($N$1,$C$112:$C$113,0)-1,0)</f>
        <v>16.433744000000001</v>
      </c>
      <c r="J8" s="28">
        <f ca="1">20.967072*OFFSET(J$112,MATCH($N$1,$C$112:$C$113,0)-1,0)</f>
        <v>20.967072000000002</v>
      </c>
      <c r="K8" s="28">
        <f ca="1">16.70297*OFFSET(K$112,MATCH($N$1,$C$112:$C$113,0)-1,0)</f>
        <v>16.702970000000001</v>
      </c>
      <c r="L8" s="28">
        <f ca="1">18.701764*OFFSET(L$112,MATCH($N$1,$C$112:$C$113,0)-1,0)</f>
        <v>18.701764000000001</v>
      </c>
      <c r="M8" s="28">
        <f ca="1">23.56289*OFFSET(M$112,MATCH($N$1,$C$112:$C$113,0)-1,0)</f>
        <v>23.562889999999999</v>
      </c>
      <c r="N8" s="28">
        <v>20.931411999999998</v>
      </c>
      <c r="O8" s="23">
        <f t="shared" ca="1" si="0"/>
        <v>0.13836245669565397</v>
      </c>
      <c r="P8" s="23">
        <f t="shared" ca="1" si="1"/>
        <v>-1.7007620329630945E-3</v>
      </c>
    </row>
    <row r="9" spans="1:17" ht="18" customHeight="1" x14ac:dyDescent="0.2">
      <c r="A9" s="224"/>
      <c r="B9" s="24" t="s">
        <v>56</v>
      </c>
      <c r="C9" s="27"/>
      <c r="D9" s="26">
        <v>3859</v>
      </c>
      <c r="E9" s="26">
        <v>3621</v>
      </c>
      <c r="F9" s="26">
        <v>2449</v>
      </c>
      <c r="G9" s="26">
        <v>2310</v>
      </c>
      <c r="H9" s="26">
        <v>1557</v>
      </c>
      <c r="I9" s="26">
        <v>2399</v>
      </c>
      <c r="J9" s="26">
        <v>2678</v>
      </c>
      <c r="K9" s="26">
        <v>2296</v>
      </c>
      <c r="L9" s="26">
        <v>2528</v>
      </c>
      <c r="M9" s="26">
        <v>2705</v>
      </c>
      <c r="N9" s="26">
        <v>2367</v>
      </c>
      <c r="O9" s="23">
        <f t="shared" si="0"/>
        <v>-0.38662866027468257</v>
      </c>
      <c r="P9" s="23">
        <f t="shared" si="1"/>
        <v>-0.11613144137415982</v>
      </c>
    </row>
    <row r="10" spans="1:17" ht="18" customHeight="1" x14ac:dyDescent="0.2">
      <c r="A10" s="224"/>
      <c r="B10" s="24" t="s">
        <v>57</v>
      </c>
      <c r="C10" s="27"/>
      <c r="D10" s="26"/>
      <c r="E10" s="26">
        <v>140.96342468261719</v>
      </c>
      <c r="F10" s="26">
        <v>183.72726440429688</v>
      </c>
      <c r="G10" s="26">
        <v>97.416427612304688</v>
      </c>
      <c r="H10" s="26">
        <v>100.24527740478516</v>
      </c>
      <c r="I10" s="26">
        <v>57.466968536376953</v>
      </c>
      <c r="J10" s="26">
        <v>114.24619293212891</v>
      </c>
      <c r="K10" s="26">
        <v>121.50735473632812</v>
      </c>
      <c r="L10" s="26">
        <v>100.92212677001953</v>
      </c>
      <c r="M10" s="26">
        <v>100.84040832519531</v>
      </c>
      <c r="N10" s="26">
        <v>178.47395324707031</v>
      </c>
      <c r="O10" s="29" t="str">
        <f t="shared" si="0"/>
        <v/>
      </c>
      <c r="P10" s="29">
        <f t="shared" si="1"/>
        <v>0.56218731378731956</v>
      </c>
    </row>
    <row r="11" spans="1:17" ht="18" customHeight="1" x14ac:dyDescent="0.2">
      <c r="A11" s="225" t="s">
        <v>23</v>
      </c>
      <c r="B11" s="30" t="s">
        <v>58</v>
      </c>
      <c r="C11" s="31"/>
      <c r="D11" s="32">
        <v>23.899614334106445</v>
      </c>
      <c r="E11" s="32">
        <v>22.991600036621094</v>
      </c>
      <c r="F11" s="32">
        <v>22.558500289916992</v>
      </c>
      <c r="G11" s="32">
        <v>23.76588249206543</v>
      </c>
      <c r="H11" s="32">
        <v>23.332307815551758</v>
      </c>
      <c r="I11" s="32">
        <v>25.007646560668945</v>
      </c>
      <c r="J11" s="32">
        <v>24.441577911376953</v>
      </c>
      <c r="K11" s="32">
        <v>24.149374008178711</v>
      </c>
      <c r="L11" s="32">
        <v>24.066249847412109</v>
      </c>
      <c r="M11" s="32">
        <v>25.570587158203125</v>
      </c>
      <c r="N11" s="32">
        <v>24.865999221801758</v>
      </c>
      <c r="O11" s="23">
        <f t="shared" si="0"/>
        <v>4.0435166617572266E-2</v>
      </c>
      <c r="P11" s="23">
        <f t="shared" si="1"/>
        <v>1.7364726285828174E-2</v>
      </c>
    </row>
    <row r="12" spans="1:17" ht="18" customHeight="1" x14ac:dyDescent="0.2">
      <c r="A12" s="226"/>
      <c r="B12" s="33" t="s">
        <v>51</v>
      </c>
      <c r="C12" s="25"/>
      <c r="D12" s="26">
        <v>467.4615478515625</v>
      </c>
      <c r="E12" s="26">
        <v>401.20001220703125</v>
      </c>
      <c r="F12" s="26">
        <v>400.35000610351562</v>
      </c>
      <c r="G12" s="26">
        <v>440.17648315429687</v>
      </c>
      <c r="H12" s="26">
        <v>435.38461303710938</v>
      </c>
      <c r="I12" s="26">
        <v>488.23529052734375</v>
      </c>
      <c r="J12" s="26">
        <v>459.368408203125</v>
      </c>
      <c r="K12" s="26">
        <v>470.125</v>
      </c>
      <c r="L12" s="26">
        <v>443.125</v>
      </c>
      <c r="M12" s="26">
        <v>545.29412841796875</v>
      </c>
      <c r="N12" s="26">
        <v>492.33334350585937</v>
      </c>
      <c r="O12" s="23">
        <f t="shared" si="0"/>
        <v>5.3206078165373837E-2</v>
      </c>
      <c r="P12" s="23">
        <f t="shared" si="1"/>
        <v>7.1761433120054341E-2</v>
      </c>
    </row>
    <row r="13" spans="1:17" ht="18" customHeight="1" x14ac:dyDescent="0.2">
      <c r="A13" s="226"/>
      <c r="B13" s="33" t="s">
        <v>52</v>
      </c>
      <c r="C13" s="25"/>
      <c r="D13" s="26">
        <v>181.30769348144531</v>
      </c>
      <c r="E13" s="26">
        <v>157.39999389648437</v>
      </c>
      <c r="F13" s="26">
        <v>153.05000305175781</v>
      </c>
      <c r="G13" s="26">
        <v>178.11764526367188</v>
      </c>
      <c r="H13" s="26">
        <v>174.84616088867187</v>
      </c>
      <c r="I13" s="26">
        <v>210.70588684082031</v>
      </c>
      <c r="J13" s="26">
        <v>197.47367858886719</v>
      </c>
      <c r="K13" s="26">
        <v>193.125</v>
      </c>
      <c r="L13" s="26">
        <v>194.625</v>
      </c>
      <c r="M13" s="26">
        <v>228.29411315917969</v>
      </c>
      <c r="N13" s="26">
        <v>221.33332824707031</v>
      </c>
      <c r="O13" s="23">
        <f t="shared" si="0"/>
        <v>0.22076081823698865</v>
      </c>
      <c r="P13" s="23">
        <f t="shared" si="1"/>
        <v>0.12082445533350307</v>
      </c>
    </row>
    <row r="14" spans="1:17" ht="18" customHeight="1" x14ac:dyDescent="0.2">
      <c r="A14" s="226"/>
      <c r="B14" s="33" t="s">
        <v>53</v>
      </c>
      <c r="C14" s="25"/>
      <c r="D14" s="26">
        <v>381.34042358398437</v>
      </c>
      <c r="E14" s="26">
        <v>344.50457763671875</v>
      </c>
      <c r="F14" s="26">
        <v>329.27615356445312</v>
      </c>
      <c r="G14" s="26">
        <v>362.076416015625</v>
      </c>
      <c r="H14" s="26">
        <v>352.02294921875</v>
      </c>
      <c r="I14" s="26">
        <v>420.5638427734375</v>
      </c>
      <c r="J14" s="26">
        <v>392.6221923828125</v>
      </c>
      <c r="K14" s="26">
        <v>386.39761352539062</v>
      </c>
      <c r="L14" s="26">
        <v>374.57940673828125</v>
      </c>
      <c r="M14" s="26">
        <v>438.5469970703125</v>
      </c>
      <c r="N14" s="26">
        <v>405.796142578125</v>
      </c>
      <c r="O14" s="23">
        <f t="shared" si="0"/>
        <v>6.4130937822684378E-2</v>
      </c>
      <c r="P14" s="23">
        <f t="shared" si="1"/>
        <v>3.3553758424505212E-2</v>
      </c>
    </row>
    <row r="15" spans="1:17" ht="18" customHeight="1" x14ac:dyDescent="0.2">
      <c r="A15" s="226"/>
      <c r="B15" s="33" t="s">
        <v>54</v>
      </c>
      <c r="C15" s="27"/>
      <c r="D15" s="28">
        <v>436.25491333007812</v>
      </c>
      <c r="E15" s="28">
        <v>460.93063354492187</v>
      </c>
      <c r="F15" s="28">
        <v>440.72012329101563</v>
      </c>
      <c r="G15" s="28">
        <v>543.785888671875</v>
      </c>
      <c r="H15" s="28">
        <v>619.3089599609375</v>
      </c>
      <c r="I15" s="28">
        <v>682.531494140625</v>
      </c>
      <c r="J15" s="28">
        <v>715.21856689453125</v>
      </c>
      <c r="K15" s="28">
        <v>681.99267578125</v>
      </c>
      <c r="L15" s="28">
        <v>721.58642578125</v>
      </c>
      <c r="M15" s="28">
        <v>835.77386474609375</v>
      </c>
      <c r="N15" s="28">
        <v>839.23297119140625</v>
      </c>
      <c r="O15" s="23">
        <f t="shared" si="0"/>
        <v>0.92372153424075676</v>
      </c>
      <c r="P15" s="23">
        <f t="shared" si="1"/>
        <v>0.1733937149245772</v>
      </c>
    </row>
    <row r="16" spans="1:17" ht="18" customHeight="1" x14ac:dyDescent="0.2">
      <c r="A16" s="226"/>
      <c r="B16" s="33" t="s">
        <v>59</v>
      </c>
      <c r="C16" s="27"/>
      <c r="D16" s="28">
        <f ca="1">707.203875*OFFSET(D$112,MATCH($N$1,$C$112:$C$113,0)-1,0)</f>
        <v>707.20387500000004</v>
      </c>
      <c r="E16" s="28">
        <f ca="1">600.8180625*OFFSET(E$112,MATCH($N$1,$C$112:$C$113,0)-1,0)</f>
        <v>600.8180625</v>
      </c>
      <c r="F16" s="28">
        <f ca="1">658.5563125*OFFSET(F$112,MATCH($N$1,$C$112:$C$113,0)-1,0)</f>
        <v>658.55631249999999</v>
      </c>
      <c r="G16" s="28">
        <f ca="1">895.877625*OFFSET(G$112,MATCH($N$1,$C$112:$C$113,0)-1,0)</f>
        <v>895.87762499999997</v>
      </c>
      <c r="H16" s="28">
        <f ca="1">865.3535*OFFSET(H$112,MATCH($N$1,$C$112:$C$113,0)-1,0)</f>
        <v>865.35350000000005</v>
      </c>
      <c r="I16" s="28">
        <f ca="1">966.6908125*OFFSET(I$112,MATCH($N$1,$C$112:$C$113,0)-1,0)</f>
        <v>966.69081249999999</v>
      </c>
      <c r="J16" s="28">
        <f ca="1">1103.530125*OFFSET(J$112,MATCH($N$1,$C$112:$C$113,0)-1,0)</f>
        <v>1103.530125</v>
      </c>
      <c r="K16" s="28">
        <f ca="1">1043.935625*OFFSET(K$112,MATCH($N$1,$C$112:$C$113,0)-1,0)</f>
        <v>1043.9356250000001</v>
      </c>
      <c r="L16" s="28">
        <f ca="1">1168.86025*OFFSET(L$112,MATCH($N$1,$C$112:$C$113,0)-1,0)</f>
        <v>1168.86025</v>
      </c>
      <c r="M16" s="28">
        <f ca="1">1386.052375*OFFSET(M$112,MATCH($N$1,$C$112:$C$113,0)-1,0)</f>
        <v>1386.052375</v>
      </c>
      <c r="N16" s="28">
        <v>1395.4275</v>
      </c>
      <c r="O16" s="23">
        <f t="shared" ca="1" si="0"/>
        <v>0.97316155825645034</v>
      </c>
      <c r="P16" s="23">
        <f t="shared" ca="1" si="1"/>
        <v>0.26451237568163355</v>
      </c>
    </row>
    <row r="17" spans="1:16" ht="18" customHeight="1" x14ac:dyDescent="0.2">
      <c r="A17" s="226"/>
      <c r="B17" s="33" t="s">
        <v>56</v>
      </c>
      <c r="C17" s="25"/>
      <c r="D17" s="26">
        <v>148.42308044433594</v>
      </c>
      <c r="E17" s="26">
        <v>144.83999633789062</v>
      </c>
      <c r="F17" s="26">
        <v>122.44999694824219</v>
      </c>
      <c r="G17" s="26">
        <v>135.88235473632812</v>
      </c>
      <c r="H17" s="26">
        <v>119.76923370361328</v>
      </c>
      <c r="I17" s="26">
        <v>141.11764526367187</v>
      </c>
      <c r="J17" s="26">
        <v>140.94737243652344</v>
      </c>
      <c r="K17" s="26">
        <v>143.5</v>
      </c>
      <c r="L17" s="26">
        <v>158</v>
      </c>
      <c r="M17" s="26">
        <v>159.11764526367187</v>
      </c>
      <c r="N17" s="26">
        <v>157.80000305175781</v>
      </c>
      <c r="O17" s="23">
        <f t="shared" si="0"/>
        <v>6.3176984195113528E-2</v>
      </c>
      <c r="P17" s="23">
        <f t="shared" si="1"/>
        <v>0.11956683068231064</v>
      </c>
    </row>
    <row r="18" spans="1:16" ht="18" customHeight="1" x14ac:dyDescent="0.2">
      <c r="A18" s="226"/>
      <c r="B18" s="33" t="s">
        <v>60</v>
      </c>
      <c r="C18" s="25"/>
      <c r="D18" s="26">
        <v>25.5</v>
      </c>
      <c r="E18" s="26">
        <v>26.680000305175781</v>
      </c>
      <c r="F18" s="26">
        <v>27.600000381469727</v>
      </c>
      <c r="G18" s="26">
        <v>23.823530197143555</v>
      </c>
      <c r="H18" s="26">
        <v>26.615385055541992</v>
      </c>
      <c r="I18" s="26">
        <v>25.411764144897461</v>
      </c>
      <c r="J18" s="26">
        <v>26.526315689086914</v>
      </c>
      <c r="K18" s="26">
        <v>27.625</v>
      </c>
      <c r="L18" s="26">
        <v>26.6875</v>
      </c>
      <c r="M18" s="26">
        <v>24</v>
      </c>
      <c r="N18" s="26">
        <v>18.600000381469727</v>
      </c>
      <c r="O18" s="23">
        <f t="shared" si="0"/>
        <v>-0.27058822033452051</v>
      </c>
      <c r="P18" s="23">
        <f t="shared" si="1"/>
        <v>-0.29880950677511997</v>
      </c>
    </row>
    <row r="19" spans="1:16" ht="18" customHeight="1" x14ac:dyDescent="0.2">
      <c r="A19" s="226"/>
      <c r="B19" s="33" t="s">
        <v>61</v>
      </c>
      <c r="C19" s="25"/>
      <c r="D19" s="34">
        <v>2.9392659664154053</v>
      </c>
      <c r="E19" s="34">
        <v>3.1823434829711914</v>
      </c>
      <c r="F19" s="34">
        <v>3.599184513092041</v>
      </c>
      <c r="G19" s="34">
        <v>4.001887321472168</v>
      </c>
      <c r="H19" s="34">
        <v>5.1708517074584961</v>
      </c>
      <c r="I19" s="34">
        <v>4.8366131782531738</v>
      </c>
      <c r="J19" s="34">
        <v>5.0743660926818848</v>
      </c>
      <c r="K19" s="34">
        <v>4.7525620460510254</v>
      </c>
      <c r="L19" s="34">
        <v>4.5670027732849121</v>
      </c>
      <c r="M19" s="34">
        <v>5.2525529861450195</v>
      </c>
      <c r="N19" s="34">
        <v>5.3183331489562988</v>
      </c>
      <c r="O19" s="23">
        <f t="shared" si="0"/>
        <v>0.80940861076355586</v>
      </c>
      <c r="P19" s="23">
        <f t="shared" si="1"/>
        <v>4.8078331720341747E-2</v>
      </c>
    </row>
    <row r="20" spans="1:16" ht="18" customHeight="1" x14ac:dyDescent="0.2">
      <c r="A20" s="227"/>
      <c r="B20" s="35" t="s">
        <v>24</v>
      </c>
      <c r="C20" s="36"/>
      <c r="D20" s="37">
        <f ca="1">1621*OFFSET(D$112,MATCH($N$1,$C$112:$C$113,0)-1,0)</f>
        <v>1621</v>
      </c>
      <c r="E20" s="37">
        <f ca="1">1303*OFFSET(E$112,MATCH($N$1,$C$112:$C$113,0)-1,0)</f>
        <v>1303</v>
      </c>
      <c r="F20" s="37">
        <f ca="1">1494*OFFSET(F$112,MATCH($N$1,$C$112:$C$113,0)-1,0)</f>
        <v>1494</v>
      </c>
      <c r="G20" s="37">
        <f ca="1">1647*OFFSET(G$112,MATCH($N$1,$C$112:$C$113,0)-1,0)</f>
        <v>1647</v>
      </c>
      <c r="H20" s="37">
        <f ca="1">1397*OFFSET(H$112,MATCH($N$1,$C$112:$C$113,0)-1,0)</f>
        <v>1397</v>
      </c>
      <c r="I20" s="37">
        <f ca="1">1416*OFFSET(I$112,MATCH($N$1,$C$112:$C$113,0)-1,0)</f>
        <v>1416</v>
      </c>
      <c r="J20" s="37">
        <f ca="1">1543*OFFSET(J$112,MATCH($N$1,$C$112:$C$113,0)-1,0)</f>
        <v>1543</v>
      </c>
      <c r="K20" s="37">
        <f ca="1">1531*OFFSET(K$112,MATCH($N$1,$C$112:$C$113,0)-1,0)</f>
        <v>1531</v>
      </c>
      <c r="L20" s="37">
        <f ca="1">1620*OFFSET(L$112,MATCH($N$1,$C$112:$C$113,0)-1,0)</f>
        <v>1620</v>
      </c>
      <c r="M20" s="37">
        <f ca="1">1658*OFFSET(M$112,MATCH($N$1,$C$112:$C$113,0)-1,0)</f>
        <v>1658</v>
      </c>
      <c r="N20" s="37">
        <v>1663</v>
      </c>
      <c r="O20" s="29">
        <f t="shared" ca="1" si="0"/>
        <v>2.5909932140653916E-2</v>
      </c>
      <c r="P20" s="29">
        <f t="shared" ca="1" si="1"/>
        <v>7.7770576798444582E-2</v>
      </c>
    </row>
    <row r="21" spans="1:16" ht="18" customHeight="1" x14ac:dyDescent="0.2">
      <c r="A21" s="228" t="s">
        <v>25</v>
      </c>
      <c r="B21" s="30" t="s">
        <v>62</v>
      </c>
      <c r="C21" s="38"/>
      <c r="D21" s="39">
        <v>5.674823751781493</v>
      </c>
      <c r="E21" s="39">
        <v>7.3448149556789835</v>
      </c>
      <c r="F21" s="39">
        <v>8.4993815218956108</v>
      </c>
      <c r="G21" s="39">
        <v>8.5060519742911787</v>
      </c>
      <c r="H21" s="39">
        <v>11.540425586197996</v>
      </c>
      <c r="I21" s="39">
        <v>8.9159607672965073</v>
      </c>
      <c r="J21" s="39">
        <v>10.202824663731205</v>
      </c>
      <c r="K21" s="39">
        <v>9.4220250944414463</v>
      </c>
      <c r="L21" s="39">
        <v>9.8505721695795074</v>
      </c>
      <c r="M21" s="39">
        <v>8.6359219333770429</v>
      </c>
      <c r="N21" s="39">
        <v>10.810901526805138</v>
      </c>
      <c r="O21" s="23">
        <f t="shared" si="0"/>
        <v>0.90506383980846628</v>
      </c>
      <c r="P21" s="23">
        <f t="shared" si="1"/>
        <v>5.9598874146638253E-2</v>
      </c>
    </row>
    <row r="22" spans="1:16" ht="18" customHeight="1" x14ac:dyDescent="0.2">
      <c r="A22" s="228"/>
      <c r="B22" s="33" t="s">
        <v>63</v>
      </c>
      <c r="C22" s="25"/>
      <c r="D22" s="34">
        <f ca="1">9.19934016689322*OFFSET(D$112,MATCH($N$1,$C$112:$C$113,0)-1,0)</f>
        <v>9.1993401668932204</v>
      </c>
      <c r="E22" s="34">
        <f ca="1">9.57388632895451*OFFSET(E$112,MATCH($N$1,$C$112:$C$113,0)-1,0)</f>
        <v>9.5738863289545098</v>
      </c>
      <c r="F22" s="34">
        <f ca="1">12.7003988649145*OFFSET(F$112,MATCH($N$1,$C$112:$C$113,0)-1,0)</f>
        <v>12.700398864914501</v>
      </c>
      <c r="G22" s="34">
        <f ca="1">14.0135700458618*OFFSET(G$112,MATCH($N$1,$C$112:$C$113,0)-1,0)</f>
        <v>14.013570045861799</v>
      </c>
      <c r="H22" s="34">
        <f ca="1">16.1253079127676*OFFSET(H$112,MATCH($N$1,$C$112:$C$113,0)-1,0)</f>
        <v>16.1253079127676</v>
      </c>
      <c r="I22" s="34">
        <f ca="1">12.6279555336976*OFFSET(I$112,MATCH($N$1,$C$112:$C$113,0)-1,0)</f>
        <v>12.6279555336976</v>
      </c>
      <c r="J22" s="34">
        <f ca="1">15.7422148944026*OFFSET(J$112,MATCH($N$1,$C$112:$C$113,0)-1,0)</f>
        <v>15.742214894402601</v>
      </c>
      <c r="K22" s="34">
        <f ca="1">14.4224241770103*OFFSET(K$112,MATCH($N$1,$C$112:$C$113,0)-1,0)</f>
        <v>14.422424177010299</v>
      </c>
      <c r="L22" s="34">
        <f ca="1">15.9564285543645*OFFSET(L$112,MATCH($N$1,$C$112:$C$113,0)-1,0)</f>
        <v>15.9564285543645</v>
      </c>
      <c r="M22" s="34">
        <f ca="1">14.3218645748252*OFFSET(M$112,MATCH($N$1,$C$112:$C$113,0)-1,0)</f>
        <v>14.3218645748252</v>
      </c>
      <c r="N22" s="34">
        <v>17.975734757989159</v>
      </c>
      <c r="O22" s="23">
        <f t="shared" ca="1" si="0"/>
        <v>0.95402435738604519</v>
      </c>
      <c r="P22" s="23">
        <f t="shared" ca="1" si="1"/>
        <v>0.14188091565061295</v>
      </c>
    </row>
    <row r="23" spans="1:16" ht="18" customHeight="1" x14ac:dyDescent="0.2">
      <c r="A23" s="228"/>
      <c r="B23" s="33" t="s">
        <v>11</v>
      </c>
      <c r="C23" s="25"/>
      <c r="D23" s="34">
        <f ca="1">8.26812053763065*OFFSET(D$112,MATCH($N$1,$C$112:$C$113,0)-1,0)</f>
        <v>8.2681205376306508</v>
      </c>
      <c r="E23" s="34">
        <f ca="1">8.76903427813959*OFFSET(E$112,MATCH($N$1,$C$112:$C$113,0)-1,0)</f>
        <v>8.7690342781395891</v>
      </c>
      <c r="F23" s="34">
        <f ca="1">10.2810985550479*OFFSET(F$112,MATCH($N$1,$C$112:$C$113,0)-1,0)</f>
        <v>10.281098555047899</v>
      </c>
      <c r="G23" s="34">
        <f ca="1">11.0978431432334*OFFSET(G$112,MATCH($N$1,$C$112:$C$113,0)-1,0)</f>
        <v>11.097843143233399</v>
      </c>
      <c r="H23" s="34">
        <f ca="1">14.7458585682712*OFFSET(H$112,MATCH($N$1,$C$112:$C$113,0)-1,0)</f>
        <v>14.745858568271199</v>
      </c>
      <c r="I23" s="34">
        <f ca="1">11.7340125044254*OFFSET(I$112,MATCH($N$1,$C$112:$C$113,0)-1,0)</f>
        <v>11.734012504425399</v>
      </c>
      <c r="J23" s="34">
        <f ca="1">13.0838111195304*OFFSET(J$112,MATCH($N$1,$C$112:$C$113,0)-1,0)</f>
        <v>13.083811119530401</v>
      </c>
      <c r="K23" s="34">
        <f ca="1">12.9523799244468*OFFSET(K$112,MATCH($N$1,$C$112:$C$113,0)-1,0)</f>
        <v>12.952379924446801</v>
      </c>
      <c r="L23" s="34">
        <f ca="1">13.3326369051885*OFFSET(L$112,MATCH($N$1,$C$112:$C$113,0)-1,0)</f>
        <v>13.332636905188499</v>
      </c>
      <c r="M23" s="34">
        <f ca="1">11.7416473073816*OFFSET(M$112,MATCH($N$1,$C$112:$C$113,0)-1,0)</f>
        <v>11.7416473073816</v>
      </c>
      <c r="N23" s="34">
        <v>14.859558181581223</v>
      </c>
      <c r="O23" s="23">
        <f t="shared" ca="1" si="0"/>
        <v>0.79721112119144832</v>
      </c>
      <c r="P23" s="23">
        <f t="shared" ca="1" si="1"/>
        <v>0.13572093374232053</v>
      </c>
    </row>
    <row r="24" spans="1:16" ht="18" customHeight="1" x14ac:dyDescent="0.2">
      <c r="A24" s="228"/>
      <c r="B24" s="33" t="s">
        <v>12</v>
      </c>
      <c r="C24" s="25"/>
      <c r="D24" s="34">
        <f ca="1">1.24040199332037*OFFSET(D$112,MATCH($N$1,$C$112:$C$113,0)-1,0)</f>
        <v>1.24040199332037</v>
      </c>
      <c r="E24" s="34">
        <f ca="1">1.27085964745857*OFFSET(E$112,MATCH($N$1,$C$112:$C$113,0)-1,0)</f>
        <v>1.2708596474585701</v>
      </c>
      <c r="F24" s="34">
        <f ca="1">2.58959130339339*OFFSET(F$112,MATCH($N$1,$C$112:$C$113,0)-1,0)</f>
        <v>2.5895913033933899</v>
      </c>
      <c r="G24" s="34">
        <f ca="1">3.26566307173226*OFFSET(G$112,MATCH($N$1,$C$112:$C$113,0)-1,0)</f>
        <v>3.2656630717322601</v>
      </c>
      <c r="H24" s="34">
        <f ca="1">3.35783698182196*OFFSET(H$112,MATCH($N$1,$C$112:$C$113,0)-1,0)</f>
        <v>3.35783698182196</v>
      </c>
      <c r="I24" s="34">
        <f ca="1">2.49989248476136*OFFSET(I$112,MATCH($N$1,$C$112:$C$113,0)-1,0)</f>
        <v>2.4998924847613599</v>
      </c>
      <c r="J24" s="34">
        <f ca="1">4.10038018203222*OFFSET(J$112,MATCH($N$1,$C$112:$C$113,0)-1,0)</f>
        <v>4.1003801820322199</v>
      </c>
      <c r="K24" s="34">
        <f ca="1">3.60467738801943*OFFSET(K$112,MATCH($N$1,$C$112:$C$113,0)-1,0)</f>
        <v>3.6046773880194301</v>
      </c>
      <c r="L24" s="34">
        <f ca="1">3.77854822140997*OFFSET(L$112,MATCH($N$1,$C$112:$C$113,0)-1,0)</f>
        <v>3.7785482214099702</v>
      </c>
      <c r="M24" s="34">
        <f ca="1">3.77408396502267*OFFSET(M$112,MATCH($N$1,$C$112:$C$113,0)-1,0)</f>
        <v>3.7740839650226699</v>
      </c>
      <c r="N24" s="34">
        <v>4.6146288885299409</v>
      </c>
      <c r="O24" s="23">
        <f t="shared" ca="1" si="0"/>
        <v>2.7202688429879669</v>
      </c>
      <c r="P24" s="23">
        <f t="shared" ca="1" si="1"/>
        <v>0.12541488439319556</v>
      </c>
    </row>
    <row r="25" spans="1:16" ht="18" customHeight="1" x14ac:dyDescent="0.2">
      <c r="A25" s="228"/>
      <c r="B25" s="33" t="s">
        <v>64</v>
      </c>
      <c r="C25" s="25"/>
      <c r="D25" s="28"/>
      <c r="E25" s="28">
        <f ca="1">106.55*OFFSET(E$112,MATCH($N$1,$C$112:$C$113,0)-1,0)</f>
        <v>106.55</v>
      </c>
      <c r="F25" s="28">
        <f ca="1">71.69*OFFSET(F$112,MATCH($N$1,$C$112:$C$113,0)-1,0)</f>
        <v>71.69</v>
      </c>
      <c r="G25" s="28">
        <f ca="1">156.34*OFFSET(G$112,MATCH($N$1,$C$112:$C$113,0)-1,0)</f>
        <v>156.34</v>
      </c>
      <c r="H25" s="28">
        <f ca="1">112.23*OFFSET(H$112,MATCH($N$1,$C$112:$C$113,0)-1,0)</f>
        <v>112.23</v>
      </c>
      <c r="I25" s="28">
        <f ca="1">285.97*OFFSET(I$112,MATCH($N$1,$C$112:$C$113,0)-1,0)</f>
        <v>285.97000000000003</v>
      </c>
      <c r="J25" s="28">
        <f ca="1">183.52*OFFSET(J$112,MATCH($N$1,$C$112:$C$113,0)-1,0)</f>
        <v>183.52</v>
      </c>
      <c r="K25" s="28">
        <f ca="1">137.46*OFFSET(K$112,MATCH($N$1,$C$112:$C$113,0)-1,0)</f>
        <v>137.46</v>
      </c>
      <c r="L25" s="28">
        <f ca="1">185.32*OFFSET(L$112,MATCH($N$1,$C$112:$C$113,0)-1,0)</f>
        <v>185.32</v>
      </c>
      <c r="M25" s="28">
        <f ca="1">233.67*OFFSET(M$112,MATCH($N$1,$C$112:$C$113,0)-1,0)</f>
        <v>233.67</v>
      </c>
      <c r="N25" s="28">
        <v>117.28</v>
      </c>
      <c r="O25" s="23" t="str">
        <f t="shared" si="0"/>
        <v/>
      </c>
      <c r="P25" s="23">
        <f t="shared" ca="1" si="1"/>
        <v>-0.36094158674803839</v>
      </c>
    </row>
    <row r="26" spans="1:16" ht="18" customHeight="1" x14ac:dyDescent="0.2">
      <c r="A26" s="229"/>
      <c r="B26" s="33" t="s">
        <v>65</v>
      </c>
      <c r="C26" s="40"/>
      <c r="D26" s="28"/>
      <c r="E26" s="28">
        <f ca="1">14.15*OFFSET(E$112,MATCH($N$1,$C$112:$C$113,0)-1,0)</f>
        <v>14.15</v>
      </c>
      <c r="F26" s="28">
        <f ca="1">14.62*OFFSET(F$112,MATCH($N$1,$C$112:$C$113,0)-1,0)</f>
        <v>14.62</v>
      </c>
      <c r="G26" s="28">
        <f ca="1">36.44*OFFSET(G$112,MATCH($N$1,$C$112:$C$113,0)-1,0)</f>
        <v>36.44</v>
      </c>
      <c r="H26" s="28">
        <f ca="1">23.37*OFFSET(H$112,MATCH($N$1,$C$112:$C$113,0)-1,0)</f>
        <v>23.37</v>
      </c>
      <c r="I26" s="28">
        <f ca="1">56.62*OFFSET(I$112,MATCH($N$1,$C$112:$C$113,0)-1,0)</f>
        <v>56.62</v>
      </c>
      <c r="J26" s="28">
        <f ca="1">47.8*OFFSET(J$112,MATCH($N$1,$C$112:$C$113,0)-1,0)</f>
        <v>47.8</v>
      </c>
      <c r="K26" s="28">
        <f ca="1">34.36*OFFSET(K$112,MATCH($N$1,$C$112:$C$113,0)-1,0)</f>
        <v>34.36</v>
      </c>
      <c r="L26" s="28">
        <f ca="1">43.88*OFFSET(L$112,MATCH($N$1,$C$112:$C$113,0)-1,0)</f>
        <v>43.88</v>
      </c>
      <c r="M26" s="28">
        <f ca="1">61.58*OFFSET(M$112,MATCH($N$1,$C$112:$C$113,0)-1,0)</f>
        <v>61.58</v>
      </c>
      <c r="N26" s="28">
        <v>30.11</v>
      </c>
      <c r="O26" s="29" t="str">
        <f t="shared" si="0"/>
        <v/>
      </c>
      <c r="P26" s="29">
        <f t="shared" ca="1" si="1"/>
        <v>-0.37008368200836816</v>
      </c>
    </row>
    <row r="27" spans="1:16" ht="18" customHeight="1" x14ac:dyDescent="0.2">
      <c r="A27" s="230" t="s">
        <v>26</v>
      </c>
      <c r="B27" s="30" t="s">
        <v>59</v>
      </c>
      <c r="C27" s="31"/>
      <c r="D27" s="32">
        <f ca="1">707.2*OFFSET(D$112,MATCH($N$1,$C$112:$C$113,0)-1,0)</f>
        <v>707.2</v>
      </c>
      <c r="E27" s="32">
        <f ca="1">600.8*OFFSET(E$112,MATCH($N$1,$C$112:$C$113,0)-1,0)</f>
        <v>600.79999999999995</v>
      </c>
      <c r="F27" s="32">
        <f ca="1">658.6*OFFSET(F$112,MATCH($N$1,$C$112:$C$113,0)-1,0)</f>
        <v>658.6</v>
      </c>
      <c r="G27" s="32">
        <f ca="1">895.9*OFFSET(G$112,MATCH($N$1,$C$112:$C$113,0)-1,0)</f>
        <v>895.9</v>
      </c>
      <c r="H27" s="32">
        <f ca="1">865.4*OFFSET(H$112,MATCH($N$1,$C$112:$C$113,0)-1,0)</f>
        <v>865.4</v>
      </c>
      <c r="I27" s="32">
        <f ca="1">966.7*OFFSET(I$112,MATCH($N$1,$C$112:$C$113,0)-1,0)</f>
        <v>966.7</v>
      </c>
      <c r="J27" s="32">
        <f ca="1">1103.5*OFFSET(J$112,MATCH($N$1,$C$112:$C$113,0)-1,0)</f>
        <v>1103.5</v>
      </c>
      <c r="K27" s="32">
        <f ca="1">1043.9*OFFSET(K$112,MATCH($N$1,$C$112:$C$113,0)-1,0)</f>
        <v>1043.9000000000001</v>
      </c>
      <c r="L27" s="32">
        <f ca="1">1168.9*OFFSET(L$112,MATCH($N$1,$C$112:$C$113,0)-1,0)</f>
        <v>1168.9000000000001</v>
      </c>
      <c r="M27" s="32">
        <f ca="1">1386.1*OFFSET(M$112,MATCH($N$1,$C$112:$C$113,0)-1,0)</f>
        <v>1386.1</v>
      </c>
      <c r="N27" s="32">
        <v>1395.4</v>
      </c>
      <c r="O27" s="23">
        <f t="shared" ca="1" si="0"/>
        <v>0.97313348416289591</v>
      </c>
      <c r="P27" s="23">
        <f t="shared" ca="1" si="1"/>
        <v>0.26452197553239698</v>
      </c>
    </row>
    <row r="28" spans="1:16" ht="18" customHeight="1" x14ac:dyDescent="0.2">
      <c r="A28" s="231"/>
      <c r="B28" s="33" t="s">
        <v>66</v>
      </c>
      <c r="C28" s="27"/>
      <c r="D28" s="28">
        <f ca="1">23.8*OFFSET(D$112,MATCH($N$1,$C$112:$C$113,0)-1,0)</f>
        <v>23.8</v>
      </c>
      <c r="E28" s="28">
        <f ca="1">29.2*OFFSET(E$112,MATCH($N$1,$C$112:$C$113,0)-1,0)</f>
        <v>29.2</v>
      </c>
      <c r="F28" s="28">
        <f ca="1">8.8*OFFSET(F$112,MATCH($N$1,$C$112:$C$113,0)-1,0)</f>
        <v>8.8000000000000007</v>
      </c>
      <c r="G28" s="28">
        <f ca="1">22.4*OFFSET(G$112,MATCH($N$1,$C$112:$C$113,0)-1,0)</f>
        <v>22.4</v>
      </c>
      <c r="H28" s="28">
        <f ca="1">106.2*OFFSET(H$112,MATCH($N$1,$C$112:$C$113,0)-1,0)</f>
        <v>106.2</v>
      </c>
      <c r="I28" s="28">
        <f ca="1">122.9*OFFSET(I$112,MATCH($N$1,$C$112:$C$113,0)-1,0)</f>
        <v>122.9</v>
      </c>
      <c r="J28" s="28">
        <f ca="1">101.1*OFFSET(J$112,MATCH($N$1,$C$112:$C$113,0)-1,0)</f>
        <v>101.1</v>
      </c>
      <c r="K28" s="28">
        <f ca="1">154.5*OFFSET(K$112,MATCH($N$1,$C$112:$C$113,0)-1,0)</f>
        <v>154.5</v>
      </c>
      <c r="L28" s="28">
        <f ca="1">84.6*OFFSET(L$112,MATCH($N$1,$C$112:$C$113,0)-1,0)</f>
        <v>84.6</v>
      </c>
      <c r="M28" s="28">
        <f ca="1">115.5*OFFSET(M$112,MATCH($N$1,$C$112:$C$113,0)-1,0)</f>
        <v>115.5</v>
      </c>
      <c r="N28" s="28">
        <v>116.3</v>
      </c>
      <c r="O28" s="23">
        <f t="shared" ca="1" si="0"/>
        <v>3.8865546218487395</v>
      </c>
      <c r="P28" s="23">
        <f t="shared" ca="1" si="1"/>
        <v>0.15034619188921863</v>
      </c>
    </row>
    <row r="29" spans="1:16" ht="18" customHeight="1" x14ac:dyDescent="0.2">
      <c r="A29" s="231"/>
      <c r="B29" s="41" t="s">
        <v>67</v>
      </c>
      <c r="C29" s="42"/>
      <c r="D29" s="43">
        <f ca="1">731*OFFSET(D$112,MATCH($N$1,$C$112:$C$113,0)-1,0)</f>
        <v>731</v>
      </c>
      <c r="E29" s="43">
        <f ca="1">630.1*OFFSET(E$112,MATCH($N$1,$C$112:$C$113,0)-1,0)</f>
        <v>630.1</v>
      </c>
      <c r="F29" s="43">
        <f ca="1">667.4*OFFSET(F$112,MATCH($N$1,$C$112:$C$113,0)-1,0)</f>
        <v>667.4</v>
      </c>
      <c r="G29" s="43">
        <f ca="1">918.2*OFFSET(G$112,MATCH($N$1,$C$112:$C$113,0)-1,0)</f>
        <v>918.2</v>
      </c>
      <c r="H29" s="43">
        <f ca="1">971.5*OFFSET(H$112,MATCH($N$1,$C$112:$C$113,0)-1,0)</f>
        <v>971.5</v>
      </c>
      <c r="I29" s="43">
        <f ca="1">1089.6*OFFSET(I$112,MATCH($N$1,$C$112:$C$113,0)-1,0)</f>
        <v>1089.5999999999999</v>
      </c>
      <c r="J29" s="43">
        <f ca="1">1204.6*OFFSET(J$112,MATCH($N$1,$C$112:$C$113,0)-1,0)</f>
        <v>1204.5999999999999</v>
      </c>
      <c r="K29" s="43">
        <f ca="1">1198.4*OFFSET(K$112,MATCH($N$1,$C$112:$C$113,0)-1,0)</f>
        <v>1198.4000000000001</v>
      </c>
      <c r="L29" s="43">
        <f ca="1">1253.5*OFFSET(L$112,MATCH($N$1,$C$112:$C$113,0)-1,0)</f>
        <v>1253.5</v>
      </c>
      <c r="M29" s="43">
        <f ca="1">1501.6*OFFSET(M$112,MATCH($N$1,$C$112:$C$113,0)-1,0)</f>
        <v>1501.6</v>
      </c>
      <c r="N29" s="43">
        <v>1511.8</v>
      </c>
      <c r="O29" s="23">
        <f t="shared" ca="1" si="0"/>
        <v>1.06812585499316</v>
      </c>
      <c r="P29" s="23">
        <f t="shared" ca="1" si="1"/>
        <v>0.25502241407936249</v>
      </c>
    </row>
    <row r="30" spans="1:16" ht="18" customHeight="1" x14ac:dyDescent="0.2">
      <c r="A30" s="231"/>
      <c r="B30" s="33" t="s">
        <v>68</v>
      </c>
      <c r="C30" s="27"/>
      <c r="D30" s="28">
        <f ca="1">108.2*OFFSET(D$112,MATCH($N$1,$C$112:$C$113,0)-1,0)</f>
        <v>108.2</v>
      </c>
      <c r="E30" s="28">
        <f ca="1">68.8*OFFSET(E$112,MATCH($N$1,$C$112:$C$113,0)-1,0)</f>
        <v>68.8</v>
      </c>
      <c r="F30" s="28">
        <f ca="1">75.1*OFFSET(F$112,MATCH($N$1,$C$112:$C$113,0)-1,0)</f>
        <v>75.099999999999994</v>
      </c>
      <c r="G30" s="28">
        <f ca="1">116.8*OFFSET(G$112,MATCH($N$1,$C$112:$C$113,0)-1,0)</f>
        <v>116.8</v>
      </c>
      <c r="H30" s="28">
        <f ca="1">102.7*OFFSET(H$112,MATCH($N$1,$C$112:$C$113,0)-1,0)</f>
        <v>102.7</v>
      </c>
      <c r="I30" s="28">
        <f ca="1">121.8*OFFSET(I$112,MATCH($N$1,$C$112:$C$113,0)-1,0)</f>
        <v>121.8</v>
      </c>
      <c r="J30" s="28">
        <f ca="1">107.9*OFFSET(J$112,MATCH($N$1,$C$112:$C$113,0)-1,0)</f>
        <v>107.9</v>
      </c>
      <c r="K30" s="28">
        <f ca="1">74.1*OFFSET(K$112,MATCH($N$1,$C$112:$C$113,0)-1,0)</f>
        <v>74.099999999999994</v>
      </c>
      <c r="L30" s="28">
        <f ca="1">78.8*OFFSET(L$112,MATCH($N$1,$C$112:$C$113,0)-1,0)</f>
        <v>78.8</v>
      </c>
      <c r="M30" s="28">
        <f ca="1">99.7*OFFSET(M$112,MATCH($N$1,$C$112:$C$113,0)-1,0)</f>
        <v>99.7</v>
      </c>
      <c r="N30" s="28">
        <v>116.60000000000001</v>
      </c>
      <c r="O30" s="23">
        <f t="shared" ca="1" si="0"/>
        <v>7.7634011090573066E-2</v>
      </c>
      <c r="P30" s="23">
        <f t="shared" ca="1" si="1"/>
        <v>8.0630213160333669E-2</v>
      </c>
    </row>
    <row r="31" spans="1:16" ht="18" customHeight="1" x14ac:dyDescent="0.2">
      <c r="A31" s="231"/>
      <c r="B31" s="33" t="s">
        <v>69</v>
      </c>
      <c r="C31" s="27"/>
      <c r="D31" s="28">
        <f ca="1">202.1*OFFSET(D$112,MATCH($N$1,$C$112:$C$113,0)-1,0)</f>
        <v>202.1</v>
      </c>
      <c r="E31" s="28">
        <f ca="1">171.3*OFFSET(E$112,MATCH($N$1,$C$112:$C$113,0)-1,0)</f>
        <v>171.3</v>
      </c>
      <c r="F31" s="28">
        <f ca="1">153.6*OFFSET(F$112,MATCH($N$1,$C$112:$C$113,0)-1,0)</f>
        <v>153.6</v>
      </c>
      <c r="G31" s="28">
        <f ca="1">197.5*OFFSET(G$112,MATCH($N$1,$C$112:$C$113,0)-1,0)</f>
        <v>197.5</v>
      </c>
      <c r="H31" s="28">
        <f ca="1">199.1*OFFSET(H$112,MATCH($N$1,$C$112:$C$113,0)-1,0)</f>
        <v>199.1</v>
      </c>
      <c r="I31" s="28">
        <f ca="1">289.7*OFFSET(I$112,MATCH($N$1,$C$112:$C$113,0)-1,0)</f>
        <v>289.7</v>
      </c>
      <c r="J31" s="28">
        <f ca="1">293.7*OFFSET(J$112,MATCH($N$1,$C$112:$C$113,0)-1,0)</f>
        <v>293.7</v>
      </c>
      <c r="K31" s="28">
        <f ca="1">270.3*OFFSET(K$112,MATCH($N$1,$C$112:$C$113,0)-1,0)</f>
        <v>270.3</v>
      </c>
      <c r="L31" s="28">
        <f ca="1">311.5*OFFSET(L$112,MATCH($N$1,$C$112:$C$113,0)-1,0)</f>
        <v>311.5</v>
      </c>
      <c r="M31" s="28">
        <f ca="1">385.2*OFFSET(M$112,MATCH($N$1,$C$112:$C$113,0)-1,0)</f>
        <v>385.2</v>
      </c>
      <c r="N31" s="28">
        <v>381</v>
      </c>
      <c r="O31" s="23">
        <f t="shared" ca="1" si="0"/>
        <v>0.88520534388916383</v>
      </c>
      <c r="P31" s="23">
        <f t="shared" ca="1" si="1"/>
        <v>0.29724208375893774</v>
      </c>
    </row>
    <row r="32" spans="1:16" ht="18" customHeight="1" x14ac:dyDescent="0.2">
      <c r="A32" s="231"/>
      <c r="B32" s="33" t="s">
        <v>70</v>
      </c>
      <c r="C32" s="27"/>
      <c r="D32" s="28">
        <f ca="1">158.8*OFFSET(D$112,MATCH($N$1,$C$112:$C$113,0)-1,0)</f>
        <v>158.80000000000001</v>
      </c>
      <c r="E32" s="28">
        <f ca="1">176.5*OFFSET(E$112,MATCH($N$1,$C$112:$C$113,0)-1,0)</f>
        <v>176.5</v>
      </c>
      <c r="F32" s="28">
        <f ca="1">175.5*OFFSET(F$112,MATCH($N$1,$C$112:$C$113,0)-1,0)</f>
        <v>175.5</v>
      </c>
      <c r="G32" s="28">
        <f ca="1">218.2*OFFSET(G$112,MATCH($N$1,$C$112:$C$113,0)-1,0)</f>
        <v>218.2</v>
      </c>
      <c r="H32" s="28">
        <f ca="1">318.6*OFFSET(H$112,MATCH($N$1,$C$112:$C$113,0)-1,0)</f>
        <v>318.60000000000002</v>
      </c>
      <c r="I32" s="28">
        <f ca="1">280.9*OFFSET(I$112,MATCH($N$1,$C$112:$C$113,0)-1,0)</f>
        <v>280.89999999999998</v>
      </c>
      <c r="J32" s="28">
        <f ca="1">298.2*OFFSET(J$112,MATCH($N$1,$C$112:$C$113,0)-1,0)</f>
        <v>298.2</v>
      </c>
      <c r="K32" s="28">
        <f ca="1">368.5*OFFSET(K$112,MATCH($N$1,$C$112:$C$113,0)-1,0)</f>
        <v>368.5</v>
      </c>
      <c r="L32" s="28">
        <f ca="1">359.7*OFFSET(L$112,MATCH($N$1,$C$112:$C$113,0)-1,0)</f>
        <v>359.7</v>
      </c>
      <c r="M32" s="28">
        <f ca="1">362.3*OFFSET(M$112,MATCH($N$1,$C$112:$C$113,0)-1,0)</f>
        <v>362.3</v>
      </c>
      <c r="N32" s="28">
        <v>364.7</v>
      </c>
      <c r="O32" s="23">
        <f t="shared" ca="1" si="0"/>
        <v>1.2965994962216623</v>
      </c>
      <c r="P32" s="23">
        <f t="shared" ca="1" si="1"/>
        <v>0.22300469483568075</v>
      </c>
    </row>
    <row r="33" spans="1:16" ht="18" customHeight="1" x14ac:dyDescent="0.2">
      <c r="A33" s="231"/>
      <c r="B33" s="33" t="s">
        <v>71</v>
      </c>
      <c r="C33" s="27"/>
      <c r="D33" s="28">
        <f ca="1">469.2*OFFSET(D$112,MATCH($N$1,$C$112:$C$113,0)-1,0)</f>
        <v>469.2</v>
      </c>
      <c r="E33" s="28">
        <f ca="1">416.6*OFFSET(E$112,MATCH($N$1,$C$112:$C$113,0)-1,0)</f>
        <v>416.6</v>
      </c>
      <c r="F33" s="28">
        <f ca="1">404.1*OFFSET(F$112,MATCH($N$1,$C$112:$C$113,0)-1,0)</f>
        <v>404.1</v>
      </c>
      <c r="G33" s="28">
        <f ca="1">532.5*OFFSET(G$112,MATCH($N$1,$C$112:$C$113,0)-1,0)</f>
        <v>532.5</v>
      </c>
      <c r="H33" s="28">
        <f ca="1">620.4*OFFSET(H$112,MATCH($N$1,$C$112:$C$113,0)-1,0)</f>
        <v>620.4</v>
      </c>
      <c r="I33" s="28">
        <f ca="1">692.4*OFFSET(I$112,MATCH($N$1,$C$112:$C$113,0)-1,0)</f>
        <v>692.4</v>
      </c>
      <c r="J33" s="28">
        <f ca="1">699.9*OFFSET(J$112,MATCH($N$1,$C$112:$C$113,0)-1,0)</f>
        <v>699.9</v>
      </c>
      <c r="K33" s="28">
        <f ca="1">712.9*OFFSET(K$112,MATCH($N$1,$C$112:$C$113,0)-1,0)</f>
        <v>712.9</v>
      </c>
      <c r="L33" s="28">
        <f ca="1">749.9*OFFSET(L$112,MATCH($N$1,$C$112:$C$113,0)-1,0)</f>
        <v>749.9</v>
      </c>
      <c r="M33" s="28">
        <f ca="1">847.1*OFFSET(M$112,MATCH($N$1,$C$112:$C$113,0)-1,0)</f>
        <v>847.1</v>
      </c>
      <c r="N33" s="28">
        <v>862.4</v>
      </c>
      <c r="O33" s="23">
        <f t="shared" ca="1" si="0"/>
        <v>0.83802216538789431</v>
      </c>
      <c r="P33" s="23">
        <f t="shared" ca="1" si="1"/>
        <v>0.2321760251464495</v>
      </c>
    </row>
    <row r="34" spans="1:16" ht="18" customHeight="1" x14ac:dyDescent="0.2">
      <c r="A34" s="231"/>
      <c r="B34" s="33" t="s">
        <v>72</v>
      </c>
      <c r="C34" s="27"/>
      <c r="D34" s="28">
        <f ca="1">166.4*OFFSET(D$112,MATCH($N$1,$C$112:$C$113,0)-1,0)</f>
        <v>166.4</v>
      </c>
      <c r="E34" s="28">
        <f ca="1">133.7*OFFSET(E$112,MATCH($N$1,$C$112:$C$113,0)-1,0)</f>
        <v>133.69999999999999</v>
      </c>
      <c r="F34" s="28">
        <f ca="1">129*OFFSET(F$112,MATCH($N$1,$C$112:$C$113,0)-1,0)</f>
        <v>129</v>
      </c>
      <c r="G34" s="28">
        <f ca="1">177*OFFSET(G$112,MATCH($N$1,$C$112:$C$113,0)-1,0)</f>
        <v>177</v>
      </c>
      <c r="H34" s="28">
        <f ca="1">170.9*OFFSET(H$112,MATCH($N$1,$C$112:$C$113,0)-1,0)</f>
        <v>170.9</v>
      </c>
      <c r="I34" s="28">
        <f ca="1">205.8*OFFSET(I$112,MATCH($N$1,$C$112:$C$113,0)-1,0)</f>
        <v>205.8</v>
      </c>
      <c r="J34" s="28">
        <f ca="1">217.3*OFFSET(J$112,MATCH($N$1,$C$112:$C$113,0)-1,0)</f>
        <v>217.3</v>
      </c>
      <c r="K34" s="28">
        <f ca="1">224.6*OFFSET(K$112,MATCH($N$1,$C$112:$C$113,0)-1,0)</f>
        <v>224.6</v>
      </c>
      <c r="L34" s="28">
        <f ca="1">226.7*OFFSET(L$112,MATCH($N$1,$C$112:$C$113,0)-1,0)</f>
        <v>226.7</v>
      </c>
      <c r="M34" s="28">
        <f ca="1">289.2*OFFSET(M$112,MATCH($N$1,$C$112:$C$113,0)-1,0)</f>
        <v>289.2</v>
      </c>
      <c r="N34" s="28">
        <v>291.2</v>
      </c>
      <c r="O34" s="23">
        <f t="shared" ca="1" si="0"/>
        <v>0.74999999999999989</v>
      </c>
      <c r="P34" s="23">
        <f t="shared" ca="1" si="1"/>
        <v>0.34008283479061191</v>
      </c>
    </row>
    <row r="35" spans="1:16" ht="18" customHeight="1" x14ac:dyDescent="0.2">
      <c r="A35" s="231"/>
      <c r="B35" s="33" t="s">
        <v>73</v>
      </c>
      <c r="C35" s="27"/>
      <c r="D35" s="28">
        <f ca="1">635.6*OFFSET(D$112,MATCH($N$1,$C$112:$C$113,0)-1,0)</f>
        <v>635.6</v>
      </c>
      <c r="E35" s="28">
        <f ca="1">550.3*OFFSET(E$112,MATCH($N$1,$C$112:$C$113,0)-1,0)</f>
        <v>550.29999999999995</v>
      </c>
      <c r="F35" s="28">
        <f ca="1">533.1*OFFSET(F$112,MATCH($N$1,$C$112:$C$113,0)-1,0)</f>
        <v>533.1</v>
      </c>
      <c r="G35" s="28">
        <f ca="1">709.5*OFFSET(G$112,MATCH($N$1,$C$112:$C$113,0)-1,0)</f>
        <v>709.5</v>
      </c>
      <c r="H35" s="28">
        <f ca="1">791.3*OFFSET(H$112,MATCH($N$1,$C$112:$C$113,0)-1,0)</f>
        <v>791.3</v>
      </c>
      <c r="I35" s="28">
        <f ca="1">898.3*OFFSET(I$112,MATCH($N$1,$C$112:$C$113,0)-1,0)</f>
        <v>898.3</v>
      </c>
      <c r="J35" s="28">
        <f ca="1">917.2*OFFSET(J$112,MATCH($N$1,$C$112:$C$113,0)-1,0)</f>
        <v>917.2</v>
      </c>
      <c r="K35" s="28">
        <f ca="1">937.5*OFFSET(K$112,MATCH($N$1,$C$112:$C$113,0)-1,0)</f>
        <v>937.5</v>
      </c>
      <c r="L35" s="28">
        <f ca="1">976.7*OFFSET(L$112,MATCH($N$1,$C$112:$C$113,0)-1,0)</f>
        <v>976.7</v>
      </c>
      <c r="M35" s="28">
        <f ca="1">1136.3*OFFSET(M$112,MATCH($N$1,$C$112:$C$113,0)-1,0)</f>
        <v>1136.3</v>
      </c>
      <c r="N35" s="28">
        <v>1153.5</v>
      </c>
      <c r="O35" s="23">
        <f t="shared" ca="1" si="0"/>
        <v>0.81482064191315284</v>
      </c>
      <c r="P35" s="23">
        <f t="shared" ca="1" si="1"/>
        <v>0.25763192324465761</v>
      </c>
    </row>
    <row r="36" spans="1:16" ht="18" customHeight="1" x14ac:dyDescent="0.2">
      <c r="A36" s="231"/>
      <c r="B36" s="41" t="s">
        <v>74</v>
      </c>
      <c r="C36" s="42"/>
      <c r="D36" s="43">
        <f ca="1">297.5*OFFSET(D$112,MATCH($N$1,$C$112:$C$113,0)-1,0)</f>
        <v>297.5</v>
      </c>
      <c r="E36" s="43">
        <f ca="1">251.1*OFFSET(E$112,MATCH($N$1,$C$112:$C$113,0)-1,0)</f>
        <v>251.1</v>
      </c>
      <c r="F36" s="43">
        <f ca="1">287.9*OFFSET(F$112,MATCH($N$1,$C$112:$C$113,0)-1,0)</f>
        <v>287.89999999999998</v>
      </c>
      <c r="G36" s="43">
        <f ca="1">406.3*OFFSET(G$112,MATCH($N$1,$C$112:$C$113,0)-1,0)</f>
        <v>406.3</v>
      </c>
      <c r="H36" s="43">
        <f ca="1">379.3*OFFSET(H$112,MATCH($N$1,$C$112:$C$113,0)-1,0)</f>
        <v>379.3</v>
      </c>
      <c r="I36" s="43">
        <f ca="1">481.1*OFFSET(I$112,MATCH($N$1,$C$112:$C$113,0)-1,0)</f>
        <v>481.1</v>
      </c>
      <c r="J36" s="43">
        <f ca="1">581.1*OFFSET(J$112,MATCH($N$1,$C$112:$C$113,0)-1,0)</f>
        <v>581.1</v>
      </c>
      <c r="K36" s="43">
        <f ca="1">531.2*OFFSET(K$112,MATCH($N$1,$C$112:$C$113,0)-1,0)</f>
        <v>531.20000000000005</v>
      </c>
      <c r="L36" s="43">
        <f ca="1">588.3*OFFSET(L$112,MATCH($N$1,$C$112:$C$113,0)-1,0)</f>
        <v>588.29999999999995</v>
      </c>
      <c r="M36" s="43">
        <f ca="1">750.5*OFFSET(M$112,MATCH($N$1,$C$112:$C$113,0)-1,0)</f>
        <v>750.5</v>
      </c>
      <c r="N36" s="43">
        <v>739.2</v>
      </c>
      <c r="O36" s="23">
        <f t="shared" ca="1" si="0"/>
        <v>1.4847058823529413</v>
      </c>
      <c r="P36" s="23">
        <f t="shared" ca="1" si="1"/>
        <v>0.27207021166752715</v>
      </c>
    </row>
    <row r="37" spans="1:16" ht="18" customHeight="1" x14ac:dyDescent="0.2">
      <c r="A37" s="231"/>
      <c r="B37" s="41" t="s">
        <v>75</v>
      </c>
      <c r="C37" s="42"/>
      <c r="D37" s="43">
        <f ca="1">95.4*OFFSET(D$112,MATCH($N$1,$C$112:$C$113,0)-1,0)</f>
        <v>95.4</v>
      </c>
      <c r="E37" s="43">
        <f ca="1">79.8*OFFSET(E$112,MATCH($N$1,$C$112:$C$113,0)-1,0)</f>
        <v>79.8</v>
      </c>
      <c r="F37" s="43">
        <f ca="1">134.3*OFFSET(F$112,MATCH($N$1,$C$112:$C$113,0)-1,0)</f>
        <v>134.30000000000001</v>
      </c>
      <c r="G37" s="43">
        <f ca="1">208.8*OFFSET(G$112,MATCH($N$1,$C$112:$C$113,0)-1,0)</f>
        <v>208.8</v>
      </c>
      <c r="H37" s="43">
        <f ca="1">180.2*OFFSET(H$112,MATCH($N$1,$C$112:$C$113,0)-1,0)</f>
        <v>180.2</v>
      </c>
      <c r="I37" s="43">
        <f ca="1">191.4*OFFSET(I$112,MATCH($N$1,$C$112:$C$113,0)-1,0)</f>
        <v>191.4</v>
      </c>
      <c r="J37" s="43">
        <f ca="1">287.4*OFFSET(J$112,MATCH($N$1,$C$112:$C$113,0)-1,0)</f>
        <v>287.39999999999998</v>
      </c>
      <c r="K37" s="43">
        <f ca="1">260.9*OFFSET(K$112,MATCH($N$1,$C$112:$C$113,0)-1,0)</f>
        <v>260.89999999999998</v>
      </c>
      <c r="L37" s="43">
        <f ca="1">276.8*OFFSET(L$112,MATCH($N$1,$C$112:$C$113,0)-1,0)</f>
        <v>276.8</v>
      </c>
      <c r="M37" s="43">
        <f ca="1">365.3*OFFSET(M$112,MATCH($N$1,$C$112:$C$113,0)-1,0)</f>
        <v>365.3</v>
      </c>
      <c r="N37" s="43">
        <v>358.2</v>
      </c>
      <c r="O37" s="23">
        <f t="shared" ca="1" si="0"/>
        <v>2.7547169811320749</v>
      </c>
      <c r="P37" s="23">
        <f t="shared" ca="1" si="1"/>
        <v>0.24634655532359087</v>
      </c>
    </row>
    <row r="38" spans="1:16" ht="18" customHeight="1" x14ac:dyDescent="0.2">
      <c r="A38" s="231"/>
      <c r="B38" s="33" t="s">
        <v>76</v>
      </c>
      <c r="C38" s="27"/>
      <c r="D38" s="28">
        <f ca="1">63.8*OFFSET(D$112,MATCH($N$1,$C$112:$C$113,0)-1,0)</f>
        <v>63.8</v>
      </c>
      <c r="E38" s="28">
        <f ca="1">44*OFFSET(E$112,MATCH($N$1,$C$112:$C$113,0)-1,0)</f>
        <v>44</v>
      </c>
      <c r="F38" s="28">
        <f ca="1">68.6*OFFSET(F$112,MATCH($N$1,$C$112:$C$113,0)-1,0)</f>
        <v>68.599999999999994</v>
      </c>
      <c r="G38" s="28">
        <f ca="1">66.9*OFFSET(G$112,MATCH($N$1,$C$112:$C$113,0)-1,0)</f>
        <v>66.900000000000006</v>
      </c>
      <c r="H38" s="28">
        <f ca="1">62.4*OFFSET(H$112,MATCH($N$1,$C$112:$C$113,0)-1,0)</f>
        <v>62.4</v>
      </c>
      <c r="I38" s="28">
        <f ca="1">45.2*OFFSET(I$112,MATCH($N$1,$C$112:$C$113,0)-1,0)</f>
        <v>45.2</v>
      </c>
      <c r="J38" s="28">
        <f ca="1">71.3*OFFSET(J$112,MATCH($N$1,$C$112:$C$113,0)-1,0)</f>
        <v>71.3</v>
      </c>
      <c r="K38" s="28">
        <f ca="1">88.5*OFFSET(K$112,MATCH($N$1,$C$112:$C$113,0)-1,0)</f>
        <v>88.5</v>
      </c>
      <c r="L38" s="28">
        <f ca="1">39.4*OFFSET(L$112,MATCH($N$1,$C$112:$C$113,0)-1,0)</f>
        <v>39.4</v>
      </c>
      <c r="M38" s="28">
        <f ca="1">50.4*OFFSET(M$112,MATCH($N$1,$C$112:$C$113,0)-1,0)</f>
        <v>50.4</v>
      </c>
      <c r="N38" s="28"/>
      <c r="O38" s="23" t="str">
        <f t="shared" si="0"/>
        <v/>
      </c>
      <c r="P38" s="23" t="str">
        <f t="shared" si="1"/>
        <v/>
      </c>
    </row>
    <row r="39" spans="1:16" ht="18" customHeight="1" x14ac:dyDescent="0.2">
      <c r="A39" s="231"/>
      <c r="B39" s="33" t="s">
        <v>77</v>
      </c>
      <c r="C39" s="27"/>
      <c r="D39" s="28">
        <f ca="1">16.6*OFFSET(D$112,MATCH($N$1,$C$112:$C$113,0)-1,0)</f>
        <v>16.600000000000001</v>
      </c>
      <c r="E39" s="28">
        <f ca="1">14.5*OFFSET(E$112,MATCH($N$1,$C$112:$C$113,0)-1,0)</f>
        <v>14.5</v>
      </c>
      <c r="F39" s="28">
        <f ca="1">15.9*OFFSET(F$112,MATCH($N$1,$C$112:$C$113,0)-1,0)</f>
        <v>15.9</v>
      </c>
      <c r="G39" s="28">
        <f ca="1">16.1*OFFSET(G$112,MATCH($N$1,$C$112:$C$113,0)-1,0)</f>
        <v>16.100000000000001</v>
      </c>
      <c r="H39" s="28">
        <f ca="1">21.6*OFFSET(H$112,MATCH($N$1,$C$112:$C$113,0)-1,0)</f>
        <v>21.6</v>
      </c>
      <c r="I39" s="28">
        <f ca="1">11.6*OFFSET(I$112,MATCH($N$1,$C$112:$C$113,0)-1,0)</f>
        <v>11.6</v>
      </c>
      <c r="J39" s="28">
        <f ca="1">13.4*OFFSET(J$112,MATCH($N$1,$C$112:$C$113,0)-1,0)</f>
        <v>13.4</v>
      </c>
      <c r="K39" s="28">
        <f ca="1">11.1*OFFSET(K$112,MATCH($N$1,$C$112:$C$113,0)-1,0)</f>
        <v>11.1</v>
      </c>
      <c r="L39" s="28">
        <f ca="1">5.6*OFFSET(L$112,MATCH($N$1,$C$112:$C$113,0)-1,0)</f>
        <v>5.6</v>
      </c>
      <c r="M39" s="28">
        <f ca="1">9*OFFSET(M$112,MATCH($N$1,$C$112:$C$113,0)-1,0)</f>
        <v>9</v>
      </c>
      <c r="N39" s="28"/>
      <c r="O39" s="23" t="str">
        <f t="shared" si="0"/>
        <v/>
      </c>
      <c r="P39" s="23" t="str">
        <f t="shared" si="1"/>
        <v/>
      </c>
    </row>
    <row r="40" spans="1:16" ht="18" customHeight="1" x14ac:dyDescent="0.2">
      <c r="A40" s="231"/>
      <c r="B40" s="33" t="s">
        <v>78</v>
      </c>
      <c r="C40" s="27"/>
      <c r="D40" s="28"/>
      <c r="E40" s="28">
        <f ca="1">2.6*OFFSET(E$112,MATCH($N$1,$C$112:$C$113,0)-1,0)</f>
        <v>2.6</v>
      </c>
      <c r="F40" s="28"/>
      <c r="G40" s="28">
        <f ca="1">12.9*OFFSET(G$112,MATCH($N$1,$C$112:$C$113,0)-1,0)</f>
        <v>12.9</v>
      </c>
      <c r="H40" s="28">
        <f ca="1">8.9*OFFSET(H$112,MATCH($N$1,$C$112:$C$113,0)-1,0)</f>
        <v>8.9</v>
      </c>
      <c r="I40" s="28">
        <f ca="1">7.5*OFFSET(I$112,MATCH($N$1,$C$112:$C$113,0)-1,0)</f>
        <v>7.5</v>
      </c>
      <c r="J40" s="28">
        <f ca="1">3.4*OFFSET(J$112,MATCH($N$1,$C$112:$C$113,0)-1,0)</f>
        <v>3.4</v>
      </c>
      <c r="K40" s="28">
        <f ca="1">3*OFFSET(K$112,MATCH($N$1,$C$112:$C$113,0)-1,0)</f>
        <v>3</v>
      </c>
      <c r="L40" s="28">
        <f ca="1">7.6*OFFSET(L$112,MATCH($N$1,$C$112:$C$113,0)-1,0)</f>
        <v>7.6</v>
      </c>
      <c r="M40" s="28">
        <f ca="1">8.6*OFFSET(M$112,MATCH($N$1,$C$112:$C$113,0)-1,0)</f>
        <v>8.6</v>
      </c>
      <c r="N40" s="28"/>
      <c r="O40" s="23" t="str">
        <f t="shared" si="0"/>
        <v/>
      </c>
      <c r="P40" s="23" t="str">
        <f t="shared" si="1"/>
        <v/>
      </c>
    </row>
    <row r="41" spans="1:16" ht="18" customHeight="1" thickBot="1" x14ac:dyDescent="0.25">
      <c r="A41" s="232"/>
      <c r="B41" s="44" t="s">
        <v>79</v>
      </c>
      <c r="C41" s="45"/>
      <c r="D41" s="46">
        <f ca="1">14.9*OFFSET(D$112,MATCH($N$1,$C$112:$C$113,0)-1,0)</f>
        <v>14.9</v>
      </c>
      <c r="E41" s="46">
        <f ca="1">18.6*OFFSET(E$112,MATCH($N$1,$C$112:$C$113,0)-1,0)</f>
        <v>18.600000000000001</v>
      </c>
      <c r="F41" s="46">
        <f ca="1">49.8*OFFSET(F$112,MATCH($N$1,$C$112:$C$113,0)-1,0)</f>
        <v>49.8</v>
      </c>
      <c r="G41" s="46">
        <f ca="1">112.8*OFFSET(G$112,MATCH($N$1,$C$112:$C$113,0)-1,0)</f>
        <v>112.8</v>
      </c>
      <c r="H41" s="46">
        <f ca="1">87.3*OFFSET(H$112,MATCH($N$1,$C$112:$C$113,0)-1,0)</f>
        <v>87.3</v>
      </c>
      <c r="I41" s="46">
        <f ca="1">127.2*OFFSET(I$112,MATCH($N$1,$C$112:$C$113,0)-1,0)</f>
        <v>127.2</v>
      </c>
      <c r="J41" s="46">
        <f ca="1">199.4*OFFSET(J$112,MATCH($N$1,$C$112:$C$113,0)-1,0)</f>
        <v>199.4</v>
      </c>
      <c r="K41" s="46">
        <f ca="1">158.3*OFFSET(K$112,MATCH($N$1,$C$112:$C$113,0)-1,0)</f>
        <v>158.30000000000001</v>
      </c>
      <c r="L41" s="46">
        <f ca="1">224.1*OFFSET(L$112,MATCH($N$1,$C$112:$C$113,0)-1,0)</f>
        <v>224.1</v>
      </c>
      <c r="M41" s="46">
        <f ca="1">297.3*OFFSET(M$112,MATCH($N$1,$C$112:$C$113,0)-1,0)</f>
        <v>297.3</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NSWOS demersal seiners</v>
      </c>
      <c r="C48" s="97"/>
      <c r="D48" s="97"/>
      <c r="E48" s="97"/>
      <c r="F48" s="97"/>
      <c r="G48" s="97"/>
      <c r="K48" s="97" t="str">
        <f>$B24&amp;CHAR(10)&amp;$A$1</f>
        <v>Operating profit per kW day at sea (£)
NSWOS demersal seiners</v>
      </c>
    </row>
    <row r="49" spans="1:11" s="83" customFormat="1" x14ac:dyDescent="0.2">
      <c r="A49" s="97" t="str">
        <f>$B22&amp;CHAR(10)&amp;$A$1</f>
        <v>Fishing income per kW day at sea (£)
NSWOS demersal seiners</v>
      </c>
    </row>
    <row r="50" spans="1:11" s="83" customFormat="1" x14ac:dyDescent="0.2">
      <c r="A50" s="97" t="str">
        <f>$B20&amp;CHAR(10)&amp;$A$1</f>
        <v>Average price per tonne landed (£)
NSWOS demersal seiners</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NSWOS demersal seiners</v>
      </c>
      <c r="F62" s="97" t="str">
        <f>$B20&amp;CHAR(10)&amp;$A$1</f>
        <v>Average price per tonne landed (£)
NSWOS demersal seiners</v>
      </c>
      <c r="K62" s="97" t="str">
        <f>"Average annual operating profit per vessel (£'000)"&amp;CHAR(10)&amp;$A$1</f>
        <v>Average annual operating profit per vessel (£'000)
NSWOS demersal seiners</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NSWOS demersal seiners</v>
      </c>
      <c r="F76" s="97" t="str">
        <f>"Top 5 landed species by value in "&amp;A77&amp;CHAR(10)&amp;A1</f>
        <v>Top 5 landed species by value in 2017
NSWOS demersal seiners</v>
      </c>
    </row>
    <row r="77" spans="1:9" s="97" customFormat="1" x14ac:dyDescent="0.2">
      <c r="A77" s="97">
        <v>2017</v>
      </c>
      <c r="B77" s="97" t="s">
        <v>340</v>
      </c>
      <c r="C77" s="98">
        <v>0.32417061145556797</v>
      </c>
      <c r="D77" s="99">
        <v>12153634</v>
      </c>
      <c r="G77" s="97" t="s">
        <v>341</v>
      </c>
      <c r="H77" s="98">
        <v>0.25671695300445463</v>
      </c>
      <c r="I77" s="99">
        <v>12153634</v>
      </c>
    </row>
    <row r="78" spans="1:9" s="97" customFormat="1" x14ac:dyDescent="0.2">
      <c r="B78" s="97" t="s">
        <v>342</v>
      </c>
      <c r="C78" s="98">
        <v>0.15473554747383214</v>
      </c>
      <c r="D78" s="99">
        <v>553960</v>
      </c>
      <c r="G78" s="97" t="s">
        <v>343</v>
      </c>
      <c r="H78" s="98">
        <v>0.21091627083559547</v>
      </c>
      <c r="I78" s="99">
        <v>553960</v>
      </c>
    </row>
    <row r="79" spans="1:9" s="97" customFormat="1" x14ac:dyDescent="0.2">
      <c r="B79" s="97" t="s">
        <v>344</v>
      </c>
      <c r="C79" s="98">
        <v>0.15393526028183635</v>
      </c>
      <c r="D79" s="99">
        <v>3050596</v>
      </c>
      <c r="G79" s="97" t="s">
        <v>345</v>
      </c>
      <c r="H79" s="98">
        <v>0.12148302609165346</v>
      </c>
      <c r="I79" s="99">
        <v>3050596</v>
      </c>
    </row>
    <row r="80" spans="1:9" s="97" customFormat="1" x14ac:dyDescent="0.2">
      <c r="B80" s="97" t="s">
        <v>346</v>
      </c>
      <c r="C80" s="98">
        <v>0.13452406023388855</v>
      </c>
      <c r="D80" s="99">
        <v>1692097</v>
      </c>
      <c r="G80" s="97" t="s">
        <v>347</v>
      </c>
      <c r="H80" s="98">
        <v>0.10394572630390836</v>
      </c>
      <c r="I80" s="99">
        <v>1692097</v>
      </c>
    </row>
    <row r="81" spans="1:18" s="97" customFormat="1" x14ac:dyDescent="0.2">
      <c r="B81" s="97" t="s">
        <v>348</v>
      </c>
      <c r="C81" s="98">
        <v>3.9606131340163331E-2</v>
      </c>
      <c r="D81" s="99">
        <v>11115023</v>
      </c>
      <c r="G81" s="97" t="s">
        <v>349</v>
      </c>
      <c r="H81" s="98">
        <v>6.3048511034280996E-2</v>
      </c>
      <c r="I81" s="99">
        <v>3689192</v>
      </c>
    </row>
    <row r="82" spans="1:18" s="97" customFormat="1" x14ac:dyDescent="0.2">
      <c r="B82" s="97" t="s">
        <v>350</v>
      </c>
      <c r="C82" s="98">
        <v>0.19302838921471166</v>
      </c>
      <c r="D82" s="99">
        <v>5920853</v>
      </c>
      <c r="G82" s="97" t="s">
        <v>351</v>
      </c>
      <c r="H82" s="98">
        <v>0.24388951273010717</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16</v>
      </c>
      <c r="D92" s="102">
        <v>0.3811053994021335</v>
      </c>
      <c r="E92" s="102">
        <v>0.40288339130879031</v>
      </c>
      <c r="F92" s="102">
        <v>0.37803519823251697</v>
      </c>
      <c r="G92" s="102">
        <v>0.39840732056343686</v>
      </c>
      <c r="H92" s="102">
        <v>0.33686366925591577</v>
      </c>
      <c r="I92" s="102">
        <v>0.36537246228181097</v>
      </c>
      <c r="J92" s="102">
        <v>0.37030308508093396</v>
      </c>
      <c r="K92" s="102">
        <v>0.28415675870703894</v>
      </c>
      <c r="L92" s="102">
        <v>0.25671695300445463</v>
      </c>
      <c r="M92" s="102">
        <v>0.30963663607596087</v>
      </c>
      <c r="O92" s="97">
        <v>12153634</v>
      </c>
    </row>
    <row r="93" spans="1:18" s="97" customFormat="1" hidden="1" x14ac:dyDescent="0.2">
      <c r="B93" s="97">
        <v>2</v>
      </c>
      <c r="C93" s="97" t="s">
        <v>97</v>
      </c>
      <c r="D93" s="102">
        <v>0.15868701042379368</v>
      </c>
      <c r="E93" s="102">
        <v>0.23301252933671651</v>
      </c>
      <c r="F93" s="102">
        <v>0.2039349580920938</v>
      </c>
      <c r="G93" s="102">
        <v>0.25906903623929112</v>
      </c>
      <c r="H93" s="102">
        <v>0.1697730633251337</v>
      </c>
      <c r="I93" s="102">
        <v>0.14226071779572208</v>
      </c>
      <c r="J93" s="102">
        <v>0.21145673080378574</v>
      </c>
      <c r="K93" s="102">
        <v>0.2447374754822042</v>
      </c>
      <c r="L93" s="102">
        <v>0.21091627083559547</v>
      </c>
      <c r="M93" s="102">
        <v>0.27031446803493236</v>
      </c>
      <c r="O93" s="97">
        <v>553960</v>
      </c>
    </row>
    <row r="94" spans="1:18" s="97" customFormat="1" hidden="1" x14ac:dyDescent="0.2">
      <c r="B94" s="97">
        <v>3</v>
      </c>
      <c r="C94" s="97" t="s">
        <v>191</v>
      </c>
      <c r="D94" s="102">
        <v>0.1385916488205306</v>
      </c>
      <c r="E94" s="102">
        <v>0.14201277591631517</v>
      </c>
      <c r="F94" s="102">
        <v>0.13966621896681009</v>
      </c>
      <c r="G94" s="102">
        <v>0.15817248853772609</v>
      </c>
      <c r="H94" s="102">
        <v>0.11550740659263585</v>
      </c>
      <c r="I94" s="102">
        <v>0.11159738637316681</v>
      </c>
      <c r="J94" s="102">
        <v>0.13706851638502218</v>
      </c>
      <c r="K94" s="102">
        <v>0.1305361736775586</v>
      </c>
      <c r="L94" s="102">
        <v>0.12148302609165346</v>
      </c>
      <c r="M94" s="102">
        <v>0.14805704459880681</v>
      </c>
      <c r="O94" s="97">
        <v>3050596</v>
      </c>
    </row>
    <row r="95" spans="1:18" s="97" customFormat="1" hidden="1" x14ac:dyDescent="0.2">
      <c r="B95" s="97">
        <v>4</v>
      </c>
      <c r="C95" s="97" t="s">
        <v>170</v>
      </c>
      <c r="D95" s="102">
        <v>8.1525052726194702E-2</v>
      </c>
      <c r="E95" s="102"/>
      <c r="F95" s="102">
        <v>7.2413035814194587E-2</v>
      </c>
      <c r="G95" s="102">
        <v>3.9287734401327448E-2</v>
      </c>
      <c r="H95" s="102">
        <v>0.1337351081083098</v>
      </c>
      <c r="I95" s="102">
        <v>0.10885742833971571</v>
      </c>
      <c r="J95" s="102">
        <v>6.0072866403013021E-2</v>
      </c>
      <c r="K95" s="102">
        <v>5.4079495992379177E-2</v>
      </c>
      <c r="L95" s="102">
        <v>0.10394572630390836</v>
      </c>
      <c r="M95" s="102"/>
      <c r="O95" s="97">
        <v>1692097</v>
      </c>
    </row>
    <row r="96" spans="1:18" s="97" customFormat="1" hidden="1" x14ac:dyDescent="0.2">
      <c r="B96" s="97">
        <v>5</v>
      </c>
      <c r="C96" s="97" t="s">
        <v>137</v>
      </c>
      <c r="D96" s="102"/>
      <c r="E96" s="102"/>
      <c r="F96" s="102"/>
      <c r="G96" s="102"/>
      <c r="H96" s="102"/>
      <c r="I96" s="102">
        <v>6.2816203319949748E-2</v>
      </c>
      <c r="J96" s="102">
        <v>3.3581266061603665E-2</v>
      </c>
      <c r="K96" s="102"/>
      <c r="L96" s="102">
        <v>6.3048511034280996E-2</v>
      </c>
      <c r="M96" s="102"/>
      <c r="O96" s="97">
        <v>3689192</v>
      </c>
    </row>
    <row r="97" spans="1:15" s="97" customFormat="1" hidden="1" x14ac:dyDescent="0.2">
      <c r="B97" s="97">
        <v>6</v>
      </c>
      <c r="C97" s="97" t="s">
        <v>95</v>
      </c>
      <c r="D97" s="102"/>
      <c r="E97" s="102"/>
      <c r="F97" s="102"/>
      <c r="G97" s="102"/>
      <c r="H97" s="102"/>
      <c r="I97" s="102"/>
      <c r="J97" s="102"/>
      <c r="K97" s="102"/>
      <c r="L97" s="102"/>
      <c r="M97" s="102">
        <v>9.1333548114193155E-2</v>
      </c>
      <c r="O97" s="97">
        <v>11115023</v>
      </c>
    </row>
    <row r="98" spans="1:15" s="97" customFormat="1" hidden="1" x14ac:dyDescent="0.2">
      <c r="B98" s="97">
        <v>7</v>
      </c>
      <c r="C98" s="97" t="s">
        <v>121</v>
      </c>
      <c r="D98" s="102"/>
      <c r="E98" s="102">
        <v>3.5065122579948961E-2</v>
      </c>
      <c r="F98" s="102"/>
      <c r="G98" s="102"/>
      <c r="H98" s="102"/>
      <c r="I98" s="102"/>
      <c r="J98" s="102"/>
      <c r="K98" s="102">
        <v>4.6560879221878439E-2</v>
      </c>
      <c r="L98" s="102"/>
      <c r="M98" s="102">
        <v>3.9605922190055785E-2</v>
      </c>
      <c r="O98" s="97">
        <v>2480382</v>
      </c>
    </row>
    <row r="99" spans="1:15" s="97" customFormat="1" hidden="1" x14ac:dyDescent="0.2">
      <c r="B99" s="97">
        <v>8</v>
      </c>
      <c r="C99" s="97" t="s">
        <v>137</v>
      </c>
      <c r="D99" s="102"/>
      <c r="E99" s="102"/>
      <c r="F99" s="102"/>
      <c r="G99" s="102"/>
      <c r="H99" s="102">
        <v>3.6234609815943543E-2</v>
      </c>
      <c r="I99" s="102"/>
      <c r="J99" s="102"/>
      <c r="K99" s="102"/>
      <c r="L99" s="102"/>
      <c r="M99" s="102"/>
      <c r="O99" s="97">
        <v>7434864</v>
      </c>
    </row>
    <row r="100" spans="1:15" s="97" customFormat="1" hidden="1" x14ac:dyDescent="0.2">
      <c r="B100" s="97">
        <v>9</v>
      </c>
      <c r="C100" s="97" t="s">
        <v>168</v>
      </c>
      <c r="D100" s="102">
        <v>5.8394990653742929E-2</v>
      </c>
      <c r="E100" s="102">
        <v>6.8867637930788803E-2</v>
      </c>
      <c r="F100" s="102">
        <v>4.2904960223447891E-2</v>
      </c>
      <c r="G100" s="102">
        <v>4.2982851575333575E-2</v>
      </c>
      <c r="H100" s="102"/>
      <c r="I100" s="102"/>
      <c r="J100" s="102"/>
      <c r="K100" s="102"/>
      <c r="L100" s="102"/>
      <c r="M100" s="102"/>
      <c r="O100" s="97">
        <v>8497745</v>
      </c>
    </row>
    <row r="101" spans="1:15" s="97" customFormat="1" hidden="1" x14ac:dyDescent="0.2">
      <c r="B101" s="97">
        <v>10</v>
      </c>
      <c r="C101" s="97" t="s">
        <v>101</v>
      </c>
      <c r="D101" s="102">
        <v>0.18169589797360461</v>
      </c>
      <c r="E101" s="102">
        <v>0.11815854292744025</v>
      </c>
      <c r="F101" s="102">
        <v>0.16304562867093669</v>
      </c>
      <c r="G101" s="102">
        <v>0.1020805686828849</v>
      </c>
      <c r="H101" s="102">
        <v>0.20788614290206134</v>
      </c>
      <c r="I101" s="102">
        <v>0.20909580188963464</v>
      </c>
      <c r="J101" s="102">
        <v>0.18751753526564144</v>
      </c>
      <c r="K101" s="102">
        <v>0.23992921691894062</v>
      </c>
      <c r="L101" s="102">
        <v>0.24388951273010706</v>
      </c>
      <c r="M101" s="102">
        <v>0.14105238098605102</v>
      </c>
      <c r="O101" s="97">
        <v>5920853</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11</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"&amp;B121&amp;""</f>
        <v xml:space="preserve">All values are adjusted to 2017 prices. </v>
      </c>
    </row>
    <row r="115" spans="1:14" ht="18" customHeight="1" x14ac:dyDescent="0.2"/>
    <row r="116" spans="1:14" ht="18" customHeight="1" x14ac:dyDescent="0.2"/>
    <row r="117" spans="1:14" ht="18" customHeight="1" x14ac:dyDescent="0.2"/>
    <row r="118" spans="1:14" s="78" customFormat="1" ht="18" customHeight="1" x14ac:dyDescent="0.2"/>
    <row r="119" spans="1:14" s="78" customFormat="1" ht="18" customHeight="1" x14ac:dyDescent="0.2"/>
    <row r="120" spans="1:14" s="78" customFormat="1" x14ac:dyDescent="0.2"/>
    <row r="121" spans="1:14" s="49" customFormat="1" x14ac:dyDescent="0.2"/>
    <row r="122" spans="1:14" s="49" customFormat="1" x14ac:dyDescent="0.2">
      <c r="A122" s="50"/>
      <c r="B122" s="53"/>
      <c r="C122" s="79"/>
      <c r="D122" s="79"/>
      <c r="E122" s="79"/>
      <c r="F122" s="79"/>
      <c r="G122" s="80"/>
      <c r="H122" s="79"/>
      <c r="I122" s="79"/>
      <c r="J122" s="79"/>
      <c r="K122" s="79"/>
      <c r="L122" s="53"/>
    </row>
    <row r="123" spans="1:14" s="49" customFormat="1" x14ac:dyDescent="0.2">
      <c r="A123" s="50"/>
      <c r="B123" s="53"/>
      <c r="C123" s="53"/>
      <c r="D123" s="53"/>
      <c r="E123" s="53"/>
      <c r="F123" s="50"/>
      <c r="G123" s="50"/>
      <c r="H123" s="53"/>
      <c r="I123" s="53"/>
      <c r="J123" s="53"/>
      <c r="K123" s="53"/>
      <c r="L123" s="50"/>
    </row>
    <row r="124" spans="1:14" s="49" customFormat="1" x14ac:dyDescent="0.2">
      <c r="A124" s="50"/>
      <c r="B124" s="53"/>
      <c r="C124" s="53"/>
      <c r="D124" s="53"/>
      <c r="E124" s="53"/>
      <c r="F124" s="50"/>
      <c r="G124" s="50"/>
      <c r="H124" s="53"/>
      <c r="I124" s="53"/>
      <c r="J124" s="53"/>
      <c r="K124" s="53"/>
      <c r="L124" s="50"/>
    </row>
    <row r="125" spans="1:14" s="49" customFormat="1" x14ac:dyDescent="0.2">
      <c r="A125" s="50"/>
      <c r="B125" s="53"/>
      <c r="C125" s="53"/>
      <c r="D125" s="53"/>
      <c r="E125" s="53"/>
      <c r="F125" s="50"/>
      <c r="G125" s="50"/>
      <c r="H125" s="53"/>
      <c r="I125" s="53"/>
      <c r="J125" s="53"/>
      <c r="K125" s="53"/>
      <c r="L125" s="50"/>
    </row>
    <row r="126" spans="1:14" s="49" customFormat="1" x14ac:dyDescent="0.2">
      <c r="A126" s="50"/>
      <c r="B126" s="53"/>
      <c r="C126" s="53"/>
      <c r="D126" s="53"/>
      <c r="E126" s="53"/>
      <c r="F126" s="50"/>
      <c r="G126" s="50"/>
      <c r="H126" s="53"/>
      <c r="I126" s="53"/>
      <c r="J126" s="53"/>
      <c r="K126" s="53"/>
      <c r="L126" s="50"/>
    </row>
    <row r="127" spans="1:14" s="49" customFormat="1" x14ac:dyDescent="0.2">
      <c r="A127" s="50"/>
      <c r="B127" s="53"/>
      <c r="C127" s="53"/>
      <c r="D127" s="53"/>
      <c r="E127" s="53"/>
      <c r="F127" s="50"/>
      <c r="G127" s="50"/>
      <c r="H127" s="53"/>
      <c r="I127" s="53"/>
      <c r="J127" s="53"/>
      <c r="K127" s="53"/>
      <c r="L127" s="50"/>
    </row>
    <row r="128" spans="1:14" s="49" customFormat="1" x14ac:dyDescent="0.2">
      <c r="A128" s="50"/>
      <c r="B128" s="53"/>
      <c r="C128" s="53"/>
      <c r="D128" s="53"/>
      <c r="E128" s="53"/>
      <c r="F128" s="50"/>
      <c r="G128" s="50"/>
      <c r="H128" s="53"/>
      <c r="I128" s="53"/>
      <c r="J128" s="53"/>
      <c r="K128" s="53"/>
      <c r="L128" s="50"/>
    </row>
    <row r="129" spans="1:12" s="49" customFormat="1" x14ac:dyDescent="0.2">
      <c r="A129" s="50"/>
      <c r="B129" s="53"/>
      <c r="C129" s="53"/>
      <c r="D129" s="53"/>
      <c r="E129" s="53"/>
      <c r="F129" s="50"/>
      <c r="G129" s="50"/>
      <c r="H129" s="53"/>
      <c r="I129" s="53"/>
      <c r="J129" s="53"/>
      <c r="K129" s="53"/>
      <c r="L129" s="50"/>
    </row>
    <row r="130" spans="1:12" s="49" customFormat="1" x14ac:dyDescent="0.2">
      <c r="A130" s="50"/>
      <c r="B130" s="53"/>
      <c r="C130" s="53"/>
      <c r="D130" s="53"/>
      <c r="E130" s="53"/>
      <c r="F130" s="50"/>
      <c r="G130" s="50"/>
      <c r="H130" s="53"/>
      <c r="I130" s="53"/>
      <c r="J130" s="53"/>
      <c r="K130" s="53"/>
      <c r="L130" s="50"/>
    </row>
    <row r="131" spans="1:12" s="49" customFormat="1" x14ac:dyDescent="0.2">
      <c r="A131" s="50"/>
      <c r="B131" s="53"/>
      <c r="C131" s="53"/>
      <c r="D131" s="53"/>
      <c r="E131" s="53"/>
      <c r="F131" s="50"/>
      <c r="G131" s="50"/>
      <c r="H131" s="53"/>
      <c r="I131" s="53"/>
      <c r="J131" s="53"/>
      <c r="K131" s="53"/>
      <c r="L131" s="50"/>
    </row>
    <row r="132" spans="1:12" s="49" customFormat="1" x14ac:dyDescent="0.2">
      <c r="A132" s="50"/>
      <c r="B132" s="53"/>
      <c r="C132" s="53"/>
      <c r="D132" s="53"/>
      <c r="E132" s="53"/>
      <c r="F132" s="50"/>
      <c r="G132" s="50"/>
      <c r="H132" s="53"/>
      <c r="I132" s="53"/>
      <c r="J132" s="53"/>
      <c r="K132" s="53"/>
      <c r="L132" s="50"/>
    </row>
    <row r="133" spans="1:12" s="49" customFormat="1" x14ac:dyDescent="0.2">
      <c r="A133" s="50"/>
      <c r="B133" s="53"/>
      <c r="C133" s="53"/>
      <c r="D133" s="53"/>
      <c r="E133" s="53"/>
      <c r="F133" s="50"/>
      <c r="G133" s="50"/>
      <c r="H133" s="53"/>
      <c r="I133" s="53"/>
      <c r="J133" s="53"/>
      <c r="K133" s="53"/>
      <c r="L133" s="50"/>
    </row>
    <row r="134" spans="1:12" s="49" customFormat="1" x14ac:dyDescent="0.2">
      <c r="A134" s="50"/>
      <c r="B134" s="53"/>
      <c r="C134" s="53"/>
      <c r="D134" s="53"/>
      <c r="E134" s="53"/>
      <c r="F134" s="50"/>
      <c r="G134" s="50"/>
      <c r="H134" s="53"/>
      <c r="I134" s="53"/>
      <c r="J134" s="53"/>
      <c r="K134" s="53"/>
      <c r="L134" s="50"/>
    </row>
    <row r="135" spans="1:12" s="49" customFormat="1" x14ac:dyDescent="0.2">
      <c r="A135" s="50"/>
      <c r="B135" s="53"/>
      <c r="C135" s="53"/>
      <c r="D135" s="53"/>
      <c r="E135" s="53"/>
      <c r="F135" s="50"/>
      <c r="G135" s="50"/>
      <c r="H135" s="53"/>
      <c r="I135" s="53"/>
      <c r="J135" s="53"/>
      <c r="K135" s="53"/>
      <c r="L135" s="50"/>
    </row>
    <row r="136" spans="1:12" s="49" customFormat="1" x14ac:dyDescent="0.2">
      <c r="A136" s="50"/>
      <c r="B136" s="53"/>
      <c r="C136" s="53"/>
      <c r="D136" s="53"/>
      <c r="E136" s="53"/>
      <c r="F136" s="50"/>
      <c r="G136" s="50"/>
      <c r="H136" s="53"/>
      <c r="I136" s="53"/>
      <c r="J136" s="53"/>
      <c r="K136" s="53"/>
      <c r="L136" s="50"/>
    </row>
    <row r="137" spans="1:12" s="49" customFormat="1" x14ac:dyDescent="0.2">
      <c r="A137" s="50"/>
      <c r="B137" s="53"/>
      <c r="C137" s="53"/>
      <c r="D137" s="53"/>
      <c r="E137" s="53"/>
      <c r="F137" s="50"/>
      <c r="G137" s="50"/>
      <c r="H137" s="53"/>
      <c r="I137" s="53"/>
      <c r="J137" s="53"/>
      <c r="K137" s="53"/>
      <c r="L137" s="50"/>
    </row>
    <row r="138" spans="1:12" s="49" customFormat="1" x14ac:dyDescent="0.2">
      <c r="A138" s="50"/>
      <c r="B138" s="53"/>
      <c r="C138" s="53"/>
      <c r="D138" s="53"/>
      <c r="E138" s="53"/>
      <c r="F138" s="50"/>
      <c r="G138" s="50"/>
      <c r="H138" s="53"/>
      <c r="I138" s="53"/>
      <c r="J138" s="53"/>
      <c r="K138" s="53"/>
      <c r="L138" s="50"/>
    </row>
    <row r="139" spans="1:12" s="78" customFormat="1" x14ac:dyDescent="0.2"/>
    <row r="140" spans="1:12" s="78" customFormat="1" x14ac:dyDescent="0.2"/>
    <row r="141" spans="1:12" s="78" customFormat="1" x14ac:dyDescent="0.2"/>
    <row r="142" spans="1:12" s="78" customFormat="1" x14ac:dyDescent="0.2"/>
    <row r="143" spans="1:12" s="78" customFormat="1" x14ac:dyDescent="0.2"/>
    <row r="144" spans="1:12" s="78" customFormat="1" x14ac:dyDescent="0.2"/>
    <row r="145" s="78" customFormat="1" x14ac:dyDescent="0.2"/>
    <row r="146" s="78" customFormat="1" x14ac:dyDescent="0.2"/>
    <row r="147" s="78" customFormat="1" x14ac:dyDescent="0.2"/>
    <row r="148" s="78" customFormat="1" x14ac:dyDescent="0.2"/>
    <row r="149" s="78" customFormat="1" x14ac:dyDescent="0.2"/>
    <row r="150" s="78" customFormat="1" x14ac:dyDescent="0.2"/>
    <row r="151" s="78" customFormat="1" x14ac:dyDescent="0.2"/>
    <row r="152" s="78" customFormat="1" x14ac:dyDescent="0.2"/>
    <row r="153" s="78" customFormat="1" x14ac:dyDescent="0.2"/>
  </sheetData>
  <mergeCells count="8">
    <mergeCell ref="B44:C44"/>
    <mergeCell ref="B45:C45"/>
    <mergeCell ref="B46:C46"/>
    <mergeCell ref="O1:P1"/>
    <mergeCell ref="A3:A10"/>
    <mergeCell ref="A11:A20"/>
    <mergeCell ref="A21:A26"/>
    <mergeCell ref="A27:A41"/>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1" manualBreakCount="1">
    <brk id="43"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'NSWOS demersal seiners'!D3:N3</xm:f>
              <xm:sqref>C3</xm:sqref>
            </x14:sparkline>
            <x14:sparkline>
              <xm:f>'NSWOS demersal seiners'!D4:N4</xm:f>
              <xm:sqref>C4</xm:sqref>
            </x14:sparkline>
            <x14:sparkline>
              <xm:f>'NSWOS demersal seiners'!D5:N5</xm:f>
              <xm:sqref>C5</xm:sqref>
            </x14:sparkline>
            <x14:sparkline>
              <xm:f>'NSWOS demersal seiners'!D6:N6</xm:f>
              <xm:sqref>C6</xm:sqref>
            </x14:sparkline>
            <x14:sparkline>
              <xm:f>'NSWOS demersal seiners'!D7:N7</xm:f>
              <xm:sqref>C7</xm:sqref>
            </x14:sparkline>
            <x14:sparkline>
              <xm:f>'NSWOS demersal seiners'!D8:N8</xm:f>
              <xm:sqref>C8</xm:sqref>
            </x14:sparkline>
            <x14:sparkline>
              <xm:f>'NSWOS demersal seiners'!D9:N9</xm:f>
              <xm:sqref>C9</xm:sqref>
            </x14:sparkline>
            <x14:sparkline>
              <xm:f>'NSWOS demersal seiners'!F10:M10</xm:f>
              <xm:sqref>C10</xm:sqref>
            </x14:sparkline>
            <x14:sparkline>
              <xm:f>'NSWOS demersal seiners'!D11:N11</xm:f>
              <xm:sqref>C11</xm:sqref>
            </x14:sparkline>
            <x14:sparkline>
              <xm:f>'NSWOS demersal seiners'!D12:N12</xm:f>
              <xm:sqref>C12</xm:sqref>
            </x14:sparkline>
            <x14:sparkline>
              <xm:f>'NSWOS demersal seiners'!D13:N13</xm:f>
              <xm:sqref>C13</xm:sqref>
            </x14:sparkline>
            <x14:sparkline>
              <xm:f>'NSWOS demersal seiners'!D14:N14</xm:f>
              <xm:sqref>C14</xm:sqref>
            </x14:sparkline>
            <x14:sparkline>
              <xm:f>'NSWOS demersal seiners'!D15:N15</xm:f>
              <xm:sqref>C15</xm:sqref>
            </x14:sparkline>
            <x14:sparkline>
              <xm:f>'NSWOS demersal seiners'!D16:N16</xm:f>
              <xm:sqref>C16</xm:sqref>
            </x14:sparkline>
            <x14:sparkline>
              <xm:f>'NSWOS demersal seiners'!D17:N17</xm:f>
              <xm:sqref>C17</xm:sqref>
            </x14:sparkline>
            <x14:sparkline>
              <xm:f>'NSWOS demersal seiners'!D18:N18</xm:f>
              <xm:sqref>C18</xm:sqref>
            </x14:sparkline>
            <x14:sparkline>
              <xm:f>'NSWOS demersal seiners'!D19:N19</xm:f>
              <xm:sqref>C19</xm:sqref>
            </x14:sparkline>
            <x14:sparkline>
              <xm:f>'NSWOS demersal seiners'!D20:N20</xm:f>
              <xm:sqref>C20</xm:sqref>
            </x14:sparkline>
            <x14:sparkline>
              <xm:f>'NSWOS demersal seiners'!D21:N21</xm:f>
              <xm:sqref>C21</xm:sqref>
            </x14:sparkline>
            <x14:sparkline>
              <xm:f>'NSWOS demersal seiners'!D22:N22</xm:f>
              <xm:sqref>C22</xm:sqref>
            </x14:sparkline>
            <x14:sparkline>
              <xm:f>'NSWOS demersal seiners'!D23:N23</xm:f>
              <xm:sqref>C23</xm:sqref>
            </x14:sparkline>
            <x14:sparkline>
              <xm:f>'NSWOS demersal seiners'!D24:N24</xm:f>
              <xm:sqref>C24</xm:sqref>
            </x14:sparkline>
            <x14:sparkline>
              <xm:f>'NSWOS demersal seiners'!F25:M25</xm:f>
              <xm:sqref>C25</xm:sqref>
            </x14:sparkline>
            <x14:sparkline>
              <xm:f>'NSWOS demersal seiners'!F26:M26</xm:f>
              <xm:sqref>C26</xm:sqref>
            </x14:sparkline>
            <x14:sparkline>
              <xm:f>'NSWOS demersal seiners'!D27:N27</xm:f>
              <xm:sqref>C27</xm:sqref>
            </x14:sparkline>
            <x14:sparkline>
              <xm:f>'NSWOS demersal seiners'!D28:N28</xm:f>
              <xm:sqref>C28</xm:sqref>
            </x14:sparkline>
            <x14:sparkline>
              <xm:f>'NSWOS demersal seiners'!D29:N29</xm:f>
              <xm:sqref>C29</xm:sqref>
            </x14:sparkline>
            <x14:sparkline>
              <xm:f>'NSWOS demersal seiners'!D30:N30</xm:f>
              <xm:sqref>C30</xm:sqref>
            </x14:sparkline>
            <x14:sparkline>
              <xm:f>'NSWOS demersal seiners'!D31:N31</xm:f>
              <xm:sqref>C31</xm:sqref>
            </x14:sparkline>
            <x14:sparkline>
              <xm:f>'NSWOS demersal seiners'!D32:N32</xm:f>
              <xm:sqref>C32</xm:sqref>
            </x14:sparkline>
            <x14:sparkline>
              <xm:f>'NSWOS demersal seiners'!D33:N33</xm:f>
              <xm:sqref>C33</xm:sqref>
            </x14:sparkline>
            <x14:sparkline>
              <xm:f>'NSWOS demersal seiners'!D34:N34</xm:f>
              <xm:sqref>C34</xm:sqref>
            </x14:sparkline>
            <x14:sparkline>
              <xm:f>'NSWOS demersal seiners'!D35:N35</xm:f>
              <xm:sqref>C35</xm:sqref>
            </x14:sparkline>
            <x14:sparkline>
              <xm:f>'NSWOS demersal seiners'!D36:N36</xm:f>
              <xm:sqref>C36</xm:sqref>
            </x14:sparkline>
            <x14:sparkline>
              <xm:f>'NSWOS demersal seiners'!D37:N37</xm:f>
              <xm:sqref>C37</xm:sqref>
            </x14:sparkline>
            <x14:sparkline>
              <xm:f>'NSWOS demersal seiners'!D38:M38</xm:f>
              <xm:sqref>C38</xm:sqref>
            </x14:sparkline>
            <x14:sparkline>
              <xm:f>'NSWOS demersal seiners'!D39:M39</xm:f>
              <xm:sqref>C39</xm:sqref>
            </x14:sparkline>
            <x14:sparkline>
              <xm:f>'NSWOS demersal seiners'!D40:M40</xm:f>
              <xm:sqref>C40</xm:sqref>
            </x14:sparkline>
            <x14:sparkline>
              <xm:f>'NSWOS demersal seiners'!D41:M41</xm:f>
              <xm:sqref>C41</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352</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30</v>
      </c>
      <c r="E3" s="22">
        <v>42</v>
      </c>
      <c r="F3" s="22">
        <v>37</v>
      </c>
      <c r="G3" s="22">
        <v>34</v>
      </c>
      <c r="H3" s="22">
        <v>36</v>
      </c>
      <c r="I3" s="22">
        <v>39</v>
      </c>
      <c r="J3" s="22">
        <v>34</v>
      </c>
      <c r="K3" s="22">
        <v>45</v>
      </c>
      <c r="L3" s="22">
        <v>33</v>
      </c>
      <c r="M3" s="22">
        <v>37</v>
      </c>
      <c r="N3" s="22">
        <v>45</v>
      </c>
      <c r="O3" s="23">
        <f t="shared" ref="O3:O41" si="0">IF(N3=0,"",IFERROR(IF(AND(N3&gt;0,D3&lt;0),"na",IF(AND(N3&lt;0,D3&lt;0),-1,1)*(N3-D3)/D3),""))</f>
        <v>0.5</v>
      </c>
      <c r="P3" s="23">
        <f>IF(N3=0,"",IFERROR(IF(AND(N3&gt;0,J3&lt;0),"na",IF(AND(N3&lt;0,J3&lt;0),-1,1)*(N3-J3)/J3),""))</f>
        <v>0.3235294117647059</v>
      </c>
    </row>
    <row r="4" spans="1:17" ht="18" customHeight="1" x14ac:dyDescent="0.2">
      <c r="A4" s="224"/>
      <c r="B4" s="24" t="s">
        <v>51</v>
      </c>
      <c r="C4" s="25"/>
      <c r="D4" s="26">
        <v>13184</v>
      </c>
      <c r="E4" s="26">
        <v>18770</v>
      </c>
      <c r="F4" s="26">
        <v>16535</v>
      </c>
      <c r="G4" s="26">
        <v>15399</v>
      </c>
      <c r="H4" s="26">
        <v>16019</v>
      </c>
      <c r="I4" s="26">
        <v>17421</v>
      </c>
      <c r="J4" s="26">
        <v>15497</v>
      </c>
      <c r="K4" s="26">
        <v>20290</v>
      </c>
      <c r="L4" s="26">
        <v>14904</v>
      </c>
      <c r="M4" s="26">
        <v>17306</v>
      </c>
      <c r="N4" s="26">
        <v>21066</v>
      </c>
      <c r="O4" s="23">
        <f t="shared" si="0"/>
        <v>0.59784587378640774</v>
      </c>
      <c r="P4" s="23">
        <f t="shared" ref="P4:P41" si="1">IF(N4=0,"",IFERROR(IF(AND(N4&gt;0,J4&lt;0),"na",IF(AND(N4&lt;0,J4&lt;0),-1,1)*(N4-J4)/J4),""))</f>
        <v>0.3593598761050526</v>
      </c>
    </row>
    <row r="5" spans="1:17" ht="18" customHeight="1" x14ac:dyDescent="0.2">
      <c r="A5" s="224"/>
      <c r="B5" s="24" t="s">
        <v>52</v>
      </c>
      <c r="C5" s="25"/>
      <c r="D5" s="26">
        <v>4873</v>
      </c>
      <c r="E5" s="26">
        <v>7006</v>
      </c>
      <c r="F5" s="26">
        <v>6017</v>
      </c>
      <c r="G5" s="26">
        <v>5781</v>
      </c>
      <c r="H5" s="26">
        <v>5874</v>
      </c>
      <c r="I5" s="26">
        <v>6435</v>
      </c>
      <c r="J5" s="26">
        <v>5846</v>
      </c>
      <c r="K5" s="26">
        <v>7434</v>
      </c>
      <c r="L5" s="26">
        <v>5677</v>
      </c>
      <c r="M5" s="26">
        <v>6373</v>
      </c>
      <c r="N5" s="26">
        <v>7886</v>
      </c>
      <c r="O5" s="23">
        <f t="shared" si="0"/>
        <v>0.61830494561871541</v>
      </c>
      <c r="P5" s="23">
        <f t="shared" si="1"/>
        <v>0.34895655148819704</v>
      </c>
      <c r="Q5" s="27"/>
    </row>
    <row r="6" spans="1:17" ht="18" customHeight="1" x14ac:dyDescent="0.2">
      <c r="A6" s="224"/>
      <c r="B6" s="24" t="s">
        <v>53</v>
      </c>
      <c r="C6" s="25"/>
      <c r="D6" s="26">
        <v>10310.68359375</v>
      </c>
      <c r="E6" s="26">
        <v>14581.7587890625</v>
      </c>
      <c r="F6" s="26">
        <v>12782.1416015625</v>
      </c>
      <c r="G6" s="26">
        <v>11930.234375</v>
      </c>
      <c r="H6" s="26">
        <v>12391.1357421875</v>
      </c>
      <c r="I6" s="26">
        <v>13520.2109375</v>
      </c>
      <c r="J6" s="26">
        <v>11982.60546875</v>
      </c>
      <c r="K6" s="26">
        <v>15705.4443359375</v>
      </c>
      <c r="L6" s="26">
        <v>11609.5283203125</v>
      </c>
      <c r="M6" s="26">
        <v>13267.4697265625</v>
      </c>
      <c r="N6" s="26">
        <v>16077.6884765625</v>
      </c>
      <c r="O6" s="23">
        <f t="shared" si="0"/>
        <v>0.55932323306946108</v>
      </c>
      <c r="P6" s="23">
        <f t="shared" si="1"/>
        <v>0.34175230240971044</v>
      </c>
    </row>
    <row r="7" spans="1:17" ht="18" customHeight="1" x14ac:dyDescent="0.2">
      <c r="A7" s="224"/>
      <c r="B7" s="24" t="s">
        <v>54</v>
      </c>
      <c r="C7" s="25"/>
      <c r="D7" s="26">
        <v>10934.9130859375</v>
      </c>
      <c r="E7" s="26">
        <v>14370.8251953125</v>
      </c>
      <c r="F7" s="26">
        <v>12548.1982421875</v>
      </c>
      <c r="G7" s="26">
        <v>11363.1923828125</v>
      </c>
      <c r="H7" s="26">
        <v>11801.38671875</v>
      </c>
      <c r="I7" s="26">
        <v>16048.4794921875</v>
      </c>
      <c r="J7" s="26">
        <v>14166.857421875</v>
      </c>
      <c r="K7" s="26">
        <v>16996.73828125</v>
      </c>
      <c r="L7" s="26">
        <v>15156.5732421875</v>
      </c>
      <c r="M7" s="26">
        <v>18274.49609375</v>
      </c>
      <c r="N7" s="26">
        <v>21006.12890625</v>
      </c>
      <c r="O7" s="23">
        <f t="shared" si="0"/>
        <v>0.92101471142594349</v>
      </c>
      <c r="P7" s="23">
        <f t="shared" si="1"/>
        <v>0.48276560430505233</v>
      </c>
    </row>
    <row r="8" spans="1:17" ht="18" customHeight="1" x14ac:dyDescent="0.2">
      <c r="A8" s="224"/>
      <c r="B8" s="24" t="s">
        <v>55</v>
      </c>
      <c r="C8" s="27"/>
      <c r="D8" s="28">
        <f ca="1">23.8825*OFFSET(D$112,MATCH($N$1,$C$112:$C$113,0)-1,0)</f>
        <v>23.8825</v>
      </c>
      <c r="E8" s="28">
        <f ca="1">28.871606*OFFSET(E$112,MATCH($N$1,$C$112:$C$113,0)-1,0)</f>
        <v>28.871606</v>
      </c>
      <c r="F8" s="28">
        <f ca="1">26.784738*OFFSET(F$112,MATCH($N$1,$C$112:$C$113,0)-1,0)</f>
        <v>26.784738000000001</v>
      </c>
      <c r="G8" s="28">
        <f ca="1">27.024536*OFFSET(G$112,MATCH($N$1,$C$112:$C$113,0)-1,0)</f>
        <v>27.024536000000001</v>
      </c>
      <c r="H8" s="28">
        <f ca="1">24.164724*OFFSET(H$112,MATCH($N$1,$C$112:$C$113,0)-1,0)</f>
        <v>24.164724</v>
      </c>
      <c r="I8" s="28">
        <f ca="1">28.254992*OFFSET(I$112,MATCH($N$1,$C$112:$C$113,0)-1,0)</f>
        <v>28.254992000000001</v>
      </c>
      <c r="J8" s="28">
        <f ca="1">28.191094*OFFSET(J$112,MATCH($N$1,$C$112:$C$113,0)-1,0)</f>
        <v>28.191094</v>
      </c>
      <c r="K8" s="28">
        <f ca="1">32.42348*OFFSET(K$112,MATCH($N$1,$C$112:$C$113,0)-1,0)</f>
        <v>32.423479999999998</v>
      </c>
      <c r="L8" s="28">
        <f ca="1">32.806798*OFFSET(L$112,MATCH($N$1,$C$112:$C$113,0)-1,0)</f>
        <v>32.806798000000001</v>
      </c>
      <c r="M8" s="28">
        <f ca="1">41.842276*OFFSET(M$112,MATCH($N$1,$C$112:$C$113,0)-1,0)</f>
        <v>41.842275999999998</v>
      </c>
      <c r="N8" s="28">
        <v>46.730359999999997</v>
      </c>
      <c r="O8" s="23">
        <f t="shared" ca="1" si="0"/>
        <v>0.95667790222966598</v>
      </c>
      <c r="P8" s="23">
        <f t="shared" ca="1" si="1"/>
        <v>0.65762846947337328</v>
      </c>
    </row>
    <row r="9" spans="1:17" ht="18" customHeight="1" x14ac:dyDescent="0.2">
      <c r="A9" s="224"/>
      <c r="B9" s="24" t="s">
        <v>56</v>
      </c>
      <c r="C9" s="27"/>
      <c r="D9" s="26">
        <v>5795</v>
      </c>
      <c r="E9" s="26">
        <v>7905</v>
      </c>
      <c r="F9" s="26">
        <v>6489</v>
      </c>
      <c r="G9" s="26">
        <v>5405</v>
      </c>
      <c r="H9" s="26">
        <v>5565</v>
      </c>
      <c r="I9" s="26">
        <v>6731</v>
      </c>
      <c r="J9" s="26">
        <v>5861</v>
      </c>
      <c r="K9" s="26">
        <v>8131</v>
      </c>
      <c r="L9" s="26">
        <v>6294</v>
      </c>
      <c r="M9" s="26">
        <v>6678</v>
      </c>
      <c r="N9" s="26">
        <v>9076</v>
      </c>
      <c r="O9" s="23">
        <f t="shared" si="0"/>
        <v>0.56617773943054361</v>
      </c>
      <c r="P9" s="23">
        <f t="shared" si="1"/>
        <v>0.54854120457259858</v>
      </c>
    </row>
    <row r="10" spans="1:17" ht="18" customHeight="1" x14ac:dyDescent="0.2">
      <c r="A10" s="224"/>
      <c r="B10" s="24" t="s">
        <v>57</v>
      </c>
      <c r="C10" s="27"/>
      <c r="D10" s="26"/>
      <c r="E10" s="26">
        <v>187.6541748046875</v>
      </c>
      <c r="F10" s="26">
        <v>336.374267578125</v>
      </c>
      <c r="G10" s="26">
        <v>280.12368774414062</v>
      </c>
      <c r="H10" s="26">
        <v>245.32258605957031</v>
      </c>
      <c r="I10" s="26">
        <v>299.75888061523437</v>
      </c>
      <c r="J10" s="26">
        <v>345.64901733398437</v>
      </c>
      <c r="K10" s="26">
        <v>197.13157653808594</v>
      </c>
      <c r="L10" s="26">
        <v>345.3131103515625</v>
      </c>
      <c r="M10" s="26">
        <v>237.35955810546875</v>
      </c>
      <c r="N10" s="26">
        <v>266.83316040039062</v>
      </c>
      <c r="O10" s="29" t="str">
        <f t="shared" si="0"/>
        <v/>
      </c>
      <c r="P10" s="29">
        <f t="shared" si="1"/>
        <v>-0.22802280053189822</v>
      </c>
    </row>
    <row r="11" spans="1:17" ht="18" customHeight="1" x14ac:dyDescent="0.2">
      <c r="A11" s="225" t="s">
        <v>23</v>
      </c>
      <c r="B11" s="30" t="s">
        <v>58</v>
      </c>
      <c r="C11" s="31"/>
      <c r="D11" s="32">
        <v>21.029666900634766</v>
      </c>
      <c r="E11" s="32">
        <v>20.943809509277344</v>
      </c>
      <c r="F11" s="32">
        <v>20.809459686279297</v>
      </c>
      <c r="G11" s="32">
        <v>20.847940444946289</v>
      </c>
      <c r="H11" s="32">
        <v>20.709999084472656</v>
      </c>
      <c r="I11" s="32">
        <v>20.870769500732422</v>
      </c>
      <c r="J11" s="32">
        <v>20.952352523803711</v>
      </c>
      <c r="K11" s="32">
        <v>20.870000839233398</v>
      </c>
      <c r="L11" s="32">
        <v>21.067575454711914</v>
      </c>
      <c r="M11" s="32">
        <v>20.986486434936523</v>
      </c>
      <c r="N11" s="32">
        <v>20.874444961547852</v>
      </c>
      <c r="O11" s="23">
        <f t="shared" si="0"/>
        <v>-7.3810935674986271E-3</v>
      </c>
      <c r="P11" s="23">
        <f t="shared" si="1"/>
        <v>-3.7183205163882935E-3</v>
      </c>
    </row>
    <row r="12" spans="1:17" ht="18" customHeight="1" x14ac:dyDescent="0.2">
      <c r="A12" s="226"/>
      <c r="B12" s="33" t="s">
        <v>51</v>
      </c>
      <c r="C12" s="25"/>
      <c r="D12" s="26">
        <v>439.4666748046875</v>
      </c>
      <c r="E12" s="26">
        <v>446.90475463867187</v>
      </c>
      <c r="F12" s="26">
        <v>446.89190673828125</v>
      </c>
      <c r="G12" s="26">
        <v>452.91177368164062</v>
      </c>
      <c r="H12" s="26">
        <v>444.97222900390625</v>
      </c>
      <c r="I12" s="26">
        <v>446.69232177734375</v>
      </c>
      <c r="J12" s="26">
        <v>455.79412841796875</v>
      </c>
      <c r="K12" s="26">
        <v>450.88888549804687</v>
      </c>
      <c r="L12" s="26">
        <v>451.6363525390625</v>
      </c>
      <c r="M12" s="26">
        <v>467.729736328125</v>
      </c>
      <c r="N12" s="26">
        <v>468.13333129882813</v>
      </c>
      <c r="O12" s="23">
        <f t="shared" si="0"/>
        <v>6.5230558168900901E-2</v>
      </c>
      <c r="P12" s="23">
        <f t="shared" si="1"/>
        <v>2.707187765601091E-2</v>
      </c>
    </row>
    <row r="13" spans="1:17" ht="18" customHeight="1" x14ac:dyDescent="0.2">
      <c r="A13" s="226"/>
      <c r="B13" s="33" t="s">
        <v>52</v>
      </c>
      <c r="C13" s="25"/>
      <c r="D13" s="26">
        <v>162.43333435058594</v>
      </c>
      <c r="E13" s="26">
        <v>166.80952453613281</v>
      </c>
      <c r="F13" s="26">
        <v>162.62162780761719</v>
      </c>
      <c r="G13" s="26">
        <v>170.0294189453125</v>
      </c>
      <c r="H13" s="26">
        <v>163.16667175292969</v>
      </c>
      <c r="I13" s="26">
        <v>165</v>
      </c>
      <c r="J13" s="26">
        <v>171.94117736816406</v>
      </c>
      <c r="K13" s="26">
        <v>165.19999694824219</v>
      </c>
      <c r="L13" s="26">
        <v>172.03030395507812</v>
      </c>
      <c r="M13" s="26">
        <v>172.24324035644531</v>
      </c>
      <c r="N13" s="26">
        <v>175.24444580078125</v>
      </c>
      <c r="O13" s="23">
        <f t="shared" si="0"/>
        <v>7.8869965339408793E-2</v>
      </c>
      <c r="P13" s="23">
        <f t="shared" si="1"/>
        <v>1.9211619247809147E-2</v>
      </c>
    </row>
    <row r="14" spans="1:17" ht="18" customHeight="1" x14ac:dyDescent="0.2">
      <c r="A14" s="226"/>
      <c r="B14" s="33" t="s">
        <v>53</v>
      </c>
      <c r="C14" s="25"/>
      <c r="D14" s="26">
        <v>343.689453125</v>
      </c>
      <c r="E14" s="26">
        <v>347.18475341796875</v>
      </c>
      <c r="F14" s="26">
        <v>345.46328735351562</v>
      </c>
      <c r="G14" s="26">
        <v>350.88925170898437</v>
      </c>
      <c r="H14" s="26">
        <v>344.19821166992187</v>
      </c>
      <c r="I14" s="26">
        <v>346.67208862304687</v>
      </c>
      <c r="J14" s="26">
        <v>352.42959594726562</v>
      </c>
      <c r="K14" s="26">
        <v>349.00985717773437</v>
      </c>
      <c r="L14" s="26">
        <v>351.80389404296875</v>
      </c>
      <c r="M14" s="26">
        <v>358.58026123046875</v>
      </c>
      <c r="N14" s="26">
        <v>357.28195190429687</v>
      </c>
      <c r="O14" s="23">
        <f t="shared" si="0"/>
        <v>3.9548780609084552E-2</v>
      </c>
      <c r="P14" s="23">
        <f t="shared" si="1"/>
        <v>1.376829872641375E-2</v>
      </c>
    </row>
    <row r="15" spans="1:17" ht="18" customHeight="1" x14ac:dyDescent="0.2">
      <c r="A15" s="226"/>
      <c r="B15" s="33" t="s">
        <v>54</v>
      </c>
      <c r="C15" s="27"/>
      <c r="D15" s="28">
        <v>364.49710083007812</v>
      </c>
      <c r="E15" s="28">
        <v>342.16250610351562</v>
      </c>
      <c r="F15" s="28">
        <v>339.1405029296875</v>
      </c>
      <c r="G15" s="28">
        <v>334.21151733398437</v>
      </c>
      <c r="H15" s="28">
        <v>327.8162841796875</v>
      </c>
      <c r="I15" s="28">
        <v>411.49945068359375</v>
      </c>
      <c r="J15" s="28">
        <v>416.67227172851563</v>
      </c>
      <c r="K15" s="28">
        <v>377.70529174804687</v>
      </c>
      <c r="L15" s="28">
        <v>459.29010009765625</v>
      </c>
      <c r="M15" s="28">
        <v>493.90530395507812</v>
      </c>
      <c r="N15" s="28">
        <v>466.80288696289062</v>
      </c>
      <c r="O15" s="23">
        <f t="shared" si="0"/>
        <v>0.28067654283073595</v>
      </c>
      <c r="P15" s="23">
        <f t="shared" si="1"/>
        <v>0.12031185810952592</v>
      </c>
    </row>
    <row r="16" spans="1:17" ht="18" customHeight="1" x14ac:dyDescent="0.2">
      <c r="A16" s="226"/>
      <c r="B16" s="33" t="s">
        <v>59</v>
      </c>
      <c r="C16" s="27"/>
      <c r="D16" s="28">
        <f ca="1">796.0833125*OFFSET(D$112,MATCH($N$1,$C$112:$C$113,0)-1,0)</f>
        <v>796.08331250000003</v>
      </c>
      <c r="E16" s="28">
        <f ca="1">687.4191875*OFFSET(E$112,MATCH($N$1,$C$112:$C$113,0)-1,0)</f>
        <v>687.41918750000002</v>
      </c>
      <c r="F16" s="28">
        <f ca="1">723.911875*OFFSET(F$112,MATCH($N$1,$C$112:$C$113,0)-1,0)</f>
        <v>723.91187500000001</v>
      </c>
      <c r="G16" s="28">
        <f ca="1">794.83925*OFFSET(G$112,MATCH($N$1,$C$112:$C$113,0)-1,0)</f>
        <v>794.83924999999999</v>
      </c>
      <c r="H16" s="28">
        <f ca="1">671.2423125*OFFSET(H$112,MATCH($N$1,$C$112:$C$113,0)-1,0)</f>
        <v>671.24231250000003</v>
      </c>
      <c r="I16" s="28">
        <f ca="1">724.4869375*OFFSET(I$112,MATCH($N$1,$C$112:$C$113,0)-1,0)</f>
        <v>724.48693749999995</v>
      </c>
      <c r="J16" s="28">
        <f ca="1">829.149875*OFFSET(J$112,MATCH($N$1,$C$112:$C$113,0)-1,0)</f>
        <v>829.14987499999995</v>
      </c>
      <c r="K16" s="28">
        <f ca="1">720.52175*OFFSET(K$112,MATCH($N$1,$C$112:$C$113,0)-1,0)</f>
        <v>720.52175</v>
      </c>
      <c r="L16" s="28">
        <f ca="1">994.145375*OFFSET(L$112,MATCH($N$1,$C$112:$C$113,0)-1,0)</f>
        <v>994.14537499999994</v>
      </c>
      <c r="M16" s="28">
        <f ca="1">1130.872375*OFFSET(M$112,MATCH($N$1,$C$112:$C$113,0)-1,0)</f>
        <v>1130.8723749999999</v>
      </c>
      <c r="N16" s="28">
        <v>1038.4524375000001</v>
      </c>
      <c r="O16" s="23">
        <f t="shared" ca="1" si="0"/>
        <v>0.3044519602337476</v>
      </c>
      <c r="P16" s="23">
        <f t="shared" ca="1" si="1"/>
        <v>0.25243031303598779</v>
      </c>
    </row>
    <row r="17" spans="1:16" ht="18" customHeight="1" x14ac:dyDescent="0.2">
      <c r="A17" s="226"/>
      <c r="B17" s="33" t="s">
        <v>56</v>
      </c>
      <c r="C17" s="25"/>
      <c r="D17" s="26">
        <v>193.16667175292969</v>
      </c>
      <c r="E17" s="26">
        <v>188.21427917480469</v>
      </c>
      <c r="F17" s="26">
        <v>175.37837219238281</v>
      </c>
      <c r="G17" s="26">
        <v>158.9705810546875</v>
      </c>
      <c r="H17" s="26">
        <v>154.58332824707031</v>
      </c>
      <c r="I17" s="26">
        <v>172.58973693847656</v>
      </c>
      <c r="J17" s="26">
        <v>172.38235473632812</v>
      </c>
      <c r="K17" s="26">
        <v>180.68888854980469</v>
      </c>
      <c r="L17" s="26">
        <v>190.72727966308594</v>
      </c>
      <c r="M17" s="26">
        <v>180.48648071289062</v>
      </c>
      <c r="N17" s="26">
        <v>201.68888854980469</v>
      </c>
      <c r="O17" s="23">
        <f t="shared" si="0"/>
        <v>4.4118463705661207E-2</v>
      </c>
      <c r="P17" s="23">
        <f t="shared" si="1"/>
        <v>0.17000889597025826</v>
      </c>
    </row>
    <row r="18" spans="1:16" ht="18" customHeight="1" x14ac:dyDescent="0.2">
      <c r="A18" s="226"/>
      <c r="B18" s="33" t="s">
        <v>60</v>
      </c>
      <c r="C18" s="25"/>
      <c r="D18" s="26">
        <v>17.200000762939453</v>
      </c>
      <c r="E18" s="26">
        <v>16.071428298950195</v>
      </c>
      <c r="F18" s="26">
        <v>17.594594955444336</v>
      </c>
      <c r="G18" s="26">
        <v>16.088235855102539</v>
      </c>
      <c r="H18" s="26">
        <v>17.388889312744141</v>
      </c>
      <c r="I18" s="26">
        <v>18.384614944458008</v>
      </c>
      <c r="J18" s="26">
        <v>18.176469802856445</v>
      </c>
      <c r="K18" s="26">
        <v>20.511110305786133</v>
      </c>
      <c r="L18" s="26">
        <v>20.818181991577148</v>
      </c>
      <c r="M18" s="26">
        <v>19.891891479492188</v>
      </c>
      <c r="N18" s="26">
        <v>20.177778244018555</v>
      </c>
      <c r="O18" s="23">
        <f t="shared" si="0"/>
        <v>0.17312659005779044</v>
      </c>
      <c r="P18" s="23">
        <f t="shared" si="1"/>
        <v>0.11010435265309891</v>
      </c>
    </row>
    <row r="19" spans="1:16" ht="18" customHeight="1" x14ac:dyDescent="0.2">
      <c r="A19" s="226"/>
      <c r="B19" s="33" t="s">
        <v>61</v>
      </c>
      <c r="C19" s="25"/>
      <c r="D19" s="34">
        <v>1.8869564533233643</v>
      </c>
      <c r="E19" s="34">
        <v>1.8179413080215454</v>
      </c>
      <c r="F19" s="34">
        <v>1.9337646961212158</v>
      </c>
      <c r="G19" s="34">
        <v>2.1023483276367187</v>
      </c>
      <c r="H19" s="34">
        <v>2.1206445693969727</v>
      </c>
      <c r="I19" s="34">
        <v>2.3842637538909912</v>
      </c>
      <c r="J19" s="34">
        <v>2.417140007019043</v>
      </c>
      <c r="K19" s="34">
        <v>2.090362548828125</v>
      </c>
      <c r="L19" s="34">
        <v>2.4080986976623535</v>
      </c>
      <c r="M19" s="34">
        <v>2.7365224361419678</v>
      </c>
      <c r="N19" s="34">
        <v>2.3144700527191162</v>
      </c>
      <c r="O19" s="23">
        <f t="shared" si="0"/>
        <v>0.22656251480674194</v>
      </c>
      <c r="P19" s="23">
        <f t="shared" si="1"/>
        <v>-4.2475799499320392E-2</v>
      </c>
    </row>
    <row r="20" spans="1:16" ht="18" customHeight="1" x14ac:dyDescent="0.2">
      <c r="A20" s="227"/>
      <c r="B20" s="35" t="s">
        <v>24</v>
      </c>
      <c r="C20" s="36"/>
      <c r="D20" s="37">
        <f ca="1">2184*OFFSET(D$112,MATCH($N$1,$C$112:$C$113,0)-1,0)</f>
        <v>2184</v>
      </c>
      <c r="E20" s="37">
        <f ca="1">2009*OFFSET(E$112,MATCH($N$1,$C$112:$C$113,0)-1,0)</f>
        <v>2009</v>
      </c>
      <c r="F20" s="37">
        <f ca="1">2135*OFFSET(F$112,MATCH($N$1,$C$112:$C$113,0)-1,0)</f>
        <v>2135</v>
      </c>
      <c r="G20" s="37">
        <f ca="1">2378*OFFSET(G$112,MATCH($N$1,$C$112:$C$113,0)-1,0)</f>
        <v>2378</v>
      </c>
      <c r="H20" s="37">
        <f ca="1">2048*OFFSET(H$112,MATCH($N$1,$C$112:$C$113,0)-1,0)</f>
        <v>2048</v>
      </c>
      <c r="I20" s="37">
        <f ca="1">1761*OFFSET(I$112,MATCH($N$1,$C$112:$C$113,0)-1,0)</f>
        <v>1761</v>
      </c>
      <c r="J20" s="37">
        <f ca="1">1990*OFFSET(J$112,MATCH($N$1,$C$112:$C$113,0)-1,0)</f>
        <v>1990</v>
      </c>
      <c r="K20" s="37">
        <f ca="1">1908*OFFSET(K$112,MATCH($N$1,$C$112:$C$113,0)-1,0)</f>
        <v>1908</v>
      </c>
      <c r="L20" s="37">
        <f ca="1">2165*OFFSET(L$112,MATCH($N$1,$C$112:$C$113,0)-1,0)</f>
        <v>2165</v>
      </c>
      <c r="M20" s="37">
        <f ca="1">2290*OFFSET(M$112,MATCH($N$1,$C$112:$C$113,0)-1,0)</f>
        <v>2290</v>
      </c>
      <c r="N20" s="37">
        <v>2225</v>
      </c>
      <c r="O20" s="29">
        <f t="shared" ca="1" si="0"/>
        <v>1.8772893772893772E-2</v>
      </c>
      <c r="P20" s="29">
        <f t="shared" ca="1" si="1"/>
        <v>0.11809045226130653</v>
      </c>
    </row>
    <row r="21" spans="1:16" ht="18" customHeight="1" x14ac:dyDescent="0.2">
      <c r="A21" s="228" t="s">
        <v>25</v>
      </c>
      <c r="B21" s="30" t="s">
        <v>62</v>
      </c>
      <c r="C21" s="38"/>
      <c r="D21" s="39">
        <v>4.2258948718997313</v>
      </c>
      <c r="E21" s="39">
        <v>3.9944945625075072</v>
      </c>
      <c r="F21" s="39">
        <v>4.2133033256281909</v>
      </c>
      <c r="G21" s="39">
        <v>4.5158836522265746</v>
      </c>
      <c r="H21" s="39">
        <v>4.6135786933189751</v>
      </c>
      <c r="I21" s="39">
        <v>5.2187152787823354</v>
      </c>
      <c r="J21" s="39">
        <v>5.2355957721480388</v>
      </c>
      <c r="K21" s="39">
        <v>4.5318494353780689</v>
      </c>
      <c r="L21" s="39">
        <v>5.2589592879072651</v>
      </c>
      <c r="M21" s="39">
        <v>5.705976385971864</v>
      </c>
      <c r="N21" s="39">
        <v>4.8940274084324935</v>
      </c>
      <c r="O21" s="23">
        <f t="shared" si="0"/>
        <v>0.15810439132680229</v>
      </c>
      <c r="P21" s="23">
        <f t="shared" si="1"/>
        <v>-6.5239636247816757E-2</v>
      </c>
    </row>
    <row r="22" spans="1:16" ht="18" customHeight="1" x14ac:dyDescent="0.2">
      <c r="A22" s="228"/>
      <c r="B22" s="33" t="s">
        <v>63</v>
      </c>
      <c r="C22" s="25"/>
      <c r="D22" s="34">
        <f ca="1">9.22960533907515*OFFSET(D$112,MATCH($N$1,$C$112:$C$113,0)-1,0)</f>
        <v>9.2296053390751496</v>
      </c>
      <c r="E22" s="34">
        <f ca="1">8.02511133642841*OFFSET(E$112,MATCH($N$1,$C$112:$C$113,0)-1,0)</f>
        <v>8.0251113364284095</v>
      </c>
      <c r="F22" s="34">
        <f ca="1">8.99350058176801*OFFSET(F$112,MATCH($N$1,$C$112:$C$113,0)-1,0)</f>
        <v>8.9935005817680107</v>
      </c>
      <c r="G22" s="34">
        <f ca="1">10.7399098746082*OFFSET(G$112,MATCH($N$1,$C$112:$C$113,0)-1,0)</f>
        <v>10.7399098746082</v>
      </c>
      <c r="H22" s="34">
        <f ca="1">9.44684379774947*OFFSET(H$112,MATCH($N$1,$C$112:$C$113,0)-1,0)</f>
        <v>9.4468437977494695</v>
      </c>
      <c r="I22" s="34">
        <f ca="1">9.18808286069047*OFFSET(I$112,MATCH($N$1,$C$112:$C$113,0)-1,0)</f>
        <v>9.1880828606904696</v>
      </c>
      <c r="J22" s="34">
        <f ca="1">10.4184844410658*OFFSET(J$112,MATCH($N$1,$C$112:$C$113,0)-1,0)</f>
        <v>10.4184844410658</v>
      </c>
      <c r="K22" s="34">
        <f ca="1">8.64508959036051*OFFSET(K$112,MATCH($N$1,$C$112:$C$113,0)-1,0)</f>
        <v>8.6450895903605094</v>
      </c>
      <c r="L22" s="34">
        <f ca="1">11.3831542466834*OFFSET(L$112,MATCH($N$1,$C$112:$C$113,0)-1,0)</f>
        <v>11.3831542466834</v>
      </c>
      <c r="M22" s="34">
        <f ca="1">13.0647130444358*OFFSET(M$112,MATCH($N$1,$C$112:$C$113,0)-1,0)</f>
        <v>13.0647130444358</v>
      </c>
      <c r="N22" s="34">
        <v>10.887282048627412</v>
      </c>
      <c r="O22" s="23">
        <f t="shared" ca="1" si="0"/>
        <v>0.17960428952841551</v>
      </c>
      <c r="P22" s="23">
        <f t="shared" ca="1" si="1"/>
        <v>4.4996718113220556E-2</v>
      </c>
    </row>
    <row r="23" spans="1:16" ht="18" customHeight="1" x14ac:dyDescent="0.2">
      <c r="A23" s="228"/>
      <c r="B23" s="33" t="s">
        <v>11</v>
      </c>
      <c r="C23" s="25"/>
      <c r="D23" s="34">
        <f ca="1">8.51270292037962*OFFSET(D$112,MATCH($N$1,$C$112:$C$113,0)-1,0)</f>
        <v>8.5127029203796205</v>
      </c>
      <c r="E23" s="34">
        <f ca="1">7.17984702567635*OFFSET(E$112,MATCH($N$1,$C$112:$C$113,0)-1,0)</f>
        <v>7.1798470256763496</v>
      </c>
      <c r="F23" s="34">
        <f ca="1">7.90548934124139*OFFSET(F$112,MATCH($N$1,$C$112:$C$113,0)-1,0)</f>
        <v>7.90548934124139</v>
      </c>
      <c r="G23" s="34">
        <f ca="1">9.98553307792739*OFFSET(G$112,MATCH($N$1,$C$112:$C$113,0)-1,0)</f>
        <v>9.9855330779273892</v>
      </c>
      <c r="H23" s="34">
        <f ca="1">9.84639236274624*OFFSET(H$112,MATCH($N$1,$C$112:$C$113,0)-1,0)</f>
        <v>9.84639236274624</v>
      </c>
      <c r="I23" s="34">
        <f ca="1">9.03844874194631*OFFSET(I$112,MATCH($N$1,$C$112:$C$113,0)-1,0)</f>
        <v>9.0384487419463095</v>
      </c>
      <c r="J23" s="34">
        <f ca="1">9.26601427767027*OFFSET(J$112,MATCH($N$1,$C$112:$C$113,0)-1,0)</f>
        <v>9.2660142776702692</v>
      </c>
      <c r="K23" s="34">
        <f ca="1">7.91363021873036*OFFSET(K$112,MATCH($N$1,$C$112:$C$113,0)-1,0)</f>
        <v>7.9136302187303604</v>
      </c>
      <c r="L23" s="34">
        <f ca="1">9.86536042651245*OFFSET(L$112,MATCH($N$1,$C$112:$C$113,0)-1,0)</f>
        <v>9.8653604265124493</v>
      </c>
      <c r="M23" s="34">
        <f ca="1">10.9271090356232*OFFSET(M$112,MATCH($N$1,$C$112:$C$113,0)-1,0)</f>
        <v>10.9271090356232</v>
      </c>
      <c r="N23" s="34">
        <v>9.4577839670614487</v>
      </c>
      <c r="O23" s="23">
        <f t="shared" ca="1" si="0"/>
        <v>0.11102009027230128</v>
      </c>
      <c r="P23" s="23">
        <f t="shared" ca="1" si="1"/>
        <v>2.0696027832950385E-2</v>
      </c>
    </row>
    <row r="24" spans="1:16" ht="18" customHeight="1" x14ac:dyDescent="0.2">
      <c r="A24" s="228"/>
      <c r="B24" s="33" t="s">
        <v>12</v>
      </c>
      <c r="C24" s="25"/>
      <c r="D24" s="34">
        <f ca="1">1.07262064629098*OFFSET(D$112,MATCH($N$1,$C$112:$C$113,0)-1,0)</f>
        <v>1.07262064629098</v>
      </c>
      <c r="E24" s="34">
        <f ca="1">0.957394326728468*OFFSET(E$112,MATCH($N$1,$C$112:$C$113,0)-1,0)</f>
        <v>0.95739432672846803</v>
      </c>
      <c r="F24" s="34">
        <f ca="1">1.33659472180929*OFFSET(F$112,MATCH($N$1,$C$112:$C$113,0)-1,0)</f>
        <v>1.33659472180929</v>
      </c>
      <c r="G24" s="34">
        <f ca="1">1.57495589581532*OFFSET(G$112,MATCH($N$1,$C$112:$C$113,0)-1,0)</f>
        <v>1.57495589581532</v>
      </c>
      <c r="H24" s="34">
        <f ca="1">1.01911787326593*OFFSET(H$112,MATCH($N$1,$C$112:$C$113,0)-1,0)</f>
        <v>1.0191178732659301</v>
      </c>
      <c r="I24" s="34">
        <f ca="1">1.80253865789904*OFFSET(I$112,MATCH($N$1,$C$112:$C$113,0)-1,0)</f>
        <v>1.8025386578990401</v>
      </c>
      <c r="J24" s="34">
        <f ca="1">1.80193163398652*OFFSET(J$112,MATCH($N$1,$C$112:$C$113,0)-1,0)</f>
        <v>1.8019316339865199</v>
      </c>
      <c r="K24" s="34">
        <f ca="1">1.12903304727209*OFFSET(K$112,MATCH($N$1,$C$112:$C$113,0)-1,0)</f>
        <v>1.12903304727209</v>
      </c>
      <c r="L24" s="34">
        <f ca="1">2.16372180580602*OFFSET(L$112,MATCH($N$1,$C$112:$C$113,0)-1,0)</f>
        <v>2.1637218058060199</v>
      </c>
      <c r="M24" s="34">
        <f ca="1">4.09728374425407*OFFSET(M$112,MATCH($N$1,$C$112:$C$113,0)-1,0)</f>
        <v>4.0972837442540699</v>
      </c>
      <c r="N24" s="34">
        <v>3.0625677169045966</v>
      </c>
      <c r="O24" s="23">
        <f t="shared" ca="1" si="0"/>
        <v>1.8552198090673195</v>
      </c>
      <c r="P24" s="23">
        <f t="shared" ca="1" si="1"/>
        <v>0.69960261485009667</v>
      </c>
    </row>
    <row r="25" spans="1:16" ht="18" customHeight="1" x14ac:dyDescent="0.2">
      <c r="A25" s="228"/>
      <c r="B25" s="33" t="s">
        <v>64</v>
      </c>
      <c r="C25" s="25"/>
      <c r="D25" s="28"/>
      <c r="E25" s="28">
        <f ca="1">153.85*OFFSET(E$112,MATCH($N$1,$C$112:$C$113,0)-1,0)</f>
        <v>153.85</v>
      </c>
      <c r="F25" s="28">
        <f ca="1">79.63*OFFSET(F$112,MATCH($N$1,$C$112:$C$113,0)-1,0)</f>
        <v>79.63</v>
      </c>
      <c r="G25" s="28">
        <f ca="1">96.47*OFFSET(G$112,MATCH($N$1,$C$112:$C$113,0)-1,0)</f>
        <v>96.47</v>
      </c>
      <c r="H25" s="28">
        <f ca="1">98.5*OFFSET(H$112,MATCH($N$1,$C$112:$C$113,0)-1,0)</f>
        <v>98.5</v>
      </c>
      <c r="I25" s="28">
        <f ca="1">94.26*OFFSET(I$112,MATCH($N$1,$C$112:$C$113,0)-1,0)</f>
        <v>94.26</v>
      </c>
      <c r="J25" s="28">
        <f ca="1">81.55*OFFSET(J$112,MATCH($N$1,$C$112:$C$113,0)-1,0)</f>
        <v>81.55</v>
      </c>
      <c r="K25" s="28">
        <f ca="1">164.47*OFFSET(K$112,MATCH($N$1,$C$112:$C$113,0)-1,0)</f>
        <v>164.47</v>
      </c>
      <c r="L25" s="28">
        <f ca="1">95*OFFSET(L$112,MATCH($N$1,$C$112:$C$113,0)-1,0)</f>
        <v>95</v>
      </c>
      <c r="M25" s="28">
        <f ca="1">176.29*OFFSET(M$112,MATCH($N$1,$C$112:$C$113,0)-1,0)</f>
        <v>176.29</v>
      </c>
      <c r="N25" s="28">
        <v>175.14</v>
      </c>
      <c r="O25" s="23" t="str">
        <f t="shared" si="0"/>
        <v/>
      </c>
      <c r="P25" s="23">
        <f t="shared" ca="1" si="1"/>
        <v>1.1476394849785407</v>
      </c>
    </row>
    <row r="26" spans="1:16" ht="18" customHeight="1" x14ac:dyDescent="0.2">
      <c r="A26" s="229"/>
      <c r="B26" s="33" t="s">
        <v>65</v>
      </c>
      <c r="C26" s="40"/>
      <c r="D26" s="28"/>
      <c r="E26" s="28">
        <f ca="1">18.35*OFFSET(E$112,MATCH($N$1,$C$112:$C$113,0)-1,0)</f>
        <v>18.350000000000001</v>
      </c>
      <c r="F26" s="28">
        <f ca="1">11.84*OFFSET(F$112,MATCH($N$1,$C$112:$C$113,0)-1,0)</f>
        <v>11.84</v>
      </c>
      <c r="G26" s="28">
        <f ca="1">14.15*OFFSET(G$112,MATCH($N$1,$C$112:$C$113,0)-1,0)</f>
        <v>14.15</v>
      </c>
      <c r="H26" s="28">
        <f ca="1">10.62*OFFSET(H$112,MATCH($N$1,$C$112:$C$113,0)-1,0)</f>
        <v>10.62</v>
      </c>
      <c r="I26" s="28">
        <f ca="1">18.49*OFFSET(I$112,MATCH($N$1,$C$112:$C$113,0)-1,0)</f>
        <v>18.489999999999998</v>
      </c>
      <c r="J26" s="28">
        <f ca="1">14.11*OFFSET(J$112,MATCH($N$1,$C$112:$C$113,0)-1,0)</f>
        <v>14.11</v>
      </c>
      <c r="K26" s="28">
        <f ca="1">21.48*OFFSET(K$112,MATCH($N$1,$C$112:$C$113,0)-1,0)</f>
        <v>21.48</v>
      </c>
      <c r="L26" s="28">
        <f ca="1">18.06*OFFSET(L$112,MATCH($N$1,$C$112:$C$113,0)-1,0)</f>
        <v>18.059999999999999</v>
      </c>
      <c r="M26" s="28">
        <f ca="1">55.29*OFFSET(M$112,MATCH($N$1,$C$112:$C$113,0)-1,0)</f>
        <v>55.29</v>
      </c>
      <c r="N26" s="28">
        <v>49.26</v>
      </c>
      <c r="O26" s="29" t="str">
        <f t="shared" si="0"/>
        <v/>
      </c>
      <c r="P26" s="29">
        <f t="shared" ca="1" si="1"/>
        <v>2.4911410347271437</v>
      </c>
    </row>
    <row r="27" spans="1:16" ht="18" customHeight="1" x14ac:dyDescent="0.2">
      <c r="A27" s="230" t="s">
        <v>26</v>
      </c>
      <c r="B27" s="30" t="s">
        <v>59</v>
      </c>
      <c r="C27" s="31"/>
      <c r="D27" s="32">
        <f ca="1">796.1*OFFSET(D$112,MATCH($N$1,$C$112:$C$113,0)-1,0)</f>
        <v>796.1</v>
      </c>
      <c r="E27" s="32">
        <f ca="1">687.4*OFFSET(E$112,MATCH($N$1,$C$112:$C$113,0)-1,0)</f>
        <v>687.4</v>
      </c>
      <c r="F27" s="32">
        <f ca="1">723.9*OFFSET(F$112,MATCH($N$1,$C$112:$C$113,0)-1,0)</f>
        <v>723.9</v>
      </c>
      <c r="G27" s="32">
        <f ca="1">794.8*OFFSET(G$112,MATCH($N$1,$C$112:$C$113,0)-1,0)</f>
        <v>794.8</v>
      </c>
      <c r="H27" s="32">
        <f ca="1">671.2*OFFSET(H$112,MATCH($N$1,$C$112:$C$113,0)-1,0)</f>
        <v>671.2</v>
      </c>
      <c r="I27" s="32">
        <f ca="1">724.5*OFFSET(I$112,MATCH($N$1,$C$112:$C$113,0)-1,0)</f>
        <v>724.5</v>
      </c>
      <c r="J27" s="32">
        <f ca="1">829.1*OFFSET(J$112,MATCH($N$1,$C$112:$C$113,0)-1,0)</f>
        <v>829.1</v>
      </c>
      <c r="K27" s="32">
        <f ca="1">720.5*OFFSET(K$112,MATCH($N$1,$C$112:$C$113,0)-1,0)</f>
        <v>720.5</v>
      </c>
      <c r="L27" s="32">
        <f ca="1">994.1*OFFSET(L$112,MATCH($N$1,$C$112:$C$113,0)-1,0)</f>
        <v>994.1</v>
      </c>
      <c r="M27" s="32">
        <f ca="1">1130.9*OFFSET(M$112,MATCH($N$1,$C$112:$C$113,0)-1,0)</f>
        <v>1130.9000000000001</v>
      </c>
      <c r="N27" s="32">
        <v>1038.5</v>
      </c>
      <c r="O27" s="23">
        <f t="shared" ca="1" si="0"/>
        <v>0.30448436126114808</v>
      </c>
      <c r="P27" s="23">
        <f t="shared" ca="1" si="1"/>
        <v>0.25256302014232296</v>
      </c>
    </row>
    <row r="28" spans="1:16" ht="18" customHeight="1" x14ac:dyDescent="0.2">
      <c r="A28" s="231"/>
      <c r="B28" s="33" t="s">
        <v>66</v>
      </c>
      <c r="C28" s="27"/>
      <c r="D28" s="28">
        <f ca="1">30.7*OFFSET(D$112,MATCH($N$1,$C$112:$C$113,0)-1,0)</f>
        <v>30.7</v>
      </c>
      <c r="E28" s="28">
        <f ca="1">9.6*OFFSET(E$112,MATCH($N$1,$C$112:$C$113,0)-1,0)</f>
        <v>9.6</v>
      </c>
      <c r="F28" s="28">
        <f ca="1">20*OFFSET(F$112,MATCH($N$1,$C$112:$C$113,0)-1,0)</f>
        <v>20</v>
      </c>
      <c r="G28" s="28">
        <f ca="1">60.7*OFFSET(G$112,MATCH($N$1,$C$112:$C$113,0)-1,0)</f>
        <v>60.7</v>
      </c>
      <c r="H28" s="28">
        <f ca="1">100.8*OFFSET(H$112,MATCH($N$1,$C$112:$C$113,0)-1,0)</f>
        <v>100.8</v>
      </c>
      <c r="I28" s="28">
        <f ca="1">130.3*OFFSET(I$112,MATCH($N$1,$C$112:$C$113,0)-1,0)</f>
        <v>130.30000000000001</v>
      </c>
      <c r="J28" s="28">
        <f ca="1">51.7*OFFSET(J$112,MATCH($N$1,$C$112:$C$113,0)-1,0)</f>
        <v>51.7</v>
      </c>
      <c r="K28" s="28">
        <f ca="1">33.1*OFFSET(K$112,MATCH($N$1,$C$112:$C$113,0)-1,0)</f>
        <v>33.1</v>
      </c>
      <c r="L28" s="28">
        <f ca="1">56.4*OFFSET(L$112,MATCH($N$1,$C$112:$C$113,0)-1,0)</f>
        <v>56.4</v>
      </c>
      <c r="M28" s="28">
        <f ca="1">169.6*OFFSET(M$112,MATCH($N$1,$C$112:$C$113,0)-1,0)</f>
        <v>169.6</v>
      </c>
      <c r="N28" s="28">
        <v>155.80000000000001</v>
      </c>
      <c r="O28" s="23">
        <f t="shared" ca="1" si="0"/>
        <v>4.0749185667752448</v>
      </c>
      <c r="P28" s="23">
        <f t="shared" ca="1" si="1"/>
        <v>2.0135396518375241</v>
      </c>
    </row>
    <row r="29" spans="1:16" ht="18" customHeight="1" x14ac:dyDescent="0.2">
      <c r="A29" s="231"/>
      <c r="B29" s="41" t="s">
        <v>67</v>
      </c>
      <c r="C29" s="42"/>
      <c r="D29" s="43">
        <f ca="1">826.8*OFFSET(D$112,MATCH($N$1,$C$112:$C$113,0)-1,0)</f>
        <v>826.8</v>
      </c>
      <c r="E29" s="43">
        <f ca="1">697*OFFSET(E$112,MATCH($N$1,$C$112:$C$113,0)-1,0)</f>
        <v>697</v>
      </c>
      <c r="F29" s="43">
        <f ca="1">743.9*OFFSET(F$112,MATCH($N$1,$C$112:$C$113,0)-1,0)</f>
        <v>743.9</v>
      </c>
      <c r="G29" s="43">
        <f ca="1">855.6*OFFSET(G$112,MATCH($N$1,$C$112:$C$113,0)-1,0)</f>
        <v>855.6</v>
      </c>
      <c r="H29" s="43">
        <f ca="1">772*OFFSET(H$112,MATCH($N$1,$C$112:$C$113,0)-1,0)</f>
        <v>772</v>
      </c>
      <c r="I29" s="43">
        <f ca="1">854.8*OFFSET(I$112,MATCH($N$1,$C$112:$C$113,0)-1,0)</f>
        <v>854.8</v>
      </c>
      <c r="J29" s="43">
        <f ca="1">880.8*OFFSET(J$112,MATCH($N$1,$C$112:$C$113,0)-1,0)</f>
        <v>880.8</v>
      </c>
      <c r="K29" s="43">
        <f ca="1">753.7*OFFSET(K$112,MATCH($N$1,$C$112:$C$113,0)-1,0)</f>
        <v>753.7</v>
      </c>
      <c r="L29" s="43">
        <f ca="1">1050.6*OFFSET(L$112,MATCH($N$1,$C$112:$C$113,0)-1,0)</f>
        <v>1050.5999999999999</v>
      </c>
      <c r="M29" s="43">
        <f ca="1">1300.5*OFFSET(M$112,MATCH($N$1,$C$112:$C$113,0)-1,0)</f>
        <v>1300.5</v>
      </c>
      <c r="N29" s="43">
        <v>1194.2</v>
      </c>
      <c r="O29" s="23">
        <f t="shared" ca="1" si="0"/>
        <v>0.44436381228834071</v>
      </c>
      <c r="P29" s="23">
        <f t="shared" ca="1" si="1"/>
        <v>0.355812897366031</v>
      </c>
    </row>
    <row r="30" spans="1:16" ht="18" customHeight="1" x14ac:dyDescent="0.2">
      <c r="A30" s="231"/>
      <c r="B30" s="33" t="s">
        <v>68</v>
      </c>
      <c r="C30" s="27"/>
      <c r="D30" s="28">
        <f ca="1">196.1*OFFSET(D$112,MATCH($N$1,$C$112:$C$113,0)-1,0)</f>
        <v>196.1</v>
      </c>
      <c r="E30" s="28">
        <f ca="1">133.8*OFFSET(E$112,MATCH($N$1,$C$112:$C$113,0)-1,0)</f>
        <v>133.80000000000001</v>
      </c>
      <c r="F30" s="28">
        <f ca="1">157.4*OFFSET(F$112,MATCH($N$1,$C$112:$C$113,0)-1,0)</f>
        <v>157.4</v>
      </c>
      <c r="G30" s="28">
        <f ca="1">184.2*OFFSET(G$112,MATCH($N$1,$C$112:$C$113,0)-1,0)</f>
        <v>184.2</v>
      </c>
      <c r="H30" s="28">
        <f ca="1">174.9*OFFSET(H$112,MATCH($N$1,$C$112:$C$113,0)-1,0)</f>
        <v>174.9</v>
      </c>
      <c r="I30" s="28">
        <f ca="1">189.8*OFFSET(I$112,MATCH($N$1,$C$112:$C$113,0)-1,0)</f>
        <v>189.8</v>
      </c>
      <c r="J30" s="28">
        <f ca="1">175.4*OFFSET(J$112,MATCH($N$1,$C$112:$C$113,0)-1,0)</f>
        <v>175.4</v>
      </c>
      <c r="K30" s="28">
        <f ca="1">130*OFFSET(K$112,MATCH($N$1,$C$112:$C$113,0)-1,0)</f>
        <v>130</v>
      </c>
      <c r="L30" s="28">
        <f ca="1">127.4*OFFSET(L$112,MATCH($N$1,$C$112:$C$113,0)-1,0)</f>
        <v>127.4</v>
      </c>
      <c r="M30" s="28">
        <f ca="1">151.7*OFFSET(M$112,MATCH($N$1,$C$112:$C$113,0)-1,0)</f>
        <v>151.69999999999999</v>
      </c>
      <c r="N30" s="28">
        <v>200.6</v>
      </c>
      <c r="O30" s="23">
        <f t="shared" ca="1" si="0"/>
        <v>2.2947475777664459E-2</v>
      </c>
      <c r="P30" s="23">
        <f t="shared" ca="1" si="1"/>
        <v>0.14367160775370574</v>
      </c>
    </row>
    <row r="31" spans="1:16" ht="18" customHeight="1" x14ac:dyDescent="0.2">
      <c r="A31" s="231"/>
      <c r="B31" s="33" t="s">
        <v>69</v>
      </c>
      <c r="C31" s="27"/>
      <c r="D31" s="28">
        <f ca="1">197*OFFSET(D$112,MATCH($N$1,$C$112:$C$113,0)-1,0)</f>
        <v>197</v>
      </c>
      <c r="E31" s="28">
        <f ca="1">161.3*OFFSET(E$112,MATCH($N$1,$C$112:$C$113,0)-1,0)</f>
        <v>161.30000000000001</v>
      </c>
      <c r="F31" s="28">
        <f ca="1">146.7*OFFSET(F$112,MATCH($N$1,$C$112:$C$113,0)-1,0)</f>
        <v>146.69999999999999</v>
      </c>
      <c r="G31" s="28">
        <f ca="1">182*OFFSET(G$112,MATCH($N$1,$C$112:$C$113,0)-1,0)</f>
        <v>182</v>
      </c>
      <c r="H31" s="28">
        <f ca="1">170.8*OFFSET(H$112,MATCH($N$1,$C$112:$C$113,0)-1,0)</f>
        <v>170.8</v>
      </c>
      <c r="I31" s="28">
        <f ca="1">164.4*OFFSET(I$112,MATCH($N$1,$C$112:$C$113,0)-1,0)</f>
        <v>164.4</v>
      </c>
      <c r="J31" s="28">
        <f ca="1">167.3*OFFSET(J$112,MATCH($N$1,$C$112:$C$113,0)-1,0)</f>
        <v>167.3</v>
      </c>
      <c r="K31" s="28">
        <f ca="1">162.3*OFFSET(K$112,MATCH($N$1,$C$112:$C$113,0)-1,0)</f>
        <v>162.30000000000001</v>
      </c>
      <c r="L31" s="28">
        <f ca="1">246.7*OFFSET(L$112,MATCH($N$1,$C$112:$C$113,0)-1,0)</f>
        <v>246.7</v>
      </c>
      <c r="M31" s="28">
        <f ca="1">298.9*OFFSET(M$112,MATCH($N$1,$C$112:$C$113,0)-1,0)</f>
        <v>298.89999999999998</v>
      </c>
      <c r="N31" s="28">
        <v>246.70000000000002</v>
      </c>
      <c r="O31" s="23">
        <f t="shared" ca="1" si="0"/>
        <v>0.25228426395939096</v>
      </c>
      <c r="P31" s="23">
        <f t="shared" ca="1" si="1"/>
        <v>0.47459653317393902</v>
      </c>
    </row>
    <row r="32" spans="1:16" ht="18" customHeight="1" x14ac:dyDescent="0.2">
      <c r="A32" s="231"/>
      <c r="B32" s="33" t="s">
        <v>70</v>
      </c>
      <c r="C32" s="27"/>
      <c r="D32" s="28">
        <f ca="1">160.1*OFFSET(D$112,MATCH($N$1,$C$112:$C$113,0)-1,0)</f>
        <v>160.1</v>
      </c>
      <c r="E32" s="28">
        <f ca="1">161.8*OFFSET(E$112,MATCH($N$1,$C$112:$C$113,0)-1,0)</f>
        <v>161.80000000000001</v>
      </c>
      <c r="F32" s="28">
        <f ca="1">171.6*OFFSET(F$112,MATCH($N$1,$C$112:$C$113,0)-1,0)</f>
        <v>171.6</v>
      </c>
      <c r="G32" s="28">
        <f ca="1">197.2*OFFSET(G$112,MATCH($N$1,$C$112:$C$113,0)-1,0)</f>
        <v>197.2</v>
      </c>
      <c r="H32" s="28">
        <f ca="1">190.6*OFFSET(H$112,MATCH($N$1,$C$112:$C$113,0)-1,0)</f>
        <v>190.6</v>
      </c>
      <c r="I32" s="28">
        <f ca="1">177.8*OFFSET(I$112,MATCH($N$1,$C$112:$C$113,0)-1,0)</f>
        <v>177.8</v>
      </c>
      <c r="J32" s="28">
        <f ca="1">215.8*OFFSET(J$112,MATCH($N$1,$C$112:$C$113,0)-1,0)</f>
        <v>215.8</v>
      </c>
      <c r="K32" s="28">
        <f ca="1">216.8*OFFSET(K$112,MATCH($N$1,$C$112:$C$113,0)-1,0)</f>
        <v>216.8</v>
      </c>
      <c r="L32" s="28">
        <f ca="1">298.5*OFFSET(L$112,MATCH($N$1,$C$112:$C$113,0)-1,0)</f>
        <v>298.5</v>
      </c>
      <c r="M32" s="28">
        <f ca="1">319.4*OFFSET(M$112,MATCH($N$1,$C$112:$C$113,0)-1,0)</f>
        <v>319.39999999999998</v>
      </c>
      <c r="N32" s="28">
        <v>293.3</v>
      </c>
      <c r="O32" s="23">
        <f t="shared" ca="1" si="0"/>
        <v>0.83198001249219256</v>
      </c>
      <c r="P32" s="23">
        <f t="shared" ca="1" si="1"/>
        <v>0.35912882298424464</v>
      </c>
    </row>
    <row r="33" spans="1:16" ht="18" customHeight="1" x14ac:dyDescent="0.2">
      <c r="A33" s="231"/>
      <c r="B33" s="33" t="s">
        <v>71</v>
      </c>
      <c r="C33" s="27"/>
      <c r="D33" s="28">
        <f ca="1">553.2*OFFSET(D$112,MATCH($N$1,$C$112:$C$113,0)-1,0)</f>
        <v>553.20000000000005</v>
      </c>
      <c r="E33" s="28">
        <f ca="1">456.9*OFFSET(E$112,MATCH($N$1,$C$112:$C$113,0)-1,0)</f>
        <v>456.9</v>
      </c>
      <c r="F33" s="28">
        <f ca="1">475.7*OFFSET(F$112,MATCH($N$1,$C$112:$C$113,0)-1,0)</f>
        <v>475.7</v>
      </c>
      <c r="G33" s="28">
        <f ca="1">563.3*OFFSET(G$112,MATCH($N$1,$C$112:$C$113,0)-1,0)</f>
        <v>563.29999999999995</v>
      </c>
      <c r="H33" s="28">
        <f ca="1">536.3*OFFSET(H$112,MATCH($N$1,$C$112:$C$113,0)-1,0)</f>
        <v>536.29999999999995</v>
      </c>
      <c r="I33" s="28">
        <f ca="1">532.1*OFFSET(I$112,MATCH($N$1,$C$112:$C$113,0)-1,0)</f>
        <v>532.1</v>
      </c>
      <c r="J33" s="28">
        <f ca="1">558.5*OFFSET(J$112,MATCH($N$1,$C$112:$C$113,0)-1,0)</f>
        <v>558.5</v>
      </c>
      <c r="K33" s="28">
        <f ca="1">509.1*OFFSET(K$112,MATCH($N$1,$C$112:$C$113,0)-1,0)</f>
        <v>509.1</v>
      </c>
      <c r="L33" s="28">
        <f ca="1">672.6*OFFSET(L$112,MATCH($N$1,$C$112:$C$113,0)-1,0)</f>
        <v>672.6</v>
      </c>
      <c r="M33" s="28">
        <f ca="1">769.9*OFFSET(M$112,MATCH($N$1,$C$112:$C$113,0)-1,0)</f>
        <v>769.9</v>
      </c>
      <c r="N33" s="28">
        <v>740.6</v>
      </c>
      <c r="O33" s="23">
        <f t="shared" ca="1" si="0"/>
        <v>0.33875632682574108</v>
      </c>
      <c r="P33" s="23">
        <f t="shared" ca="1" si="1"/>
        <v>0.32605192479856765</v>
      </c>
    </row>
    <row r="34" spans="1:16" ht="18" customHeight="1" x14ac:dyDescent="0.2">
      <c r="A34" s="231"/>
      <c r="B34" s="33" t="s">
        <v>72</v>
      </c>
      <c r="C34" s="27"/>
      <c r="D34" s="28">
        <f ca="1">181.1*OFFSET(D$112,MATCH($N$1,$C$112:$C$113,0)-1,0)</f>
        <v>181.1</v>
      </c>
      <c r="E34" s="28">
        <f ca="1">158.1*OFFSET(E$112,MATCH($N$1,$C$112:$C$113,0)-1,0)</f>
        <v>158.1</v>
      </c>
      <c r="F34" s="28">
        <f ca="1">160.6*OFFSET(F$112,MATCH($N$1,$C$112:$C$113,0)-1,0)</f>
        <v>160.6</v>
      </c>
      <c r="G34" s="28">
        <f ca="1">175.7*OFFSET(G$112,MATCH($N$1,$C$112:$C$113,0)-1,0)</f>
        <v>175.7</v>
      </c>
      <c r="H34" s="28">
        <f ca="1">163.3*OFFSET(H$112,MATCH($N$1,$C$112:$C$113,0)-1,0)</f>
        <v>163.30000000000001</v>
      </c>
      <c r="I34" s="28">
        <f ca="1">180.6*OFFSET(I$112,MATCH($N$1,$C$112:$C$113,0)-1,0)</f>
        <v>180.6</v>
      </c>
      <c r="J34" s="28">
        <f ca="1">178.9*OFFSET(J$112,MATCH($N$1,$C$112:$C$113,0)-1,0)</f>
        <v>178.9</v>
      </c>
      <c r="K34" s="28">
        <f ca="1">150.5*OFFSET(K$112,MATCH($N$1,$C$112:$C$113,0)-1,0)</f>
        <v>150.5</v>
      </c>
      <c r="L34" s="28">
        <f ca="1">189*OFFSET(L$112,MATCH($N$1,$C$112:$C$113,0)-1,0)</f>
        <v>189</v>
      </c>
      <c r="M34" s="28">
        <f ca="1">175.9*OFFSET(M$112,MATCH($N$1,$C$112:$C$113,0)-1,0)</f>
        <v>175.9</v>
      </c>
      <c r="N34" s="28">
        <v>161.5</v>
      </c>
      <c r="O34" s="23">
        <f t="shared" ca="1" si="0"/>
        <v>-0.10822749861954718</v>
      </c>
      <c r="P34" s="23">
        <f t="shared" ca="1" si="1"/>
        <v>-9.7261039686975997E-2</v>
      </c>
    </row>
    <row r="35" spans="1:16" ht="18" customHeight="1" x14ac:dyDescent="0.2">
      <c r="A35" s="231"/>
      <c r="B35" s="33" t="s">
        <v>73</v>
      </c>
      <c r="C35" s="27"/>
      <c r="D35" s="28">
        <f ca="1">734.2*OFFSET(D$112,MATCH($N$1,$C$112:$C$113,0)-1,0)</f>
        <v>734.2</v>
      </c>
      <c r="E35" s="28">
        <f ca="1">615*OFFSET(E$112,MATCH($N$1,$C$112:$C$113,0)-1,0)</f>
        <v>615</v>
      </c>
      <c r="F35" s="28">
        <f ca="1">636.3*OFFSET(F$112,MATCH($N$1,$C$112:$C$113,0)-1,0)</f>
        <v>636.29999999999995</v>
      </c>
      <c r="G35" s="28">
        <f ca="1">739*OFFSET(G$112,MATCH($N$1,$C$112:$C$113,0)-1,0)</f>
        <v>739</v>
      </c>
      <c r="H35" s="28">
        <f ca="1">699.6*OFFSET(H$112,MATCH($N$1,$C$112:$C$113,0)-1,0)</f>
        <v>699.6</v>
      </c>
      <c r="I35" s="28">
        <f ca="1">712.7*OFFSET(I$112,MATCH($N$1,$C$112:$C$113,0)-1,0)</f>
        <v>712.7</v>
      </c>
      <c r="J35" s="28">
        <f ca="1">737.4*OFFSET(J$112,MATCH($N$1,$C$112:$C$113,0)-1,0)</f>
        <v>737.4</v>
      </c>
      <c r="K35" s="28">
        <f ca="1">659.6*OFFSET(K$112,MATCH($N$1,$C$112:$C$113,0)-1,0)</f>
        <v>659.6</v>
      </c>
      <c r="L35" s="28">
        <f ca="1">861.6*OFFSET(L$112,MATCH($N$1,$C$112:$C$113,0)-1,0)</f>
        <v>861.6</v>
      </c>
      <c r="M35" s="28">
        <f ca="1">945.8*OFFSET(M$112,MATCH($N$1,$C$112:$C$113,0)-1,0)</f>
        <v>945.8</v>
      </c>
      <c r="N35" s="28">
        <v>902.1</v>
      </c>
      <c r="O35" s="23">
        <f t="shared" ca="1" si="0"/>
        <v>0.22868428221193132</v>
      </c>
      <c r="P35" s="23">
        <f t="shared" ca="1" si="1"/>
        <v>0.22335231895850291</v>
      </c>
    </row>
    <row r="36" spans="1:16" ht="18" customHeight="1" x14ac:dyDescent="0.2">
      <c r="A36" s="231"/>
      <c r="B36" s="41" t="s">
        <v>74</v>
      </c>
      <c r="C36" s="42"/>
      <c r="D36" s="43">
        <f ca="1">289.5*OFFSET(D$112,MATCH($N$1,$C$112:$C$113,0)-1,0)</f>
        <v>289.5</v>
      </c>
      <c r="E36" s="43">
        <f ca="1">243.3*OFFSET(E$112,MATCH($N$1,$C$112:$C$113,0)-1,0)</f>
        <v>243.3</v>
      </c>
      <c r="F36" s="43">
        <f ca="1">254.3*OFFSET(F$112,MATCH($N$1,$C$112:$C$113,0)-1,0)</f>
        <v>254.3</v>
      </c>
      <c r="G36" s="43">
        <f ca="1">298.6*OFFSET(G$112,MATCH($N$1,$C$112:$C$113,0)-1,0)</f>
        <v>298.60000000000002</v>
      </c>
      <c r="H36" s="43">
        <f ca="1">243.2*OFFSET(H$112,MATCH($N$1,$C$112:$C$113,0)-1,0)</f>
        <v>243.2</v>
      </c>
      <c r="I36" s="43">
        <f ca="1">306.5*OFFSET(I$112,MATCH($N$1,$C$112:$C$113,0)-1,0)</f>
        <v>306.5</v>
      </c>
      <c r="J36" s="43">
        <f ca="1">310.7*OFFSET(J$112,MATCH($N$1,$C$112:$C$113,0)-1,0)</f>
        <v>310.7</v>
      </c>
      <c r="K36" s="43">
        <f ca="1">256.4*OFFSET(K$112,MATCH($N$1,$C$112:$C$113,0)-1,0)</f>
        <v>256.39999999999998</v>
      </c>
      <c r="L36" s="43">
        <f ca="1">435.7*OFFSET(L$112,MATCH($N$1,$C$112:$C$113,0)-1,0)</f>
        <v>435.7</v>
      </c>
      <c r="M36" s="43">
        <f ca="1">653.6*OFFSET(M$112,MATCH($N$1,$C$112:$C$113,0)-1,0)</f>
        <v>653.6</v>
      </c>
      <c r="N36" s="43">
        <v>538.80000000000007</v>
      </c>
      <c r="O36" s="23">
        <f t="shared" ca="1" si="0"/>
        <v>0.86113989637305721</v>
      </c>
      <c r="P36" s="23">
        <f t="shared" ca="1" si="1"/>
        <v>0.73414869649179304</v>
      </c>
    </row>
    <row r="37" spans="1:16" ht="18" customHeight="1" x14ac:dyDescent="0.2">
      <c r="A37" s="231"/>
      <c r="B37" s="41" t="s">
        <v>75</v>
      </c>
      <c r="C37" s="42"/>
      <c r="D37" s="43">
        <f ca="1">92.5*OFFSET(D$112,MATCH($N$1,$C$112:$C$113,0)-1,0)</f>
        <v>92.5</v>
      </c>
      <c r="E37" s="43">
        <f ca="1">82*OFFSET(E$112,MATCH($N$1,$C$112:$C$113,0)-1,0)</f>
        <v>82</v>
      </c>
      <c r="F37" s="43">
        <f ca="1">107.6*OFFSET(F$112,MATCH($N$1,$C$112:$C$113,0)-1,0)</f>
        <v>107.6</v>
      </c>
      <c r="G37" s="43">
        <f ca="1">116.6*OFFSET(G$112,MATCH($N$1,$C$112:$C$113,0)-1,0)</f>
        <v>116.6</v>
      </c>
      <c r="H37" s="43">
        <f ca="1">72.4*OFFSET(H$112,MATCH($N$1,$C$112:$C$113,0)-1,0)</f>
        <v>72.400000000000006</v>
      </c>
      <c r="I37" s="43">
        <f ca="1">142.1*OFFSET(I$112,MATCH($N$1,$C$112:$C$113,0)-1,0)</f>
        <v>142.1</v>
      </c>
      <c r="J37" s="43">
        <f ca="1">143.4*OFFSET(J$112,MATCH($N$1,$C$112:$C$113,0)-1,0)</f>
        <v>143.4</v>
      </c>
      <c r="K37" s="43">
        <f ca="1">94.1*OFFSET(K$112,MATCH($N$1,$C$112:$C$113,0)-1,0)</f>
        <v>94.1</v>
      </c>
      <c r="L37" s="43">
        <f ca="1">189*OFFSET(L$112,MATCH($N$1,$C$112:$C$113,0)-1,0)</f>
        <v>189</v>
      </c>
      <c r="M37" s="43">
        <f ca="1">354.7*OFFSET(M$112,MATCH($N$1,$C$112:$C$113,0)-1,0)</f>
        <v>354.7</v>
      </c>
      <c r="N37" s="43">
        <v>292.10000000000002</v>
      </c>
      <c r="O37" s="23">
        <f t="shared" ca="1" si="0"/>
        <v>2.157837837837838</v>
      </c>
      <c r="P37" s="23">
        <f t="shared" ca="1" si="1"/>
        <v>1.0369595536959555</v>
      </c>
    </row>
    <row r="38" spans="1:16" ht="18" customHeight="1" x14ac:dyDescent="0.2">
      <c r="A38" s="231"/>
      <c r="B38" s="33" t="s">
        <v>76</v>
      </c>
      <c r="C38" s="27"/>
      <c r="D38" s="28">
        <f ca="1">50*OFFSET(D$112,MATCH($N$1,$C$112:$C$113,0)-1,0)</f>
        <v>50</v>
      </c>
      <c r="E38" s="28">
        <f ca="1">55*OFFSET(E$112,MATCH($N$1,$C$112:$C$113,0)-1,0)</f>
        <v>55</v>
      </c>
      <c r="F38" s="28">
        <f ca="1">50.9*OFFSET(F$112,MATCH($N$1,$C$112:$C$113,0)-1,0)</f>
        <v>50.9</v>
      </c>
      <c r="G38" s="28">
        <f ca="1">51.1*OFFSET(G$112,MATCH($N$1,$C$112:$C$113,0)-1,0)</f>
        <v>51.1</v>
      </c>
      <c r="H38" s="28">
        <f ca="1">40.3*OFFSET(H$112,MATCH($N$1,$C$112:$C$113,0)-1,0)</f>
        <v>40.299999999999997</v>
      </c>
      <c r="I38" s="28">
        <f ca="1">49*OFFSET(I$112,MATCH($N$1,$C$112:$C$113,0)-1,0)</f>
        <v>49</v>
      </c>
      <c r="J38" s="28">
        <f ca="1">50.5*OFFSET(J$112,MATCH($N$1,$C$112:$C$113,0)-1,0)</f>
        <v>50.5</v>
      </c>
      <c r="K38" s="28">
        <f ca="1">37*OFFSET(K$112,MATCH($N$1,$C$112:$C$113,0)-1,0)</f>
        <v>37</v>
      </c>
      <c r="L38" s="28">
        <f ca="1">35.3*OFFSET(L$112,MATCH($N$1,$C$112:$C$113,0)-1,0)</f>
        <v>35.299999999999997</v>
      </c>
      <c r="M38" s="28">
        <f ca="1">39.8*OFFSET(M$112,MATCH($N$1,$C$112:$C$113,0)-1,0)</f>
        <v>39.799999999999997</v>
      </c>
      <c r="N38" s="28"/>
      <c r="O38" s="23" t="str">
        <f t="shared" si="0"/>
        <v/>
      </c>
      <c r="P38" s="23" t="str">
        <f t="shared" si="1"/>
        <v/>
      </c>
    </row>
    <row r="39" spans="1:16" ht="18" customHeight="1" x14ac:dyDescent="0.2">
      <c r="A39" s="231"/>
      <c r="B39" s="33" t="s">
        <v>77</v>
      </c>
      <c r="C39" s="27"/>
      <c r="D39" s="28">
        <f ca="1">25.4*OFFSET(D$112,MATCH($N$1,$C$112:$C$113,0)-1,0)</f>
        <v>25.4</v>
      </c>
      <c r="E39" s="28">
        <f ca="1">17.5*OFFSET(E$112,MATCH($N$1,$C$112:$C$113,0)-1,0)</f>
        <v>17.5</v>
      </c>
      <c r="F39" s="28">
        <f ca="1">14.5*OFFSET(F$112,MATCH($N$1,$C$112:$C$113,0)-1,0)</f>
        <v>14.5</v>
      </c>
      <c r="G39" s="28">
        <f ca="1">12.2*OFFSET(G$112,MATCH($N$1,$C$112:$C$113,0)-1,0)</f>
        <v>12.2</v>
      </c>
      <c r="H39" s="28">
        <f ca="1">20*OFFSET(H$112,MATCH($N$1,$C$112:$C$113,0)-1,0)</f>
        <v>20</v>
      </c>
      <c r="I39" s="28">
        <f ca="1">10.6*OFFSET(I$112,MATCH($N$1,$C$112:$C$113,0)-1,0)</f>
        <v>10.6</v>
      </c>
      <c r="J39" s="28">
        <f ca="1">10.2*OFFSET(J$112,MATCH($N$1,$C$112:$C$113,0)-1,0)</f>
        <v>10.199999999999999</v>
      </c>
      <c r="K39" s="28">
        <f ca="1">9.9*OFFSET(K$112,MATCH($N$1,$C$112:$C$113,0)-1,0)</f>
        <v>9.9</v>
      </c>
      <c r="L39" s="28">
        <f ca="1">8.6*OFFSET(L$112,MATCH($N$1,$C$112:$C$113,0)-1,0)</f>
        <v>8.6</v>
      </c>
      <c r="M39" s="28">
        <f ca="1">6.8*OFFSET(M$112,MATCH($N$1,$C$112:$C$113,0)-1,0)</f>
        <v>6.8</v>
      </c>
      <c r="N39" s="28"/>
      <c r="O39" s="23" t="str">
        <f t="shared" si="0"/>
        <v/>
      </c>
      <c r="P39" s="23" t="str">
        <f t="shared" si="1"/>
        <v/>
      </c>
    </row>
    <row r="40" spans="1:16" ht="18" customHeight="1" x14ac:dyDescent="0.2">
      <c r="A40" s="231"/>
      <c r="B40" s="33" t="s">
        <v>78</v>
      </c>
      <c r="C40" s="27"/>
      <c r="D40" s="28"/>
      <c r="E40" s="28">
        <f ca="1">6.3*OFFSET(E$112,MATCH($N$1,$C$112:$C$113,0)-1,0)</f>
        <v>6.3</v>
      </c>
      <c r="F40" s="28">
        <f ca="1">0.2*OFFSET(F$112,MATCH($N$1,$C$112:$C$113,0)-1,0)</f>
        <v>0.2</v>
      </c>
      <c r="G40" s="28">
        <f ca="1">6.7*OFFSET(G$112,MATCH($N$1,$C$112:$C$113,0)-1,0)</f>
        <v>6.7</v>
      </c>
      <c r="H40" s="28">
        <f ca="1">0.9*OFFSET(H$112,MATCH($N$1,$C$112:$C$113,0)-1,0)</f>
        <v>0.9</v>
      </c>
      <c r="I40" s="28">
        <f ca="1">3.3*OFFSET(I$112,MATCH($N$1,$C$112:$C$113,0)-1,0)</f>
        <v>3.3</v>
      </c>
      <c r="J40" s="28">
        <f ca="1">5.2*OFFSET(J$112,MATCH($N$1,$C$112:$C$113,0)-1,0)</f>
        <v>5.2</v>
      </c>
      <c r="K40" s="28">
        <f ca="1">2.8*OFFSET(K$112,MATCH($N$1,$C$112:$C$113,0)-1,0)</f>
        <v>2.8</v>
      </c>
      <c r="L40" s="28">
        <f ca="1">2.1*OFFSET(L$112,MATCH($N$1,$C$112:$C$113,0)-1,0)</f>
        <v>2.1</v>
      </c>
      <c r="M40" s="28">
        <f ca="1">8.1*OFFSET(M$112,MATCH($N$1,$C$112:$C$113,0)-1,0)</f>
        <v>8.1</v>
      </c>
      <c r="N40" s="28"/>
      <c r="O40" s="23" t="str">
        <f t="shared" si="0"/>
        <v/>
      </c>
      <c r="P40" s="23" t="str">
        <f t="shared" si="1"/>
        <v/>
      </c>
    </row>
    <row r="41" spans="1:16" ht="18" customHeight="1" thickBot="1" x14ac:dyDescent="0.25">
      <c r="A41" s="232"/>
      <c r="B41" s="44" t="s">
        <v>79</v>
      </c>
      <c r="C41" s="45"/>
      <c r="D41" s="46">
        <f ca="1">17.1*OFFSET(D$112,MATCH($N$1,$C$112:$C$113,0)-1,0)</f>
        <v>17.100000000000001</v>
      </c>
      <c r="E41" s="46">
        <f ca="1">3.2*OFFSET(E$112,MATCH($N$1,$C$112:$C$113,0)-1,0)</f>
        <v>3.2</v>
      </c>
      <c r="F41" s="46">
        <f ca="1">42.1*OFFSET(F$112,MATCH($N$1,$C$112:$C$113,0)-1,0)</f>
        <v>42.1</v>
      </c>
      <c r="G41" s="46">
        <f ca="1">46.5*OFFSET(G$112,MATCH($N$1,$C$112:$C$113,0)-1,0)</f>
        <v>46.5</v>
      </c>
      <c r="H41" s="46">
        <f ca="1">11.2*OFFSET(H$112,MATCH($N$1,$C$112:$C$113,0)-1,0)</f>
        <v>11.2</v>
      </c>
      <c r="I41" s="46">
        <f ca="1">79.2*OFFSET(I$112,MATCH($N$1,$C$112:$C$113,0)-1,0)</f>
        <v>79.2</v>
      </c>
      <c r="J41" s="46">
        <f ca="1">77.4*OFFSET(J$112,MATCH($N$1,$C$112:$C$113,0)-1,0)</f>
        <v>77.400000000000006</v>
      </c>
      <c r="K41" s="46">
        <f ca="1">44.4*OFFSET(K$112,MATCH($N$1,$C$112:$C$113,0)-1,0)</f>
        <v>44.4</v>
      </c>
      <c r="L41" s="46">
        <f ca="1">142.9*OFFSET(L$112,MATCH($N$1,$C$112:$C$113,0)-1,0)</f>
        <v>142.9</v>
      </c>
      <c r="M41" s="46">
        <f ca="1">299.9*OFFSET(M$112,MATCH($N$1,$C$112:$C$113,0)-1,0)</f>
        <v>299.89999999999998</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NSWOS demersal under 24m over 300kW</v>
      </c>
      <c r="C48" s="97"/>
      <c r="D48" s="97"/>
      <c r="E48" s="97"/>
      <c r="F48" s="97"/>
      <c r="G48" s="97"/>
      <c r="K48" s="97" t="str">
        <f>$B24&amp;CHAR(10)&amp;$A$1</f>
        <v>Operating profit per kW day at sea (£)
NSWOS demersal under 24m over 300kW</v>
      </c>
    </row>
    <row r="49" spans="1:11" s="83" customFormat="1" x14ac:dyDescent="0.2">
      <c r="A49" s="97" t="str">
        <f>$B22&amp;CHAR(10)&amp;$A$1</f>
        <v>Fishing income per kW day at sea (£)
NSWOS demersal under 24m over 300kW</v>
      </c>
    </row>
    <row r="50" spans="1:11" s="83" customFormat="1" x14ac:dyDescent="0.2">
      <c r="A50" s="97" t="str">
        <f>$B20&amp;CHAR(10)&amp;$A$1</f>
        <v>Average price per tonne landed (£)
NSWOS demersal under 24m over 300kW</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NSWOS demersal under 24m over 300kW</v>
      </c>
      <c r="F62" s="97" t="str">
        <f>$B20&amp;CHAR(10)&amp;$A$1</f>
        <v>Average price per tonne landed (£)
NSWOS demersal under 24m over 300kW</v>
      </c>
      <c r="K62" s="97" t="str">
        <f>"Average annual operating profit per vessel (£'000)"&amp;CHAR(10)&amp;$A$1</f>
        <v>Average annual operating profit per vessel (£'000)
NSWOS demersal under 24m over 300kW</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NSWOS demersal under 24m over 300kW</v>
      </c>
      <c r="F76" s="97" t="str">
        <f>"Top 5 landed species by value in "&amp;A77&amp;CHAR(10)&amp;A1</f>
        <v>Top 5 landed species by value in 2017
NSWOS demersal under 24m over 300kW</v>
      </c>
    </row>
    <row r="77" spans="1:9" s="97" customFormat="1" x14ac:dyDescent="0.2">
      <c r="A77" s="97">
        <v>2017</v>
      </c>
      <c r="B77" s="97" t="s">
        <v>353</v>
      </c>
      <c r="C77" s="98">
        <v>0.20951676110682771</v>
      </c>
      <c r="D77" s="99">
        <v>12153634</v>
      </c>
      <c r="G77" s="97" t="s">
        <v>354</v>
      </c>
      <c r="H77" s="98">
        <v>0.28495802875963722</v>
      </c>
      <c r="I77" s="99">
        <v>12153634</v>
      </c>
    </row>
    <row r="78" spans="1:9" s="97" customFormat="1" x14ac:dyDescent="0.2">
      <c r="B78" s="97" t="s">
        <v>355</v>
      </c>
      <c r="C78" s="98">
        <v>0.17263962209542799</v>
      </c>
      <c r="D78" s="99">
        <v>1692097</v>
      </c>
      <c r="G78" s="97" t="s">
        <v>356</v>
      </c>
      <c r="H78" s="98">
        <v>0.16739386405508822</v>
      </c>
      <c r="I78" s="99">
        <v>553960</v>
      </c>
    </row>
    <row r="79" spans="1:9" s="97" customFormat="1" x14ac:dyDescent="0.2">
      <c r="B79" s="97" t="s">
        <v>357</v>
      </c>
      <c r="C79" s="98">
        <v>0.16417317957852379</v>
      </c>
      <c r="D79" s="99">
        <v>553960</v>
      </c>
      <c r="G79" s="97" t="s">
        <v>358</v>
      </c>
      <c r="H79" s="98">
        <v>0.11005917413264532</v>
      </c>
      <c r="I79" s="99">
        <v>3050596</v>
      </c>
    </row>
    <row r="80" spans="1:9" s="97" customFormat="1" x14ac:dyDescent="0.2">
      <c r="B80" s="97" t="s">
        <v>359</v>
      </c>
      <c r="C80" s="98">
        <v>7.2619216586640667E-2</v>
      </c>
      <c r="D80" s="99">
        <v>11115023</v>
      </c>
      <c r="G80" s="97" t="s">
        <v>360</v>
      </c>
      <c r="H80" s="98">
        <v>0.10697390190378804</v>
      </c>
      <c r="I80" s="99">
        <v>1692097</v>
      </c>
    </row>
    <row r="81" spans="1:18" s="97" customFormat="1" x14ac:dyDescent="0.2">
      <c r="B81" s="97" t="s">
        <v>361</v>
      </c>
      <c r="C81" s="98">
        <v>7.1447636584114085E-2</v>
      </c>
      <c r="D81" s="99">
        <v>2480382</v>
      </c>
      <c r="G81" s="97" t="s">
        <v>362</v>
      </c>
      <c r="H81" s="98">
        <v>5.9896070159524986E-2</v>
      </c>
      <c r="I81" s="99">
        <v>3689192</v>
      </c>
    </row>
    <row r="82" spans="1:18" s="97" customFormat="1" x14ac:dyDescent="0.2">
      <c r="B82" s="97" t="s">
        <v>363</v>
      </c>
      <c r="C82" s="98">
        <v>0.30960358404846566</v>
      </c>
      <c r="D82" s="99">
        <v>5920853</v>
      </c>
      <c r="G82" s="97" t="s">
        <v>364</v>
      </c>
      <c r="H82" s="98">
        <v>0.27071896098931614</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121</v>
      </c>
      <c r="D92" s="102">
        <v>0.3219342478582749</v>
      </c>
      <c r="E92" s="102">
        <v>0.24683016030351709</v>
      </c>
      <c r="F92" s="102">
        <v>0.26215008222703601</v>
      </c>
      <c r="G92" s="102">
        <v>0.22334887057604921</v>
      </c>
      <c r="H92" s="102">
        <v>0.20877589339854555</v>
      </c>
      <c r="I92" s="102">
        <v>0.20885299978592098</v>
      </c>
      <c r="J92" s="102">
        <v>0.25508867845839367</v>
      </c>
      <c r="K92" s="102">
        <v>0.29532353105989179</v>
      </c>
      <c r="L92" s="102">
        <v>0.28495802875963722</v>
      </c>
      <c r="M92" s="102">
        <v>0.27418102492683555</v>
      </c>
      <c r="O92" s="97">
        <v>12153634</v>
      </c>
    </row>
    <row r="93" spans="1:18" s="97" customFormat="1" hidden="1" x14ac:dyDescent="0.2">
      <c r="B93" s="97">
        <v>2</v>
      </c>
      <c r="C93" s="97" t="s">
        <v>97</v>
      </c>
      <c r="D93" s="102">
        <v>0.12168287047302789</v>
      </c>
      <c r="E93" s="102">
        <v>0.14689738780462797</v>
      </c>
      <c r="F93" s="102">
        <v>0.14280775600669515</v>
      </c>
      <c r="G93" s="102">
        <v>0.14881319210730032</v>
      </c>
      <c r="H93" s="102">
        <v>0.14053867994880148</v>
      </c>
      <c r="I93" s="102">
        <v>0.15020086750447159</v>
      </c>
      <c r="J93" s="102">
        <v>0.14744146143074563</v>
      </c>
      <c r="K93" s="102">
        <v>0.15335816214068138</v>
      </c>
      <c r="L93" s="102">
        <v>0.16739386405508822</v>
      </c>
      <c r="M93" s="102">
        <v>0.16878299246999168</v>
      </c>
      <c r="O93" s="97">
        <v>553960</v>
      </c>
    </row>
    <row r="94" spans="1:18" s="97" customFormat="1" hidden="1" x14ac:dyDescent="0.2">
      <c r="B94" s="97">
        <v>3</v>
      </c>
      <c r="C94" s="97" t="s">
        <v>93</v>
      </c>
      <c r="D94" s="102">
        <v>0.13238978563794429</v>
      </c>
      <c r="E94" s="102"/>
      <c r="F94" s="102">
        <v>7.8030921744673978E-2</v>
      </c>
      <c r="G94" s="102">
        <v>0.12403411513664173</v>
      </c>
      <c r="H94" s="102">
        <v>0.10274045822228119</v>
      </c>
      <c r="I94" s="102">
        <v>0.12698797115171784</v>
      </c>
      <c r="J94" s="102">
        <v>0.14539436123514304</v>
      </c>
      <c r="K94" s="102">
        <v>0.10490004783077564</v>
      </c>
      <c r="L94" s="102">
        <v>0.11005917413264532</v>
      </c>
      <c r="M94" s="102">
        <v>0.15048469560260183</v>
      </c>
      <c r="O94" s="97">
        <v>3050596</v>
      </c>
    </row>
    <row r="95" spans="1:18" s="97" customFormat="1" hidden="1" x14ac:dyDescent="0.2">
      <c r="B95" s="97">
        <v>4</v>
      </c>
      <c r="C95" s="97" t="s">
        <v>16</v>
      </c>
      <c r="D95" s="102">
        <v>0.10087473108461084</v>
      </c>
      <c r="E95" s="102">
        <v>0.10150634890795365</v>
      </c>
      <c r="F95" s="102">
        <v>9.5370990969775471E-2</v>
      </c>
      <c r="G95" s="102">
        <v>0.12711800160679612</v>
      </c>
      <c r="H95" s="102">
        <v>0.1915429680282755</v>
      </c>
      <c r="I95" s="102">
        <v>0.19227705427281416</v>
      </c>
      <c r="J95" s="102">
        <v>0.146299239451432</v>
      </c>
      <c r="K95" s="102">
        <v>0.11687707363737342</v>
      </c>
      <c r="L95" s="102">
        <v>0.10697390190378804</v>
      </c>
      <c r="M95" s="102">
        <v>0.10290714644612196</v>
      </c>
      <c r="O95" s="97">
        <v>1692097</v>
      </c>
    </row>
    <row r="96" spans="1:18" s="97" customFormat="1" hidden="1" x14ac:dyDescent="0.2">
      <c r="B96" s="97">
        <v>5</v>
      </c>
      <c r="C96" s="97" t="s">
        <v>168</v>
      </c>
      <c r="D96" s="102">
        <v>0.11293617333632636</v>
      </c>
      <c r="E96" s="102">
        <v>0.10203311387018492</v>
      </c>
      <c r="F96" s="102">
        <v>0.11426251850638043</v>
      </c>
      <c r="G96" s="102">
        <v>0.1194510059861391</v>
      </c>
      <c r="H96" s="102">
        <v>9.469733228248485E-2</v>
      </c>
      <c r="I96" s="102">
        <v>7.7703531947885845E-2</v>
      </c>
      <c r="J96" s="102">
        <v>5.6568036055150386E-2</v>
      </c>
      <c r="K96" s="102"/>
      <c r="L96" s="102">
        <v>5.9896070159524986E-2</v>
      </c>
      <c r="M96" s="102">
        <v>6.3029655667108067E-2</v>
      </c>
      <c r="O96" s="97">
        <v>3689192</v>
      </c>
    </row>
    <row r="97" spans="1:15" s="97" customFormat="1" hidden="1" x14ac:dyDescent="0.2">
      <c r="B97" s="97">
        <v>6</v>
      </c>
      <c r="C97" s="97" t="s">
        <v>137</v>
      </c>
      <c r="D97" s="102"/>
      <c r="E97" s="102">
        <v>9.6348640923539661E-2</v>
      </c>
      <c r="F97" s="102"/>
      <c r="G97" s="102"/>
      <c r="H97" s="102"/>
      <c r="I97" s="102"/>
      <c r="J97" s="102"/>
      <c r="K97" s="102">
        <v>7.1527491717190847E-2</v>
      </c>
      <c r="L97" s="102"/>
      <c r="M97" s="102"/>
      <c r="O97" s="97">
        <v>11115023</v>
      </c>
    </row>
    <row r="98" spans="1:15" s="97" customFormat="1" hidden="1" x14ac:dyDescent="0.2">
      <c r="B98" s="97">
        <v>7</v>
      </c>
      <c r="C98" s="97" t="s">
        <v>101</v>
      </c>
      <c r="D98" s="102">
        <v>0.21018219160981572</v>
      </c>
      <c r="E98" s="102">
        <v>0.30638434819017674</v>
      </c>
      <c r="F98" s="102">
        <v>0.30737773054543893</v>
      </c>
      <c r="G98" s="102">
        <v>0.25723481458707353</v>
      </c>
      <c r="H98" s="102">
        <v>0.26170466811961141</v>
      </c>
      <c r="I98" s="102">
        <v>0.24397757533718958</v>
      </c>
      <c r="J98" s="102">
        <v>0.24920822336913526</v>
      </c>
      <c r="K98" s="102">
        <v>0.25801369361408694</v>
      </c>
      <c r="L98" s="102">
        <v>0.27071896098931625</v>
      </c>
      <c r="M98" s="102">
        <v>0.24061448488734091</v>
      </c>
      <c r="O98" s="97">
        <v>5920853</v>
      </c>
    </row>
    <row r="99" spans="1:15" s="97" customFormat="1" hidden="1" x14ac:dyDescent="0.2">
      <c r="B99" s="97">
        <v>8</v>
      </c>
      <c r="D99" s="102"/>
      <c r="E99" s="102"/>
      <c r="F99" s="102"/>
      <c r="G99" s="102"/>
      <c r="H99" s="102"/>
      <c r="I99" s="102"/>
      <c r="J99" s="102"/>
      <c r="K99" s="102"/>
      <c r="L99" s="102"/>
      <c r="M99" s="102"/>
      <c r="O99" s="97">
        <v>7434864</v>
      </c>
    </row>
    <row r="100" spans="1:15" s="97" customFormat="1" hidden="1" x14ac:dyDescent="0.2">
      <c r="B100" s="97">
        <v>9</v>
      </c>
      <c r="D100" s="102"/>
      <c r="E100" s="102"/>
      <c r="F100" s="102"/>
      <c r="G100" s="102"/>
      <c r="H100" s="102"/>
      <c r="I100" s="102"/>
      <c r="J100" s="102"/>
      <c r="K100" s="102"/>
      <c r="L100" s="102"/>
      <c r="M100" s="102"/>
      <c r="O100" s="97">
        <v>8497745</v>
      </c>
    </row>
    <row r="101" spans="1:15" s="97" customFormat="1" hidden="1" x14ac:dyDescent="0.2">
      <c r="B101" s="97">
        <v>10</v>
      </c>
      <c r="D101" s="102"/>
      <c r="E101" s="102"/>
      <c r="F101" s="102"/>
      <c r="G101" s="102"/>
      <c r="H101" s="102"/>
      <c r="I101" s="102"/>
      <c r="J101" s="102"/>
      <c r="K101" s="102"/>
      <c r="L101" s="102"/>
      <c r="M101" s="102"/>
      <c r="O101" s="97">
        <v>14393110</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8</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9</v>
      </c>
      <c r="D120" s="56">
        <v>19</v>
      </c>
      <c r="E120" s="56">
        <v>9</v>
      </c>
      <c r="F120" s="57">
        <v>37</v>
      </c>
    </row>
    <row r="121" spans="1:14" ht="18" customHeight="1" x14ac:dyDescent="0.2">
      <c r="A121" s="225" t="s">
        <v>23</v>
      </c>
      <c r="B121" s="30" t="s">
        <v>58</v>
      </c>
      <c r="C121" s="58">
        <v>19.946666717529297</v>
      </c>
      <c r="D121" s="58">
        <v>21.253158067402087</v>
      </c>
      <c r="E121" s="58">
        <v>21.463333129882812</v>
      </c>
      <c r="F121" s="59">
        <v>20.986486434936523</v>
      </c>
    </row>
    <row r="122" spans="1:14" ht="18" customHeight="1" x14ac:dyDescent="0.2">
      <c r="A122" s="226"/>
      <c r="B122" s="33" t="s">
        <v>51</v>
      </c>
      <c r="C122" s="60">
        <v>443.33334350585937</v>
      </c>
      <c r="D122" s="60">
        <v>470.68421695106906</v>
      </c>
      <c r="E122" s="60">
        <v>485.88888549804687</v>
      </c>
      <c r="F122" s="61">
        <v>467.729736328125</v>
      </c>
    </row>
    <row r="123" spans="1:14" ht="18" customHeight="1" x14ac:dyDescent="0.2">
      <c r="A123" s="226"/>
      <c r="B123" s="33" t="s">
        <v>52</v>
      </c>
      <c r="C123" s="60">
        <v>175.77777099609375</v>
      </c>
      <c r="D123" s="60">
        <v>172.00000321237664</v>
      </c>
      <c r="E123" s="60">
        <v>169.22222900390625</v>
      </c>
      <c r="F123" s="61">
        <v>172.24324035644531</v>
      </c>
    </row>
    <row r="124" spans="1:14" ht="18" customHeight="1" x14ac:dyDescent="0.2">
      <c r="A124" s="226"/>
      <c r="B124" s="33" t="s">
        <v>53</v>
      </c>
      <c r="C124" s="60">
        <v>343.47705078125</v>
      </c>
      <c r="D124" s="60">
        <v>362.04049843236021</v>
      </c>
      <c r="E124" s="60">
        <v>366.3785400390625</v>
      </c>
      <c r="F124" s="61">
        <v>358.58026123046875</v>
      </c>
    </row>
    <row r="125" spans="1:14" ht="18" customHeight="1" x14ac:dyDescent="0.2">
      <c r="A125" s="226"/>
      <c r="B125" s="33" t="s">
        <v>54</v>
      </c>
      <c r="C125" s="28">
        <v>704.35357666015625</v>
      </c>
      <c r="D125" s="28">
        <v>508.682373046875</v>
      </c>
      <c r="E125" s="28">
        <v>252.260986328125</v>
      </c>
      <c r="F125" s="62">
        <v>493.90530395507812</v>
      </c>
    </row>
    <row r="126" spans="1:14" ht="18" customHeight="1" x14ac:dyDescent="0.2">
      <c r="A126" s="226"/>
      <c r="B126" s="33" t="s">
        <v>59</v>
      </c>
      <c r="C126" s="28">
        <f ca="1">1633.681*OFFSET($L$112,MATCH($N$1,$C$112:$C$113,0)-1,0)</f>
        <v>1633.681</v>
      </c>
      <c r="D126" s="28">
        <f ca="1">1159.542375*OFFSET($L$112,MATCH($N$1,$C$112:$C$113,0)-1,0)</f>
        <v>1159.542375</v>
      </c>
      <c r="E126" s="28">
        <f ca="1">567.53825*OFFSET($L$112,MATCH($N$1,$C$112:$C$113,0)-1,0)</f>
        <v>567.53824999999995</v>
      </c>
      <c r="F126" s="62">
        <f ca="1">1130.872375*OFFSET($L$112,MATCH($N$1,$C$112:$C$113,0)-1,0)</f>
        <v>1130.8723749999999</v>
      </c>
    </row>
    <row r="127" spans="1:14" ht="18" customHeight="1" x14ac:dyDescent="0.2">
      <c r="A127" s="226"/>
      <c r="B127" s="33" t="s">
        <v>56</v>
      </c>
      <c r="C127" s="60">
        <v>192.44444274902344</v>
      </c>
      <c r="D127" s="60">
        <v>184.63158135665091</v>
      </c>
      <c r="E127" s="60">
        <v>159.77777099609375</v>
      </c>
      <c r="F127" s="61">
        <v>180.48648071289062</v>
      </c>
    </row>
    <row r="128" spans="1:14" ht="18" customHeight="1" x14ac:dyDescent="0.2">
      <c r="A128" s="226"/>
      <c r="B128" s="33" t="s">
        <v>60</v>
      </c>
      <c r="C128" s="60">
        <v>16.111110687255859</v>
      </c>
      <c r="D128" s="60">
        <v>20.842105062384356</v>
      </c>
      <c r="E128" s="60">
        <v>21.666666030883789</v>
      </c>
      <c r="F128" s="61">
        <v>19.891891479492188</v>
      </c>
    </row>
    <row r="129" spans="1:14" ht="18" customHeight="1" x14ac:dyDescent="0.2">
      <c r="A129" s="226"/>
      <c r="B129" s="33" t="s">
        <v>61</v>
      </c>
      <c r="C129" s="63">
        <v>3.6600358486175537</v>
      </c>
      <c r="D129" s="63">
        <v>2.7551211407557545</v>
      </c>
      <c r="E129" s="63">
        <v>1.5788240432739258</v>
      </c>
      <c r="F129" s="64">
        <v>2.7365224361419678</v>
      </c>
    </row>
    <row r="130" spans="1:14" ht="18" customHeight="1" x14ac:dyDescent="0.2">
      <c r="A130" s="227"/>
      <c r="B130" s="35" t="s">
        <v>24</v>
      </c>
      <c r="C130" s="37">
        <f ca="1">2319.40470544133*OFFSET($L$112,MATCH($N$1,$C$112:$C$113,0)-1,0)</f>
        <v>2319.40470544133</v>
      </c>
      <c r="D130" s="37">
        <f ca="1">2279.50178036373*OFFSET($L$112,MATCH($N$1,$C$112:$C$113,0)-1,0)</f>
        <v>2279.5017803637302</v>
      </c>
      <c r="E130" s="37">
        <f ca="1">2249.80587866957*OFFSET($L$112,MATCH($N$1,$C$112:$C$113,0)-1,0)</f>
        <v>2249.8058786695701</v>
      </c>
      <c r="F130" s="65">
        <f ca="1">2290*OFFSET($L$112,MATCH($N$1,$C$112:$C$113,0)-1,0)</f>
        <v>2290</v>
      </c>
    </row>
    <row r="131" spans="1:14" ht="18" customHeight="1" x14ac:dyDescent="0.2">
      <c r="A131" s="239" t="s">
        <v>25</v>
      </c>
      <c r="B131" s="30" t="s">
        <v>62</v>
      </c>
      <c r="C131" s="66">
        <v>7.8765512073086414</v>
      </c>
      <c r="D131" s="66">
        <v>5.7295020721354106</v>
      </c>
      <c r="E131" s="66">
        <v>3.1931770421281644</v>
      </c>
      <c r="F131" s="67">
        <v>5.705976385971864</v>
      </c>
    </row>
    <row r="132" spans="1:14" ht="18" customHeight="1" x14ac:dyDescent="0.2">
      <c r="A132" s="228"/>
      <c r="B132" s="33" t="s">
        <v>63</v>
      </c>
      <c r="C132" s="63">
        <f ca="1">18.2689099328813*OFFSET($L$112,MATCH($N$1,$C$112:$C$113,0)-1,0)</f>
        <v>18.2689099328813</v>
      </c>
      <c r="D132" s="63">
        <f ca="1">13.0604101740304*OFFSET($L$112,MATCH($N$1,$C$112:$C$113,0)-1,0)</f>
        <v>13.0604101740304</v>
      </c>
      <c r="E132" s="63">
        <f ca="1">7.18402848101266*OFFSET($L$112,MATCH($N$1,$C$112:$C$113,0)-1,0)</f>
        <v>7.1840284810126596</v>
      </c>
      <c r="F132" s="64">
        <f ca="1">13.0647130444358*OFFSET($L$112,MATCH($N$1,$C$112:$C$113,0)-1,0)</f>
        <v>13.0647130444358</v>
      </c>
    </row>
    <row r="133" spans="1:14" ht="18" customHeight="1" x14ac:dyDescent="0.2">
      <c r="A133" s="228"/>
      <c r="B133" s="33" t="s">
        <v>11</v>
      </c>
      <c r="C133" s="63">
        <f ca="1">11.6073171682064*OFFSET($L$112,MATCH($N$1,$C$112:$C$113,0)-1,0)</f>
        <v>11.6073171682064</v>
      </c>
      <c r="D133" s="63">
        <f ca="1">9.0032049054852*OFFSET($L$112,MATCH($N$1,$C$112:$C$113,0)-1,0)</f>
        <v>9.0032049054851999</v>
      </c>
      <c r="E133" s="63">
        <f ca="1">5.89432763053797*OFFSET($L$112,MATCH($N$1,$C$112:$C$113,0)-1,0)</f>
        <v>5.8943276305379699</v>
      </c>
      <c r="F133" s="64">
        <f ca="1">8.96742930018168*OFFSET($L$112,MATCH($N$1,$C$112:$C$113,0)-1,0)</f>
        <v>8.9674293001816796</v>
      </c>
    </row>
    <row r="134" spans="1:14" ht="18" customHeight="1" x14ac:dyDescent="0.2">
      <c r="A134" s="229"/>
      <c r="B134" s="35" t="s">
        <v>12</v>
      </c>
      <c r="C134" s="68">
        <f ca="1">6.66159276467493*OFFSET($L$112,MATCH($N$1,$C$112:$C$113,0)-1,0)</f>
        <v>6.6615927646749302</v>
      </c>
      <c r="D134" s="68">
        <f ca="1">4.05720526854517*OFFSET($L$112,MATCH($N$1,$C$112:$C$113,0)-1,0)</f>
        <v>4.0572052685451698</v>
      </c>
      <c r="E134" s="68">
        <f ca="1">1.28970085047468*OFFSET($L$112,MATCH($N$1,$C$112:$C$113,0)-1,0)</f>
        <v>1.2897008504746801</v>
      </c>
      <c r="F134" s="69">
        <f ca="1">4.09728374425407*OFFSET($L$112,MATCH($N$1,$C$112:$C$113,0)-1,0)</f>
        <v>4.0972837442540699</v>
      </c>
    </row>
    <row r="135" spans="1:14" ht="18" customHeight="1" x14ac:dyDescent="0.2">
      <c r="A135" s="240" t="s">
        <v>45</v>
      </c>
      <c r="B135" s="33" t="s">
        <v>102</v>
      </c>
      <c r="C135" s="70">
        <f ca="1">135.740703125*OFFSET($L$112,MATCH($N$1,$C$112:$C$113,0)-1,0)</f>
        <v>135.74070312500001</v>
      </c>
      <c r="D135" s="70">
        <f ca="1">158.950850328947*OFFSET($L$112,MATCH($N$1,$C$112:$C$113,0)-1,0)</f>
        <v>158.95085032894701</v>
      </c>
      <c r="E135" s="70">
        <f ca="1">152.2174375*OFFSET($L$112,MATCH($N$1,$C$112:$C$113,0)-1,0)</f>
        <v>152.21743749999999</v>
      </c>
      <c r="F135" s="71">
        <f ca="1">151.66728125*OFFSET($L$112,MATCH($N$1,$C$112:$C$113,0)-1,0)</f>
        <v>151.66728125</v>
      </c>
    </row>
    <row r="136" spans="1:14" ht="18" customHeight="1" x14ac:dyDescent="0.2">
      <c r="A136" s="241"/>
      <c r="B136" s="33" t="s">
        <v>103</v>
      </c>
      <c r="C136" s="26">
        <v>320177.77370920591</v>
      </c>
      <c r="D136" s="26">
        <v>374599.99312168441</v>
      </c>
      <c r="E136" s="26">
        <v>357288.88039712608</v>
      </c>
      <c r="F136" s="72">
        <v>357151.35135135136</v>
      </c>
    </row>
    <row r="137" spans="1:14" ht="18" customHeight="1" x14ac:dyDescent="0.2">
      <c r="A137" s="241"/>
      <c r="B137" s="33" t="s">
        <v>104</v>
      </c>
      <c r="C137" s="26">
        <v>1663.7413330078125</v>
      </c>
      <c r="D137" s="26">
        <v>2028.9052954492843</v>
      </c>
      <c r="E137" s="26">
        <v>2236.161376953125</v>
      </c>
      <c r="F137" s="72">
        <v>1978.8260498046875</v>
      </c>
    </row>
    <row r="138" spans="1:14" ht="18" customHeight="1" x14ac:dyDescent="0.2">
      <c r="A138" s="241"/>
      <c r="B138" s="33" t="s">
        <v>105</v>
      </c>
      <c r="C138" s="26">
        <f ca="1">705.350080189254*OFFSET($L$112,MATCH($N$1,$C$112:$C$113,0)-1,0)</f>
        <v>705.35008018925396</v>
      </c>
      <c r="D138" s="26">
        <f ca="1">860.908243113098*OFFSET($L$112,MATCH($N$1,$C$112:$C$113,0)-1,0)</f>
        <v>860.90824311309802</v>
      </c>
      <c r="E138" s="26">
        <f ca="1">952.682194469476*OFFSET($L$112,MATCH($N$1,$C$112:$C$113,0)-1,0)</f>
        <v>952.68219446947603</v>
      </c>
      <c r="F138" s="72">
        <f ca="1">840.324885558964*OFFSET($L$112,MATCH($N$1,$C$112:$C$113,0)-1,0)</f>
        <v>840.32488555896396</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192.716708799356*OFFSET($L$112,MATCH($N$1,$C$112:$C$113,0)-1,0)</f>
        <v>192.71670879935601</v>
      </c>
      <c r="D139" s="26">
        <f ca="1">312.475640500128*OFFSET($L$112,MATCH($N$1,$C$112:$C$113,0)-1,0)</f>
        <v>312.47564050012801</v>
      </c>
      <c r="E139" s="26">
        <f ca="1">603.412520166734*OFFSET($L$112,MATCH($N$1,$C$112:$C$113,0)-1,0)</f>
        <v>603.412520166734</v>
      </c>
      <c r="F139" s="72">
        <f ca="1">307.07765240722*OFFSET($L$112,MATCH($N$1,$C$112:$C$113,0)-1,0)</f>
        <v>307.07765240722</v>
      </c>
      <c r="I139" s="49"/>
      <c r="K139" s="73" t="s">
        <v>107</v>
      </c>
      <c r="L139" s="74">
        <f t="shared" ref="L139:M141" ca="1" si="2">C140</f>
        <v>1878.7296249999999</v>
      </c>
      <c r="M139" s="74">
        <f t="shared" ca="1" si="2"/>
        <v>1333.47126973684</v>
      </c>
      <c r="N139" s="74">
        <f ca="1">E140</f>
        <v>652.66781249999997</v>
      </c>
    </row>
    <row r="140" spans="1:14" ht="18" customHeight="1" x14ac:dyDescent="0.2">
      <c r="A140" s="230" t="s">
        <v>46</v>
      </c>
      <c r="B140" s="30" t="s">
        <v>108</v>
      </c>
      <c r="C140" s="75">
        <f ca="1">1878.729625*OFFSET($L$112,MATCH($N$1,$C$112:$C$113,0)-1,0)</f>
        <v>1878.7296249999999</v>
      </c>
      <c r="D140" s="75">
        <f ca="1">1333.47126973684*OFFSET($L$112,MATCH($N$1,$C$112:$C$113,0)-1,0)</f>
        <v>1333.47126973684</v>
      </c>
      <c r="E140" s="75">
        <f ca="1">652.6678125*OFFSET($L$112,MATCH($N$1,$C$112:$C$113,0)-1,0)</f>
        <v>652.66781249999997</v>
      </c>
      <c r="F140" s="76">
        <f ca="1">1300.500875*OFFSET($L$112,MATCH($N$1,$C$112:$C$113,0)-1,0)</f>
        <v>1300.500875</v>
      </c>
      <c r="I140" s="49"/>
      <c r="K140" s="73" t="s">
        <v>109</v>
      </c>
      <c r="L140" s="74">
        <f t="shared" ca="1" si="2"/>
        <v>1283.0226250000001</v>
      </c>
      <c r="M140" s="74">
        <f t="shared" ca="1" si="2"/>
        <v>973.26042105263195</v>
      </c>
      <c r="N140" s="74">
        <f ca="1">E141</f>
        <v>550.78143750000004</v>
      </c>
    </row>
    <row r="141" spans="1:14" ht="18" customHeight="1" x14ac:dyDescent="0.2">
      <c r="A141" s="237"/>
      <c r="B141" s="33" t="s">
        <v>110</v>
      </c>
      <c r="C141" s="26">
        <f ca="1">1283.022625*OFFSET($L$112,MATCH($N$1,$C$112:$C$113,0)-1,0)</f>
        <v>1283.0226250000001</v>
      </c>
      <c r="D141" s="26">
        <f ca="1">973.260421052632*OFFSET($L$112,MATCH($N$1,$C$112:$C$113,0)-1,0)</f>
        <v>973.26042105263195</v>
      </c>
      <c r="E141" s="26">
        <f ca="1">550.7814375*OFFSET($L$112,MATCH($N$1,$C$112:$C$113,0)-1,0)</f>
        <v>550.78143750000004</v>
      </c>
      <c r="F141" s="72">
        <f ca="1">945.842875*OFFSET($L$112,MATCH($N$1,$C$112:$C$113,0)-1,0)</f>
        <v>945.84287500000005</v>
      </c>
      <c r="I141" s="49"/>
      <c r="K141" s="73" t="s">
        <v>111</v>
      </c>
      <c r="L141" s="74">
        <f t="shared" ca="1" si="2"/>
        <v>595.70699999999999</v>
      </c>
      <c r="M141" s="74">
        <f t="shared" ca="1" si="2"/>
        <v>360.21084868421002</v>
      </c>
      <c r="N141" s="74">
        <f ca="1">E142</f>
        <v>101.886375</v>
      </c>
    </row>
    <row r="142" spans="1:14" ht="18" customHeight="1" x14ac:dyDescent="0.2">
      <c r="A142" s="238"/>
      <c r="B142" s="35" t="s">
        <v>112</v>
      </c>
      <c r="C142" s="37">
        <f ca="1">595.707*OFFSET($L$112,MATCH($N$1,$C$112:$C$113,0)-1,0)</f>
        <v>595.70699999999999</v>
      </c>
      <c r="D142" s="37">
        <f ca="1">360.21084868421*OFFSET($L$112,MATCH($N$1,$C$112:$C$113,0)-1,0)</f>
        <v>360.21084868421002</v>
      </c>
      <c r="E142" s="37">
        <f ca="1">101.886375*OFFSET($L$112,MATCH($N$1,$C$112:$C$113,0)-1,0)</f>
        <v>101.886375</v>
      </c>
      <c r="F142" s="65">
        <f ca="1">354.658*OFFSET($L$112,MATCH($N$1,$C$112:$C$113,0)-1,0)</f>
        <v>354.65800000000002</v>
      </c>
      <c r="I142" s="49"/>
      <c r="K142" s="73" t="s">
        <v>113</v>
      </c>
      <c r="L142" s="77">
        <f ca="1">IFERROR(L140/L$139,"")</f>
        <v>0.68292031377319662</v>
      </c>
      <c r="M142" s="77">
        <f t="shared" ref="M142:N143" ca="1" si="3">IFERROR(M140/M$139,"")</f>
        <v>0.72986980907710486</v>
      </c>
      <c r="N142" s="77">
        <f t="shared" ca="1" si="3"/>
        <v>0.84389244720107914</v>
      </c>
    </row>
    <row r="143" spans="1:14" ht="18" customHeight="1" x14ac:dyDescent="0.2">
      <c r="I143" s="49"/>
      <c r="K143" s="73" t="s">
        <v>114</v>
      </c>
      <c r="L143" s="77">
        <f ca="1">IFERROR(L141/L$139,"")</f>
        <v>0.31707968622680338</v>
      </c>
      <c r="M143" s="77">
        <f t="shared" ca="1" si="3"/>
        <v>0.27013019092289664</v>
      </c>
      <c r="N143" s="77">
        <f t="shared" ca="1" si="3"/>
        <v>0.15610755279892097</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9</v>
      </c>
      <c r="B161" s="53"/>
      <c r="C161" s="79" t="s">
        <v>41</v>
      </c>
      <c r="D161" s="79" t="s">
        <v>115</v>
      </c>
      <c r="E161" s="79" t="s">
        <v>43</v>
      </c>
      <c r="F161" s="79" t="s">
        <v>116</v>
      </c>
      <c r="G161" s="80">
        <v>9</v>
      </c>
      <c r="H161" s="79"/>
      <c r="I161" s="79" t="s">
        <v>41</v>
      </c>
      <c r="J161" s="79" t="s">
        <v>115</v>
      </c>
      <c r="K161" s="79" t="s">
        <v>43</v>
      </c>
      <c r="L161" s="53" t="s">
        <v>116</v>
      </c>
    </row>
    <row r="162" spans="1:14" s="49" customFormat="1" x14ac:dyDescent="0.2">
      <c r="A162" s="50">
        <v>1</v>
      </c>
      <c r="B162" s="53" t="s">
        <v>16</v>
      </c>
      <c r="C162" s="53">
        <v>0.14767479007552006</v>
      </c>
      <c r="D162" s="53">
        <v>0.2219784004642516</v>
      </c>
      <c r="E162" s="53">
        <v>0.25407015050193299</v>
      </c>
      <c r="F162" s="50">
        <v>1692097</v>
      </c>
      <c r="G162" s="50">
        <v>1</v>
      </c>
      <c r="H162" s="53" t="s">
        <v>121</v>
      </c>
      <c r="I162" s="53">
        <v>0.30465791152443894</v>
      </c>
      <c r="J162" s="53">
        <v>0.31766095976912612</v>
      </c>
      <c r="K162" s="53">
        <v>0.15386644502353305</v>
      </c>
      <c r="L162" s="50">
        <v>12153634</v>
      </c>
    </row>
    <row r="163" spans="1:14" s="49" customFormat="1" x14ac:dyDescent="0.2">
      <c r="A163" s="50">
        <v>2</v>
      </c>
      <c r="B163" s="53" t="s">
        <v>121</v>
      </c>
      <c r="C163" s="53">
        <v>0.22989078881845726</v>
      </c>
      <c r="D163" s="53">
        <v>0.21727614233018605</v>
      </c>
      <c r="E163" s="53">
        <v>0.11052644652867637</v>
      </c>
      <c r="F163" s="50">
        <v>12153634</v>
      </c>
      <c r="G163" s="50">
        <v>2</v>
      </c>
      <c r="H163" s="53" t="s">
        <v>97</v>
      </c>
      <c r="I163" s="53">
        <v>0.19994104233902657</v>
      </c>
      <c r="J163" s="53">
        <v>0.17617001102165225</v>
      </c>
      <c r="K163" s="53">
        <v>7.2826454443332994E-2</v>
      </c>
      <c r="L163" s="50">
        <v>553960</v>
      </c>
      <c r="N163" s="49" t="s">
        <v>117</v>
      </c>
    </row>
    <row r="164" spans="1:14" s="49" customFormat="1" x14ac:dyDescent="0.2">
      <c r="A164" s="50">
        <v>3</v>
      </c>
      <c r="B164" s="53" t="s">
        <v>97</v>
      </c>
      <c r="C164" s="53">
        <v>0.2002047541159756</v>
      </c>
      <c r="D164" s="53">
        <v>0.16121486797361947</v>
      </c>
      <c r="E164" s="53">
        <v>7.4745695908391002E-2</v>
      </c>
      <c r="F164" s="50">
        <v>553960</v>
      </c>
      <c r="G164" s="50">
        <v>3</v>
      </c>
      <c r="H164" s="53" t="s">
        <v>93</v>
      </c>
      <c r="I164" s="53">
        <v>0</v>
      </c>
      <c r="J164" s="53">
        <v>0.11926445563337462</v>
      </c>
      <c r="K164" s="53">
        <v>0.33072074630179632</v>
      </c>
      <c r="L164" s="50">
        <v>3050596</v>
      </c>
      <c r="N164" s="49" t="s">
        <v>118</v>
      </c>
    </row>
    <row r="165" spans="1:14" s="49" customFormat="1" x14ac:dyDescent="0.2">
      <c r="A165" s="50">
        <v>4</v>
      </c>
      <c r="B165" s="53" t="s">
        <v>191</v>
      </c>
      <c r="C165" s="53">
        <v>0</v>
      </c>
      <c r="D165" s="53">
        <v>0.10863819909252487</v>
      </c>
      <c r="E165" s="53">
        <v>8.8296604149387226E-2</v>
      </c>
      <c r="F165" s="50">
        <v>2480382</v>
      </c>
      <c r="G165" s="50">
        <v>4</v>
      </c>
      <c r="H165" s="53" t="s">
        <v>16</v>
      </c>
      <c r="I165" s="53">
        <v>9.240194141183751E-2</v>
      </c>
      <c r="J165" s="53">
        <v>0.11315949195365781</v>
      </c>
      <c r="K165" s="53">
        <v>0.14598985018549968</v>
      </c>
      <c r="L165" s="50">
        <v>1692097</v>
      </c>
    </row>
    <row r="166" spans="1:14" s="49" customFormat="1" x14ac:dyDescent="0.2">
      <c r="A166" s="50">
        <v>5</v>
      </c>
      <c r="B166" s="53" t="s">
        <v>228</v>
      </c>
      <c r="C166" s="53">
        <v>7.6922369247560879E-2</v>
      </c>
      <c r="D166" s="53">
        <v>7.6606417450834866E-2</v>
      </c>
      <c r="E166" s="53">
        <v>0</v>
      </c>
      <c r="F166" s="50">
        <v>11115023</v>
      </c>
      <c r="G166" s="50">
        <v>5</v>
      </c>
      <c r="H166" s="53" t="s">
        <v>168</v>
      </c>
      <c r="I166" s="53">
        <v>8.0976928996508185E-2</v>
      </c>
      <c r="J166" s="53">
        <v>5.6646126990659254E-2</v>
      </c>
      <c r="K166" s="53">
        <v>0</v>
      </c>
      <c r="L166" s="50">
        <v>3689192</v>
      </c>
    </row>
    <row r="167" spans="1:14" s="49" customFormat="1" x14ac:dyDescent="0.2">
      <c r="A167" s="50">
        <v>6</v>
      </c>
      <c r="B167" s="53" t="s">
        <v>93</v>
      </c>
      <c r="C167" s="53">
        <v>0</v>
      </c>
      <c r="D167" s="53">
        <v>0</v>
      </c>
      <c r="E167" s="53">
        <v>0.19880050205664934</v>
      </c>
      <c r="F167" s="50">
        <v>3050596</v>
      </c>
      <c r="G167" s="50">
        <v>6</v>
      </c>
      <c r="H167" s="53" t="s">
        <v>137</v>
      </c>
      <c r="I167" s="53">
        <v>0</v>
      </c>
      <c r="J167" s="53">
        <v>0</v>
      </c>
      <c r="K167" s="53">
        <v>6.5963119957782382E-2</v>
      </c>
      <c r="L167" s="50">
        <v>7434864</v>
      </c>
    </row>
    <row r="168" spans="1:14" s="49" customFormat="1" x14ac:dyDescent="0.2">
      <c r="A168" s="50">
        <v>7</v>
      </c>
      <c r="B168" s="53" t="s">
        <v>206</v>
      </c>
      <c r="C168" s="53">
        <v>7.1257744473487497E-2</v>
      </c>
      <c r="D168" s="53">
        <v>0</v>
      </c>
      <c r="E168" s="53">
        <v>0</v>
      </c>
      <c r="F168" s="50">
        <v>8497745</v>
      </c>
      <c r="G168" s="50">
        <v>7</v>
      </c>
      <c r="H168" s="53" t="s">
        <v>96</v>
      </c>
      <c r="I168" s="53">
        <v>8.0462521499526554E-2</v>
      </c>
      <c r="J168" s="53">
        <v>0</v>
      </c>
      <c r="K168" s="53">
        <v>0</v>
      </c>
      <c r="L168" s="50">
        <v>14393110</v>
      </c>
    </row>
    <row r="169" spans="1:14" s="49" customFormat="1" x14ac:dyDescent="0.2">
      <c r="A169" s="50">
        <v>8</v>
      </c>
      <c r="B169" s="53" t="s">
        <v>101</v>
      </c>
      <c r="C169" s="53">
        <v>0.2740495532689986</v>
      </c>
      <c r="D169" s="53">
        <v>0.21428597268858318</v>
      </c>
      <c r="E169" s="53">
        <v>0.27356060085496314</v>
      </c>
      <c r="F169" s="50">
        <v>5920853</v>
      </c>
      <c r="G169" s="50">
        <v>8</v>
      </c>
      <c r="H169" s="53" t="s">
        <v>101</v>
      </c>
      <c r="I169" s="53">
        <v>0.2415596542286621</v>
      </c>
      <c r="J169" s="53">
        <v>0.21709895463152984</v>
      </c>
      <c r="K169" s="53">
        <v>0.23063338408805556</v>
      </c>
      <c r="L169" s="50">
        <v>5920853</v>
      </c>
    </row>
    <row r="170" spans="1:14" s="49" customFormat="1" x14ac:dyDescent="0.2">
      <c r="A170" s="50">
        <v>9</v>
      </c>
      <c r="B170" s="53"/>
      <c r="C170" s="53">
        <v>0</v>
      </c>
      <c r="D170" s="53">
        <v>0</v>
      </c>
      <c r="E170" s="53">
        <v>0</v>
      </c>
      <c r="F170" s="50"/>
      <c r="G170" s="50">
        <v>9</v>
      </c>
      <c r="H170" s="53"/>
      <c r="I170" s="53">
        <v>0</v>
      </c>
      <c r="J170" s="53">
        <v>0</v>
      </c>
      <c r="K170" s="53">
        <v>0</v>
      </c>
      <c r="L170" s="50"/>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'NSWOS demersal u24m o300kW'!D3:N3</xm:f>
              <xm:sqref>C3</xm:sqref>
            </x14:sparkline>
            <x14:sparkline>
              <xm:f>'NSWOS demersal u24m o300kW'!D4:N4</xm:f>
              <xm:sqref>C4</xm:sqref>
            </x14:sparkline>
            <x14:sparkline>
              <xm:f>'NSWOS demersal u24m o300kW'!D5:N5</xm:f>
              <xm:sqref>C5</xm:sqref>
            </x14:sparkline>
            <x14:sparkline>
              <xm:f>'NSWOS demersal u24m o300kW'!D6:N6</xm:f>
              <xm:sqref>C6</xm:sqref>
            </x14:sparkline>
            <x14:sparkline>
              <xm:f>'NSWOS demersal u24m o300kW'!D7:N7</xm:f>
              <xm:sqref>C7</xm:sqref>
            </x14:sparkline>
            <x14:sparkline>
              <xm:f>'NSWOS demersal u24m o300kW'!D8:N8</xm:f>
              <xm:sqref>C8</xm:sqref>
            </x14:sparkline>
            <x14:sparkline>
              <xm:f>'NSWOS demersal u24m o300kW'!D9:N9</xm:f>
              <xm:sqref>C9</xm:sqref>
            </x14:sparkline>
            <x14:sparkline>
              <xm:f>'NSWOS demersal u24m o300kW'!F10:M10</xm:f>
              <xm:sqref>C10</xm:sqref>
            </x14:sparkline>
            <x14:sparkline>
              <xm:f>'NSWOS demersal u24m o300kW'!D11:N11</xm:f>
              <xm:sqref>C11</xm:sqref>
            </x14:sparkline>
            <x14:sparkline>
              <xm:f>'NSWOS demersal u24m o300kW'!D12:N12</xm:f>
              <xm:sqref>C12</xm:sqref>
            </x14:sparkline>
            <x14:sparkline>
              <xm:f>'NSWOS demersal u24m o300kW'!D13:N13</xm:f>
              <xm:sqref>C13</xm:sqref>
            </x14:sparkline>
            <x14:sparkline>
              <xm:f>'NSWOS demersal u24m o300kW'!D14:N14</xm:f>
              <xm:sqref>C14</xm:sqref>
            </x14:sparkline>
            <x14:sparkline>
              <xm:f>'NSWOS demersal u24m o300kW'!D15:N15</xm:f>
              <xm:sqref>C15</xm:sqref>
            </x14:sparkline>
            <x14:sparkline>
              <xm:f>'NSWOS demersal u24m o300kW'!D16:N16</xm:f>
              <xm:sqref>C16</xm:sqref>
            </x14:sparkline>
            <x14:sparkline>
              <xm:f>'NSWOS demersal u24m o300kW'!D17:N17</xm:f>
              <xm:sqref>C17</xm:sqref>
            </x14:sparkline>
            <x14:sparkline>
              <xm:f>'NSWOS demersal u24m o300kW'!D18:N18</xm:f>
              <xm:sqref>C18</xm:sqref>
            </x14:sparkline>
            <x14:sparkline>
              <xm:f>'NSWOS demersal u24m o300kW'!D19:N19</xm:f>
              <xm:sqref>C19</xm:sqref>
            </x14:sparkline>
            <x14:sparkline>
              <xm:f>'NSWOS demersal u24m o300kW'!D20:N20</xm:f>
              <xm:sqref>C20</xm:sqref>
            </x14:sparkline>
            <x14:sparkline>
              <xm:f>'NSWOS demersal u24m o300kW'!D21:N21</xm:f>
              <xm:sqref>C21</xm:sqref>
            </x14:sparkline>
            <x14:sparkline>
              <xm:f>'NSWOS demersal u24m o300kW'!D22:N22</xm:f>
              <xm:sqref>C22</xm:sqref>
            </x14:sparkline>
            <x14:sparkline>
              <xm:f>'NSWOS demersal u24m o300kW'!D23:N23</xm:f>
              <xm:sqref>C23</xm:sqref>
            </x14:sparkline>
            <x14:sparkline>
              <xm:f>'NSWOS demersal u24m o300kW'!D24:N24</xm:f>
              <xm:sqref>C24</xm:sqref>
            </x14:sparkline>
            <x14:sparkline>
              <xm:f>'NSWOS demersal u24m o300kW'!F25:M25</xm:f>
              <xm:sqref>C25</xm:sqref>
            </x14:sparkline>
            <x14:sparkline>
              <xm:f>'NSWOS demersal u24m o300kW'!F26:M26</xm:f>
              <xm:sqref>C26</xm:sqref>
            </x14:sparkline>
            <x14:sparkline>
              <xm:f>'NSWOS demersal u24m o300kW'!D27:N27</xm:f>
              <xm:sqref>C27</xm:sqref>
            </x14:sparkline>
            <x14:sparkline>
              <xm:f>'NSWOS demersal u24m o300kW'!D28:N28</xm:f>
              <xm:sqref>C28</xm:sqref>
            </x14:sparkline>
            <x14:sparkline>
              <xm:f>'NSWOS demersal u24m o300kW'!D29:N29</xm:f>
              <xm:sqref>C29</xm:sqref>
            </x14:sparkline>
            <x14:sparkline>
              <xm:f>'NSWOS demersal u24m o300kW'!D30:N30</xm:f>
              <xm:sqref>C30</xm:sqref>
            </x14:sparkline>
            <x14:sparkline>
              <xm:f>'NSWOS demersal u24m o300kW'!D31:N31</xm:f>
              <xm:sqref>C31</xm:sqref>
            </x14:sparkline>
            <x14:sparkline>
              <xm:f>'NSWOS demersal u24m o300kW'!D32:N32</xm:f>
              <xm:sqref>C32</xm:sqref>
            </x14:sparkline>
            <x14:sparkline>
              <xm:f>'NSWOS demersal u24m o300kW'!D33:N33</xm:f>
              <xm:sqref>C33</xm:sqref>
            </x14:sparkline>
            <x14:sparkline>
              <xm:f>'NSWOS demersal u24m o300kW'!D34:N34</xm:f>
              <xm:sqref>C34</xm:sqref>
            </x14:sparkline>
            <x14:sparkline>
              <xm:f>'NSWOS demersal u24m o300kW'!D35:N35</xm:f>
              <xm:sqref>C35</xm:sqref>
            </x14:sparkline>
            <x14:sparkline>
              <xm:f>'NSWOS demersal u24m o300kW'!D36:N36</xm:f>
              <xm:sqref>C36</xm:sqref>
            </x14:sparkline>
            <x14:sparkline>
              <xm:f>'NSWOS demersal u24m o300kW'!D37:N37</xm:f>
              <xm:sqref>C37</xm:sqref>
            </x14:sparkline>
            <x14:sparkline>
              <xm:f>'NSWOS demersal u24m o300kW'!D38:M38</xm:f>
              <xm:sqref>C38</xm:sqref>
            </x14:sparkline>
            <x14:sparkline>
              <xm:f>'NSWOS demersal u24m o300kW'!D39:M39</xm:f>
              <xm:sqref>C39</xm:sqref>
            </x14:sparkline>
            <x14:sparkline>
              <xm:f>'NSWOS demersal u24m o300kW'!D40:M40</xm:f>
              <xm:sqref>C40</xm:sqref>
            </x14:sparkline>
            <x14:sparkline>
              <xm:f>'NSWOS demersal u24m o300kW'!D41:M41</xm:f>
              <xm:sqref>C41</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R153"/>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365</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35</v>
      </c>
      <c r="E3" s="22">
        <v>33</v>
      </c>
      <c r="F3" s="22">
        <v>36</v>
      </c>
      <c r="G3" s="22">
        <v>29</v>
      </c>
      <c r="H3" s="22">
        <v>22</v>
      </c>
      <c r="I3" s="22">
        <v>21</v>
      </c>
      <c r="J3" s="22">
        <v>15</v>
      </c>
      <c r="K3" s="22">
        <v>22</v>
      </c>
      <c r="L3" s="22">
        <v>12</v>
      </c>
      <c r="M3" s="22">
        <v>18</v>
      </c>
      <c r="N3" s="22">
        <v>19</v>
      </c>
      <c r="O3" s="23">
        <f t="shared" ref="O3:O41" si="0">IF(N3=0,"",IFERROR(IF(AND(N3&gt;0,D3&lt;0),"na",IF(AND(N3&lt;0,D3&lt;0),-1,1)*(N3-D3)/D3),""))</f>
        <v>-0.45714285714285713</v>
      </c>
      <c r="P3" s="23">
        <f>IF(N3=0,"",IFERROR(IF(AND(N3&gt;0,J3&lt;0),"na",IF(AND(N3&lt;0,J3&lt;0),-1,1)*(N3-J3)/J3),""))</f>
        <v>0.26666666666666666</v>
      </c>
    </row>
    <row r="4" spans="1:17" ht="18" customHeight="1" x14ac:dyDescent="0.2">
      <c r="A4" s="224"/>
      <c r="B4" s="24" t="s">
        <v>51</v>
      </c>
      <c r="C4" s="25"/>
      <c r="D4" s="26">
        <v>6921</v>
      </c>
      <c r="E4" s="26">
        <v>6134</v>
      </c>
      <c r="F4" s="26">
        <v>7511</v>
      </c>
      <c r="G4" s="26">
        <v>5819</v>
      </c>
      <c r="H4" s="26">
        <v>4649</v>
      </c>
      <c r="I4" s="26">
        <v>4524</v>
      </c>
      <c r="J4" s="26">
        <v>2954</v>
      </c>
      <c r="K4" s="26">
        <v>4742</v>
      </c>
      <c r="L4" s="26">
        <v>2722</v>
      </c>
      <c r="M4" s="26">
        <v>3562</v>
      </c>
      <c r="N4" s="26">
        <v>4125</v>
      </c>
      <c r="O4" s="23">
        <f t="shared" si="0"/>
        <v>-0.40398786302557432</v>
      </c>
      <c r="P4" s="23">
        <f t="shared" ref="P4:P41" si="1">IF(N4=0,"",IFERROR(IF(AND(N4&gt;0,J4&lt;0),"na",IF(AND(N4&lt;0,J4&lt;0),-1,1)*(N4-J4)/J4),""))</f>
        <v>0.3964116452268111</v>
      </c>
    </row>
    <row r="5" spans="1:17" ht="18" customHeight="1" x14ac:dyDescent="0.2">
      <c r="A5" s="224"/>
      <c r="B5" s="24" t="s">
        <v>52</v>
      </c>
      <c r="C5" s="25"/>
      <c r="D5" s="26">
        <v>1829</v>
      </c>
      <c r="E5" s="26">
        <v>1600</v>
      </c>
      <c r="F5" s="26">
        <v>1970</v>
      </c>
      <c r="G5" s="26">
        <v>1524</v>
      </c>
      <c r="H5" s="26">
        <v>1256</v>
      </c>
      <c r="I5" s="26">
        <v>1358</v>
      </c>
      <c r="J5" s="26">
        <v>779</v>
      </c>
      <c r="K5" s="26">
        <v>1373</v>
      </c>
      <c r="L5" s="26">
        <v>801</v>
      </c>
      <c r="M5" s="26">
        <v>946</v>
      </c>
      <c r="N5" s="26">
        <v>1178</v>
      </c>
      <c r="O5" s="23">
        <f t="shared" si="0"/>
        <v>-0.3559322033898305</v>
      </c>
      <c r="P5" s="23">
        <f t="shared" si="1"/>
        <v>0.51219512195121952</v>
      </c>
      <c r="Q5" s="27"/>
    </row>
    <row r="6" spans="1:17" ht="18" customHeight="1" x14ac:dyDescent="0.2">
      <c r="A6" s="224"/>
      <c r="B6" s="24" t="s">
        <v>53</v>
      </c>
      <c r="C6" s="25"/>
      <c r="D6" s="26">
        <v>6147.4404296875</v>
      </c>
      <c r="E6" s="26">
        <v>5574.724609375</v>
      </c>
      <c r="F6" s="26">
        <v>6624.49462890625</v>
      </c>
      <c r="G6" s="26">
        <v>5194.5244140625</v>
      </c>
      <c r="H6" s="26">
        <v>4040.79638671875</v>
      </c>
      <c r="I6" s="26">
        <v>4088.64208984375</v>
      </c>
      <c r="J6" s="26">
        <v>2582.92138671875</v>
      </c>
      <c r="K6" s="26">
        <v>4157.9775390625</v>
      </c>
      <c r="L6" s="26">
        <v>2389.6767578125</v>
      </c>
      <c r="M6" s="26">
        <v>3139.830322265625</v>
      </c>
      <c r="N6" s="26">
        <v>3584.820068359375</v>
      </c>
      <c r="O6" s="23">
        <f t="shared" si="0"/>
        <v>-0.41685973058845788</v>
      </c>
      <c r="P6" s="23">
        <f t="shared" si="1"/>
        <v>0.387893602489157</v>
      </c>
    </row>
    <row r="7" spans="1:17" ht="18" customHeight="1" x14ac:dyDescent="0.2">
      <c r="A7" s="224"/>
      <c r="B7" s="24" t="s">
        <v>54</v>
      </c>
      <c r="C7" s="25"/>
      <c r="D7" s="26">
        <v>4062.86767578125</v>
      </c>
      <c r="E7" s="26">
        <v>3658.365966796875</v>
      </c>
      <c r="F7" s="26">
        <v>5276.08642578125</v>
      </c>
      <c r="G7" s="26">
        <v>3984.029541015625</v>
      </c>
      <c r="H7" s="26">
        <v>3770.115478515625</v>
      </c>
      <c r="I7" s="26">
        <v>4453.14404296875</v>
      </c>
      <c r="J7" s="26">
        <v>1750.3048095703125</v>
      </c>
      <c r="K7" s="26">
        <v>2149.273681640625</v>
      </c>
      <c r="L7" s="26">
        <v>1661.08544921875</v>
      </c>
      <c r="M7" s="26">
        <v>1590.84375</v>
      </c>
      <c r="N7" s="26">
        <v>2402.80908203125</v>
      </c>
      <c r="O7" s="23">
        <f t="shared" si="0"/>
        <v>-0.40859282807697811</v>
      </c>
      <c r="P7" s="23">
        <f t="shared" si="1"/>
        <v>0.37279465204756118</v>
      </c>
    </row>
    <row r="8" spans="1:17" ht="18" customHeight="1" x14ac:dyDescent="0.2">
      <c r="A8" s="224"/>
      <c r="B8" s="24" t="s">
        <v>55</v>
      </c>
      <c r="C8" s="27"/>
      <c r="D8" s="28">
        <f ca="1">7.2191825*OFFSET(D$112,MATCH($N$1,$C$112:$C$113,0)-1,0)</f>
        <v>7.2191824999999996</v>
      </c>
      <c r="E8" s="28">
        <f ca="1">6.631522*OFFSET(E$112,MATCH($N$1,$C$112:$C$113,0)-1,0)</f>
        <v>6.6315220000000004</v>
      </c>
      <c r="F8" s="28">
        <f ca="1">9.136955*OFFSET(F$112,MATCH($N$1,$C$112:$C$113,0)-1,0)</f>
        <v>9.1369550000000004</v>
      </c>
      <c r="G8" s="28">
        <f ca="1">7.6269455*OFFSET(G$112,MATCH($N$1,$C$112:$C$113,0)-1,0)</f>
        <v>7.6269454999999997</v>
      </c>
      <c r="H8" s="28">
        <f ca="1">5.71402*OFFSET(H$112,MATCH($N$1,$C$112:$C$113,0)-1,0)</f>
        <v>5.7140199999999997</v>
      </c>
      <c r="I8" s="28">
        <f ca="1">6.186311*OFFSET(I$112,MATCH($N$1,$C$112:$C$113,0)-1,0)</f>
        <v>6.1863109999999999</v>
      </c>
      <c r="J8" s="28">
        <f ca="1">3.23030925*OFFSET(J$112,MATCH($N$1,$C$112:$C$113,0)-1,0)</f>
        <v>3.2303092499999999</v>
      </c>
      <c r="K8" s="28">
        <f ca="1">4.358545*OFFSET(K$112,MATCH($N$1,$C$112:$C$113,0)-1,0)</f>
        <v>4.3585450000000003</v>
      </c>
      <c r="L8" s="28">
        <f ca="1">4.0521005*OFFSET(L$112,MATCH($N$1,$C$112:$C$113,0)-1,0)</f>
        <v>4.0521004999999999</v>
      </c>
      <c r="M8" s="28">
        <f ca="1">4.4555785*OFFSET(M$112,MATCH($N$1,$C$112:$C$113,0)-1,0)</f>
        <v>4.4555784999999997</v>
      </c>
      <c r="N8" s="28">
        <v>5.9029889999999998</v>
      </c>
      <c r="O8" s="23">
        <f t="shared" ca="1" si="0"/>
        <v>-0.18231891214829379</v>
      </c>
      <c r="P8" s="23">
        <f t="shared" ca="1" si="1"/>
        <v>0.82737581548887307</v>
      </c>
    </row>
    <row r="9" spans="1:17" ht="18" customHeight="1" x14ac:dyDescent="0.2">
      <c r="A9" s="224"/>
      <c r="B9" s="24" t="s">
        <v>56</v>
      </c>
      <c r="C9" s="27"/>
      <c r="D9" s="26">
        <v>4860</v>
      </c>
      <c r="E9" s="26">
        <v>4432</v>
      </c>
      <c r="F9" s="26">
        <v>5096</v>
      </c>
      <c r="G9" s="26">
        <v>3610</v>
      </c>
      <c r="H9" s="26">
        <v>2231</v>
      </c>
      <c r="I9" s="26">
        <v>2582</v>
      </c>
      <c r="J9" s="26">
        <v>1697</v>
      </c>
      <c r="K9" s="26">
        <v>2314</v>
      </c>
      <c r="L9" s="26">
        <v>1496</v>
      </c>
      <c r="M9" s="26">
        <v>1570</v>
      </c>
      <c r="N9" s="26">
        <v>2095</v>
      </c>
      <c r="O9" s="23">
        <f t="shared" si="0"/>
        <v>-0.56893004115226342</v>
      </c>
      <c r="P9" s="23">
        <f t="shared" si="1"/>
        <v>0.23453152622274603</v>
      </c>
    </row>
    <row r="10" spans="1:17" ht="18" customHeight="1" x14ac:dyDescent="0.2">
      <c r="A10" s="224"/>
      <c r="B10" s="24" t="s">
        <v>57</v>
      </c>
      <c r="C10" s="27"/>
      <c r="D10" s="26"/>
      <c r="E10" s="26">
        <v>170.16716003417969</v>
      </c>
      <c r="F10" s="26">
        <v>143.22068786621094</v>
      </c>
      <c r="G10" s="26">
        <v>146.74319458007812</v>
      </c>
      <c r="H10" s="26">
        <v>99.012306213378906</v>
      </c>
      <c r="I10" s="26">
        <v>73.638458251953125</v>
      </c>
      <c r="J10" s="26">
        <v>84.591835021972656</v>
      </c>
      <c r="K10" s="26">
        <v>34.230175018310547</v>
      </c>
      <c r="L10" s="26">
        <v>61.614917755126953</v>
      </c>
      <c r="M10" s="26">
        <v>39.507598876953125</v>
      </c>
      <c r="N10" s="26">
        <v>57.397750854492187</v>
      </c>
      <c r="O10" s="29" t="str">
        <f t="shared" si="0"/>
        <v/>
      </c>
      <c r="P10" s="29">
        <f t="shared" si="1"/>
        <v>-0.32147410161296097</v>
      </c>
    </row>
    <row r="11" spans="1:17" ht="18" customHeight="1" x14ac:dyDescent="0.2">
      <c r="A11" s="225" t="s">
        <v>23</v>
      </c>
      <c r="B11" s="30" t="s">
        <v>58</v>
      </c>
      <c r="C11" s="31"/>
      <c r="D11" s="32">
        <v>15.543142318725586</v>
      </c>
      <c r="E11" s="32">
        <v>15.3448486328125</v>
      </c>
      <c r="F11" s="32">
        <v>15.493888854980469</v>
      </c>
      <c r="G11" s="32">
        <v>15.651034355163574</v>
      </c>
      <c r="H11" s="32">
        <v>15.719090461730957</v>
      </c>
      <c r="I11" s="32">
        <v>16.469524383544922</v>
      </c>
      <c r="J11" s="32">
        <v>15.020666122436523</v>
      </c>
      <c r="K11" s="32">
        <v>15.974545478820801</v>
      </c>
      <c r="L11" s="32">
        <v>16.316667556762695</v>
      </c>
      <c r="M11" s="32">
        <v>15.166110992431641</v>
      </c>
      <c r="N11" s="32">
        <v>15.835263252258301</v>
      </c>
      <c r="O11" s="23">
        <f t="shared" si="0"/>
        <v>1.8794200525384268E-2</v>
      </c>
      <c r="P11" s="23">
        <f t="shared" si="1"/>
        <v>5.4231757978096942E-2</v>
      </c>
    </row>
    <row r="12" spans="1:17" ht="18" customHeight="1" x14ac:dyDescent="0.2">
      <c r="A12" s="226"/>
      <c r="B12" s="33" t="s">
        <v>51</v>
      </c>
      <c r="C12" s="25"/>
      <c r="D12" s="26">
        <v>197.74285888671875</v>
      </c>
      <c r="E12" s="26">
        <v>185.8787841796875</v>
      </c>
      <c r="F12" s="26">
        <v>208.63888549804687</v>
      </c>
      <c r="G12" s="26">
        <v>200.65516662597656</v>
      </c>
      <c r="H12" s="26">
        <v>211.31817626953125</v>
      </c>
      <c r="I12" s="26">
        <v>215.42857360839844</v>
      </c>
      <c r="J12" s="26">
        <v>196.93333435058594</v>
      </c>
      <c r="K12" s="26">
        <v>215.54545593261719</v>
      </c>
      <c r="L12" s="26">
        <v>226.83332824707031</v>
      </c>
      <c r="M12" s="26">
        <v>197.88888549804687</v>
      </c>
      <c r="N12" s="26">
        <v>217.10527038574219</v>
      </c>
      <c r="O12" s="23">
        <f t="shared" si="0"/>
        <v>9.791712129597363E-2</v>
      </c>
      <c r="P12" s="23">
        <f t="shared" si="1"/>
        <v>0.1024302772391272</v>
      </c>
    </row>
    <row r="13" spans="1:17" ht="18" customHeight="1" x14ac:dyDescent="0.2">
      <c r="A13" s="226"/>
      <c r="B13" s="33" t="s">
        <v>52</v>
      </c>
      <c r="C13" s="25"/>
      <c r="D13" s="26">
        <v>52.25714111328125</v>
      </c>
      <c r="E13" s="26">
        <v>48.484848022460938</v>
      </c>
      <c r="F13" s="26">
        <v>54.722221374511719</v>
      </c>
      <c r="G13" s="26">
        <v>52.551723480224609</v>
      </c>
      <c r="H13" s="26">
        <v>57.090908050537109</v>
      </c>
      <c r="I13" s="26">
        <v>64.666664123535156</v>
      </c>
      <c r="J13" s="26">
        <v>51.933334350585938</v>
      </c>
      <c r="K13" s="26">
        <v>62.409091949462891</v>
      </c>
      <c r="L13" s="26">
        <v>66.75</v>
      </c>
      <c r="M13" s="26">
        <v>52.555557250976563</v>
      </c>
      <c r="N13" s="26">
        <v>62</v>
      </c>
      <c r="O13" s="23">
        <f t="shared" si="0"/>
        <v>0.18644071755855363</v>
      </c>
      <c r="P13" s="23">
        <f t="shared" si="1"/>
        <v>0.19383823078751511</v>
      </c>
    </row>
    <row r="14" spans="1:17" ht="18" customHeight="1" x14ac:dyDescent="0.2">
      <c r="A14" s="226"/>
      <c r="B14" s="33" t="s">
        <v>53</v>
      </c>
      <c r="C14" s="25"/>
      <c r="D14" s="26">
        <v>175.64115905761719</v>
      </c>
      <c r="E14" s="26">
        <v>168.93104553222656</v>
      </c>
      <c r="F14" s="26">
        <v>184.01373291015625</v>
      </c>
      <c r="G14" s="26">
        <v>179.12152099609375</v>
      </c>
      <c r="H14" s="26">
        <v>183.67256164550781</v>
      </c>
      <c r="I14" s="26">
        <v>194.69725036621094</v>
      </c>
      <c r="J14" s="26">
        <v>172.19474792480469</v>
      </c>
      <c r="K14" s="26">
        <v>188.99899291992187</v>
      </c>
      <c r="L14" s="26">
        <v>199.13973999023437</v>
      </c>
      <c r="M14" s="26">
        <v>174.43502807617187</v>
      </c>
      <c r="N14" s="26">
        <v>188.67474365234375</v>
      </c>
      <c r="O14" s="23">
        <f t="shared" si="0"/>
        <v>7.4205753734812446E-2</v>
      </c>
      <c r="P14" s="23">
        <f t="shared" si="1"/>
        <v>9.5705565507350279E-2</v>
      </c>
    </row>
    <row r="15" spans="1:17" ht="18" customHeight="1" x14ac:dyDescent="0.2">
      <c r="A15" s="226"/>
      <c r="B15" s="33" t="s">
        <v>54</v>
      </c>
      <c r="C15" s="27"/>
      <c r="D15" s="28">
        <v>116.08193969726562</v>
      </c>
      <c r="E15" s="28">
        <v>110.85958099365234</v>
      </c>
      <c r="F15" s="28">
        <v>146.55795288085937</v>
      </c>
      <c r="G15" s="28">
        <v>137.38032531738281</v>
      </c>
      <c r="H15" s="28">
        <v>171.36888122558594</v>
      </c>
      <c r="I15" s="28">
        <v>212.05448913574219</v>
      </c>
      <c r="J15" s="28">
        <v>116.68698883056641</v>
      </c>
      <c r="K15" s="28">
        <v>97.694259643554688</v>
      </c>
      <c r="L15" s="28">
        <v>138.42378234863281</v>
      </c>
      <c r="M15" s="28">
        <v>88.380203247070313</v>
      </c>
      <c r="N15" s="28">
        <v>126.46363067626953</v>
      </c>
      <c r="O15" s="23">
        <f t="shared" si="0"/>
        <v>8.9434161817753058E-2</v>
      </c>
      <c r="P15" s="23">
        <f t="shared" si="1"/>
        <v>8.3785192708153183E-2</v>
      </c>
    </row>
    <row r="16" spans="1:17" ht="18" customHeight="1" x14ac:dyDescent="0.2">
      <c r="A16" s="226"/>
      <c r="B16" s="33" t="s">
        <v>59</v>
      </c>
      <c r="C16" s="27"/>
      <c r="D16" s="28">
        <f ca="1">206.26234375*OFFSET(D$112,MATCH($N$1,$C$112:$C$113,0)-1,0)</f>
        <v>206.26234375000001</v>
      </c>
      <c r="E16" s="28">
        <f ca="1">200.95521875*OFFSET(E$112,MATCH($N$1,$C$112:$C$113,0)-1,0)</f>
        <v>200.95521875</v>
      </c>
      <c r="F16" s="28">
        <f ca="1">253.804296875*OFFSET(F$112,MATCH($N$1,$C$112:$C$113,0)-1,0)</f>
        <v>253.80429687500001</v>
      </c>
      <c r="G16" s="28">
        <f ca="1">262.998125*OFFSET(G$112,MATCH($N$1,$C$112:$C$113,0)-1,0)</f>
        <v>262.99812500000002</v>
      </c>
      <c r="H16" s="28">
        <f ca="1">259.728171875*OFFSET(H$112,MATCH($N$1,$C$112:$C$113,0)-1,0)</f>
        <v>259.72817187499999</v>
      </c>
      <c r="I16" s="28">
        <f ca="1">294.58625*OFFSET(I$112,MATCH($N$1,$C$112:$C$113,0)-1,0)</f>
        <v>294.58625000000001</v>
      </c>
      <c r="J16" s="28">
        <f ca="1">215.3539375*OFFSET(J$112,MATCH($N$1,$C$112:$C$113,0)-1,0)</f>
        <v>215.3539375</v>
      </c>
      <c r="K16" s="28">
        <f ca="1">198.1156875*OFFSET(K$112,MATCH($N$1,$C$112:$C$113,0)-1,0)</f>
        <v>198.11568750000001</v>
      </c>
      <c r="L16" s="28">
        <f ca="1">337.67503125*OFFSET(L$112,MATCH($N$1,$C$112:$C$113,0)-1,0)</f>
        <v>337.67503125000002</v>
      </c>
      <c r="M16" s="28">
        <f ca="1">247.532140625*OFFSET(M$112,MATCH($N$1,$C$112:$C$113,0)-1,0)</f>
        <v>247.53214062500001</v>
      </c>
      <c r="N16" s="28">
        <v>310.68362500000001</v>
      </c>
      <c r="O16" s="23">
        <f t="shared" ca="1" si="0"/>
        <v>0.5062547014231723</v>
      </c>
      <c r="P16" s="23">
        <f t="shared" ca="1" si="1"/>
        <v>0.44266517067977923</v>
      </c>
    </row>
    <row r="17" spans="1:16" ht="18" customHeight="1" x14ac:dyDescent="0.2">
      <c r="A17" s="226"/>
      <c r="B17" s="33" t="s">
        <v>56</v>
      </c>
      <c r="C17" s="25"/>
      <c r="D17" s="26">
        <v>138.85714721679687</v>
      </c>
      <c r="E17" s="26">
        <v>134.30302429199219</v>
      </c>
      <c r="F17" s="26">
        <v>141.55555725097656</v>
      </c>
      <c r="G17" s="26">
        <v>124.48275756835937</v>
      </c>
      <c r="H17" s="26">
        <v>101.40908813476562</v>
      </c>
      <c r="I17" s="26">
        <v>122.95237731933594</v>
      </c>
      <c r="J17" s="26">
        <v>113.13333129882813</v>
      </c>
      <c r="K17" s="26">
        <v>105.18181610107422</v>
      </c>
      <c r="L17" s="26">
        <v>124.66666412353516</v>
      </c>
      <c r="M17" s="26">
        <v>87.222221374511719</v>
      </c>
      <c r="N17" s="26">
        <v>110.26316070556641</v>
      </c>
      <c r="O17" s="23">
        <f t="shared" si="0"/>
        <v>-0.2059237647060892</v>
      </c>
      <c r="P17" s="23">
        <f t="shared" si="1"/>
        <v>-2.5369805346582674E-2</v>
      </c>
    </row>
    <row r="18" spans="1:16" ht="18" customHeight="1" x14ac:dyDescent="0.2">
      <c r="A18" s="226"/>
      <c r="B18" s="33" t="s">
        <v>60</v>
      </c>
      <c r="C18" s="25"/>
      <c r="D18" s="26">
        <v>29.485713958740234</v>
      </c>
      <c r="E18" s="26">
        <v>27.242424011230469</v>
      </c>
      <c r="F18" s="26">
        <v>26.361110687255859</v>
      </c>
      <c r="G18" s="26">
        <v>27.241378784179687</v>
      </c>
      <c r="H18" s="26">
        <v>28.681818008422852</v>
      </c>
      <c r="I18" s="26">
        <v>27</v>
      </c>
      <c r="J18" s="26">
        <v>26.266666412353516</v>
      </c>
      <c r="K18" s="26">
        <v>27.454545974731445</v>
      </c>
      <c r="L18" s="26">
        <v>28</v>
      </c>
      <c r="M18" s="26">
        <v>29.05555534362793</v>
      </c>
      <c r="N18" s="26">
        <v>33.105262756347656</v>
      </c>
      <c r="O18" s="23">
        <f t="shared" si="0"/>
        <v>0.1227560167840028</v>
      </c>
      <c r="P18" s="23">
        <f t="shared" si="1"/>
        <v>0.2603526552108596</v>
      </c>
    </row>
    <row r="19" spans="1:16" ht="18" customHeight="1" x14ac:dyDescent="0.2">
      <c r="A19" s="226"/>
      <c r="B19" s="33" t="s">
        <v>61</v>
      </c>
      <c r="C19" s="25"/>
      <c r="D19" s="34">
        <v>0.83598101139068604</v>
      </c>
      <c r="E19" s="34">
        <v>0.82544368505477905</v>
      </c>
      <c r="F19" s="34">
        <v>1.0353387594223022</v>
      </c>
      <c r="G19" s="34">
        <v>1.1036093235015869</v>
      </c>
      <c r="H19" s="34">
        <v>1.689876914024353</v>
      </c>
      <c r="I19" s="34">
        <v>1.7246880531311035</v>
      </c>
      <c r="J19" s="34">
        <v>1.0314112901687622</v>
      </c>
      <c r="K19" s="34">
        <v>0.92881321907043457</v>
      </c>
      <c r="L19" s="34">
        <v>1.1103512048721313</v>
      </c>
      <c r="M19" s="34">
        <v>1.013276219367981</v>
      </c>
      <c r="N19" s="34">
        <v>1.1469254493713379</v>
      </c>
      <c r="O19" s="23">
        <f t="shared" si="0"/>
        <v>0.37195155600889068</v>
      </c>
      <c r="P19" s="23">
        <f t="shared" si="1"/>
        <v>0.111996213638184</v>
      </c>
    </row>
    <row r="20" spans="1:16" ht="18" customHeight="1" x14ac:dyDescent="0.2">
      <c r="A20" s="227"/>
      <c r="B20" s="35" t="s">
        <v>24</v>
      </c>
      <c r="C20" s="36"/>
      <c r="D20" s="37">
        <f ca="1">1777*OFFSET(D$112,MATCH($N$1,$C$112:$C$113,0)-1,0)</f>
        <v>1777</v>
      </c>
      <c r="E20" s="37">
        <f ca="1">1813*OFFSET(E$112,MATCH($N$1,$C$112:$C$113,0)-1,0)</f>
        <v>1813</v>
      </c>
      <c r="F20" s="37">
        <f ca="1">1732*OFFSET(F$112,MATCH($N$1,$C$112:$C$113,0)-1,0)</f>
        <v>1732</v>
      </c>
      <c r="G20" s="37">
        <f ca="1">1914*OFFSET(G$112,MATCH($N$1,$C$112:$C$113,0)-1,0)</f>
        <v>1914</v>
      </c>
      <c r="H20" s="37">
        <f ca="1">1516*OFFSET(H$112,MATCH($N$1,$C$112:$C$113,0)-1,0)</f>
        <v>1516</v>
      </c>
      <c r="I20" s="37">
        <f ca="1">1389*OFFSET(I$112,MATCH($N$1,$C$112:$C$113,0)-1,0)</f>
        <v>1389</v>
      </c>
      <c r="J20" s="37">
        <f ca="1">1846*OFFSET(J$112,MATCH($N$1,$C$112:$C$113,0)-1,0)</f>
        <v>1846</v>
      </c>
      <c r="K20" s="37">
        <f ca="1">2028*OFFSET(K$112,MATCH($N$1,$C$112:$C$113,0)-1,0)</f>
        <v>2028</v>
      </c>
      <c r="L20" s="37">
        <f ca="1">2439*OFFSET(L$112,MATCH($N$1,$C$112:$C$113,0)-1,0)</f>
        <v>2439</v>
      </c>
      <c r="M20" s="37">
        <f ca="1">2801*OFFSET(M$112,MATCH($N$1,$C$112:$C$113,0)-1,0)</f>
        <v>2801</v>
      </c>
      <c r="N20" s="37">
        <v>2457</v>
      </c>
      <c r="O20" s="29">
        <f t="shared" ca="1" si="0"/>
        <v>0.38266741699493528</v>
      </c>
      <c r="P20" s="29">
        <f t="shared" ca="1" si="1"/>
        <v>0.33098591549295775</v>
      </c>
    </row>
    <row r="21" spans="1:16" ht="18" customHeight="1" x14ac:dyDescent="0.2">
      <c r="A21" s="228" t="s">
        <v>25</v>
      </c>
      <c r="B21" s="30" t="s">
        <v>62</v>
      </c>
      <c r="C21" s="38"/>
      <c r="D21" s="39">
        <v>3.980366780499951</v>
      </c>
      <c r="E21" s="39">
        <v>4.2244803618778715</v>
      </c>
      <c r="F21" s="39">
        <v>4.8252048042757378</v>
      </c>
      <c r="G21" s="39">
        <v>5.4361576537832912</v>
      </c>
      <c r="H21" s="39">
        <v>7.6696481775980656</v>
      </c>
      <c r="I21" s="39">
        <v>7.9117780710727148</v>
      </c>
      <c r="J21" s="39">
        <v>4.9696754209153182</v>
      </c>
      <c r="K21" s="39">
        <v>3.9343450422785406</v>
      </c>
      <c r="L21" s="39">
        <v>4.5515423706907621</v>
      </c>
      <c r="M21" s="39">
        <v>4.810287087805639</v>
      </c>
      <c r="N21" s="39">
        <v>4.8271181005656016</v>
      </c>
      <c r="O21" s="23">
        <f t="shared" si="0"/>
        <v>0.21273198344784072</v>
      </c>
      <c r="P21" s="23">
        <f t="shared" si="1"/>
        <v>-2.8685438841690041E-2</v>
      </c>
    </row>
    <row r="22" spans="1:16" ht="18" customHeight="1" x14ac:dyDescent="0.2">
      <c r="A22" s="228"/>
      <c r="B22" s="33" t="s">
        <v>63</v>
      </c>
      <c r="C22" s="25"/>
      <c r="D22" s="34">
        <f ca="1">7.07258840842665*OFFSET(D$112,MATCH($N$1,$C$112:$C$113,0)-1,0)</f>
        <v>7.0725884084266504</v>
      </c>
      <c r="E22" s="34">
        <f ca="1">7.65771769672172*OFFSET(E$112,MATCH($N$1,$C$112:$C$113,0)-1,0)</f>
        <v>7.6577176967217202</v>
      </c>
      <c r="F22" s="34">
        <f ca="1">8.35613276901207*OFFSET(F$112,MATCH($N$1,$C$112:$C$113,0)-1,0)</f>
        <v>8.3561327690120706</v>
      </c>
      <c r="G22" s="34">
        <f ca="1">10.4068706115409*OFFSET(G$112,MATCH($N$1,$C$112:$C$113,0)-1,0)</f>
        <v>10.406870611540899</v>
      </c>
      <c r="H22" s="34">
        <f ca="1">11.6241857088961*OFFSET(H$112,MATCH($N$1,$C$112:$C$113,0)-1,0)</f>
        <v>11.6241857088961</v>
      </c>
      <c r="I22" s="34">
        <f ca="1">10.9910478306243*OFFSET(I$112,MATCH($N$1,$C$112:$C$113,0)-1,0)</f>
        <v>10.9910478306243</v>
      </c>
      <c r="J22" s="34">
        <f ca="1">9.17188095019838*OFFSET(J$112,MATCH($N$1,$C$112:$C$113,0)-1,0)</f>
        <v>9.1718809501983802</v>
      </c>
      <c r="K22" s="34">
        <f ca="1">7.97851865357428*OFFSET(K$112,MATCH($N$1,$C$112:$C$113,0)-1,0)</f>
        <v>7.9785186535742803</v>
      </c>
      <c r="L22" s="34">
        <f ca="1">11.1031658446363*OFFSET(L$112,MATCH($N$1,$C$112:$C$113,0)-1,0)</f>
        <v>11.103165844636299</v>
      </c>
      <c r="M22" s="34">
        <f ca="1">13.4724815752763*OFFSET(M$112,MATCH($N$1,$C$112:$C$113,0)-1,0)</f>
        <v>13.4724815752763</v>
      </c>
      <c r="N22" s="34">
        <v>11.858797203331049</v>
      </c>
      <c r="O22" s="23">
        <f t="shared" ca="1" si="0"/>
        <v>0.67672661245236043</v>
      </c>
      <c r="P22" s="23">
        <f t="shared" ca="1" si="1"/>
        <v>0.29295149683277921</v>
      </c>
    </row>
    <row r="23" spans="1:16" ht="18" customHeight="1" x14ac:dyDescent="0.2">
      <c r="A23" s="228"/>
      <c r="B23" s="33" t="s">
        <v>11</v>
      </c>
      <c r="C23" s="25"/>
      <c r="D23" s="34">
        <f ca="1">7.70285728866314*OFFSET(D$112,MATCH($N$1,$C$112:$C$113,0)-1,0)</f>
        <v>7.7028572886631403</v>
      </c>
      <c r="E23" s="34">
        <f ca="1">6.50480076022643*OFFSET(E$112,MATCH($N$1,$C$112:$C$113,0)-1,0)</f>
        <v>6.5048007602264297</v>
      </c>
      <c r="F23" s="34">
        <f ca="1">7.22550706572983*OFFSET(F$112,MATCH($N$1,$C$112:$C$113,0)-1,0)</f>
        <v>7.2255070657298299</v>
      </c>
      <c r="G23" s="34">
        <f ca="1">10.929619573366*OFFSET(G$112,MATCH($N$1,$C$112:$C$113,0)-1,0)</f>
        <v>10.929619573366001</v>
      </c>
      <c r="H23" s="34">
        <f ca="1">11.3403428248152*OFFSET(H$112,MATCH($N$1,$C$112:$C$113,0)-1,0)</f>
        <v>11.340342824815201</v>
      </c>
      <c r="I23" s="34">
        <f ca="1">10.3345142860224*OFFSET(I$112,MATCH($N$1,$C$112:$C$113,0)-1,0)</f>
        <v>10.334514286022401</v>
      </c>
      <c r="J23" s="34">
        <f ca="1">8.58242490345342*OFFSET(J$112,MATCH($N$1,$C$112:$C$113,0)-1,0)</f>
        <v>8.5824249034534201</v>
      </c>
      <c r="K23" s="34">
        <f ca="1">7.14639830505142*OFFSET(K$112,MATCH($N$1,$C$112:$C$113,0)-1,0)</f>
        <v>7.1463983050514202</v>
      </c>
      <c r="L23" s="34">
        <f ca="1">9.31587414987284*OFFSET(L$112,MATCH($N$1,$C$112:$C$113,0)-1,0)</f>
        <v>9.3158741498728403</v>
      </c>
      <c r="M23" s="34">
        <f ca="1">12.1509381091501*OFFSET(M$112,MATCH($N$1,$C$112:$C$113,0)-1,0)</f>
        <v>12.150938109150101</v>
      </c>
      <c r="N23" s="34">
        <v>10.91794163447563</v>
      </c>
      <c r="O23" s="23">
        <f t="shared" ca="1" si="0"/>
        <v>0.41738853847706164</v>
      </c>
      <c r="P23" s="23">
        <f t="shared" ca="1" si="1"/>
        <v>0.27212783767935311</v>
      </c>
    </row>
    <row r="24" spans="1:16" ht="18" customHeight="1" x14ac:dyDescent="0.2">
      <c r="A24" s="228"/>
      <c r="B24" s="33" t="s">
        <v>12</v>
      </c>
      <c r="C24" s="25"/>
      <c r="D24" s="34">
        <f ca="1">1.0238378175727*OFFSET(D$112,MATCH($N$1,$C$112:$C$113,0)-1,0)</f>
        <v>1.0238378175727001</v>
      </c>
      <c r="E24" s="34">
        <f ca="1">1.58840553477349*OFFSET(E$112,MATCH($N$1,$C$112:$C$113,0)-1,0)</f>
        <v>1.58840553477349</v>
      </c>
      <c r="F24" s="34">
        <f ca="1">1.5564281290646*OFFSET(F$112,MATCH($N$1,$C$112:$C$113,0)-1,0)</f>
        <v>1.5564281290646</v>
      </c>
      <c r="G24" s="34">
        <f ca="1">2.99330120939308*OFFSET(G$112,MATCH($N$1,$C$112:$C$113,0)-1,0)</f>
        <v>2.99330120939308</v>
      </c>
      <c r="H24" s="34">
        <f ca="1">2.34356869555731*OFFSET(H$112,MATCH($N$1,$C$112:$C$113,0)-1,0)</f>
        <v>2.3435686955573098</v>
      </c>
      <c r="I24" s="34">
        <f ca="1">1.82731886210843*OFFSET(I$112,MATCH($N$1,$C$112:$C$113,0)-1,0)</f>
        <v>1.82731886210843</v>
      </c>
      <c r="J24" s="34">
        <f ca="1">1.38640036174711*OFFSET(J$112,MATCH($N$1,$C$112:$C$113,0)-1,0)</f>
        <v>1.3864003617471099</v>
      </c>
      <c r="K24" s="34">
        <f ca="1">1.36195703762177*OFFSET(K$112,MATCH($N$1,$C$112:$C$113,0)-1,0)</f>
        <v>1.36195703762177</v>
      </c>
      <c r="L24" s="34">
        <f ca="1">1.83198391903*OFFSET(L$112,MATCH($N$1,$C$112:$C$113,0)-1,0)</f>
        <v>1.83198391903</v>
      </c>
      <c r="M24" s="34">
        <f ca="1">5.12507445205256*OFFSET(M$112,MATCH($N$1,$C$112:$C$113,0)-1,0)</f>
        <v>5.1250744520525604</v>
      </c>
      <c r="N24" s="34">
        <v>4.2888139802434413</v>
      </c>
      <c r="O24" s="23">
        <f t="shared" ca="1" si="0"/>
        <v>3.1889583551536509</v>
      </c>
      <c r="P24" s="23">
        <f t="shared" ca="1" si="1"/>
        <v>2.0934887919668288</v>
      </c>
    </row>
    <row r="25" spans="1:16" ht="18" customHeight="1" x14ac:dyDescent="0.2">
      <c r="A25" s="228"/>
      <c r="B25" s="33" t="s">
        <v>64</v>
      </c>
      <c r="C25" s="25"/>
      <c r="D25" s="28"/>
      <c r="E25" s="28">
        <f ca="1">38.98*OFFSET(E$112,MATCH($N$1,$C$112:$C$113,0)-1,0)</f>
        <v>38.979999999999997</v>
      </c>
      <c r="F25" s="28">
        <f ca="1">63.8*OFFSET(F$112,MATCH($N$1,$C$112:$C$113,0)-1,0)</f>
        <v>63.8</v>
      </c>
      <c r="G25" s="28">
        <f ca="1">51.98*OFFSET(G$112,MATCH($N$1,$C$112:$C$113,0)-1,0)</f>
        <v>51.98</v>
      </c>
      <c r="H25" s="28">
        <f ca="1">57.7*OFFSET(H$112,MATCH($N$1,$C$112:$C$113,0)-1,0)</f>
        <v>57.7</v>
      </c>
      <c r="I25" s="28">
        <f ca="1">84.01*OFFSET(I$112,MATCH($N$1,$C$112:$C$113,0)-1,0)</f>
        <v>84.01</v>
      </c>
      <c r="J25" s="28">
        <f ca="1">38.2*OFFSET(J$112,MATCH($N$1,$C$112:$C$113,0)-1,0)</f>
        <v>38.200000000000003</v>
      </c>
      <c r="K25" s="28">
        <f ca="1">127.32*OFFSET(K$112,MATCH($N$1,$C$112:$C$113,0)-1,0)</f>
        <v>127.32</v>
      </c>
      <c r="L25" s="28">
        <f ca="1">65.77*OFFSET(L$112,MATCH($N$1,$C$112:$C$113,0)-1,0)</f>
        <v>65.77</v>
      </c>
      <c r="M25" s="28">
        <f ca="1">112.76*OFFSET(M$112,MATCH($N$1,$C$112:$C$113,0)-1,0)</f>
        <v>112.76</v>
      </c>
      <c r="N25" s="28">
        <v>102.85</v>
      </c>
      <c r="O25" s="23" t="str">
        <f t="shared" si="0"/>
        <v/>
      </c>
      <c r="P25" s="23">
        <f t="shared" ca="1" si="1"/>
        <v>1.6924083769633504</v>
      </c>
    </row>
    <row r="26" spans="1:16" ht="18" customHeight="1" x14ac:dyDescent="0.2">
      <c r="A26" s="229"/>
      <c r="B26" s="33" t="s">
        <v>65</v>
      </c>
      <c r="C26" s="40"/>
      <c r="D26" s="28"/>
      <c r="E26" s="28">
        <f ca="1">8.09*OFFSET(E$112,MATCH($N$1,$C$112:$C$113,0)-1,0)</f>
        <v>8.09</v>
      </c>
      <c r="F26" s="28">
        <f ca="1">11.89*OFFSET(F$112,MATCH($N$1,$C$112:$C$113,0)-1,0)</f>
        <v>11.89</v>
      </c>
      <c r="G26" s="28">
        <f ca="1">14.94*OFFSET(G$112,MATCH($N$1,$C$112:$C$113,0)-1,0)</f>
        <v>14.94</v>
      </c>
      <c r="H26" s="28">
        <f ca="1">11.64*OFFSET(H$112,MATCH($N$1,$C$112:$C$113,0)-1,0)</f>
        <v>11.64</v>
      </c>
      <c r="I26" s="28">
        <f ca="1">13.97*OFFSET(I$112,MATCH($N$1,$C$112:$C$113,0)-1,0)</f>
        <v>13.97</v>
      </c>
      <c r="J26" s="28">
        <f ca="1">5.78*OFFSET(J$112,MATCH($N$1,$C$112:$C$113,0)-1,0)</f>
        <v>5.78</v>
      </c>
      <c r="K26" s="28">
        <f ca="1">21.72*OFFSET(K$112,MATCH($N$1,$C$112:$C$113,0)-1,0)</f>
        <v>21.72</v>
      </c>
      <c r="L26" s="28">
        <f ca="1">10.85*OFFSET(L$112,MATCH($N$1,$C$112:$C$113,0)-1,0)</f>
        <v>10.85</v>
      </c>
      <c r="M26" s="28">
        <f ca="1">42.92*OFFSET(M$112,MATCH($N$1,$C$112:$C$113,0)-1,0)</f>
        <v>42.92</v>
      </c>
      <c r="N26" s="28">
        <v>37.21</v>
      </c>
      <c r="O26" s="29" t="str">
        <f t="shared" si="0"/>
        <v/>
      </c>
      <c r="P26" s="29">
        <f t="shared" ca="1" si="1"/>
        <v>5.437716262975778</v>
      </c>
    </row>
    <row r="27" spans="1:16" ht="18" customHeight="1" x14ac:dyDescent="0.2">
      <c r="A27" s="230" t="s">
        <v>26</v>
      </c>
      <c r="B27" s="30" t="s">
        <v>59</v>
      </c>
      <c r="C27" s="31"/>
      <c r="D27" s="32">
        <f ca="1">206.3*OFFSET(D$112,MATCH($N$1,$C$112:$C$113,0)-1,0)</f>
        <v>206.3</v>
      </c>
      <c r="E27" s="32">
        <f ca="1">201*OFFSET(E$112,MATCH($N$1,$C$112:$C$113,0)-1,0)</f>
        <v>201</v>
      </c>
      <c r="F27" s="32">
        <f ca="1">253.8*OFFSET(F$112,MATCH($N$1,$C$112:$C$113,0)-1,0)</f>
        <v>253.8</v>
      </c>
      <c r="G27" s="32">
        <f ca="1">263*OFFSET(G$112,MATCH($N$1,$C$112:$C$113,0)-1,0)</f>
        <v>263</v>
      </c>
      <c r="H27" s="32">
        <f ca="1">259.7*OFFSET(H$112,MATCH($N$1,$C$112:$C$113,0)-1,0)</f>
        <v>259.7</v>
      </c>
      <c r="I27" s="32">
        <f ca="1">294.6*OFFSET(I$112,MATCH($N$1,$C$112:$C$113,0)-1,0)</f>
        <v>294.60000000000002</v>
      </c>
      <c r="J27" s="32">
        <f ca="1">215.4*OFFSET(J$112,MATCH($N$1,$C$112:$C$113,0)-1,0)</f>
        <v>215.4</v>
      </c>
      <c r="K27" s="32">
        <f ca="1">198.1*OFFSET(K$112,MATCH($N$1,$C$112:$C$113,0)-1,0)</f>
        <v>198.1</v>
      </c>
      <c r="L27" s="32">
        <f ca="1">337.7*OFFSET(L$112,MATCH($N$1,$C$112:$C$113,0)-1,0)</f>
        <v>337.7</v>
      </c>
      <c r="M27" s="32">
        <f ca="1">247.5*OFFSET(M$112,MATCH($N$1,$C$112:$C$113,0)-1,0)</f>
        <v>247.5</v>
      </c>
      <c r="N27" s="32">
        <v>310.7</v>
      </c>
      <c r="O27" s="23">
        <f t="shared" ca="1" si="0"/>
        <v>0.50605913717886564</v>
      </c>
      <c r="P27" s="23">
        <f t="shared" ca="1" si="1"/>
        <v>0.4424326833797585</v>
      </c>
    </row>
    <row r="28" spans="1:16" ht="18" customHeight="1" x14ac:dyDescent="0.2">
      <c r="A28" s="231"/>
      <c r="B28" s="33" t="s">
        <v>66</v>
      </c>
      <c r="C28" s="27"/>
      <c r="D28" s="28">
        <f ca="1">48.2*OFFSET(D$112,MATCH($N$1,$C$112:$C$113,0)-1,0)</f>
        <v>48.2</v>
      </c>
      <c r="E28" s="28">
        <f ca="1">11.4*OFFSET(E$112,MATCH($N$1,$C$112:$C$113,0)-1,0)</f>
        <v>11.4</v>
      </c>
      <c r="F28" s="28">
        <f ca="1">12.9*OFFSET(F$112,MATCH($N$1,$C$112:$C$113,0)-1,0)</f>
        <v>12.9</v>
      </c>
      <c r="G28" s="28">
        <f ca="1">88.9*OFFSET(G$112,MATCH($N$1,$C$112:$C$113,0)-1,0)</f>
        <v>88.9</v>
      </c>
      <c r="H28" s="28">
        <f ca="1">46*OFFSET(H$112,MATCH($N$1,$C$112:$C$113,0)-1,0)</f>
        <v>46</v>
      </c>
      <c r="I28" s="28">
        <f ca="1">31.4*OFFSET(I$112,MATCH($N$1,$C$112:$C$113,0)-1,0)</f>
        <v>31.4</v>
      </c>
      <c r="J28" s="28">
        <f ca="1">18.7*OFFSET(J$112,MATCH($N$1,$C$112:$C$113,0)-1,0)</f>
        <v>18.7</v>
      </c>
      <c r="K28" s="28">
        <f ca="1">13.2*OFFSET(K$112,MATCH($N$1,$C$112:$C$113,0)-1,0)</f>
        <v>13.2</v>
      </c>
      <c r="L28" s="28">
        <f ca="1">1.4*OFFSET(L$112,MATCH($N$1,$C$112:$C$113,0)-1,0)</f>
        <v>1.4</v>
      </c>
      <c r="M28" s="28">
        <f ca="1">69.9*OFFSET(M$112,MATCH($N$1,$C$112:$C$113,0)-1,0)</f>
        <v>69.900000000000006</v>
      </c>
      <c r="N28" s="28">
        <v>87.7</v>
      </c>
      <c r="O28" s="23">
        <f t="shared" ca="1" si="0"/>
        <v>0.81950207468879666</v>
      </c>
      <c r="P28" s="23">
        <f t="shared" ca="1" si="1"/>
        <v>3.6898395721925135</v>
      </c>
    </row>
    <row r="29" spans="1:16" ht="18" customHeight="1" x14ac:dyDescent="0.2">
      <c r="A29" s="231"/>
      <c r="B29" s="41" t="s">
        <v>67</v>
      </c>
      <c r="C29" s="42"/>
      <c r="D29" s="43">
        <f ca="1">254.5*OFFSET(D$112,MATCH($N$1,$C$112:$C$113,0)-1,0)</f>
        <v>254.5</v>
      </c>
      <c r="E29" s="43">
        <f ca="1">212.4*OFFSET(E$112,MATCH($N$1,$C$112:$C$113,0)-1,0)</f>
        <v>212.4</v>
      </c>
      <c r="F29" s="43">
        <f ca="1">266.7*OFFSET(F$112,MATCH($N$1,$C$112:$C$113,0)-1,0)</f>
        <v>266.7</v>
      </c>
      <c r="G29" s="43">
        <f ca="1">351.9*OFFSET(G$112,MATCH($N$1,$C$112:$C$113,0)-1,0)</f>
        <v>351.9</v>
      </c>
      <c r="H29" s="43">
        <f ca="1">305.8*OFFSET(H$112,MATCH($N$1,$C$112:$C$113,0)-1,0)</f>
        <v>305.8</v>
      </c>
      <c r="I29" s="43">
        <f ca="1">326*OFFSET(I$112,MATCH($N$1,$C$112:$C$113,0)-1,0)</f>
        <v>326</v>
      </c>
      <c r="J29" s="43">
        <f ca="1">234.1*OFFSET(J$112,MATCH($N$1,$C$112:$C$113,0)-1,0)</f>
        <v>234.1</v>
      </c>
      <c r="K29" s="43">
        <f ca="1">211.3*OFFSET(K$112,MATCH($N$1,$C$112:$C$113,0)-1,0)</f>
        <v>211.3</v>
      </c>
      <c r="L29" s="43">
        <f ca="1">339*OFFSET(L$112,MATCH($N$1,$C$112:$C$113,0)-1,0)</f>
        <v>339</v>
      </c>
      <c r="M29" s="43">
        <f ca="1">317.4*OFFSET(M$112,MATCH($N$1,$C$112:$C$113,0)-1,0)</f>
        <v>317.39999999999998</v>
      </c>
      <c r="N29" s="43">
        <v>398.40000000000003</v>
      </c>
      <c r="O29" s="23">
        <f t="shared" ca="1" si="0"/>
        <v>0.56542239685658169</v>
      </c>
      <c r="P29" s="23">
        <f t="shared" ca="1" si="1"/>
        <v>0.7018368218709955</v>
      </c>
    </row>
    <row r="30" spans="1:16" ht="18" customHeight="1" x14ac:dyDescent="0.2">
      <c r="A30" s="231"/>
      <c r="B30" s="33" t="s">
        <v>68</v>
      </c>
      <c r="C30" s="27"/>
      <c r="D30" s="28">
        <f ca="1">50.9*OFFSET(D$112,MATCH($N$1,$C$112:$C$113,0)-1,0)</f>
        <v>50.9</v>
      </c>
      <c r="E30" s="28">
        <f ca="1">31.1*OFFSET(E$112,MATCH($N$1,$C$112:$C$113,0)-1,0)</f>
        <v>31.1</v>
      </c>
      <c r="F30" s="28">
        <f ca="1">44.7*OFFSET(F$112,MATCH($N$1,$C$112:$C$113,0)-1,0)</f>
        <v>44.7</v>
      </c>
      <c r="G30" s="28">
        <f ca="1">49.2*OFFSET(G$112,MATCH($N$1,$C$112:$C$113,0)-1,0)</f>
        <v>49.2</v>
      </c>
      <c r="H30" s="28">
        <f ca="1">42.6*OFFSET(H$112,MATCH($N$1,$C$112:$C$113,0)-1,0)</f>
        <v>42.6</v>
      </c>
      <c r="I30" s="28">
        <f ca="1">51.5*OFFSET(I$112,MATCH($N$1,$C$112:$C$113,0)-1,0)</f>
        <v>51.5</v>
      </c>
      <c r="J30" s="28">
        <f ca="1">38.9*OFFSET(J$112,MATCH($N$1,$C$112:$C$113,0)-1,0)</f>
        <v>38.9</v>
      </c>
      <c r="K30" s="28">
        <f ca="1">27.7*OFFSET(K$112,MATCH($N$1,$C$112:$C$113,0)-1,0)</f>
        <v>27.7</v>
      </c>
      <c r="L30" s="28">
        <f ca="1">31.3*OFFSET(L$112,MATCH($N$1,$C$112:$C$113,0)-1,0)</f>
        <v>31.3</v>
      </c>
      <c r="M30" s="28">
        <f ca="1">23.9*OFFSET(M$112,MATCH($N$1,$C$112:$C$113,0)-1,0)</f>
        <v>23.9</v>
      </c>
      <c r="N30" s="28">
        <v>39.6</v>
      </c>
      <c r="O30" s="23">
        <f t="shared" ca="1" si="0"/>
        <v>-0.22200392927308443</v>
      </c>
      <c r="P30" s="23">
        <f t="shared" ca="1" si="1"/>
        <v>1.7994858611825267E-2</v>
      </c>
    </row>
    <row r="31" spans="1:16" ht="18" customHeight="1" x14ac:dyDescent="0.2">
      <c r="A31" s="231"/>
      <c r="B31" s="33" t="s">
        <v>69</v>
      </c>
      <c r="C31" s="27"/>
      <c r="D31" s="28">
        <f ca="1">74.2*OFFSET(D$112,MATCH($N$1,$C$112:$C$113,0)-1,0)</f>
        <v>74.2</v>
      </c>
      <c r="E31" s="28">
        <f ca="1">50.5*OFFSET(E$112,MATCH($N$1,$C$112:$C$113,0)-1,0)</f>
        <v>50.5</v>
      </c>
      <c r="F31" s="28">
        <f ca="1">62.6*OFFSET(F$112,MATCH($N$1,$C$112:$C$113,0)-1,0)</f>
        <v>62.6</v>
      </c>
      <c r="G31" s="28">
        <f ca="1">92.3*OFFSET(G$112,MATCH($N$1,$C$112:$C$113,0)-1,0)</f>
        <v>92.3</v>
      </c>
      <c r="H31" s="28">
        <f ca="1">76.1*OFFSET(H$112,MATCH($N$1,$C$112:$C$113,0)-1,0)</f>
        <v>76.099999999999994</v>
      </c>
      <c r="I31" s="28">
        <f ca="1">71*OFFSET(I$112,MATCH($N$1,$C$112:$C$113,0)-1,0)</f>
        <v>71</v>
      </c>
      <c r="J31" s="28">
        <f ca="1">54.9*OFFSET(J$112,MATCH($N$1,$C$112:$C$113,0)-1,0)</f>
        <v>54.9</v>
      </c>
      <c r="K31" s="28">
        <f ca="1">43*OFFSET(K$112,MATCH($N$1,$C$112:$C$113,0)-1,0)</f>
        <v>43</v>
      </c>
      <c r="L31" s="28">
        <f ca="1">88.4*OFFSET(L$112,MATCH($N$1,$C$112:$C$113,0)-1,0)</f>
        <v>88.4</v>
      </c>
      <c r="M31" s="28">
        <f ca="1">61.6*OFFSET(M$112,MATCH($N$1,$C$112:$C$113,0)-1,0)</f>
        <v>61.6</v>
      </c>
      <c r="N31" s="28">
        <v>73.600000000000009</v>
      </c>
      <c r="O31" s="23">
        <f t="shared" ca="1" si="0"/>
        <v>-8.0862533692721596E-3</v>
      </c>
      <c r="P31" s="23">
        <f t="shared" ca="1" si="1"/>
        <v>0.34061930783242278</v>
      </c>
    </row>
    <row r="32" spans="1:16" ht="18" customHeight="1" x14ac:dyDescent="0.2">
      <c r="A32" s="231"/>
      <c r="B32" s="33" t="s">
        <v>70</v>
      </c>
      <c r="C32" s="27"/>
      <c r="D32" s="28">
        <f ca="1">34.2*OFFSET(D$112,MATCH($N$1,$C$112:$C$113,0)-1,0)</f>
        <v>34.200000000000003</v>
      </c>
      <c r="E32" s="28">
        <f ca="1">38.3*OFFSET(E$112,MATCH($N$1,$C$112:$C$113,0)-1,0)</f>
        <v>38.299999999999997</v>
      </c>
      <c r="F32" s="28">
        <f ca="1">45.1*OFFSET(F$112,MATCH($N$1,$C$112:$C$113,0)-1,0)</f>
        <v>45.1</v>
      </c>
      <c r="G32" s="28">
        <f ca="1">54.9*OFFSET(G$112,MATCH($N$1,$C$112:$C$113,0)-1,0)</f>
        <v>54.9</v>
      </c>
      <c r="H32" s="28">
        <f ca="1">69.7*OFFSET(H$112,MATCH($N$1,$C$112:$C$113,0)-1,0)</f>
        <v>69.7</v>
      </c>
      <c r="I32" s="28">
        <f ca="1">81.4*OFFSET(I$112,MATCH($N$1,$C$112:$C$113,0)-1,0)</f>
        <v>81.400000000000006</v>
      </c>
      <c r="J32" s="28">
        <f ca="1">54.5*OFFSET(J$112,MATCH($N$1,$C$112:$C$113,0)-1,0)</f>
        <v>54.5</v>
      </c>
      <c r="K32" s="28">
        <f ca="1">48.8*OFFSET(K$112,MATCH($N$1,$C$112:$C$113,0)-1,0)</f>
        <v>48.8</v>
      </c>
      <c r="L32" s="28">
        <f ca="1">87.6*OFFSET(L$112,MATCH($N$1,$C$112:$C$113,0)-1,0)</f>
        <v>87.6</v>
      </c>
      <c r="M32" s="28">
        <f ca="1">66.3*OFFSET(M$112,MATCH($N$1,$C$112:$C$113,0)-1,0)</f>
        <v>66.3</v>
      </c>
      <c r="N32" s="28">
        <v>83.2</v>
      </c>
      <c r="O32" s="23">
        <f t="shared" ca="1" si="0"/>
        <v>1.4327485380116958</v>
      </c>
      <c r="P32" s="23">
        <f t="shared" ca="1" si="1"/>
        <v>0.52660550458715605</v>
      </c>
    </row>
    <row r="33" spans="1:16" ht="18" customHeight="1" x14ac:dyDescent="0.2">
      <c r="A33" s="231"/>
      <c r="B33" s="33" t="s">
        <v>71</v>
      </c>
      <c r="C33" s="27"/>
      <c r="D33" s="28">
        <f ca="1">159.3*OFFSET(D$112,MATCH($N$1,$C$112:$C$113,0)-1,0)</f>
        <v>159.30000000000001</v>
      </c>
      <c r="E33" s="28">
        <f ca="1">119.9*OFFSET(E$112,MATCH($N$1,$C$112:$C$113,0)-1,0)</f>
        <v>119.9</v>
      </c>
      <c r="F33" s="28">
        <f ca="1">152.4*OFFSET(F$112,MATCH($N$1,$C$112:$C$113,0)-1,0)</f>
        <v>152.4</v>
      </c>
      <c r="G33" s="28">
        <f ca="1">196.4*OFFSET(G$112,MATCH($N$1,$C$112:$C$113,0)-1,0)</f>
        <v>196.4</v>
      </c>
      <c r="H33" s="28">
        <f ca="1">188.3*OFFSET(H$112,MATCH($N$1,$C$112:$C$113,0)-1,0)</f>
        <v>188.3</v>
      </c>
      <c r="I33" s="28">
        <f ca="1">203.9*OFFSET(I$112,MATCH($N$1,$C$112:$C$113,0)-1,0)</f>
        <v>203.9</v>
      </c>
      <c r="J33" s="28">
        <f ca="1">148.4*OFFSET(J$112,MATCH($N$1,$C$112:$C$113,0)-1,0)</f>
        <v>148.4</v>
      </c>
      <c r="K33" s="28">
        <f ca="1">119.4*OFFSET(K$112,MATCH($N$1,$C$112:$C$113,0)-1,0)</f>
        <v>119.4</v>
      </c>
      <c r="L33" s="28">
        <f ca="1">207.2*OFFSET(L$112,MATCH($N$1,$C$112:$C$113,0)-1,0)</f>
        <v>207.2</v>
      </c>
      <c r="M33" s="28">
        <f ca="1">151.9*OFFSET(M$112,MATCH($N$1,$C$112:$C$113,0)-1,0)</f>
        <v>151.9</v>
      </c>
      <c r="N33" s="28">
        <v>196.4</v>
      </c>
      <c r="O33" s="23">
        <f t="shared" ca="1" si="0"/>
        <v>0.23289391086001252</v>
      </c>
      <c r="P33" s="23">
        <f t="shared" ca="1" si="1"/>
        <v>0.32345013477088946</v>
      </c>
    </row>
    <row r="34" spans="1:16" ht="18" customHeight="1" x14ac:dyDescent="0.2">
      <c r="A34" s="231"/>
      <c r="B34" s="33" t="s">
        <v>72</v>
      </c>
      <c r="C34" s="27"/>
      <c r="D34" s="28">
        <f ca="1">65.4*OFFSET(D$112,MATCH($N$1,$C$112:$C$113,0)-1,0)</f>
        <v>65.400000000000006</v>
      </c>
      <c r="E34" s="28">
        <f ca="1">50.8*OFFSET(E$112,MATCH($N$1,$C$112:$C$113,0)-1,0)</f>
        <v>50.8</v>
      </c>
      <c r="F34" s="28">
        <f ca="1">67*OFFSET(F$112,MATCH($N$1,$C$112:$C$113,0)-1,0)</f>
        <v>67</v>
      </c>
      <c r="G34" s="28">
        <f ca="1">79.8*OFFSET(G$112,MATCH($N$1,$C$112:$C$113,0)-1,0)</f>
        <v>79.8</v>
      </c>
      <c r="H34" s="28">
        <f ca="1">65.1*OFFSET(H$112,MATCH($N$1,$C$112:$C$113,0)-1,0)</f>
        <v>65.099999999999994</v>
      </c>
      <c r="I34" s="28">
        <f ca="1">73.1*OFFSET(I$112,MATCH($N$1,$C$112:$C$113,0)-1,0)</f>
        <v>73.099999999999994</v>
      </c>
      <c r="J34" s="28">
        <f ca="1">53.2*OFFSET(J$112,MATCH($N$1,$C$112:$C$113,0)-1,0)</f>
        <v>53.2</v>
      </c>
      <c r="K34" s="28">
        <f ca="1">58.1*OFFSET(K$112,MATCH($N$1,$C$112:$C$113,0)-1,0)</f>
        <v>58.1</v>
      </c>
      <c r="L34" s="28">
        <f ca="1">76.1*OFFSET(L$112,MATCH($N$1,$C$112:$C$113,0)-1,0)</f>
        <v>76.099999999999994</v>
      </c>
      <c r="M34" s="28">
        <f ca="1">71.4*OFFSET(M$112,MATCH($N$1,$C$112:$C$113,0)-1,0)</f>
        <v>71.400000000000006</v>
      </c>
      <c r="N34" s="28">
        <v>89.600000000000009</v>
      </c>
      <c r="O34" s="23">
        <f t="shared" ca="1" si="0"/>
        <v>0.37003058103975539</v>
      </c>
      <c r="P34" s="23">
        <f t="shared" ca="1" si="1"/>
        <v>0.68421052631578949</v>
      </c>
    </row>
    <row r="35" spans="1:16" ht="18" customHeight="1" x14ac:dyDescent="0.2">
      <c r="A35" s="231"/>
      <c r="B35" s="33" t="s">
        <v>73</v>
      </c>
      <c r="C35" s="27"/>
      <c r="D35" s="28">
        <f ca="1">224.6*OFFSET(D$112,MATCH($N$1,$C$112:$C$113,0)-1,0)</f>
        <v>224.6</v>
      </c>
      <c r="E35" s="28">
        <f ca="1">170.7*OFFSET(E$112,MATCH($N$1,$C$112:$C$113,0)-1,0)</f>
        <v>170.7</v>
      </c>
      <c r="F35" s="28">
        <f ca="1">219.5*OFFSET(F$112,MATCH($N$1,$C$112:$C$113,0)-1,0)</f>
        <v>219.5</v>
      </c>
      <c r="G35" s="28">
        <f ca="1">276.2*OFFSET(G$112,MATCH($N$1,$C$112:$C$113,0)-1,0)</f>
        <v>276.2</v>
      </c>
      <c r="H35" s="28">
        <f ca="1">253.4*OFFSET(H$112,MATCH($N$1,$C$112:$C$113,0)-1,0)</f>
        <v>253.4</v>
      </c>
      <c r="I35" s="28">
        <f ca="1">277*OFFSET(I$112,MATCH($N$1,$C$112:$C$113,0)-1,0)</f>
        <v>277</v>
      </c>
      <c r="J35" s="28">
        <f ca="1">201.5*OFFSET(J$112,MATCH($N$1,$C$112:$C$113,0)-1,0)</f>
        <v>201.5</v>
      </c>
      <c r="K35" s="28">
        <f ca="1">177.5*OFFSET(K$112,MATCH($N$1,$C$112:$C$113,0)-1,0)</f>
        <v>177.5</v>
      </c>
      <c r="L35" s="28">
        <f ca="1">283.3*OFFSET(L$112,MATCH($N$1,$C$112:$C$113,0)-1,0)</f>
        <v>283.3</v>
      </c>
      <c r="M35" s="28">
        <f ca="1">223.3*OFFSET(M$112,MATCH($N$1,$C$112:$C$113,0)-1,0)</f>
        <v>223.3</v>
      </c>
      <c r="N35" s="28">
        <v>286</v>
      </c>
      <c r="O35" s="23">
        <f t="shared" ca="1" si="0"/>
        <v>0.27337488869100629</v>
      </c>
      <c r="P35" s="23">
        <f t="shared" ca="1" si="1"/>
        <v>0.41935483870967744</v>
      </c>
    </row>
    <row r="36" spans="1:16" ht="18" customHeight="1" x14ac:dyDescent="0.2">
      <c r="A36" s="231"/>
      <c r="B36" s="41" t="s">
        <v>74</v>
      </c>
      <c r="C36" s="42"/>
      <c r="D36" s="43">
        <f ca="1">104.1*OFFSET(D$112,MATCH($N$1,$C$112:$C$113,0)-1,0)</f>
        <v>104.1</v>
      </c>
      <c r="E36" s="43">
        <f ca="1">92.2*OFFSET(E$112,MATCH($N$1,$C$112:$C$113,0)-1,0)</f>
        <v>92.2</v>
      </c>
      <c r="F36" s="43">
        <f ca="1">109.9*OFFSET(F$112,MATCH($N$1,$C$112:$C$113,0)-1,0)</f>
        <v>109.9</v>
      </c>
      <c r="G36" s="43">
        <f ca="1">167.9*OFFSET(G$112,MATCH($N$1,$C$112:$C$113,0)-1,0)</f>
        <v>167.9</v>
      </c>
      <c r="H36" s="43">
        <f ca="1">128.5*OFFSET(H$112,MATCH($N$1,$C$112:$C$113,0)-1,0)</f>
        <v>128.5</v>
      </c>
      <c r="I36" s="43">
        <f ca="1">120*OFFSET(I$112,MATCH($N$1,$C$112:$C$113,0)-1,0)</f>
        <v>120</v>
      </c>
      <c r="J36" s="43">
        <f ca="1">87.5*OFFSET(J$112,MATCH($N$1,$C$112:$C$113,0)-1,0)</f>
        <v>87.5</v>
      </c>
      <c r="K36" s="43">
        <f ca="1">76.8*OFFSET(K$112,MATCH($N$1,$C$112:$C$113,0)-1,0)</f>
        <v>76.8</v>
      </c>
      <c r="L36" s="43">
        <f ca="1">144.1*OFFSET(L$112,MATCH($N$1,$C$112:$C$113,0)-1,0)</f>
        <v>144.1</v>
      </c>
      <c r="M36" s="43">
        <f ca="1">155.8*OFFSET(M$112,MATCH($N$1,$C$112:$C$113,0)-1,0)</f>
        <v>155.80000000000001</v>
      </c>
      <c r="N36" s="43">
        <v>186</v>
      </c>
      <c r="O36" s="23">
        <f t="shared" ca="1" si="0"/>
        <v>0.78674351585014424</v>
      </c>
      <c r="P36" s="23">
        <f t="shared" ca="1" si="1"/>
        <v>1.1257142857142857</v>
      </c>
    </row>
    <row r="37" spans="1:16" ht="18" customHeight="1" x14ac:dyDescent="0.2">
      <c r="A37" s="231"/>
      <c r="B37" s="41" t="s">
        <v>75</v>
      </c>
      <c r="C37" s="42"/>
      <c r="D37" s="43">
        <f ca="1">29.9*OFFSET(D$112,MATCH($N$1,$C$112:$C$113,0)-1,0)</f>
        <v>29.9</v>
      </c>
      <c r="E37" s="43">
        <f ca="1">41.7*OFFSET(E$112,MATCH($N$1,$C$112:$C$113,0)-1,0)</f>
        <v>41.7</v>
      </c>
      <c r="F37" s="43">
        <f ca="1">47.3*OFFSET(F$112,MATCH($N$1,$C$112:$C$113,0)-1,0)</f>
        <v>47.3</v>
      </c>
      <c r="G37" s="43">
        <f ca="1">75.6*OFFSET(G$112,MATCH($N$1,$C$112:$C$113,0)-1,0)</f>
        <v>75.599999999999994</v>
      </c>
      <c r="H37" s="43">
        <f ca="1">52.4*OFFSET(H$112,MATCH($N$1,$C$112:$C$113,0)-1,0)</f>
        <v>52.4</v>
      </c>
      <c r="I37" s="43">
        <f ca="1">49*OFFSET(I$112,MATCH($N$1,$C$112:$C$113,0)-1,0)</f>
        <v>49</v>
      </c>
      <c r="J37" s="43">
        <f ca="1">32.6*OFFSET(J$112,MATCH($N$1,$C$112:$C$113,0)-1,0)</f>
        <v>32.6</v>
      </c>
      <c r="K37" s="43">
        <f ca="1">33.8*OFFSET(K$112,MATCH($N$1,$C$112:$C$113,0)-1,0)</f>
        <v>33.799999999999997</v>
      </c>
      <c r="L37" s="43">
        <f ca="1">55.7*OFFSET(L$112,MATCH($N$1,$C$112:$C$113,0)-1,0)</f>
        <v>55.7</v>
      </c>
      <c r="M37" s="43">
        <f ca="1">94.2*OFFSET(M$112,MATCH($N$1,$C$112:$C$113,0)-1,0)</f>
        <v>94.2</v>
      </c>
      <c r="N37" s="43">
        <v>112.4</v>
      </c>
      <c r="O37" s="23">
        <f t="shared" ca="1" si="0"/>
        <v>2.7591973244147159</v>
      </c>
      <c r="P37" s="23">
        <f t="shared" ca="1" si="1"/>
        <v>2.4478527607361964</v>
      </c>
    </row>
    <row r="38" spans="1:16" ht="18" customHeight="1" x14ac:dyDescent="0.2">
      <c r="A38" s="231"/>
      <c r="B38" s="33" t="s">
        <v>76</v>
      </c>
      <c r="C38" s="27"/>
      <c r="D38" s="28">
        <f ca="1">10.3*OFFSET(D$112,MATCH($N$1,$C$112:$C$113,0)-1,0)</f>
        <v>10.3</v>
      </c>
      <c r="E38" s="28">
        <f ca="1">8.8*OFFSET(E$112,MATCH($N$1,$C$112:$C$113,0)-1,0)</f>
        <v>8.8000000000000007</v>
      </c>
      <c r="F38" s="28">
        <f ca="1">21.2*OFFSET(F$112,MATCH($N$1,$C$112:$C$113,0)-1,0)</f>
        <v>21.2</v>
      </c>
      <c r="G38" s="28">
        <f ca="1">12.7*OFFSET(G$112,MATCH($N$1,$C$112:$C$113,0)-1,0)</f>
        <v>12.7</v>
      </c>
      <c r="H38" s="28">
        <f ca="1">13.9*OFFSET(H$112,MATCH($N$1,$C$112:$C$113,0)-1,0)</f>
        <v>13.9</v>
      </c>
      <c r="I38" s="28">
        <f ca="1">12.1*OFFSET(I$112,MATCH($N$1,$C$112:$C$113,0)-1,0)</f>
        <v>12.1</v>
      </c>
      <c r="J38" s="28">
        <f ca="1">11.9*OFFSET(J$112,MATCH($N$1,$C$112:$C$113,0)-1,0)</f>
        <v>11.9</v>
      </c>
      <c r="K38" s="28">
        <f ca="1">18.8*OFFSET(K$112,MATCH($N$1,$C$112:$C$113,0)-1,0)</f>
        <v>18.8</v>
      </c>
      <c r="L38" s="28">
        <f ca="1">13.1*OFFSET(L$112,MATCH($N$1,$C$112:$C$113,0)-1,0)</f>
        <v>13.1</v>
      </c>
      <c r="M38" s="28">
        <f ca="1">14.4*OFFSET(M$112,MATCH($N$1,$C$112:$C$113,0)-1,0)</f>
        <v>14.4</v>
      </c>
      <c r="N38" s="28"/>
      <c r="O38" s="23" t="str">
        <f t="shared" si="0"/>
        <v/>
      </c>
      <c r="P38" s="23" t="str">
        <f t="shared" si="1"/>
        <v/>
      </c>
    </row>
    <row r="39" spans="1:16" ht="18" customHeight="1" x14ac:dyDescent="0.2">
      <c r="A39" s="231"/>
      <c r="B39" s="33" t="s">
        <v>77</v>
      </c>
      <c r="C39" s="27"/>
      <c r="D39" s="28">
        <f ca="1">14.1*OFFSET(D$112,MATCH($N$1,$C$112:$C$113,0)-1,0)</f>
        <v>14.1</v>
      </c>
      <c r="E39" s="28">
        <f ca="1">2.7*OFFSET(E$112,MATCH($N$1,$C$112:$C$113,0)-1,0)</f>
        <v>2.7</v>
      </c>
      <c r="F39" s="28">
        <f ca="1">5.4*OFFSET(F$112,MATCH($N$1,$C$112:$C$113,0)-1,0)</f>
        <v>5.4</v>
      </c>
      <c r="G39" s="28">
        <f ca="1">3.2*OFFSET(G$112,MATCH($N$1,$C$112:$C$113,0)-1,0)</f>
        <v>3.2</v>
      </c>
      <c r="H39" s="28">
        <f ca="1">3.2*OFFSET(H$112,MATCH($N$1,$C$112:$C$113,0)-1,0)</f>
        <v>3.2</v>
      </c>
      <c r="I39" s="28">
        <f ca="1">3.1*OFFSET(I$112,MATCH($N$1,$C$112:$C$113,0)-1,0)</f>
        <v>3.1</v>
      </c>
      <c r="J39" s="28">
        <f ca="1">2*OFFSET(J$112,MATCH($N$1,$C$112:$C$113,0)-1,0)</f>
        <v>2</v>
      </c>
      <c r="K39" s="28">
        <f ca="1">2.6*OFFSET(K$112,MATCH($N$1,$C$112:$C$113,0)-1,0)</f>
        <v>2.6</v>
      </c>
      <c r="L39" s="28">
        <f ca="1">0.7*OFFSET(L$112,MATCH($N$1,$C$112:$C$113,0)-1,0)</f>
        <v>0.7</v>
      </c>
      <c r="M39" s="28">
        <f ca="1">0.8*OFFSET(M$112,MATCH($N$1,$C$112:$C$113,0)-1,0)</f>
        <v>0.8</v>
      </c>
      <c r="N39" s="28"/>
      <c r="O39" s="23" t="str">
        <f t="shared" si="0"/>
        <v/>
      </c>
      <c r="P39" s="23" t="str">
        <f t="shared" si="1"/>
        <v/>
      </c>
    </row>
    <row r="40" spans="1:16" ht="18" customHeight="1" x14ac:dyDescent="0.2">
      <c r="A40" s="231"/>
      <c r="B40" s="33" t="s">
        <v>78</v>
      </c>
      <c r="C40" s="27"/>
      <c r="D40" s="28"/>
      <c r="E40" s="28"/>
      <c r="F40" s="28">
        <f ca="1">0.2*OFFSET(F$112,MATCH($N$1,$C$112:$C$113,0)-1,0)</f>
        <v>0.2</v>
      </c>
      <c r="G40" s="28">
        <f ca="1">2*OFFSET(G$112,MATCH($N$1,$C$112:$C$113,0)-1,0)</f>
        <v>2</v>
      </c>
      <c r="H40" s="28">
        <f ca="1">1*OFFSET(H$112,MATCH($N$1,$C$112:$C$113,0)-1,0)</f>
        <v>1</v>
      </c>
      <c r="I40" s="28">
        <f ca="1">1.4*OFFSET(I$112,MATCH($N$1,$C$112:$C$113,0)-1,0)</f>
        <v>1.4</v>
      </c>
      <c r="J40" s="28">
        <f ca="1">0.8*OFFSET(J$112,MATCH($N$1,$C$112:$C$113,0)-1,0)</f>
        <v>0.8</v>
      </c>
      <c r="K40" s="28">
        <f ca="1">1.2*OFFSET(K$112,MATCH($N$1,$C$112:$C$113,0)-1,0)</f>
        <v>1.2</v>
      </c>
      <c r="L40" s="28">
        <f ca="1">0.1*OFFSET(L$112,MATCH($N$1,$C$112:$C$113,0)-1,0)</f>
        <v>0.1</v>
      </c>
      <c r="M40" s="28">
        <f ca="1">1.4*OFFSET(M$112,MATCH($N$1,$C$112:$C$113,0)-1,0)</f>
        <v>1.4</v>
      </c>
      <c r="N40" s="28"/>
      <c r="O40" s="23" t="str">
        <f t="shared" si="0"/>
        <v/>
      </c>
      <c r="P40" s="23" t="str">
        <f t="shared" si="1"/>
        <v/>
      </c>
    </row>
    <row r="41" spans="1:16" ht="18" customHeight="1" thickBot="1" x14ac:dyDescent="0.25">
      <c r="A41" s="232"/>
      <c r="B41" s="44" t="s">
        <v>79</v>
      </c>
      <c r="C41" s="45"/>
      <c r="D41" s="46">
        <f ca="1">5.5*OFFSET(D$112,MATCH($N$1,$C$112:$C$113,0)-1,0)</f>
        <v>5.5</v>
      </c>
      <c r="E41" s="46">
        <f ca="1">30.1*OFFSET(E$112,MATCH($N$1,$C$112:$C$113,0)-1,0)</f>
        <v>30.1</v>
      </c>
      <c r="F41" s="46">
        <f ca="1">20.4*OFFSET(F$112,MATCH($N$1,$C$112:$C$113,0)-1,0)</f>
        <v>20.399999999999999</v>
      </c>
      <c r="G41" s="46">
        <f ca="1">57.7*OFFSET(G$112,MATCH($N$1,$C$112:$C$113,0)-1,0)</f>
        <v>57.7</v>
      </c>
      <c r="H41" s="46">
        <f ca="1">34.3*OFFSET(H$112,MATCH($N$1,$C$112:$C$113,0)-1,0)</f>
        <v>34.299999999999997</v>
      </c>
      <c r="I41" s="46">
        <f ca="1">32.5*OFFSET(I$112,MATCH($N$1,$C$112:$C$113,0)-1,0)</f>
        <v>32.5</v>
      </c>
      <c r="J41" s="46">
        <f ca="1">17.9*OFFSET(J$112,MATCH($N$1,$C$112:$C$113,0)-1,0)</f>
        <v>17.899999999999999</v>
      </c>
      <c r="K41" s="46">
        <f ca="1">11.1*OFFSET(K$112,MATCH($N$1,$C$112:$C$113,0)-1,0)</f>
        <v>11.1</v>
      </c>
      <c r="L41" s="46">
        <f ca="1">41.8*OFFSET(L$112,MATCH($N$1,$C$112:$C$113,0)-1,0)</f>
        <v>41.8</v>
      </c>
      <c r="M41" s="46">
        <f ca="1">77.5*OFFSET(M$112,MATCH($N$1,$C$112:$C$113,0)-1,0)</f>
        <v>77.5</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17</v>
      </c>
      <c r="F46" s="95" t="s">
        <v>18</v>
      </c>
      <c r="G46" s="95" t="s">
        <v>17</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NSWOS demersal under 24m under 300kW</v>
      </c>
      <c r="C48" s="97"/>
      <c r="D48" s="97"/>
      <c r="E48" s="97"/>
      <c r="F48" s="97"/>
      <c r="G48" s="97"/>
      <c r="K48" s="97" t="str">
        <f>$B24&amp;CHAR(10)&amp;$A$1</f>
        <v>Operating profit per kW day at sea (£)
NSWOS demersal under 24m under 300kW</v>
      </c>
    </row>
    <row r="49" spans="1:11" s="83" customFormat="1" x14ac:dyDescent="0.2">
      <c r="A49" s="97" t="str">
        <f>$B22&amp;CHAR(10)&amp;$A$1</f>
        <v>Fishing income per kW day at sea (£)
NSWOS demersal under 24m under 300kW</v>
      </c>
    </row>
    <row r="50" spans="1:11" s="83" customFormat="1" x14ac:dyDescent="0.2">
      <c r="A50" s="97" t="str">
        <f>$B20&amp;CHAR(10)&amp;$A$1</f>
        <v>Average price per tonne landed (£)
NSWOS demersal under 24m under 300kW</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NSWOS demersal under 24m under 300kW</v>
      </c>
      <c r="F62" s="97" t="str">
        <f>$B20&amp;CHAR(10)&amp;$A$1</f>
        <v>Average price per tonne landed (£)
NSWOS demersal under 24m under 300kW</v>
      </c>
      <c r="K62" s="97" t="str">
        <f>"Average annual operating profit per vessel (£'000)"&amp;CHAR(10)&amp;$A$1</f>
        <v>Average annual operating profit per vessel (£'000)
NSWOS demersal under 24m under 300kW</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NSWOS demersal under 24m under 300kW</v>
      </c>
      <c r="F76" s="97" t="str">
        <f>"Top 5 landed species by value in "&amp;A77&amp;CHAR(10)&amp;A1</f>
        <v>Top 5 landed species by value in 2017
NSWOS demersal under 24m under 300kW</v>
      </c>
    </row>
    <row r="77" spans="1:9" s="97" customFormat="1" x14ac:dyDescent="0.2">
      <c r="A77" s="97">
        <v>2017</v>
      </c>
      <c r="B77" s="97" t="s">
        <v>366</v>
      </c>
      <c r="C77" s="98">
        <v>0.23759316544753178</v>
      </c>
      <c r="D77" s="99">
        <v>553960</v>
      </c>
      <c r="G77" s="97" t="s">
        <v>367</v>
      </c>
      <c r="H77" s="98">
        <v>0.27534850338193778</v>
      </c>
      <c r="I77" s="99">
        <v>12153634</v>
      </c>
    </row>
    <row r="78" spans="1:9" s="97" customFormat="1" x14ac:dyDescent="0.2">
      <c r="B78" s="97" t="s">
        <v>368</v>
      </c>
      <c r="C78" s="98">
        <v>0.1558709290808484</v>
      </c>
      <c r="D78" s="99">
        <v>12153634</v>
      </c>
      <c r="G78" s="97" t="s">
        <v>369</v>
      </c>
      <c r="H78" s="98">
        <v>0.25356492751390253</v>
      </c>
      <c r="I78" s="99">
        <v>553960</v>
      </c>
    </row>
    <row r="79" spans="1:9" s="97" customFormat="1" x14ac:dyDescent="0.2">
      <c r="B79" s="97" t="s">
        <v>370</v>
      </c>
      <c r="C79" s="98">
        <v>0.14287198385352212</v>
      </c>
      <c r="D79" s="99">
        <v>3050596</v>
      </c>
      <c r="G79" s="97" t="s">
        <v>371</v>
      </c>
      <c r="H79" s="98">
        <v>0.1160813020066233</v>
      </c>
      <c r="I79" s="99">
        <v>3050596</v>
      </c>
    </row>
    <row r="80" spans="1:9" s="97" customFormat="1" x14ac:dyDescent="0.2">
      <c r="B80" s="97" t="s">
        <v>372</v>
      </c>
      <c r="C80" s="98">
        <v>7.5848368409550754E-2</v>
      </c>
      <c r="D80" s="99">
        <v>11115023</v>
      </c>
      <c r="G80" s="97" t="s">
        <v>373</v>
      </c>
      <c r="H80" s="98">
        <v>8.5976802140008038E-2</v>
      </c>
      <c r="I80" s="99">
        <v>1692097</v>
      </c>
    </row>
    <row r="81" spans="1:18" s="97" customFormat="1" x14ac:dyDescent="0.2">
      <c r="B81" s="97" t="s">
        <v>374</v>
      </c>
      <c r="C81" s="98">
        <v>6.9520087257769064E-2</v>
      </c>
      <c r="D81" s="99">
        <v>1692097</v>
      </c>
      <c r="G81" s="97" t="s">
        <v>375</v>
      </c>
      <c r="H81" s="98">
        <v>6.556800645001569E-2</v>
      </c>
      <c r="I81" s="99">
        <v>3689192</v>
      </c>
    </row>
    <row r="82" spans="1:18" s="97" customFormat="1" x14ac:dyDescent="0.2">
      <c r="B82" s="97" t="s">
        <v>376</v>
      </c>
      <c r="C82" s="98">
        <v>0.31829546595077796</v>
      </c>
      <c r="D82" s="99">
        <v>5920853</v>
      </c>
      <c r="G82" s="97" t="s">
        <v>377</v>
      </c>
      <c r="H82" s="98">
        <v>0.20346045850751271</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137</v>
      </c>
      <c r="D92" s="102"/>
      <c r="E92" s="102">
        <v>0.15351944069348078</v>
      </c>
      <c r="F92" s="102">
        <v>8.3490118175286482E-2</v>
      </c>
      <c r="G92" s="102"/>
      <c r="H92" s="102"/>
      <c r="I92" s="102">
        <v>0.10670897823153228</v>
      </c>
      <c r="J92" s="102">
        <v>8.3155511487980824E-2</v>
      </c>
      <c r="K92" s="102">
        <v>0.15484957692255077</v>
      </c>
      <c r="L92" s="102">
        <v>0.27534850338193778</v>
      </c>
      <c r="M92" s="102">
        <v>0.21361885478695625</v>
      </c>
      <c r="O92" s="97">
        <v>12153634</v>
      </c>
    </row>
    <row r="93" spans="1:18" s="97" customFormat="1" hidden="1" x14ac:dyDescent="0.2">
      <c r="B93" s="97">
        <v>2</v>
      </c>
      <c r="C93" s="97" t="s">
        <v>121</v>
      </c>
      <c r="D93" s="102">
        <v>8.9578142835492314E-2</v>
      </c>
      <c r="E93" s="102">
        <v>8.9815479723848637E-2</v>
      </c>
      <c r="F93" s="102">
        <v>0.13763832121857594</v>
      </c>
      <c r="G93" s="102">
        <v>7.8226021625191156E-2</v>
      </c>
      <c r="H93" s="102">
        <v>7.1289040655606956E-2</v>
      </c>
      <c r="I93" s="102">
        <v>0.14885821576618885</v>
      </c>
      <c r="J93" s="102">
        <v>0.17859290264909811</v>
      </c>
      <c r="K93" s="102">
        <v>0.29369838777206653</v>
      </c>
      <c r="L93" s="102">
        <v>0.25356492751390253</v>
      </c>
      <c r="M93" s="102">
        <v>0.18846342081952042</v>
      </c>
      <c r="O93" s="97">
        <v>553960</v>
      </c>
    </row>
    <row r="94" spans="1:18" s="97" customFormat="1" hidden="1" x14ac:dyDescent="0.2">
      <c r="B94" s="97">
        <v>3</v>
      </c>
      <c r="C94" s="97" t="s">
        <v>97</v>
      </c>
      <c r="D94" s="102">
        <v>9.7829156406125578E-2</v>
      </c>
      <c r="E94" s="102"/>
      <c r="F94" s="102"/>
      <c r="G94" s="102"/>
      <c r="H94" s="102"/>
      <c r="I94" s="102"/>
      <c r="J94" s="102">
        <v>9.6503849964573757E-2</v>
      </c>
      <c r="K94" s="102">
        <v>9.8814309625166907E-2</v>
      </c>
      <c r="L94" s="102">
        <v>0.1160813020066233</v>
      </c>
      <c r="M94" s="102">
        <v>0.18753901625091965</v>
      </c>
      <c r="O94" s="97">
        <v>3050596</v>
      </c>
    </row>
    <row r="95" spans="1:18" s="97" customFormat="1" hidden="1" x14ac:dyDescent="0.2">
      <c r="B95" s="97">
        <v>4</v>
      </c>
      <c r="C95" s="97" t="s">
        <v>93</v>
      </c>
      <c r="D95" s="102">
        <v>0.14064857351102794</v>
      </c>
      <c r="E95" s="102">
        <v>0.16042374140721768</v>
      </c>
      <c r="F95" s="102">
        <v>0.12929968627573948</v>
      </c>
      <c r="G95" s="102">
        <v>0.14231995364883382</v>
      </c>
      <c r="H95" s="102">
        <v>0.11288102268453902</v>
      </c>
      <c r="I95" s="102">
        <v>9.3826731895711266E-2</v>
      </c>
      <c r="J95" s="102">
        <v>0.19297668254240927</v>
      </c>
      <c r="K95" s="102">
        <v>0.10651234653732483</v>
      </c>
      <c r="L95" s="102">
        <v>8.5976802140008038E-2</v>
      </c>
      <c r="M95" s="102">
        <v>5.7950249864941301E-2</v>
      </c>
      <c r="O95" s="97">
        <v>1692097</v>
      </c>
    </row>
    <row r="96" spans="1:18" s="97" customFormat="1" hidden="1" x14ac:dyDescent="0.2">
      <c r="B96" s="97">
        <v>5</v>
      </c>
      <c r="C96" s="97" t="s">
        <v>168</v>
      </c>
      <c r="D96" s="102">
        <v>9.701862841204055E-2</v>
      </c>
      <c r="E96" s="102">
        <v>0.13595704014324711</v>
      </c>
      <c r="F96" s="102">
        <v>0.13845665712487368</v>
      </c>
      <c r="G96" s="102">
        <v>8.4227411473306715E-2</v>
      </c>
      <c r="H96" s="102"/>
      <c r="I96" s="102">
        <v>0.11173925024695418</v>
      </c>
      <c r="J96" s="102"/>
      <c r="K96" s="102">
        <v>0.10467888193926944</v>
      </c>
      <c r="L96" s="102">
        <v>6.556800645001569E-2</v>
      </c>
      <c r="M96" s="102"/>
      <c r="O96" s="97">
        <v>3689192</v>
      </c>
    </row>
    <row r="97" spans="1:15" s="97" customFormat="1" hidden="1" x14ac:dyDescent="0.2">
      <c r="B97" s="97">
        <v>6</v>
      </c>
      <c r="C97" s="97" t="s">
        <v>16</v>
      </c>
      <c r="D97" s="102"/>
      <c r="E97" s="102"/>
      <c r="F97" s="102"/>
      <c r="G97" s="102">
        <v>0.26397718100898532</v>
      </c>
      <c r="H97" s="102">
        <v>0.30130177258898977</v>
      </c>
      <c r="I97" s="102">
        <v>0.11347803515808288</v>
      </c>
      <c r="J97" s="102">
        <v>0.14809808879881728</v>
      </c>
      <c r="K97" s="102"/>
      <c r="L97" s="102"/>
      <c r="M97" s="102">
        <v>7.4874414258606956E-2</v>
      </c>
      <c r="O97" s="97">
        <v>11115023</v>
      </c>
    </row>
    <row r="98" spans="1:15" s="97" customFormat="1" hidden="1" x14ac:dyDescent="0.2">
      <c r="B98" s="97">
        <v>7</v>
      </c>
      <c r="C98" s="97" t="s">
        <v>170</v>
      </c>
      <c r="D98" s="102"/>
      <c r="E98" s="102"/>
      <c r="F98" s="102">
        <v>8.6141613000981859E-2</v>
      </c>
      <c r="G98" s="102">
        <v>0.10495694435992931</v>
      </c>
      <c r="H98" s="102">
        <v>8.6314561979122767E-2</v>
      </c>
      <c r="I98" s="102"/>
      <c r="J98" s="102"/>
      <c r="K98" s="102"/>
      <c r="L98" s="102"/>
      <c r="M98" s="102"/>
      <c r="O98" s="97">
        <v>2480382</v>
      </c>
    </row>
    <row r="99" spans="1:15" s="97" customFormat="1" hidden="1" x14ac:dyDescent="0.2">
      <c r="B99" s="97">
        <v>8</v>
      </c>
      <c r="C99" s="97" t="s">
        <v>191</v>
      </c>
      <c r="D99" s="102"/>
      <c r="E99" s="102"/>
      <c r="F99" s="102"/>
      <c r="G99" s="102"/>
      <c r="H99" s="102">
        <v>5.3566297721230199E-2</v>
      </c>
      <c r="I99" s="102"/>
      <c r="J99" s="102"/>
      <c r="K99" s="102"/>
      <c r="L99" s="102"/>
      <c r="M99" s="102"/>
      <c r="O99" s="97">
        <v>7434864</v>
      </c>
    </row>
    <row r="100" spans="1:15" s="97" customFormat="1" hidden="1" x14ac:dyDescent="0.2">
      <c r="B100" s="97">
        <v>9</v>
      </c>
      <c r="C100" s="97" t="s">
        <v>99</v>
      </c>
      <c r="D100" s="102"/>
      <c r="E100" s="102">
        <v>8.9477736434549315E-2</v>
      </c>
      <c r="F100" s="102"/>
      <c r="G100" s="102"/>
      <c r="H100" s="102"/>
      <c r="I100" s="102"/>
      <c r="J100" s="102"/>
      <c r="K100" s="102"/>
      <c r="L100" s="102"/>
      <c r="M100" s="102"/>
      <c r="O100" s="97">
        <v>8497745</v>
      </c>
    </row>
    <row r="101" spans="1:15" s="97" customFormat="1" hidden="1" x14ac:dyDescent="0.2">
      <c r="B101" s="97">
        <v>10</v>
      </c>
      <c r="C101" s="97" t="s">
        <v>245</v>
      </c>
      <c r="D101" s="102">
        <v>0.14099924967740071</v>
      </c>
      <c r="E101" s="102"/>
      <c r="F101" s="102"/>
      <c r="G101" s="102"/>
      <c r="H101" s="102"/>
      <c r="I101" s="102"/>
      <c r="J101" s="102"/>
      <c r="K101" s="102"/>
      <c r="L101" s="102"/>
      <c r="M101" s="102"/>
      <c r="O101" s="97">
        <v>14393110</v>
      </c>
    </row>
    <row r="102" spans="1:15" s="97" customFormat="1" hidden="1" x14ac:dyDescent="0.2">
      <c r="B102" s="97">
        <v>11</v>
      </c>
      <c r="C102" s="97" t="s">
        <v>101</v>
      </c>
      <c r="D102" s="102">
        <v>0.43392624915791289</v>
      </c>
      <c r="E102" s="102">
        <v>0.37080656159765646</v>
      </c>
      <c r="F102" s="102">
        <v>0.42497360420454255</v>
      </c>
      <c r="G102" s="102">
        <v>0.3262924878837537</v>
      </c>
      <c r="H102" s="102">
        <v>0.3746473043705113</v>
      </c>
      <c r="I102" s="102">
        <v>0.42538878870153057</v>
      </c>
      <c r="J102" s="102">
        <v>0.30067296455712078</v>
      </c>
      <c r="K102" s="102">
        <v>0.24144649720362149</v>
      </c>
      <c r="L102" s="102">
        <v>0.20346045850751263</v>
      </c>
      <c r="M102" s="102">
        <v>0.27755404401905542</v>
      </c>
      <c r="O102" s="97">
        <v>5920853</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12</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"&amp;B121&amp;""</f>
        <v xml:space="preserve">All values are adjusted to 2017 prices. </v>
      </c>
    </row>
    <row r="115" spans="1:14" ht="18" customHeight="1" x14ac:dyDescent="0.2"/>
    <row r="116" spans="1:14" ht="18" customHeight="1" x14ac:dyDescent="0.2"/>
    <row r="117" spans="1:14" ht="18" customHeight="1" x14ac:dyDescent="0.2"/>
    <row r="118" spans="1:14" s="78" customFormat="1" ht="18" customHeight="1" x14ac:dyDescent="0.2"/>
    <row r="119" spans="1:14" s="78" customFormat="1" ht="18" customHeight="1" x14ac:dyDescent="0.2"/>
    <row r="120" spans="1:14" s="78" customFormat="1" x14ac:dyDescent="0.2"/>
    <row r="121" spans="1:14" s="49" customFormat="1" x14ac:dyDescent="0.2"/>
    <row r="122" spans="1:14" s="49" customFormat="1" x14ac:dyDescent="0.2">
      <c r="A122" s="50"/>
      <c r="B122" s="53"/>
      <c r="C122" s="79"/>
      <c r="D122" s="79"/>
      <c r="E122" s="79"/>
      <c r="F122" s="79"/>
      <c r="G122" s="80"/>
      <c r="H122" s="79"/>
      <c r="I122" s="79"/>
      <c r="J122" s="79"/>
      <c r="K122" s="79"/>
      <c r="L122" s="53"/>
    </row>
    <row r="123" spans="1:14" s="49" customFormat="1" x14ac:dyDescent="0.2">
      <c r="A123" s="50"/>
      <c r="B123" s="53"/>
      <c r="C123" s="53"/>
      <c r="D123" s="53"/>
      <c r="E123" s="53"/>
      <c r="F123" s="50"/>
      <c r="G123" s="50"/>
      <c r="H123" s="53"/>
      <c r="I123" s="53"/>
      <c r="J123" s="53"/>
      <c r="K123" s="53"/>
      <c r="L123" s="50"/>
    </row>
    <row r="124" spans="1:14" s="49" customFormat="1" x14ac:dyDescent="0.2">
      <c r="A124" s="50"/>
      <c r="B124" s="53"/>
      <c r="C124" s="53"/>
      <c r="D124" s="53"/>
      <c r="E124" s="53"/>
      <c r="F124" s="50"/>
      <c r="G124" s="50"/>
      <c r="H124" s="53"/>
      <c r="I124" s="53"/>
      <c r="J124" s="53"/>
      <c r="K124" s="53"/>
      <c r="L124" s="50"/>
    </row>
    <row r="125" spans="1:14" s="49" customFormat="1" x14ac:dyDescent="0.2">
      <c r="A125" s="50"/>
      <c r="B125" s="53"/>
      <c r="C125" s="53"/>
      <c r="D125" s="53"/>
      <c r="E125" s="53"/>
      <c r="F125" s="50"/>
      <c r="G125" s="50"/>
      <c r="H125" s="53"/>
      <c r="I125" s="53"/>
      <c r="J125" s="53"/>
      <c r="K125" s="53"/>
      <c r="L125" s="50"/>
    </row>
    <row r="126" spans="1:14" s="49" customFormat="1" x14ac:dyDescent="0.2">
      <c r="A126" s="50"/>
      <c r="B126" s="53"/>
      <c r="C126" s="53"/>
      <c r="D126" s="53"/>
      <c r="E126" s="53"/>
      <c r="F126" s="50"/>
      <c r="G126" s="50"/>
      <c r="H126" s="53"/>
      <c r="I126" s="53"/>
      <c r="J126" s="53"/>
      <c r="K126" s="53"/>
      <c r="L126" s="50"/>
    </row>
    <row r="127" spans="1:14" s="49" customFormat="1" x14ac:dyDescent="0.2">
      <c r="A127" s="50"/>
      <c r="B127" s="53"/>
      <c r="C127" s="53"/>
      <c r="D127" s="53"/>
      <c r="E127" s="53"/>
      <c r="F127" s="50"/>
      <c r="G127" s="50"/>
      <c r="H127" s="53"/>
      <c r="I127" s="53"/>
      <c r="J127" s="53"/>
      <c r="K127" s="53"/>
      <c r="L127" s="50"/>
    </row>
    <row r="128" spans="1:14" s="49" customFormat="1" x14ac:dyDescent="0.2">
      <c r="A128" s="50"/>
      <c r="B128" s="53"/>
      <c r="C128" s="53"/>
      <c r="D128" s="53"/>
      <c r="E128" s="53"/>
      <c r="F128" s="50"/>
      <c r="G128" s="50"/>
      <c r="H128" s="53"/>
      <c r="I128" s="53"/>
      <c r="J128" s="53"/>
      <c r="K128" s="53"/>
      <c r="L128" s="50"/>
    </row>
    <row r="129" spans="1:12" s="49" customFormat="1" x14ac:dyDescent="0.2">
      <c r="A129" s="50"/>
      <c r="B129" s="53"/>
      <c r="C129" s="53"/>
      <c r="D129" s="53"/>
      <c r="E129" s="53"/>
      <c r="F129" s="50"/>
      <c r="G129" s="50"/>
      <c r="H129" s="53"/>
      <c r="I129" s="53"/>
      <c r="J129" s="53"/>
      <c r="K129" s="53"/>
      <c r="L129" s="50"/>
    </row>
    <row r="130" spans="1:12" s="49" customFormat="1" x14ac:dyDescent="0.2">
      <c r="A130" s="50"/>
      <c r="B130" s="53"/>
      <c r="C130" s="53"/>
      <c r="D130" s="53"/>
      <c r="E130" s="53"/>
      <c r="F130" s="50"/>
      <c r="G130" s="50"/>
      <c r="H130" s="53"/>
      <c r="I130" s="53"/>
      <c r="J130" s="53"/>
      <c r="K130" s="53"/>
      <c r="L130" s="50"/>
    </row>
    <row r="131" spans="1:12" s="49" customFormat="1" x14ac:dyDescent="0.2">
      <c r="A131" s="50"/>
      <c r="B131" s="53"/>
      <c r="C131" s="53"/>
      <c r="D131" s="53"/>
      <c r="E131" s="53"/>
      <c r="F131" s="50"/>
      <c r="G131" s="50"/>
      <c r="H131" s="53"/>
      <c r="I131" s="53"/>
      <c r="J131" s="53"/>
      <c r="K131" s="53"/>
      <c r="L131" s="50"/>
    </row>
    <row r="132" spans="1:12" s="49" customFormat="1" x14ac:dyDescent="0.2">
      <c r="A132" s="50"/>
      <c r="B132" s="53"/>
      <c r="C132" s="53"/>
      <c r="D132" s="53"/>
      <c r="E132" s="53"/>
      <c r="F132" s="50"/>
      <c r="G132" s="50"/>
      <c r="H132" s="53"/>
      <c r="I132" s="53"/>
      <c r="J132" s="53"/>
      <c r="K132" s="53"/>
      <c r="L132" s="50"/>
    </row>
    <row r="133" spans="1:12" s="49" customFormat="1" x14ac:dyDescent="0.2">
      <c r="A133" s="50"/>
      <c r="B133" s="53"/>
      <c r="C133" s="53"/>
      <c r="D133" s="53"/>
      <c r="E133" s="53"/>
      <c r="F133" s="50"/>
      <c r="G133" s="50"/>
      <c r="H133" s="53"/>
      <c r="I133" s="53"/>
      <c r="J133" s="53"/>
      <c r="K133" s="53"/>
      <c r="L133" s="50"/>
    </row>
    <row r="134" spans="1:12" s="49" customFormat="1" x14ac:dyDescent="0.2">
      <c r="A134" s="50"/>
      <c r="B134" s="53"/>
      <c r="C134" s="53"/>
      <c r="D134" s="53"/>
      <c r="E134" s="53"/>
      <c r="F134" s="50"/>
      <c r="G134" s="50"/>
      <c r="H134" s="53"/>
      <c r="I134" s="53"/>
      <c r="J134" s="53"/>
      <c r="K134" s="53"/>
      <c r="L134" s="50"/>
    </row>
    <row r="135" spans="1:12" s="49" customFormat="1" x14ac:dyDescent="0.2">
      <c r="A135" s="50"/>
      <c r="B135" s="53"/>
      <c r="C135" s="53"/>
      <c r="D135" s="53"/>
      <c r="E135" s="53"/>
      <c r="F135" s="50"/>
      <c r="G135" s="50"/>
      <c r="H135" s="53"/>
      <c r="I135" s="53"/>
      <c r="J135" s="53"/>
      <c r="K135" s="53"/>
      <c r="L135" s="50"/>
    </row>
    <row r="136" spans="1:12" s="49" customFormat="1" x14ac:dyDescent="0.2">
      <c r="A136" s="50"/>
      <c r="B136" s="53"/>
      <c r="C136" s="53"/>
      <c r="D136" s="53"/>
      <c r="E136" s="53"/>
      <c r="F136" s="50"/>
      <c r="G136" s="50"/>
      <c r="H136" s="53"/>
      <c r="I136" s="53"/>
      <c r="J136" s="53"/>
      <c r="K136" s="53"/>
      <c r="L136" s="50"/>
    </row>
    <row r="137" spans="1:12" s="49" customFormat="1" x14ac:dyDescent="0.2">
      <c r="A137" s="50"/>
      <c r="B137" s="53"/>
      <c r="C137" s="53"/>
      <c r="D137" s="53"/>
      <c r="E137" s="53"/>
      <c r="F137" s="50"/>
      <c r="G137" s="50"/>
      <c r="H137" s="53"/>
      <c r="I137" s="53"/>
      <c r="J137" s="53"/>
      <c r="K137" s="53"/>
      <c r="L137" s="50"/>
    </row>
    <row r="138" spans="1:12" s="49" customFormat="1" x14ac:dyDescent="0.2">
      <c r="A138" s="50"/>
      <c r="B138" s="53"/>
      <c r="C138" s="53"/>
      <c r="D138" s="53"/>
      <c r="E138" s="53"/>
      <c r="F138" s="50"/>
      <c r="G138" s="50"/>
      <c r="H138" s="53"/>
      <c r="I138" s="53"/>
      <c r="J138" s="53"/>
      <c r="K138" s="53"/>
      <c r="L138" s="50"/>
    </row>
    <row r="139" spans="1:12" s="78" customFormat="1" x14ac:dyDescent="0.2"/>
    <row r="140" spans="1:12" s="78" customFormat="1" x14ac:dyDescent="0.2"/>
    <row r="141" spans="1:12" s="78" customFormat="1" x14ac:dyDescent="0.2"/>
    <row r="142" spans="1:12" s="78" customFormat="1" x14ac:dyDescent="0.2"/>
    <row r="143" spans="1:12" s="78" customFormat="1" x14ac:dyDescent="0.2"/>
    <row r="144" spans="1:12" s="78" customFormat="1" x14ac:dyDescent="0.2"/>
    <row r="145" s="78" customFormat="1" x14ac:dyDescent="0.2"/>
    <row r="146" s="78" customFormat="1" x14ac:dyDescent="0.2"/>
    <row r="147" s="78" customFormat="1" x14ac:dyDescent="0.2"/>
    <row r="148" s="78" customFormat="1" x14ac:dyDescent="0.2"/>
    <row r="149" s="78" customFormat="1" x14ac:dyDescent="0.2"/>
    <row r="150" s="78" customFormat="1" x14ac:dyDescent="0.2"/>
    <row r="151" s="78" customFormat="1" x14ac:dyDescent="0.2"/>
    <row r="152" s="78" customFormat="1" x14ac:dyDescent="0.2"/>
    <row r="153" s="78" customFormat="1" x14ac:dyDescent="0.2"/>
  </sheetData>
  <mergeCells count="8">
    <mergeCell ref="B44:C44"/>
    <mergeCell ref="B45:C45"/>
    <mergeCell ref="B46:C46"/>
    <mergeCell ref="O1:P1"/>
    <mergeCell ref="A3:A10"/>
    <mergeCell ref="A11:A20"/>
    <mergeCell ref="A21:A26"/>
    <mergeCell ref="A27:A41"/>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1" manualBreakCount="1">
    <brk id="43"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'NSWOS demersal u24m u300kW'!D3:N3</xm:f>
              <xm:sqref>C3</xm:sqref>
            </x14:sparkline>
            <x14:sparkline>
              <xm:f>'NSWOS demersal u24m u300kW'!D4:N4</xm:f>
              <xm:sqref>C4</xm:sqref>
            </x14:sparkline>
            <x14:sparkline>
              <xm:f>'NSWOS demersal u24m u300kW'!D5:N5</xm:f>
              <xm:sqref>C5</xm:sqref>
            </x14:sparkline>
            <x14:sparkline>
              <xm:f>'NSWOS demersal u24m u300kW'!D6:N6</xm:f>
              <xm:sqref>C6</xm:sqref>
            </x14:sparkline>
            <x14:sparkline>
              <xm:f>'NSWOS demersal u24m u300kW'!D7:N7</xm:f>
              <xm:sqref>C7</xm:sqref>
            </x14:sparkline>
            <x14:sparkline>
              <xm:f>'NSWOS demersal u24m u300kW'!D8:N8</xm:f>
              <xm:sqref>C8</xm:sqref>
            </x14:sparkline>
            <x14:sparkline>
              <xm:f>'NSWOS demersal u24m u300kW'!D9:N9</xm:f>
              <xm:sqref>C9</xm:sqref>
            </x14:sparkline>
            <x14:sparkline>
              <xm:f>'NSWOS demersal u24m u300kW'!F10:M10</xm:f>
              <xm:sqref>C10</xm:sqref>
            </x14:sparkline>
            <x14:sparkline>
              <xm:f>'NSWOS demersal u24m u300kW'!D11:N11</xm:f>
              <xm:sqref>C11</xm:sqref>
            </x14:sparkline>
            <x14:sparkline>
              <xm:f>'NSWOS demersal u24m u300kW'!D12:N12</xm:f>
              <xm:sqref>C12</xm:sqref>
            </x14:sparkline>
            <x14:sparkline>
              <xm:f>'NSWOS demersal u24m u300kW'!D13:N13</xm:f>
              <xm:sqref>C13</xm:sqref>
            </x14:sparkline>
            <x14:sparkline>
              <xm:f>'NSWOS demersal u24m u300kW'!D14:N14</xm:f>
              <xm:sqref>C14</xm:sqref>
            </x14:sparkline>
            <x14:sparkline>
              <xm:f>'NSWOS demersal u24m u300kW'!D15:N15</xm:f>
              <xm:sqref>C15</xm:sqref>
            </x14:sparkline>
            <x14:sparkline>
              <xm:f>'NSWOS demersal u24m u300kW'!D16:N16</xm:f>
              <xm:sqref>C16</xm:sqref>
            </x14:sparkline>
            <x14:sparkline>
              <xm:f>'NSWOS demersal u24m u300kW'!D17:N17</xm:f>
              <xm:sqref>C17</xm:sqref>
            </x14:sparkline>
            <x14:sparkline>
              <xm:f>'NSWOS demersal u24m u300kW'!D18:N18</xm:f>
              <xm:sqref>C18</xm:sqref>
            </x14:sparkline>
            <x14:sparkline>
              <xm:f>'NSWOS demersal u24m u300kW'!D19:N19</xm:f>
              <xm:sqref>C19</xm:sqref>
            </x14:sparkline>
            <x14:sparkline>
              <xm:f>'NSWOS demersal u24m u300kW'!D20:N20</xm:f>
              <xm:sqref>C20</xm:sqref>
            </x14:sparkline>
            <x14:sparkline>
              <xm:f>'NSWOS demersal u24m u300kW'!D21:N21</xm:f>
              <xm:sqref>C21</xm:sqref>
            </x14:sparkline>
            <x14:sparkline>
              <xm:f>'NSWOS demersal u24m u300kW'!D22:N22</xm:f>
              <xm:sqref>C22</xm:sqref>
            </x14:sparkline>
            <x14:sparkline>
              <xm:f>'NSWOS demersal u24m u300kW'!D23:N23</xm:f>
              <xm:sqref>C23</xm:sqref>
            </x14:sparkline>
            <x14:sparkline>
              <xm:f>'NSWOS demersal u24m u300kW'!D24:N24</xm:f>
              <xm:sqref>C24</xm:sqref>
            </x14:sparkline>
            <x14:sparkline>
              <xm:f>'NSWOS demersal u24m u300kW'!F25:M25</xm:f>
              <xm:sqref>C25</xm:sqref>
            </x14:sparkline>
            <x14:sparkline>
              <xm:f>'NSWOS demersal u24m u300kW'!F26:M26</xm:f>
              <xm:sqref>C26</xm:sqref>
            </x14:sparkline>
            <x14:sparkline>
              <xm:f>'NSWOS demersal u24m u300kW'!D27:N27</xm:f>
              <xm:sqref>C27</xm:sqref>
            </x14:sparkline>
            <x14:sparkline>
              <xm:f>'NSWOS demersal u24m u300kW'!D28:N28</xm:f>
              <xm:sqref>C28</xm:sqref>
            </x14:sparkline>
            <x14:sparkline>
              <xm:f>'NSWOS demersal u24m u300kW'!D29:N29</xm:f>
              <xm:sqref>C29</xm:sqref>
            </x14:sparkline>
            <x14:sparkline>
              <xm:f>'NSWOS demersal u24m u300kW'!D30:N30</xm:f>
              <xm:sqref>C30</xm:sqref>
            </x14:sparkline>
            <x14:sparkline>
              <xm:f>'NSWOS demersal u24m u300kW'!D31:N31</xm:f>
              <xm:sqref>C31</xm:sqref>
            </x14:sparkline>
            <x14:sparkline>
              <xm:f>'NSWOS demersal u24m u300kW'!D32:N32</xm:f>
              <xm:sqref>C32</xm:sqref>
            </x14:sparkline>
            <x14:sparkline>
              <xm:f>'NSWOS demersal u24m u300kW'!D33:N33</xm:f>
              <xm:sqref>C33</xm:sqref>
            </x14:sparkline>
            <x14:sparkline>
              <xm:f>'NSWOS demersal u24m u300kW'!D34:N34</xm:f>
              <xm:sqref>C34</xm:sqref>
            </x14:sparkline>
            <x14:sparkline>
              <xm:f>'NSWOS demersal u24m u300kW'!D35:N35</xm:f>
              <xm:sqref>C35</xm:sqref>
            </x14:sparkline>
            <x14:sparkline>
              <xm:f>'NSWOS demersal u24m u300kW'!D36:N36</xm:f>
              <xm:sqref>C36</xm:sqref>
            </x14:sparkline>
            <x14:sparkline>
              <xm:f>'NSWOS demersal u24m u300kW'!D37:N37</xm:f>
              <xm:sqref>C37</xm:sqref>
            </x14:sparkline>
            <x14:sparkline>
              <xm:f>'NSWOS demersal u24m u300kW'!D38:M38</xm:f>
              <xm:sqref>C38</xm:sqref>
            </x14:sparkline>
            <x14:sparkline>
              <xm:f>'NSWOS demersal u24m u300kW'!D39:M39</xm:f>
              <xm:sqref>C39</xm:sqref>
            </x14:sparkline>
            <x14:sparkline>
              <xm:f>'NSWOS demersal u24m u300kW'!D40:M40</xm:f>
              <xm:sqref>C40</xm:sqref>
            </x14:sparkline>
            <x14:sparkline>
              <xm:f>'NSWOS demersal u24m u300kW'!D41:M41</xm:f>
              <xm:sqref>C41</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380</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178</v>
      </c>
      <c r="E3" s="22">
        <v>179</v>
      </c>
      <c r="F3" s="22">
        <v>177</v>
      </c>
      <c r="G3" s="22">
        <v>179</v>
      </c>
      <c r="H3" s="22">
        <v>171</v>
      </c>
      <c r="I3" s="22">
        <v>171</v>
      </c>
      <c r="J3" s="22">
        <v>165</v>
      </c>
      <c r="K3" s="22">
        <v>160</v>
      </c>
      <c r="L3" s="22">
        <v>174</v>
      </c>
      <c r="M3" s="22">
        <v>176</v>
      </c>
      <c r="N3" s="22">
        <v>184</v>
      </c>
      <c r="O3" s="23">
        <f t="shared" ref="O3:O41" si="0">IF(N3=0,"",IFERROR(IF(AND(N3&gt;0,D3&lt;0),"na",IF(AND(N3&lt;0,D3&lt;0),-1,1)*(N3-D3)/D3),""))</f>
        <v>3.3707865168539325E-2</v>
      </c>
      <c r="P3" s="23">
        <f>IF(N3=0,"",IFERROR(IF(AND(N3&gt;0,J3&lt;0),"na",IF(AND(N3&lt;0,J3&lt;0),-1,1)*(N3-J3)/J3),""))</f>
        <v>0.11515151515151516</v>
      </c>
    </row>
    <row r="4" spans="1:17" ht="18" customHeight="1" x14ac:dyDescent="0.2">
      <c r="A4" s="224"/>
      <c r="B4" s="24" t="s">
        <v>51</v>
      </c>
      <c r="C4" s="25"/>
      <c r="D4" s="26">
        <v>22285</v>
      </c>
      <c r="E4" s="26">
        <v>22583</v>
      </c>
      <c r="F4" s="26">
        <v>22479</v>
      </c>
      <c r="G4" s="26">
        <v>22653</v>
      </c>
      <c r="H4" s="26">
        <v>21905</v>
      </c>
      <c r="I4" s="26">
        <v>23004</v>
      </c>
      <c r="J4" s="26">
        <v>22119</v>
      </c>
      <c r="K4" s="26">
        <v>21748</v>
      </c>
      <c r="L4" s="26">
        <v>23459</v>
      </c>
      <c r="M4" s="26">
        <v>24170</v>
      </c>
      <c r="N4" s="26">
        <v>25450</v>
      </c>
      <c r="O4" s="23">
        <f t="shared" si="0"/>
        <v>0.14202378281355171</v>
      </c>
      <c r="P4" s="23">
        <f t="shared" ref="P4:P41" si="1">IF(N4=0,"",IFERROR(IF(AND(N4&gt;0,J4&lt;0),"na",IF(AND(N4&lt;0,J4&lt;0),-1,1)*(N4-J4)/J4),""))</f>
        <v>0.15059451150594511</v>
      </c>
    </row>
    <row r="5" spans="1:17" ht="18" customHeight="1" x14ac:dyDescent="0.2">
      <c r="A5" s="224"/>
      <c r="B5" s="24" t="s">
        <v>52</v>
      </c>
      <c r="C5" s="25"/>
      <c r="D5" s="26">
        <v>2204</v>
      </c>
      <c r="E5" s="26">
        <v>2210</v>
      </c>
      <c r="F5" s="26">
        <v>2184</v>
      </c>
      <c r="G5" s="26">
        <v>2187</v>
      </c>
      <c r="H5" s="26">
        <v>2121</v>
      </c>
      <c r="I5" s="26">
        <v>2140</v>
      </c>
      <c r="J5" s="26">
        <v>2692</v>
      </c>
      <c r="K5" s="26">
        <v>2613</v>
      </c>
      <c r="L5" s="26">
        <v>2828</v>
      </c>
      <c r="M5" s="26">
        <v>2840</v>
      </c>
      <c r="N5" s="26">
        <v>2964</v>
      </c>
      <c r="O5" s="23">
        <f t="shared" si="0"/>
        <v>0.34482758620689657</v>
      </c>
      <c r="P5" s="23">
        <f t="shared" si="1"/>
        <v>0.10104011887072809</v>
      </c>
      <c r="Q5" s="27"/>
    </row>
    <row r="6" spans="1:17" ht="18" customHeight="1" x14ac:dyDescent="0.2">
      <c r="A6" s="224"/>
      <c r="B6" s="24" t="s">
        <v>53</v>
      </c>
      <c r="C6" s="25"/>
      <c r="D6" s="26">
        <v>18132.279296875</v>
      </c>
      <c r="E6" s="26">
        <v>18259.96484375</v>
      </c>
      <c r="F6" s="26">
        <v>18159.6171875</v>
      </c>
      <c r="G6" s="26">
        <v>18266.439453125</v>
      </c>
      <c r="H6" s="26">
        <v>17547.58984375</v>
      </c>
      <c r="I6" s="26">
        <v>18122.283203125</v>
      </c>
      <c r="J6" s="26">
        <v>17539.712890625</v>
      </c>
      <c r="K6" s="26">
        <v>17202.71484375</v>
      </c>
      <c r="L6" s="26">
        <v>18755.140625</v>
      </c>
      <c r="M6" s="26">
        <v>19207.595703125</v>
      </c>
      <c r="N6" s="26">
        <v>20217.142578125</v>
      </c>
      <c r="O6" s="23">
        <f t="shared" si="0"/>
        <v>0.11498076149804923</v>
      </c>
      <c r="P6" s="23">
        <f t="shared" si="1"/>
        <v>0.15264957323965603</v>
      </c>
    </row>
    <row r="7" spans="1:17" ht="18" customHeight="1" x14ac:dyDescent="0.2">
      <c r="A7" s="224"/>
      <c r="B7" s="24" t="s">
        <v>54</v>
      </c>
      <c r="C7" s="25"/>
      <c r="D7" s="26">
        <v>8512.8388671875</v>
      </c>
      <c r="E7" s="26">
        <v>8341.0810546875</v>
      </c>
      <c r="F7" s="26">
        <v>8920.5595703125</v>
      </c>
      <c r="G7" s="26">
        <v>8720.951171875</v>
      </c>
      <c r="H7" s="26">
        <v>9001.5810546875</v>
      </c>
      <c r="I7" s="26">
        <v>10321.94921875</v>
      </c>
      <c r="J7" s="26">
        <v>9700.6025390625</v>
      </c>
      <c r="K7" s="26">
        <v>9799.6640625</v>
      </c>
      <c r="L7" s="26">
        <v>11486.92578125</v>
      </c>
      <c r="M7" s="26">
        <v>10903.396484375</v>
      </c>
      <c r="N7" s="26">
        <v>9899.451171875</v>
      </c>
      <c r="O7" s="23">
        <f t="shared" si="0"/>
        <v>0.16288482917633487</v>
      </c>
      <c r="P7" s="23">
        <f t="shared" si="1"/>
        <v>2.049858573338862E-2</v>
      </c>
    </row>
    <row r="8" spans="1:17" ht="18" customHeight="1" x14ac:dyDescent="0.2">
      <c r="A8" s="224"/>
      <c r="B8" s="24" t="s">
        <v>55</v>
      </c>
      <c r="C8" s="27"/>
      <c r="D8" s="28">
        <f ca="1">19.99815*OFFSET(D$112,MATCH($N$1,$C$112:$C$113,0)-1,0)</f>
        <v>19.998149999999999</v>
      </c>
      <c r="E8" s="28">
        <f ca="1">19.464*OFFSET(E$112,MATCH($N$1,$C$112:$C$113,0)-1,0)</f>
        <v>19.463999999999999</v>
      </c>
      <c r="F8" s="28">
        <f ca="1">20.30608*OFFSET(F$112,MATCH($N$1,$C$112:$C$113,0)-1,0)</f>
        <v>20.306080000000001</v>
      </c>
      <c r="G8" s="28">
        <f ca="1">20.34165*OFFSET(G$112,MATCH($N$1,$C$112:$C$113,0)-1,0)</f>
        <v>20.341650000000001</v>
      </c>
      <c r="H8" s="28">
        <f ca="1">19.543612*OFFSET(H$112,MATCH($N$1,$C$112:$C$113,0)-1,0)</f>
        <v>19.543612</v>
      </c>
      <c r="I8" s="28">
        <f ca="1">19.297244*OFFSET(I$112,MATCH($N$1,$C$112:$C$113,0)-1,0)</f>
        <v>19.297243999999999</v>
      </c>
      <c r="J8" s="28">
        <f ca="1">20.064092*OFFSET(J$112,MATCH($N$1,$C$112:$C$113,0)-1,0)</f>
        <v>20.064091999999999</v>
      </c>
      <c r="K8" s="28">
        <f ca="1">20.907548*OFFSET(K$112,MATCH($N$1,$C$112:$C$113,0)-1,0)</f>
        <v>20.907547999999998</v>
      </c>
      <c r="L8" s="28">
        <f ca="1">25.44204*OFFSET(L$112,MATCH($N$1,$C$112:$C$113,0)-1,0)</f>
        <v>25.442039999999999</v>
      </c>
      <c r="M8" s="28">
        <f ca="1">25.834962*OFFSET(M$112,MATCH($N$1,$C$112:$C$113,0)-1,0)</f>
        <v>25.834962000000001</v>
      </c>
      <c r="N8" s="28">
        <v>29.116703999999999</v>
      </c>
      <c r="O8" s="23">
        <f t="shared" ca="1" si="0"/>
        <v>0.45596987721364224</v>
      </c>
      <c r="P8" s="23">
        <f t="shared" ca="1" si="1"/>
        <v>0.4511847334033357</v>
      </c>
    </row>
    <row r="9" spans="1:17" ht="18" customHeight="1" x14ac:dyDescent="0.2">
      <c r="A9" s="224"/>
      <c r="B9" s="24" t="s">
        <v>56</v>
      </c>
      <c r="C9" s="27"/>
      <c r="D9" s="26">
        <v>29454</v>
      </c>
      <c r="E9" s="26">
        <v>29806</v>
      </c>
      <c r="F9" s="26">
        <v>30187</v>
      </c>
      <c r="G9" s="26">
        <v>27712</v>
      </c>
      <c r="H9" s="26">
        <v>26303</v>
      </c>
      <c r="I9" s="26">
        <v>26117</v>
      </c>
      <c r="J9" s="26">
        <v>26550</v>
      </c>
      <c r="K9" s="26">
        <v>26130</v>
      </c>
      <c r="L9" s="26">
        <v>27819</v>
      </c>
      <c r="M9" s="26">
        <v>26612</v>
      </c>
      <c r="N9" s="26">
        <v>27251</v>
      </c>
      <c r="O9" s="23">
        <f t="shared" si="0"/>
        <v>-7.4794594961635097E-2</v>
      </c>
      <c r="P9" s="23">
        <f t="shared" si="1"/>
        <v>2.6403013182674198E-2</v>
      </c>
    </row>
    <row r="10" spans="1:17" ht="18" customHeight="1" x14ac:dyDescent="0.2">
      <c r="A10" s="224"/>
      <c r="B10" s="24" t="s">
        <v>57</v>
      </c>
      <c r="C10" s="27"/>
      <c r="D10" s="26"/>
      <c r="E10" s="26">
        <v>322.28887939453125</v>
      </c>
      <c r="F10" s="26">
        <v>448.96029663085937</v>
      </c>
      <c r="G10" s="26">
        <v>454.5301513671875</v>
      </c>
      <c r="H10" s="26">
        <v>419.40023803710937</v>
      </c>
      <c r="I10" s="26">
        <v>284.81134033203125</v>
      </c>
      <c r="J10" s="26">
        <v>322.906982421875</v>
      </c>
      <c r="K10" s="26">
        <v>400.181884765625</v>
      </c>
      <c r="L10" s="26">
        <v>389.9248046875</v>
      </c>
      <c r="M10" s="26">
        <v>434.1656494140625</v>
      </c>
      <c r="N10" s="26">
        <v>374.75250244140625</v>
      </c>
      <c r="O10" s="29" t="str">
        <f t="shared" si="0"/>
        <v/>
      </c>
      <c r="P10" s="29">
        <f t="shared" si="1"/>
        <v>0.16055868358955322</v>
      </c>
    </row>
    <row r="11" spans="1:17" ht="18" customHeight="1" x14ac:dyDescent="0.2">
      <c r="A11" s="225" t="s">
        <v>23</v>
      </c>
      <c r="B11" s="30" t="s">
        <v>58</v>
      </c>
      <c r="C11" s="31"/>
      <c r="D11" s="32">
        <v>11.060505867004395</v>
      </c>
      <c r="E11" s="32">
        <v>11.070446968078613</v>
      </c>
      <c r="F11" s="32">
        <v>11.090678215026855</v>
      </c>
      <c r="G11" s="32">
        <v>11.084972381591797</v>
      </c>
      <c r="H11" s="32">
        <v>11.100058555603027</v>
      </c>
      <c r="I11" s="32">
        <v>11.095614433288574</v>
      </c>
      <c r="J11" s="32">
        <v>11.10678768157959</v>
      </c>
      <c r="K11" s="32">
        <v>11.079187393188477</v>
      </c>
      <c r="L11" s="32">
        <v>11.107815742492676</v>
      </c>
      <c r="M11" s="32">
        <v>11.11102294921875</v>
      </c>
      <c r="N11" s="32">
        <v>11.143369674682617</v>
      </c>
      <c r="O11" s="23">
        <f t="shared" si="0"/>
        <v>7.4918641764316809E-3</v>
      </c>
      <c r="P11" s="23">
        <f t="shared" si="1"/>
        <v>3.2936609712723624E-3</v>
      </c>
    </row>
    <row r="12" spans="1:17" ht="18" customHeight="1" x14ac:dyDescent="0.2">
      <c r="A12" s="226"/>
      <c r="B12" s="33" t="s">
        <v>51</v>
      </c>
      <c r="C12" s="25"/>
      <c r="D12" s="26">
        <v>125.19663238525391</v>
      </c>
      <c r="E12" s="26">
        <v>126.16201019287109</v>
      </c>
      <c r="F12" s="26">
        <v>127</v>
      </c>
      <c r="G12" s="26">
        <v>126.55307006835938</v>
      </c>
      <c r="H12" s="26">
        <v>128.09941101074219</v>
      </c>
      <c r="I12" s="26">
        <v>134.52632141113281</v>
      </c>
      <c r="J12" s="26">
        <v>134.05455017089844</v>
      </c>
      <c r="K12" s="26">
        <v>135.92500305175781</v>
      </c>
      <c r="L12" s="26">
        <v>134.82183837890625</v>
      </c>
      <c r="M12" s="26">
        <v>137.32954406738281</v>
      </c>
      <c r="N12" s="26">
        <v>138.31521606445312</v>
      </c>
      <c r="O12" s="23">
        <f t="shared" si="0"/>
        <v>0.10478383826516065</v>
      </c>
      <c r="P12" s="23">
        <f t="shared" si="1"/>
        <v>3.1783075532482927E-2</v>
      </c>
    </row>
    <row r="13" spans="1:17" ht="18" customHeight="1" x14ac:dyDescent="0.2">
      <c r="A13" s="226"/>
      <c r="B13" s="33" t="s">
        <v>52</v>
      </c>
      <c r="C13" s="25"/>
      <c r="D13" s="26">
        <v>12.382022857666016</v>
      </c>
      <c r="E13" s="26">
        <v>12.346368789672852</v>
      </c>
      <c r="F13" s="26">
        <v>12.338982582092285</v>
      </c>
      <c r="G13" s="26">
        <v>12.217877388000488</v>
      </c>
      <c r="H13" s="26">
        <v>12.403509140014648</v>
      </c>
      <c r="I13" s="26">
        <v>12.514619827270508</v>
      </c>
      <c r="J13" s="26">
        <v>16.315151214599609</v>
      </c>
      <c r="K13" s="26">
        <v>16.331249237060547</v>
      </c>
      <c r="L13" s="26">
        <v>16.252874374389648</v>
      </c>
      <c r="M13" s="26">
        <v>16.136363983154297</v>
      </c>
      <c r="N13" s="26">
        <v>16.108695983886719</v>
      </c>
      <c r="O13" s="23">
        <f t="shared" si="0"/>
        <v>0.30097449900227152</v>
      </c>
      <c r="P13" s="23">
        <f t="shared" si="1"/>
        <v>-1.2654202709941432E-2</v>
      </c>
    </row>
    <row r="14" spans="1:17" ht="18" customHeight="1" x14ac:dyDescent="0.2">
      <c r="A14" s="226"/>
      <c r="B14" s="33" t="s">
        <v>53</v>
      </c>
      <c r="C14" s="25"/>
      <c r="D14" s="26">
        <v>101.86672973632812</v>
      </c>
      <c r="E14" s="26">
        <v>102.01097869873047</v>
      </c>
      <c r="F14" s="26">
        <v>102.59670257568359</v>
      </c>
      <c r="G14" s="26">
        <v>102.04714965820312</v>
      </c>
      <c r="H14" s="26">
        <v>102.61747741699219</v>
      </c>
      <c r="I14" s="26">
        <v>105.978271484375</v>
      </c>
      <c r="J14" s="26">
        <v>106.30128479003906</v>
      </c>
      <c r="K14" s="26">
        <v>107.5169677734375</v>
      </c>
      <c r="L14" s="26">
        <v>107.78816223144531</v>
      </c>
      <c r="M14" s="26">
        <v>109.13407135009766</v>
      </c>
      <c r="N14" s="26">
        <v>109.87577819824219</v>
      </c>
      <c r="O14" s="23">
        <f t="shared" si="0"/>
        <v>7.8622809259163276E-2</v>
      </c>
      <c r="P14" s="23">
        <f t="shared" si="1"/>
        <v>3.3626060261296789E-2</v>
      </c>
    </row>
    <row r="15" spans="1:17" ht="18" customHeight="1" x14ac:dyDescent="0.2">
      <c r="A15" s="226"/>
      <c r="B15" s="33" t="s">
        <v>54</v>
      </c>
      <c r="C15" s="27"/>
      <c r="D15" s="28">
        <v>47.824939727783203</v>
      </c>
      <c r="E15" s="28">
        <v>46.598220825195313</v>
      </c>
      <c r="F15" s="28">
        <v>50.398639678955078</v>
      </c>
      <c r="G15" s="28">
        <v>48.72039794921875</v>
      </c>
      <c r="H15" s="28">
        <v>52.640827178955078</v>
      </c>
      <c r="I15" s="28">
        <v>60.362277984619141</v>
      </c>
      <c r="J15" s="28">
        <v>58.791534423828125</v>
      </c>
      <c r="K15" s="28">
        <v>61.247901916503906</v>
      </c>
      <c r="L15" s="28">
        <v>66.016815185546875</v>
      </c>
      <c r="M15" s="28">
        <v>61.951118469238281</v>
      </c>
      <c r="N15" s="28">
        <v>53.801364898681641</v>
      </c>
      <c r="O15" s="23">
        <f t="shared" si="0"/>
        <v>0.1249646147996402</v>
      </c>
      <c r="P15" s="23">
        <f t="shared" si="1"/>
        <v>-8.4879048897964729E-2</v>
      </c>
    </row>
    <row r="16" spans="1:17" ht="18" customHeight="1" x14ac:dyDescent="0.2">
      <c r="A16" s="226"/>
      <c r="B16" s="33" t="s">
        <v>59</v>
      </c>
      <c r="C16" s="27"/>
      <c r="D16" s="28">
        <f ca="1">112.34915625*OFFSET(D$112,MATCH($N$1,$C$112:$C$113,0)-1,0)</f>
        <v>112.34915624999999</v>
      </c>
      <c r="E16" s="28">
        <f ca="1">108.7374296875*OFFSET(E$112,MATCH($N$1,$C$112:$C$113,0)-1,0)</f>
        <v>108.7374296875</v>
      </c>
      <c r="F16" s="28">
        <f ca="1">114.7236171875*OFFSET(F$112,MATCH($N$1,$C$112:$C$113,0)-1,0)</f>
        <v>114.7236171875</v>
      </c>
      <c r="G16" s="28">
        <f ca="1">113.6405078125*OFFSET(G$112,MATCH($N$1,$C$112:$C$113,0)-1,0)</f>
        <v>113.6405078125</v>
      </c>
      <c r="H16" s="28">
        <f ca="1">114.2901328125*OFFSET(H$112,MATCH($N$1,$C$112:$C$113,0)-1,0)</f>
        <v>114.2901328125</v>
      </c>
      <c r="I16" s="28">
        <f ca="1">112.8493828125*OFFSET(I$112,MATCH($N$1,$C$112:$C$113,0)-1,0)</f>
        <v>112.8493828125</v>
      </c>
      <c r="J16" s="28">
        <f ca="1">121.6005546875*OFFSET(J$112,MATCH($N$1,$C$112:$C$113,0)-1,0)</f>
        <v>121.60055468749999</v>
      </c>
      <c r="K16" s="28">
        <f ca="1">130.672171875*OFFSET(K$112,MATCH($N$1,$C$112:$C$113,0)-1,0)</f>
        <v>130.672171875</v>
      </c>
      <c r="L16" s="28">
        <f ca="1">146.218625*OFFSET(L$112,MATCH($N$1,$C$112:$C$113,0)-1,0)</f>
        <v>146.218625</v>
      </c>
      <c r="M16" s="28">
        <f ca="1">146.789546875*OFFSET(M$112,MATCH($N$1,$C$112:$C$113,0)-1,0)</f>
        <v>146.78954687500001</v>
      </c>
      <c r="N16" s="28">
        <v>158.24295312500001</v>
      </c>
      <c r="O16" s="23">
        <f t="shared" ca="1" si="0"/>
        <v>0.40849258158091439</v>
      </c>
      <c r="P16" s="23">
        <f t="shared" ca="1" si="1"/>
        <v>0.30133413890805794</v>
      </c>
    </row>
    <row r="17" spans="1:16" ht="18" customHeight="1" x14ac:dyDescent="0.2">
      <c r="A17" s="226"/>
      <c r="B17" s="33" t="s">
        <v>56</v>
      </c>
      <c r="C17" s="25"/>
      <c r="D17" s="26">
        <v>165.47190856933594</v>
      </c>
      <c r="E17" s="26">
        <v>166.51396179199219</v>
      </c>
      <c r="F17" s="26">
        <v>170.54801940917969</v>
      </c>
      <c r="G17" s="26">
        <v>154.81564331054687</v>
      </c>
      <c r="H17" s="26">
        <v>153.81871032714844</v>
      </c>
      <c r="I17" s="26">
        <v>152.73098754882812</v>
      </c>
      <c r="J17" s="26">
        <v>160.90908813476562</v>
      </c>
      <c r="K17" s="26">
        <v>163.3125</v>
      </c>
      <c r="L17" s="26">
        <v>159.87930297851562</v>
      </c>
      <c r="M17" s="26">
        <v>151.20454406738281</v>
      </c>
      <c r="N17" s="26">
        <v>148.10325622558594</v>
      </c>
      <c r="O17" s="23">
        <f t="shared" si="0"/>
        <v>-0.10496435614914176</v>
      </c>
      <c r="P17" s="23">
        <f t="shared" si="1"/>
        <v>-7.9584267474404335E-2</v>
      </c>
    </row>
    <row r="18" spans="1:16" ht="18" customHeight="1" x14ac:dyDescent="0.2">
      <c r="A18" s="226"/>
      <c r="B18" s="33" t="s">
        <v>60</v>
      </c>
      <c r="C18" s="25"/>
      <c r="D18" s="26">
        <v>23.65168571472168</v>
      </c>
      <c r="E18" s="26">
        <v>24.709497451782227</v>
      </c>
      <c r="F18" s="26">
        <v>25.87005615234375</v>
      </c>
      <c r="G18" s="26">
        <v>26.916200637817383</v>
      </c>
      <c r="H18" s="26">
        <v>27.672513961791992</v>
      </c>
      <c r="I18" s="26">
        <v>27.502923965454102</v>
      </c>
      <c r="J18" s="26">
        <v>27.363636016845703</v>
      </c>
      <c r="K18" s="26">
        <v>27.256250381469727</v>
      </c>
      <c r="L18" s="26">
        <v>27.367816925048828</v>
      </c>
      <c r="M18" s="26">
        <v>27.448863983154297</v>
      </c>
      <c r="N18" s="26">
        <v>27.358695983886719</v>
      </c>
      <c r="O18" s="23">
        <f t="shared" si="0"/>
        <v>0.15673344868005157</v>
      </c>
      <c r="P18" s="23">
        <f t="shared" si="1"/>
        <v>-1.8053276823091688E-4</v>
      </c>
    </row>
    <row r="19" spans="1:16" ht="18" customHeight="1" x14ac:dyDescent="0.2">
      <c r="A19" s="226"/>
      <c r="B19" s="33" t="s">
        <v>61</v>
      </c>
      <c r="C19" s="25"/>
      <c r="D19" s="34">
        <v>0.28902149200439453</v>
      </c>
      <c r="E19" s="34">
        <v>0.2798457145690918</v>
      </c>
      <c r="F19" s="34">
        <v>0.29550996422767639</v>
      </c>
      <c r="G19" s="34">
        <v>0.3146994411945343</v>
      </c>
      <c r="H19" s="34">
        <v>0.34222641587257385</v>
      </c>
      <c r="I19" s="34">
        <v>0.3952195942401886</v>
      </c>
      <c r="J19" s="34">
        <v>0.36537113785743713</v>
      </c>
      <c r="K19" s="34">
        <v>0.37503498792648315</v>
      </c>
      <c r="L19" s="34">
        <v>0.41291657090187073</v>
      </c>
      <c r="M19" s="34">
        <v>0.40971729159355164</v>
      </c>
      <c r="N19" s="34">
        <v>0.36326929926872253</v>
      </c>
      <c r="O19" s="23">
        <f t="shared" si="0"/>
        <v>0.25689372354080531</v>
      </c>
      <c r="P19" s="23">
        <f t="shared" si="1"/>
        <v>-5.7526125381439095E-3</v>
      </c>
    </row>
    <row r="20" spans="1:16" ht="18" customHeight="1" x14ac:dyDescent="0.2">
      <c r="A20" s="227"/>
      <c r="B20" s="35" t="s">
        <v>24</v>
      </c>
      <c r="C20" s="36"/>
      <c r="D20" s="37">
        <f ca="1">2349*OFFSET(D$112,MATCH($N$1,$C$112:$C$113,0)-1,0)</f>
        <v>2349</v>
      </c>
      <c r="E20" s="37">
        <f ca="1">2334*OFFSET(E$112,MATCH($N$1,$C$112:$C$113,0)-1,0)</f>
        <v>2334</v>
      </c>
      <c r="F20" s="37">
        <f ca="1">2276*OFFSET(F$112,MATCH($N$1,$C$112:$C$113,0)-1,0)</f>
        <v>2276</v>
      </c>
      <c r="G20" s="37">
        <f ca="1">2333*OFFSET(G$112,MATCH($N$1,$C$112:$C$113,0)-1,0)</f>
        <v>2333</v>
      </c>
      <c r="H20" s="37">
        <f ca="1">2171*OFFSET(H$112,MATCH($N$1,$C$112:$C$113,0)-1,0)</f>
        <v>2171</v>
      </c>
      <c r="I20" s="37">
        <f ca="1">1870*OFFSET(I$112,MATCH($N$1,$C$112:$C$113,0)-1,0)</f>
        <v>1870</v>
      </c>
      <c r="J20" s="37">
        <f ca="1">2068*OFFSET(J$112,MATCH($N$1,$C$112:$C$113,0)-1,0)</f>
        <v>2068</v>
      </c>
      <c r="K20" s="37">
        <f ca="1">2133*OFFSET(K$112,MATCH($N$1,$C$112:$C$113,0)-1,0)</f>
        <v>2133</v>
      </c>
      <c r="L20" s="37">
        <f ca="1">2215*OFFSET(L$112,MATCH($N$1,$C$112:$C$113,0)-1,0)</f>
        <v>2215</v>
      </c>
      <c r="M20" s="37">
        <f ca="1">2369*OFFSET(M$112,MATCH($N$1,$C$112:$C$113,0)-1,0)</f>
        <v>2369</v>
      </c>
      <c r="N20" s="37">
        <v>2941</v>
      </c>
      <c r="O20" s="29">
        <f t="shared" ca="1" si="0"/>
        <v>0.25202213707960835</v>
      </c>
      <c r="P20" s="29">
        <f t="shared" ca="1" si="1"/>
        <v>0.42214700193423599</v>
      </c>
    </row>
    <row r="21" spans="1:16" ht="18" customHeight="1" x14ac:dyDescent="0.2">
      <c r="A21" s="228" t="s">
        <v>25</v>
      </c>
      <c r="B21" s="30" t="s">
        <v>62</v>
      </c>
      <c r="C21" s="38"/>
      <c r="D21" s="39">
        <v>2.2713060564859902</v>
      </c>
      <c r="E21" s="39">
        <v>2.1808527382359419</v>
      </c>
      <c r="F21" s="39">
        <v>2.2710193878679434</v>
      </c>
      <c r="G21" s="39">
        <v>2.431600273994182</v>
      </c>
      <c r="H21" s="39">
        <v>2.6012214571402348</v>
      </c>
      <c r="I21" s="39">
        <v>2.9679007287759784</v>
      </c>
      <c r="J21" s="39">
        <v>2.7160059342685625</v>
      </c>
      <c r="K21" s="39">
        <v>2.7291078619579356</v>
      </c>
      <c r="L21" s="39">
        <v>3.0150781854551858</v>
      </c>
      <c r="M21" s="39">
        <v>2.8928629843228562</v>
      </c>
      <c r="N21" s="39">
        <v>2.5114833818321411</v>
      </c>
      <c r="O21" s="23">
        <f t="shared" si="0"/>
        <v>0.10574414868498039</v>
      </c>
      <c r="P21" s="23">
        <f t="shared" si="1"/>
        <v>-7.5302689826964822E-2</v>
      </c>
    </row>
    <row r="22" spans="1:16" ht="18" customHeight="1" x14ac:dyDescent="0.2">
      <c r="A22" s="228"/>
      <c r="B22" s="33" t="s">
        <v>63</v>
      </c>
      <c r="C22" s="25"/>
      <c r="D22" s="34">
        <f ca="1">5.33569556980483*OFFSET(D$112,MATCH($N$1,$C$112:$C$113,0)-1,0)</f>
        <v>5.3356955698048303</v>
      </c>
      <c r="E22" s="34">
        <f ca="1">5.08904239439336*OFFSET(E$112,MATCH($N$1,$C$112:$C$113,0)-1,0)</f>
        <v>5.0890423943933598</v>
      </c>
      <c r="F22" s="34">
        <f ca="1">5.16957522145078*OFFSET(F$112,MATCH($N$1,$C$112:$C$113,0)-1,0)</f>
        <v>5.1695752214507804</v>
      </c>
      <c r="G22" s="34">
        <f ca="1">5.67171660259692*OFFSET(G$112,MATCH($N$1,$C$112:$C$113,0)-1,0)</f>
        <v>5.6717166025969199</v>
      </c>
      <c r="H22" s="34">
        <f ca="1">5.64759259577394*OFFSET(H$112,MATCH($N$1,$C$112:$C$113,0)-1,0)</f>
        <v>5.6475925957739399</v>
      </c>
      <c r="I22" s="34">
        <f ca="1">5.54859386811877*OFFSET(I$112,MATCH($N$1,$C$112:$C$113,0)-1,0)</f>
        <v>5.5485938681187701</v>
      </c>
      <c r="J22" s="34">
        <f ca="1">5.61760857882528*OFFSET(J$112,MATCH($N$1,$C$112:$C$113,0)-1,0)</f>
        <v>5.6176085788252799</v>
      </c>
      <c r="K22" s="34">
        <f ca="1">5.822541514799*OFFSET(K$112,MATCH($N$1,$C$112:$C$113,0)-1,0)</f>
        <v>5.8225415147990001</v>
      </c>
      <c r="L22" s="34">
        <f ca="1">6.67800446455451*OFFSET(L$112,MATCH($N$1,$C$112:$C$113,0)-1,0)</f>
        <v>6.67800446455451</v>
      </c>
      <c r="M22" s="34">
        <f ca="1">6.85446941286569*OFFSET(M$112,MATCH($N$1,$C$112:$C$113,0)-1,0)</f>
        <v>6.85446941286569</v>
      </c>
      <c r="N22" s="34">
        <v>7.3868859612373621</v>
      </c>
      <c r="O22" s="23">
        <f t="shared" ca="1" si="0"/>
        <v>0.38442792783014051</v>
      </c>
      <c r="P22" s="23">
        <f t="shared" ca="1" si="1"/>
        <v>0.31495205790611752</v>
      </c>
    </row>
    <row r="23" spans="1:16" ht="18" customHeight="1" x14ac:dyDescent="0.2">
      <c r="A23" s="228"/>
      <c r="B23" s="33" t="s">
        <v>11</v>
      </c>
      <c r="C23" s="25"/>
      <c r="D23" s="34">
        <f ca="1">3.99194435815376*OFFSET(D$112,MATCH($N$1,$C$112:$C$113,0)-1,0)</f>
        <v>3.9919443581537601</v>
      </c>
      <c r="E23" s="34">
        <f ca="1">3.59220017830104*OFFSET(E$112,MATCH($N$1,$C$112:$C$113,0)-1,0)</f>
        <v>3.5922001783010402</v>
      </c>
      <c r="F23" s="34">
        <f ca="1">4.13649401919182*OFFSET(F$112,MATCH($N$1,$C$112:$C$113,0)-1,0)</f>
        <v>4.1364940191918196</v>
      </c>
      <c r="G23" s="34">
        <f ca="1">4.91385783506823*OFFSET(G$112,MATCH($N$1,$C$112:$C$113,0)-1,0)</f>
        <v>4.9138578350682298</v>
      </c>
      <c r="H23" s="34">
        <f ca="1">3.85653995926776*OFFSET(H$112,MATCH($N$1,$C$112:$C$113,0)-1,0)</f>
        <v>3.8565399592677601</v>
      </c>
      <c r="I23" s="34">
        <f ca="1">4.41274904093324*OFFSET(I$112,MATCH($N$1,$C$112:$C$113,0)-1,0)</f>
        <v>4.4127490409332397</v>
      </c>
      <c r="J23" s="34">
        <f ca="1">4.08238107191284*OFFSET(J$112,MATCH($N$1,$C$112:$C$113,0)-1,0)</f>
        <v>4.0823810719128399</v>
      </c>
      <c r="K23" s="34">
        <f ca="1">3.9270973403254*OFFSET(K$112,MATCH($N$1,$C$112:$C$113,0)-1,0)</f>
        <v>3.9270973403254001</v>
      </c>
      <c r="L23" s="34">
        <f ca="1">4.63770367578682*OFFSET(L$112,MATCH($N$1,$C$112:$C$113,0)-1,0)</f>
        <v>4.6377036757868204</v>
      </c>
      <c r="M23" s="34">
        <f ca="1">4.90054522018711*OFFSET(M$112,MATCH($N$1,$C$112:$C$113,0)-1,0)</f>
        <v>4.9005452201871096</v>
      </c>
      <c r="N23" s="34">
        <v>5.3075117848160023</v>
      </c>
      <c r="O23" s="23">
        <f t="shared" ca="1" si="0"/>
        <v>0.32955555203947801</v>
      </c>
      <c r="P23" s="23">
        <f t="shared" ca="1" si="1"/>
        <v>0.30010199717321229</v>
      </c>
    </row>
    <row r="24" spans="1:16" ht="18" customHeight="1" x14ac:dyDescent="0.2">
      <c r="A24" s="228"/>
      <c r="B24" s="33" t="s">
        <v>12</v>
      </c>
      <c r="C24" s="25"/>
      <c r="D24" s="34">
        <f ca="1">1.42902586315008*OFFSET(D$112,MATCH($N$1,$C$112:$C$113,0)-1,0)</f>
        <v>1.4290258631500801</v>
      </c>
      <c r="E24" s="34">
        <f ca="1">1.50228439225623*OFFSET(E$112,MATCH($N$1,$C$112:$C$113,0)-1,0)</f>
        <v>1.5022843922562299</v>
      </c>
      <c r="F24" s="34">
        <f ca="1">1.23019994817971*OFFSET(F$112,MATCH($N$1,$C$112:$C$113,0)-1,0)</f>
        <v>1.2301999481797099</v>
      </c>
      <c r="G24" s="34">
        <f ca="1">0.77536074080977*OFFSET(G$112,MATCH($N$1,$C$112:$C$113,0)-1,0)</f>
        <v>0.77536074080977002</v>
      </c>
      <c r="H24" s="34">
        <f ca="1">1.84636252155371*OFFSET(H$112,MATCH($N$1,$C$112:$C$113,0)-1,0)</f>
        <v>1.8463625215537101</v>
      </c>
      <c r="I24" s="34">
        <f ca="1">1.24501999760305*OFFSET(I$112,MATCH($N$1,$C$112:$C$113,0)-1,0)</f>
        <v>1.24501999760305</v>
      </c>
      <c r="J24" s="34">
        <f ca="1">1.65881343862933*OFFSET(J$112,MATCH($N$1,$C$112:$C$113,0)-1,0)</f>
        <v>1.6588134386293301</v>
      </c>
      <c r="K24" s="34">
        <f ca="1">2.01665770132146*OFFSET(K$112,MATCH($N$1,$C$112:$C$113,0)-1,0)</f>
        <v>2.0166577013214599</v>
      </c>
      <c r="L24" s="34">
        <f ca="1">2.26839599394319*OFFSET(L$112,MATCH($N$1,$C$112:$C$113,0)-1,0)</f>
        <v>2.2683959939431899</v>
      </c>
      <c r="M24" s="34">
        <f ca="1">2.63989702825311*OFFSET(M$112,MATCH($N$1,$C$112:$C$113,0)-1,0)</f>
        <v>2.63989702825311</v>
      </c>
      <c r="N24" s="34">
        <v>2.8186294867342583</v>
      </c>
      <c r="O24" s="23">
        <f t="shared" ca="1" si="0"/>
        <v>0.97241320777847839</v>
      </c>
      <c r="P24" s="23">
        <f t="shared" ca="1" si="1"/>
        <v>0.69918414035955656</v>
      </c>
    </row>
    <row r="25" spans="1:16" ht="18" customHeight="1" x14ac:dyDescent="0.2">
      <c r="A25" s="228"/>
      <c r="B25" s="33" t="s">
        <v>64</v>
      </c>
      <c r="C25" s="25"/>
      <c r="D25" s="28"/>
      <c r="E25" s="28">
        <f ca="1">60.37*OFFSET(E$112,MATCH($N$1,$C$112:$C$113,0)-1,0)</f>
        <v>60.37</v>
      </c>
      <c r="F25" s="28">
        <f ca="1">45.22*OFFSET(F$112,MATCH($N$1,$C$112:$C$113,0)-1,0)</f>
        <v>45.22</v>
      </c>
      <c r="G25" s="28">
        <f ca="1">44.74*OFFSET(G$112,MATCH($N$1,$C$112:$C$113,0)-1,0)</f>
        <v>44.74</v>
      </c>
      <c r="H25" s="28">
        <f ca="1">46.6*OFFSET(H$112,MATCH($N$1,$C$112:$C$113,0)-1,0)</f>
        <v>46.6</v>
      </c>
      <c r="I25" s="28">
        <f ca="1">67.72*OFFSET(I$112,MATCH($N$1,$C$112:$C$113,0)-1,0)</f>
        <v>67.72</v>
      </c>
      <c r="J25" s="28">
        <f ca="1">62.14*OFFSET(J$112,MATCH($N$1,$C$112:$C$113,0)-1,0)</f>
        <v>62.14</v>
      </c>
      <c r="K25" s="28">
        <f ca="1">52.26*OFFSET(K$112,MATCH($N$1,$C$112:$C$113,0)-1,0)</f>
        <v>52.26</v>
      </c>
      <c r="L25" s="28">
        <f ca="1">65.24*OFFSET(L$112,MATCH($N$1,$C$112:$C$113,0)-1,0)</f>
        <v>65.239999999999995</v>
      </c>
      <c r="M25" s="28">
        <f ca="1">59.51*OFFSET(M$112,MATCH($N$1,$C$112:$C$113,0)-1,0)</f>
        <v>59.51</v>
      </c>
      <c r="N25" s="28">
        <v>77.67</v>
      </c>
      <c r="O25" s="23" t="str">
        <f t="shared" si="0"/>
        <v/>
      </c>
      <c r="P25" s="23">
        <f t="shared" ca="1" si="1"/>
        <v>0.24991953653041521</v>
      </c>
    </row>
    <row r="26" spans="1:16" ht="18" customHeight="1" x14ac:dyDescent="0.2">
      <c r="A26" s="229"/>
      <c r="B26" s="33" t="s">
        <v>65</v>
      </c>
      <c r="C26" s="40"/>
      <c r="D26" s="28"/>
      <c r="E26" s="28">
        <f ca="1">17.83*OFFSET(E$112,MATCH($N$1,$C$112:$C$113,0)-1,0)</f>
        <v>17.829999999999998</v>
      </c>
      <c r="F26" s="28">
        <f ca="1">10.76*OFFSET(F$112,MATCH($N$1,$C$112:$C$113,0)-1,0)</f>
        <v>10.76</v>
      </c>
      <c r="G26" s="28">
        <f ca="1">6.1*OFFSET(G$112,MATCH($N$1,$C$112:$C$113,0)-1,0)</f>
        <v>6.1</v>
      </c>
      <c r="H26" s="28">
        <f ca="1">15.25*OFFSET(H$112,MATCH($N$1,$C$112:$C$113,0)-1,0)</f>
        <v>15.25</v>
      </c>
      <c r="I26" s="28">
        <f ca="1">15.19*OFFSET(I$112,MATCH($N$1,$C$112:$C$113,0)-1,0)</f>
        <v>15.19</v>
      </c>
      <c r="J26" s="28">
        <f ca="1">18.34*OFFSET(J$112,MATCH($N$1,$C$112:$C$113,0)-1,0)</f>
        <v>18.34</v>
      </c>
      <c r="K26" s="28">
        <f ca="1">18.11*OFFSET(K$112,MATCH($N$1,$C$112:$C$113,0)-1,0)</f>
        <v>18.11</v>
      </c>
      <c r="L26" s="28">
        <f ca="1">22.18*OFFSET(L$112,MATCH($N$1,$C$112:$C$113,0)-1,0)</f>
        <v>22.18</v>
      </c>
      <c r="M26" s="28">
        <f ca="1">22.9*OFFSET(M$112,MATCH($N$1,$C$112:$C$113,0)-1,0)</f>
        <v>22.9</v>
      </c>
      <c r="N26" s="28">
        <v>29.66</v>
      </c>
      <c r="O26" s="29" t="str">
        <f t="shared" si="0"/>
        <v/>
      </c>
      <c r="P26" s="29">
        <f t="shared" ca="1" si="1"/>
        <v>0.61723009814612873</v>
      </c>
    </row>
    <row r="27" spans="1:16" ht="18" customHeight="1" x14ac:dyDescent="0.2">
      <c r="A27" s="230" t="s">
        <v>26</v>
      </c>
      <c r="B27" s="30" t="s">
        <v>59</v>
      </c>
      <c r="C27" s="31"/>
      <c r="D27" s="32">
        <f ca="1">112.3*OFFSET(D$112,MATCH($N$1,$C$112:$C$113,0)-1,0)</f>
        <v>112.3</v>
      </c>
      <c r="E27" s="32">
        <f ca="1">108.7*OFFSET(E$112,MATCH($N$1,$C$112:$C$113,0)-1,0)</f>
        <v>108.7</v>
      </c>
      <c r="F27" s="32">
        <f ca="1">114.7*OFFSET(F$112,MATCH($N$1,$C$112:$C$113,0)-1,0)</f>
        <v>114.7</v>
      </c>
      <c r="G27" s="32">
        <f ca="1">113.6*OFFSET(G$112,MATCH($N$1,$C$112:$C$113,0)-1,0)</f>
        <v>113.6</v>
      </c>
      <c r="H27" s="32">
        <f ca="1">114.3*OFFSET(H$112,MATCH($N$1,$C$112:$C$113,0)-1,0)</f>
        <v>114.3</v>
      </c>
      <c r="I27" s="32">
        <f ca="1">112.8*OFFSET(I$112,MATCH($N$1,$C$112:$C$113,0)-1,0)</f>
        <v>112.8</v>
      </c>
      <c r="J27" s="32">
        <f ca="1">121.6*OFFSET(J$112,MATCH($N$1,$C$112:$C$113,0)-1,0)</f>
        <v>121.6</v>
      </c>
      <c r="K27" s="32">
        <f ca="1">130.7*OFFSET(K$112,MATCH($N$1,$C$112:$C$113,0)-1,0)</f>
        <v>130.69999999999999</v>
      </c>
      <c r="L27" s="32">
        <f ca="1">146.2*OFFSET(L$112,MATCH($N$1,$C$112:$C$113,0)-1,0)</f>
        <v>146.19999999999999</v>
      </c>
      <c r="M27" s="32">
        <f ca="1">146.8*OFFSET(M$112,MATCH($N$1,$C$112:$C$113,0)-1,0)</f>
        <v>146.80000000000001</v>
      </c>
      <c r="N27" s="32">
        <v>158.20000000000002</v>
      </c>
      <c r="O27" s="23">
        <f t="shared" ca="1" si="0"/>
        <v>0.40872662511130919</v>
      </c>
      <c r="P27" s="23">
        <f t="shared" ca="1" si="1"/>
        <v>0.30098684210526339</v>
      </c>
    </row>
    <row r="28" spans="1:16" ht="18" customHeight="1" x14ac:dyDescent="0.2">
      <c r="A28" s="231"/>
      <c r="B28" s="33" t="s">
        <v>66</v>
      </c>
      <c r="C28" s="27"/>
      <c r="D28" s="28">
        <f ca="1">1.8*OFFSET(D$112,MATCH($N$1,$C$112:$C$113,0)-1,0)</f>
        <v>1.8</v>
      </c>
      <c r="E28" s="28">
        <f ca="1">0.1*OFFSET(E$112,MATCH($N$1,$C$112:$C$113,0)-1,0)</f>
        <v>0.1</v>
      </c>
      <c r="F28" s="28">
        <f ca="1">4.4*OFFSET(F$112,MATCH($N$1,$C$112:$C$113,0)-1,0)</f>
        <v>4.4000000000000004</v>
      </c>
      <c r="G28" s="28">
        <f ca="1">0.4*OFFSET(G$112,MATCH($N$1,$C$112:$C$113,0)-1,0)</f>
        <v>0.4</v>
      </c>
      <c r="H28" s="28">
        <f ca="1">1.1*OFFSET(H$112,MATCH($N$1,$C$112:$C$113,0)-1,0)</f>
        <v>1.1000000000000001</v>
      </c>
      <c r="I28" s="28">
        <f ca="1">2.2*OFFSET(I$112,MATCH($N$1,$C$112:$C$113,0)-1,0)</f>
        <v>2.2000000000000002</v>
      </c>
      <c r="J28" s="28">
        <f ca="1">2.7*OFFSET(J$112,MATCH($N$1,$C$112:$C$113,0)-1,0)</f>
        <v>2.7</v>
      </c>
      <c r="K28" s="28">
        <f ca="1">2.7*OFFSET(K$112,MATCH($N$1,$C$112:$C$113,0)-1,0)</f>
        <v>2.7</v>
      </c>
      <c r="L28" s="28">
        <f ca="1">5*OFFSET(L$112,MATCH($N$1,$C$112:$C$113,0)-1,0)</f>
        <v>5</v>
      </c>
      <c r="M28" s="28">
        <f ca="1">14.7*OFFSET(M$112,MATCH($N$1,$C$112:$C$113,0)-1,0)</f>
        <v>14.7</v>
      </c>
      <c r="N28" s="28">
        <v>15.8</v>
      </c>
      <c r="O28" s="23">
        <f t="shared" ca="1" si="0"/>
        <v>7.7777777777777777</v>
      </c>
      <c r="P28" s="23">
        <f t="shared" ca="1" si="1"/>
        <v>4.8518518518518521</v>
      </c>
    </row>
    <row r="29" spans="1:16" ht="18" customHeight="1" x14ac:dyDescent="0.2">
      <c r="A29" s="231"/>
      <c r="B29" s="41" t="s">
        <v>67</v>
      </c>
      <c r="C29" s="42"/>
      <c r="D29" s="43">
        <f ca="1">114.1*OFFSET(D$112,MATCH($N$1,$C$112:$C$113,0)-1,0)</f>
        <v>114.1</v>
      </c>
      <c r="E29" s="43">
        <f ca="1">108.9*OFFSET(E$112,MATCH($N$1,$C$112:$C$113,0)-1,0)</f>
        <v>108.9</v>
      </c>
      <c r="F29" s="43">
        <f ca="1">119.1*OFFSET(F$112,MATCH($N$1,$C$112:$C$113,0)-1,0)</f>
        <v>119.1</v>
      </c>
      <c r="G29" s="43">
        <f ca="1">114*OFFSET(G$112,MATCH($N$1,$C$112:$C$113,0)-1,0)</f>
        <v>114</v>
      </c>
      <c r="H29" s="43">
        <f ca="1">115.4*OFFSET(H$112,MATCH($N$1,$C$112:$C$113,0)-1,0)</f>
        <v>115.4</v>
      </c>
      <c r="I29" s="43">
        <f ca="1">115.1*OFFSET(I$112,MATCH($N$1,$C$112:$C$113,0)-1,0)</f>
        <v>115.1</v>
      </c>
      <c r="J29" s="43">
        <f ca="1">124.3*OFFSET(J$112,MATCH($N$1,$C$112:$C$113,0)-1,0)</f>
        <v>124.3</v>
      </c>
      <c r="K29" s="43">
        <f ca="1">133.4*OFFSET(K$112,MATCH($N$1,$C$112:$C$113,0)-1,0)</f>
        <v>133.4</v>
      </c>
      <c r="L29" s="43">
        <f ca="1">151.2*OFFSET(L$112,MATCH($N$1,$C$112:$C$113,0)-1,0)</f>
        <v>151.19999999999999</v>
      </c>
      <c r="M29" s="43">
        <f ca="1">161.5*OFFSET(M$112,MATCH($N$1,$C$112:$C$113,0)-1,0)</f>
        <v>161.5</v>
      </c>
      <c r="N29" s="43">
        <v>174.1</v>
      </c>
      <c r="O29" s="23">
        <f t="shared" ca="1" si="0"/>
        <v>0.52585451358457491</v>
      </c>
      <c r="P29" s="23">
        <f t="shared" ca="1" si="1"/>
        <v>0.4006436041834272</v>
      </c>
    </row>
    <row r="30" spans="1:16" ht="18" customHeight="1" x14ac:dyDescent="0.2">
      <c r="A30" s="231"/>
      <c r="B30" s="33" t="s">
        <v>68</v>
      </c>
      <c r="C30" s="27"/>
      <c r="D30" s="28">
        <f ca="1">12.6*OFFSET(D$112,MATCH($N$1,$C$112:$C$113,0)-1,0)</f>
        <v>12.6</v>
      </c>
      <c r="E30" s="28">
        <f ca="1">8.6*OFFSET(E$112,MATCH($N$1,$C$112:$C$113,0)-1,0)</f>
        <v>8.6</v>
      </c>
      <c r="F30" s="28">
        <f ca="1">11.3*OFFSET(F$112,MATCH($N$1,$C$112:$C$113,0)-1,0)</f>
        <v>11.3</v>
      </c>
      <c r="G30" s="28">
        <f ca="1">13.2*OFFSET(G$112,MATCH($N$1,$C$112:$C$113,0)-1,0)</f>
        <v>13.2</v>
      </c>
      <c r="H30" s="28">
        <f ca="1">13.7*OFFSET(H$112,MATCH($N$1,$C$112:$C$113,0)-1,0)</f>
        <v>13.7</v>
      </c>
      <c r="I30" s="28">
        <f ca="1">13.1*OFFSET(I$112,MATCH($N$1,$C$112:$C$113,0)-1,0)</f>
        <v>13.1</v>
      </c>
      <c r="J30" s="28">
        <f ca="1">12.5*OFFSET(J$112,MATCH($N$1,$C$112:$C$113,0)-1,0)</f>
        <v>12.5</v>
      </c>
      <c r="K30" s="28">
        <f ca="1">8.9*OFFSET(K$112,MATCH($N$1,$C$112:$C$113,0)-1,0)</f>
        <v>8.9</v>
      </c>
      <c r="L30" s="28">
        <f ca="1">8.5*OFFSET(L$112,MATCH($N$1,$C$112:$C$113,0)-1,0)</f>
        <v>8.5</v>
      </c>
      <c r="M30" s="28">
        <f ca="1">9.7*OFFSET(M$112,MATCH($N$1,$C$112:$C$113,0)-1,0)</f>
        <v>9.6999999999999993</v>
      </c>
      <c r="N30" s="28">
        <v>11.4</v>
      </c>
      <c r="O30" s="23">
        <f t="shared" ca="1" si="0"/>
        <v>-9.5238095238095191E-2</v>
      </c>
      <c r="P30" s="23">
        <f t="shared" ca="1" si="1"/>
        <v>-8.7999999999999967E-2</v>
      </c>
    </row>
    <row r="31" spans="1:16" ht="18" customHeight="1" x14ac:dyDescent="0.2">
      <c r="A31" s="231"/>
      <c r="B31" s="33" t="s">
        <v>69</v>
      </c>
      <c r="C31" s="27"/>
      <c r="D31" s="28">
        <f ca="1">32.8*OFFSET(D$112,MATCH($N$1,$C$112:$C$113,0)-1,0)</f>
        <v>32.799999999999997</v>
      </c>
      <c r="E31" s="28">
        <f ca="1">26.2*OFFSET(E$112,MATCH($N$1,$C$112:$C$113,0)-1,0)</f>
        <v>26.2</v>
      </c>
      <c r="F31" s="28">
        <f ca="1">31.6*OFFSET(F$112,MATCH($N$1,$C$112:$C$113,0)-1,0)</f>
        <v>31.6</v>
      </c>
      <c r="G31" s="28">
        <f ca="1">30.1*OFFSET(G$112,MATCH($N$1,$C$112:$C$113,0)-1,0)</f>
        <v>30.1</v>
      </c>
      <c r="H31" s="28">
        <f ca="1">28*OFFSET(H$112,MATCH($N$1,$C$112:$C$113,0)-1,0)</f>
        <v>28</v>
      </c>
      <c r="I31" s="28">
        <f ca="1">34.5*OFFSET(I$112,MATCH($N$1,$C$112:$C$113,0)-1,0)</f>
        <v>34.5</v>
      </c>
      <c r="J31" s="28">
        <f ca="1">37*OFFSET(J$112,MATCH($N$1,$C$112:$C$113,0)-1,0)</f>
        <v>37</v>
      </c>
      <c r="K31" s="28">
        <f ca="1">36.3*OFFSET(K$112,MATCH($N$1,$C$112:$C$113,0)-1,0)</f>
        <v>36.299999999999997</v>
      </c>
      <c r="L31" s="28">
        <f ca="1">38.7*OFFSET(L$112,MATCH($N$1,$C$112:$C$113,0)-1,0)</f>
        <v>38.700000000000003</v>
      </c>
      <c r="M31" s="28">
        <f ca="1">47.2*OFFSET(M$112,MATCH($N$1,$C$112:$C$113,0)-1,0)</f>
        <v>47.2</v>
      </c>
      <c r="N31" s="28">
        <v>50.5</v>
      </c>
      <c r="O31" s="23">
        <f t="shared" ca="1" si="0"/>
        <v>0.53963414634146356</v>
      </c>
      <c r="P31" s="23">
        <f t="shared" ca="1" si="1"/>
        <v>0.36486486486486486</v>
      </c>
    </row>
    <row r="32" spans="1:16" ht="18" customHeight="1" x14ac:dyDescent="0.2">
      <c r="A32" s="231"/>
      <c r="B32" s="33" t="s">
        <v>70</v>
      </c>
      <c r="C32" s="27"/>
      <c r="D32" s="28">
        <f ca="1">16.5*OFFSET(D$112,MATCH($N$1,$C$112:$C$113,0)-1,0)</f>
        <v>16.5</v>
      </c>
      <c r="E32" s="28">
        <f ca="1">14.9*OFFSET(E$112,MATCH($N$1,$C$112:$C$113,0)-1,0)</f>
        <v>14.9</v>
      </c>
      <c r="F32" s="28">
        <f ca="1">26.7*OFFSET(F$112,MATCH($N$1,$C$112:$C$113,0)-1,0)</f>
        <v>26.7</v>
      </c>
      <c r="G32" s="28">
        <f ca="1">38.9*OFFSET(G$112,MATCH($N$1,$C$112:$C$113,0)-1,0)</f>
        <v>38.9</v>
      </c>
      <c r="H32" s="28">
        <f ca="1">18.2*OFFSET(H$112,MATCH($N$1,$C$112:$C$113,0)-1,0)</f>
        <v>18.2</v>
      </c>
      <c r="I32" s="28">
        <f ca="1">19.2*OFFSET(I$112,MATCH($N$1,$C$112:$C$113,0)-1,0)</f>
        <v>19.2</v>
      </c>
      <c r="J32" s="28">
        <f ca="1">17.6*OFFSET(J$112,MATCH($N$1,$C$112:$C$113,0)-1,0)</f>
        <v>17.600000000000001</v>
      </c>
      <c r="K32" s="28">
        <f ca="1">23*OFFSET(K$112,MATCH($N$1,$C$112:$C$113,0)-1,0)</f>
        <v>23</v>
      </c>
      <c r="L32" s="28">
        <f ca="1">31.2*OFFSET(L$112,MATCH($N$1,$C$112:$C$113,0)-1,0)</f>
        <v>31.2</v>
      </c>
      <c r="M32" s="28">
        <f ca="1">18.2*OFFSET(M$112,MATCH($N$1,$C$112:$C$113,0)-1,0)</f>
        <v>18.2</v>
      </c>
      <c r="N32" s="28">
        <v>19.7</v>
      </c>
      <c r="O32" s="23">
        <f t="shared" ca="1" si="0"/>
        <v>0.19393939393939388</v>
      </c>
      <c r="P32" s="23">
        <f t="shared" ca="1" si="1"/>
        <v>0.11931818181818168</v>
      </c>
    </row>
    <row r="33" spans="1:16" ht="18" customHeight="1" x14ac:dyDescent="0.2">
      <c r="A33" s="231"/>
      <c r="B33" s="33" t="s">
        <v>71</v>
      </c>
      <c r="C33" s="27"/>
      <c r="D33" s="28">
        <f ca="1">62*OFFSET(D$112,MATCH($N$1,$C$112:$C$113,0)-1,0)</f>
        <v>62</v>
      </c>
      <c r="E33" s="28">
        <f ca="1">49.7*OFFSET(E$112,MATCH($N$1,$C$112:$C$113,0)-1,0)</f>
        <v>49.7</v>
      </c>
      <c r="F33" s="28">
        <f ca="1">69.6*OFFSET(F$112,MATCH($N$1,$C$112:$C$113,0)-1,0)</f>
        <v>69.599999999999994</v>
      </c>
      <c r="G33" s="28">
        <f ca="1">82.3*OFFSET(G$112,MATCH($N$1,$C$112:$C$113,0)-1,0)</f>
        <v>82.3</v>
      </c>
      <c r="H33" s="28">
        <f ca="1">59.9*OFFSET(H$112,MATCH($N$1,$C$112:$C$113,0)-1,0)</f>
        <v>59.9</v>
      </c>
      <c r="I33" s="28">
        <f ca="1">66.8*OFFSET(I$112,MATCH($N$1,$C$112:$C$113,0)-1,0)</f>
        <v>66.8</v>
      </c>
      <c r="J33" s="28">
        <f ca="1">67.1*OFFSET(J$112,MATCH($N$1,$C$112:$C$113,0)-1,0)</f>
        <v>67.099999999999994</v>
      </c>
      <c r="K33" s="28">
        <f ca="1">68.2*OFFSET(K$112,MATCH($N$1,$C$112:$C$113,0)-1,0)</f>
        <v>68.2</v>
      </c>
      <c r="L33" s="28">
        <f ca="1">78.3*OFFSET(L$112,MATCH($N$1,$C$112:$C$113,0)-1,0)</f>
        <v>78.3</v>
      </c>
      <c r="M33" s="28">
        <f ca="1">75.1*OFFSET(M$112,MATCH($N$1,$C$112:$C$113,0)-1,0)</f>
        <v>75.099999999999994</v>
      </c>
      <c r="N33" s="28">
        <v>81.5</v>
      </c>
      <c r="O33" s="23">
        <f t="shared" ca="1" si="0"/>
        <v>0.31451612903225806</v>
      </c>
      <c r="P33" s="23">
        <f t="shared" ca="1" si="1"/>
        <v>0.21460506706408355</v>
      </c>
    </row>
    <row r="34" spans="1:16" ht="18" customHeight="1" x14ac:dyDescent="0.2">
      <c r="A34" s="231"/>
      <c r="B34" s="33" t="s">
        <v>72</v>
      </c>
      <c r="C34" s="27"/>
      <c r="D34" s="28">
        <f ca="1">22.1*OFFSET(D$112,MATCH($N$1,$C$112:$C$113,0)-1,0)</f>
        <v>22.1</v>
      </c>
      <c r="E34" s="28">
        <f ca="1">27.1*OFFSET(E$112,MATCH($N$1,$C$112:$C$113,0)-1,0)</f>
        <v>27.1</v>
      </c>
      <c r="F34" s="28">
        <f ca="1">22.2*OFFSET(F$112,MATCH($N$1,$C$112:$C$113,0)-1,0)</f>
        <v>22.2</v>
      </c>
      <c r="G34" s="28">
        <f ca="1">16.2*OFFSET(G$112,MATCH($N$1,$C$112:$C$113,0)-1,0)</f>
        <v>16.2</v>
      </c>
      <c r="H34" s="28">
        <f ca="1">18.2*OFFSET(H$112,MATCH($N$1,$C$112:$C$113,0)-1,0)</f>
        <v>18.2</v>
      </c>
      <c r="I34" s="28">
        <f ca="1">22.9*OFFSET(I$112,MATCH($N$1,$C$112:$C$113,0)-1,0)</f>
        <v>22.9</v>
      </c>
      <c r="J34" s="28">
        <f ca="1">21.3*OFFSET(J$112,MATCH($N$1,$C$112:$C$113,0)-1,0)</f>
        <v>21.3</v>
      </c>
      <c r="K34" s="28">
        <f ca="1">19.9*OFFSET(K$112,MATCH($N$1,$C$112:$C$113,0)-1,0)</f>
        <v>19.899999999999999</v>
      </c>
      <c r="L34" s="28">
        <f ca="1">23.2*OFFSET(L$112,MATCH($N$1,$C$112:$C$113,0)-1,0)</f>
        <v>23.2</v>
      </c>
      <c r="M34" s="28">
        <f ca="1">29.9*OFFSET(M$112,MATCH($N$1,$C$112:$C$113,0)-1,0)</f>
        <v>29.9</v>
      </c>
      <c r="N34" s="28">
        <v>32.200000000000003</v>
      </c>
      <c r="O34" s="23">
        <f t="shared" ca="1" si="0"/>
        <v>0.45701357466063353</v>
      </c>
      <c r="P34" s="23">
        <f t="shared" ca="1" si="1"/>
        <v>0.51173708920187799</v>
      </c>
    </row>
    <row r="35" spans="1:16" ht="18" customHeight="1" x14ac:dyDescent="0.2">
      <c r="A35" s="231"/>
      <c r="B35" s="33" t="s">
        <v>73</v>
      </c>
      <c r="C35" s="27"/>
      <c r="D35" s="28">
        <f ca="1">84.1*OFFSET(D$112,MATCH($N$1,$C$112:$C$113,0)-1,0)</f>
        <v>84.1</v>
      </c>
      <c r="E35" s="28">
        <f ca="1">76.8*OFFSET(E$112,MATCH($N$1,$C$112:$C$113,0)-1,0)</f>
        <v>76.8</v>
      </c>
      <c r="F35" s="28">
        <f ca="1">91.8*OFFSET(F$112,MATCH($N$1,$C$112:$C$113,0)-1,0)</f>
        <v>91.8</v>
      </c>
      <c r="G35" s="28">
        <f ca="1">98.5*OFFSET(G$112,MATCH($N$1,$C$112:$C$113,0)-1,0)</f>
        <v>98.5</v>
      </c>
      <c r="H35" s="28">
        <f ca="1">78*OFFSET(H$112,MATCH($N$1,$C$112:$C$113,0)-1,0)</f>
        <v>78</v>
      </c>
      <c r="I35" s="28">
        <f ca="1">89.7*OFFSET(I$112,MATCH($N$1,$C$112:$C$113,0)-1,0)</f>
        <v>89.7</v>
      </c>
      <c r="J35" s="28">
        <f ca="1">88.4*OFFSET(J$112,MATCH($N$1,$C$112:$C$113,0)-1,0)</f>
        <v>88.4</v>
      </c>
      <c r="K35" s="28">
        <f ca="1">88.1*OFFSET(K$112,MATCH($N$1,$C$112:$C$113,0)-1,0)</f>
        <v>88.1</v>
      </c>
      <c r="L35" s="28">
        <f ca="1">101.5*OFFSET(L$112,MATCH($N$1,$C$112:$C$113,0)-1,0)</f>
        <v>101.5</v>
      </c>
      <c r="M35" s="28">
        <f ca="1">104.9*OFFSET(M$112,MATCH($N$1,$C$112:$C$113,0)-1,0)</f>
        <v>104.9</v>
      </c>
      <c r="N35" s="28">
        <v>113.7</v>
      </c>
      <c r="O35" s="23">
        <f t="shared" ca="1" si="0"/>
        <v>0.35196195005945313</v>
      </c>
      <c r="P35" s="23">
        <f t="shared" ca="1" si="1"/>
        <v>0.28619909502262436</v>
      </c>
    </row>
    <row r="36" spans="1:16" ht="18" customHeight="1" x14ac:dyDescent="0.2">
      <c r="A36" s="231"/>
      <c r="B36" s="41" t="s">
        <v>74</v>
      </c>
      <c r="C36" s="42"/>
      <c r="D36" s="43">
        <f ca="1">62.9*OFFSET(D$112,MATCH($N$1,$C$112:$C$113,0)-1,0)</f>
        <v>62.9</v>
      </c>
      <c r="E36" s="43">
        <f ca="1">58.3*OFFSET(E$112,MATCH($N$1,$C$112:$C$113,0)-1,0)</f>
        <v>58.3</v>
      </c>
      <c r="F36" s="43">
        <f ca="1">58.9*OFFSET(F$112,MATCH($N$1,$C$112:$C$113,0)-1,0)</f>
        <v>58.9</v>
      </c>
      <c r="G36" s="43">
        <f ca="1">45.6*OFFSET(G$112,MATCH($N$1,$C$112:$C$113,0)-1,0)</f>
        <v>45.6</v>
      </c>
      <c r="H36" s="43">
        <f ca="1">65.4*OFFSET(H$112,MATCH($N$1,$C$112:$C$113,0)-1,0)</f>
        <v>65.400000000000006</v>
      </c>
      <c r="I36" s="43">
        <f ca="1">59.8*OFFSET(I$112,MATCH($N$1,$C$112:$C$113,0)-1,0)</f>
        <v>59.8</v>
      </c>
      <c r="J36" s="43">
        <f ca="1">72.9*OFFSET(J$112,MATCH($N$1,$C$112:$C$113,0)-1,0)</f>
        <v>72.900000000000006</v>
      </c>
      <c r="K36" s="43">
        <f ca="1">81.6*OFFSET(K$112,MATCH($N$1,$C$112:$C$113,0)-1,0)</f>
        <v>81.599999999999994</v>
      </c>
      <c r="L36" s="43">
        <f ca="1">88.4*OFFSET(L$112,MATCH($N$1,$C$112:$C$113,0)-1,0)</f>
        <v>88.4</v>
      </c>
      <c r="M36" s="43">
        <f ca="1">103.7*OFFSET(M$112,MATCH($N$1,$C$112:$C$113,0)-1,0)</f>
        <v>103.7</v>
      </c>
      <c r="N36" s="43">
        <v>110.9</v>
      </c>
      <c r="O36" s="23">
        <f t="shared" ca="1" si="0"/>
        <v>0.76311605723370446</v>
      </c>
      <c r="P36" s="23">
        <f t="shared" ca="1" si="1"/>
        <v>0.52126200274348422</v>
      </c>
    </row>
    <row r="37" spans="1:16" ht="18" customHeight="1" x14ac:dyDescent="0.2">
      <c r="A37" s="231"/>
      <c r="B37" s="41" t="s">
        <v>75</v>
      </c>
      <c r="C37" s="42"/>
      <c r="D37" s="43">
        <f ca="1">30.1*OFFSET(D$112,MATCH($N$1,$C$112:$C$113,0)-1,0)</f>
        <v>30.1</v>
      </c>
      <c r="E37" s="43">
        <f ca="1">32.1*OFFSET(E$112,MATCH($N$1,$C$112:$C$113,0)-1,0)</f>
        <v>32.1</v>
      </c>
      <c r="F37" s="43">
        <f ca="1">27.3*OFFSET(F$112,MATCH($N$1,$C$112:$C$113,0)-1,0)</f>
        <v>27.3</v>
      </c>
      <c r="G37" s="43">
        <f ca="1">15.5*OFFSET(G$112,MATCH($N$1,$C$112:$C$113,0)-1,0)</f>
        <v>15.5</v>
      </c>
      <c r="H37" s="43">
        <f ca="1">37.4*OFFSET(H$112,MATCH($N$1,$C$112:$C$113,0)-1,0)</f>
        <v>37.4</v>
      </c>
      <c r="I37" s="43">
        <f ca="1">25.3*OFFSET(I$112,MATCH($N$1,$C$112:$C$113,0)-1,0)</f>
        <v>25.3</v>
      </c>
      <c r="J37" s="43">
        <f ca="1">35.9*OFFSET(J$112,MATCH($N$1,$C$112:$C$113,0)-1,0)</f>
        <v>35.9</v>
      </c>
      <c r="K37" s="43">
        <f ca="1">45.3*OFFSET(K$112,MATCH($N$1,$C$112:$C$113,0)-1,0)</f>
        <v>45.3</v>
      </c>
      <c r="L37" s="43">
        <f ca="1">49.7*OFFSET(L$112,MATCH($N$1,$C$112:$C$113,0)-1,0)</f>
        <v>49.7</v>
      </c>
      <c r="M37" s="43">
        <f ca="1">56.5*OFFSET(M$112,MATCH($N$1,$C$112:$C$113,0)-1,0)</f>
        <v>56.5</v>
      </c>
      <c r="N37" s="43">
        <v>60.4</v>
      </c>
      <c r="O37" s="23">
        <f t="shared" ca="1" si="0"/>
        <v>1.0066445182724251</v>
      </c>
      <c r="P37" s="23">
        <f t="shared" ca="1" si="1"/>
        <v>0.68245125348189417</v>
      </c>
    </row>
    <row r="38" spans="1:16" ht="18" customHeight="1" x14ac:dyDescent="0.2">
      <c r="A38" s="231"/>
      <c r="B38" s="33" t="s">
        <v>76</v>
      </c>
      <c r="C38" s="27"/>
      <c r="D38" s="28">
        <f ca="1">7.8*OFFSET(D$112,MATCH($N$1,$C$112:$C$113,0)-1,0)</f>
        <v>7.8</v>
      </c>
      <c r="E38" s="28">
        <f ca="1">4.2*OFFSET(E$112,MATCH($N$1,$C$112:$C$113,0)-1,0)</f>
        <v>4.2</v>
      </c>
      <c r="F38" s="28">
        <f ca="1">4.5*OFFSET(F$112,MATCH($N$1,$C$112:$C$113,0)-1,0)</f>
        <v>4.5</v>
      </c>
      <c r="G38" s="28">
        <f ca="1">4.4*OFFSET(G$112,MATCH($N$1,$C$112:$C$113,0)-1,0)</f>
        <v>4.4000000000000004</v>
      </c>
      <c r="H38" s="28">
        <f ca="1">5.9*OFFSET(H$112,MATCH($N$1,$C$112:$C$113,0)-1,0)</f>
        <v>5.9</v>
      </c>
      <c r="I38" s="28">
        <f ca="1">8.6*OFFSET(I$112,MATCH($N$1,$C$112:$C$113,0)-1,0)</f>
        <v>8.6</v>
      </c>
      <c r="J38" s="28">
        <f ca="1">8.7*OFFSET(J$112,MATCH($N$1,$C$112:$C$113,0)-1,0)</f>
        <v>8.6999999999999993</v>
      </c>
      <c r="K38" s="28">
        <f ca="1">8.6*OFFSET(K$112,MATCH($N$1,$C$112:$C$113,0)-1,0)</f>
        <v>8.6</v>
      </c>
      <c r="L38" s="28">
        <f ca="1">4.3*OFFSET(L$112,MATCH($N$1,$C$112:$C$113,0)-1,0)</f>
        <v>4.3</v>
      </c>
      <c r="M38" s="28">
        <f ca="1">11.7*OFFSET(M$112,MATCH($N$1,$C$112:$C$113,0)-1,0)</f>
        <v>11.7</v>
      </c>
      <c r="N38" s="28"/>
      <c r="O38" s="23" t="str">
        <f t="shared" si="0"/>
        <v/>
      </c>
      <c r="P38" s="23" t="str">
        <f t="shared" si="1"/>
        <v/>
      </c>
    </row>
    <row r="39" spans="1:16" ht="18" customHeight="1" x14ac:dyDescent="0.2">
      <c r="A39" s="231"/>
      <c r="B39" s="33" t="s">
        <v>77</v>
      </c>
      <c r="C39" s="27"/>
      <c r="D39" s="28">
        <f ca="1">2.1*OFFSET(D$112,MATCH($N$1,$C$112:$C$113,0)-1,0)</f>
        <v>2.1</v>
      </c>
      <c r="E39" s="28">
        <f ca="1">1.3*OFFSET(E$112,MATCH($N$1,$C$112:$C$113,0)-1,0)</f>
        <v>1.3</v>
      </c>
      <c r="F39" s="28">
        <f ca="1">1*OFFSET(F$112,MATCH($N$1,$C$112:$C$113,0)-1,0)</f>
        <v>1</v>
      </c>
      <c r="G39" s="28">
        <f ca="1">1*OFFSET(G$112,MATCH($N$1,$C$112:$C$113,0)-1,0)</f>
        <v>1</v>
      </c>
      <c r="H39" s="28">
        <f ca="1">0.9*OFFSET(H$112,MATCH($N$1,$C$112:$C$113,0)-1,0)</f>
        <v>0.9</v>
      </c>
      <c r="I39" s="28">
        <f ca="1">1*OFFSET(I$112,MATCH($N$1,$C$112:$C$113,0)-1,0)</f>
        <v>1</v>
      </c>
      <c r="J39" s="28">
        <f ca="1">0.5*OFFSET(J$112,MATCH($N$1,$C$112:$C$113,0)-1,0)</f>
        <v>0.5</v>
      </c>
      <c r="K39" s="28">
        <f ca="1">0.8*OFFSET(K$112,MATCH($N$1,$C$112:$C$113,0)-1,0)</f>
        <v>0.8</v>
      </c>
      <c r="L39" s="28">
        <f ca="1">1.4*OFFSET(L$112,MATCH($N$1,$C$112:$C$113,0)-1,0)</f>
        <v>1.4</v>
      </c>
      <c r="M39" s="28">
        <f ca="1">1.8*OFFSET(M$112,MATCH($N$1,$C$112:$C$113,0)-1,0)</f>
        <v>1.8</v>
      </c>
      <c r="N39" s="28"/>
      <c r="O39" s="23" t="str">
        <f t="shared" si="0"/>
        <v/>
      </c>
      <c r="P39" s="23" t="str">
        <f t="shared" si="1"/>
        <v/>
      </c>
    </row>
    <row r="40" spans="1:16" ht="18" customHeight="1" x14ac:dyDescent="0.2">
      <c r="A40" s="231"/>
      <c r="B40" s="33" t="s">
        <v>78</v>
      </c>
      <c r="C40" s="27"/>
      <c r="D40" s="28"/>
      <c r="E40" s="28">
        <f ca="1">4.5*OFFSET(E$112,MATCH($N$1,$C$112:$C$113,0)-1,0)</f>
        <v>4.5</v>
      </c>
      <c r="F40" s="28">
        <f ca="1">0.1*OFFSET(F$112,MATCH($N$1,$C$112:$C$113,0)-1,0)</f>
        <v>0.1</v>
      </c>
      <c r="G40" s="28">
        <f ca="1">0.4*OFFSET(G$112,MATCH($N$1,$C$112:$C$113,0)-1,0)</f>
        <v>0.4</v>
      </c>
      <c r="H40" s="28">
        <f ca="1">0.4*OFFSET(H$112,MATCH($N$1,$C$112:$C$113,0)-1,0)</f>
        <v>0.4</v>
      </c>
      <c r="I40" s="28">
        <f ca="1">0.4*OFFSET(I$112,MATCH($N$1,$C$112:$C$113,0)-1,0)</f>
        <v>0.4</v>
      </c>
      <c r="J40" s="28">
        <f ca="1">0.7*OFFSET(J$112,MATCH($N$1,$C$112:$C$113,0)-1,0)</f>
        <v>0.7</v>
      </c>
      <c r="K40" s="28">
        <f ca="1">0.5*OFFSET(K$112,MATCH($N$1,$C$112:$C$113,0)-1,0)</f>
        <v>0.5</v>
      </c>
      <c r="L40" s="28">
        <f ca="1">1*OFFSET(L$112,MATCH($N$1,$C$112:$C$113,0)-1,0)</f>
        <v>1</v>
      </c>
      <c r="M40" s="28">
        <f ca="1">1.6*OFFSET(M$112,MATCH($N$1,$C$112:$C$113,0)-1,0)</f>
        <v>1.6</v>
      </c>
      <c r="N40" s="28"/>
      <c r="O40" s="23" t="str">
        <f t="shared" si="0"/>
        <v/>
      </c>
      <c r="P40" s="23" t="str">
        <f t="shared" si="1"/>
        <v/>
      </c>
    </row>
    <row r="41" spans="1:16" ht="18" customHeight="1" thickBot="1" x14ac:dyDescent="0.25">
      <c r="A41" s="232"/>
      <c r="B41" s="44" t="s">
        <v>79</v>
      </c>
      <c r="C41" s="45"/>
      <c r="D41" s="46">
        <f ca="1">20.2*OFFSET(D$112,MATCH($N$1,$C$112:$C$113,0)-1,0)</f>
        <v>20.2</v>
      </c>
      <c r="E41" s="46">
        <f ca="1">22.1*OFFSET(E$112,MATCH($N$1,$C$112:$C$113,0)-1,0)</f>
        <v>22.1</v>
      </c>
      <c r="F41" s="46">
        <f ca="1">21.7*OFFSET(F$112,MATCH($N$1,$C$112:$C$113,0)-1,0)</f>
        <v>21.7</v>
      </c>
      <c r="G41" s="46">
        <f ca="1">9.8*OFFSET(G$112,MATCH($N$1,$C$112:$C$113,0)-1,0)</f>
        <v>9.8000000000000007</v>
      </c>
      <c r="H41" s="46">
        <f ca="1">30.2*OFFSET(H$112,MATCH($N$1,$C$112:$C$113,0)-1,0)</f>
        <v>30.2</v>
      </c>
      <c r="I41" s="46">
        <f ca="1">15.3*OFFSET(I$112,MATCH($N$1,$C$112:$C$113,0)-1,0)</f>
        <v>15.3</v>
      </c>
      <c r="J41" s="46">
        <f ca="1">26*OFFSET(J$112,MATCH($N$1,$C$112:$C$113,0)-1,0)</f>
        <v>26</v>
      </c>
      <c r="K41" s="46">
        <f ca="1">35.4*OFFSET(K$112,MATCH($N$1,$C$112:$C$113,0)-1,0)</f>
        <v>35.4</v>
      </c>
      <c r="L41" s="46">
        <f ca="1">42.8*OFFSET(L$112,MATCH($N$1,$C$112:$C$113,0)-1,0)</f>
        <v>42.8</v>
      </c>
      <c r="M41" s="46">
        <f ca="1">41.4*OFFSET(M$112,MATCH($N$1,$C$112:$C$113,0)-1,0)</f>
        <v>41.4</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Pots and traps 10-12m</v>
      </c>
      <c r="C48" s="97"/>
      <c r="D48" s="97"/>
      <c r="E48" s="97"/>
      <c r="F48" s="97"/>
      <c r="G48" s="97"/>
      <c r="K48" s="97" t="str">
        <f>$B24&amp;CHAR(10)&amp;$A$1</f>
        <v>Operating profit per kW day at sea (£)
Pots and traps 10-12m</v>
      </c>
    </row>
    <row r="49" spans="1:11" s="83" customFormat="1" x14ac:dyDescent="0.2">
      <c r="A49" s="97" t="str">
        <f>$B22&amp;CHAR(10)&amp;$A$1</f>
        <v>Fishing income per kW day at sea (£)
Pots and traps 10-12m</v>
      </c>
    </row>
    <row r="50" spans="1:11" s="83" customFormat="1" x14ac:dyDescent="0.2">
      <c r="A50" s="97" t="str">
        <f>$B20&amp;CHAR(10)&amp;$A$1</f>
        <v>Average price per tonne landed (£)
Pots and traps 10-12m</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Pots and traps 10-12m</v>
      </c>
      <c r="F62" s="97" t="str">
        <f>$B20&amp;CHAR(10)&amp;$A$1</f>
        <v>Average price per tonne landed (£)
Pots and traps 10-12m</v>
      </c>
      <c r="K62" s="97" t="str">
        <f>"Average annual operating profit per vessel (£'000)"&amp;CHAR(10)&amp;$A$1</f>
        <v>Average annual operating profit per vessel (£'000)
Pots and traps 10-12m</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Pots and traps 10-12m</v>
      </c>
      <c r="F76" s="97" t="str">
        <f>"Top 5 landed species by value in "&amp;A77&amp;CHAR(10)&amp;A1</f>
        <v>Top 5 landed species by value in 2017
Pots and traps 10-12m</v>
      </c>
    </row>
    <row r="77" spans="1:9" s="97" customFormat="1" x14ac:dyDescent="0.2">
      <c r="A77" s="97">
        <v>2017</v>
      </c>
      <c r="B77" s="97" t="s">
        <v>381</v>
      </c>
      <c r="C77" s="98">
        <v>0.43646761804977985</v>
      </c>
      <c r="D77" s="99">
        <v>12153634</v>
      </c>
      <c r="G77" s="97" t="s">
        <v>382</v>
      </c>
      <c r="H77" s="98">
        <v>0.30700767815565938</v>
      </c>
      <c r="I77" s="99">
        <v>12153634</v>
      </c>
    </row>
    <row r="78" spans="1:9" s="97" customFormat="1" x14ac:dyDescent="0.2">
      <c r="B78" s="97" t="s">
        <v>383</v>
      </c>
      <c r="C78" s="98">
        <v>0.4136408182728325</v>
      </c>
      <c r="D78" s="99">
        <v>3050596</v>
      </c>
      <c r="G78" s="97" t="s">
        <v>384</v>
      </c>
      <c r="H78" s="98">
        <v>0.30518581240775255</v>
      </c>
      <c r="I78" s="99">
        <v>553960</v>
      </c>
    </row>
    <row r="79" spans="1:9" s="97" customFormat="1" x14ac:dyDescent="0.2">
      <c r="B79" s="97" t="s">
        <v>385</v>
      </c>
      <c r="C79" s="98">
        <v>5.3547274815276706E-2</v>
      </c>
      <c r="D79" s="99">
        <v>553960</v>
      </c>
      <c r="G79" s="97" t="s">
        <v>386</v>
      </c>
      <c r="H79" s="98">
        <v>0.19813406995393612</v>
      </c>
      <c r="I79" s="99">
        <v>3050596</v>
      </c>
    </row>
    <row r="80" spans="1:9" s="97" customFormat="1" x14ac:dyDescent="0.2">
      <c r="B80" s="97" t="s">
        <v>387</v>
      </c>
      <c r="C80" s="98">
        <v>4.6828582948547248E-2</v>
      </c>
      <c r="D80" s="99">
        <v>1692097</v>
      </c>
      <c r="G80" s="97" t="s">
        <v>388</v>
      </c>
      <c r="H80" s="98">
        <v>0.1353723679594796</v>
      </c>
      <c r="I80" s="99">
        <v>1692097</v>
      </c>
    </row>
    <row r="81" spans="1:18" s="97" customFormat="1" x14ac:dyDescent="0.2">
      <c r="B81" s="97" t="s">
        <v>389</v>
      </c>
      <c r="C81" s="98">
        <v>2.0814890410976082E-2</v>
      </c>
      <c r="D81" s="99">
        <v>3689192</v>
      </c>
      <c r="G81" s="97" t="s">
        <v>390</v>
      </c>
      <c r="H81" s="98">
        <v>2.6727890067204659E-2</v>
      </c>
      <c r="I81" s="99">
        <v>3689192</v>
      </c>
    </row>
    <row r="82" spans="1:18" s="97" customFormat="1" x14ac:dyDescent="0.2">
      <c r="B82" s="97" t="s">
        <v>135</v>
      </c>
      <c r="C82" s="98">
        <v>2.870081550258774E-2</v>
      </c>
      <c r="D82" s="99">
        <v>5920853</v>
      </c>
      <c r="G82" s="97" t="s">
        <v>391</v>
      </c>
      <c r="H82" s="98">
        <v>2.7572181455967737E-2</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98</v>
      </c>
      <c r="D92" s="102">
        <v>0.23877081318779977</v>
      </c>
      <c r="E92" s="102">
        <v>0.26774019371423424</v>
      </c>
      <c r="F92" s="102">
        <v>0.27411338834899046</v>
      </c>
      <c r="G92" s="102">
        <v>0.30426834207786557</v>
      </c>
      <c r="H92" s="102">
        <v>0.27894958201547304</v>
      </c>
      <c r="I92" s="102">
        <v>0.2953447627969884</v>
      </c>
      <c r="J92" s="102">
        <v>0.24092261074492638</v>
      </c>
      <c r="K92" s="102">
        <v>0.26075614489554366</v>
      </c>
      <c r="L92" s="102">
        <v>0.30700767815565938</v>
      </c>
      <c r="M92" s="102">
        <v>0.37047984552097657</v>
      </c>
      <c r="O92" s="97">
        <v>12153634</v>
      </c>
    </row>
    <row r="93" spans="1:18" s="97" customFormat="1" hidden="1" x14ac:dyDescent="0.2">
      <c r="B93" s="97">
        <v>2</v>
      </c>
      <c r="C93" s="97" t="s">
        <v>230</v>
      </c>
      <c r="D93" s="102">
        <v>0.25038423634969287</v>
      </c>
      <c r="E93" s="102">
        <v>0.25324758138988096</v>
      </c>
      <c r="F93" s="102">
        <v>0.28809481728046404</v>
      </c>
      <c r="G93" s="102">
        <v>0.28849265828123838</v>
      </c>
      <c r="H93" s="102">
        <v>0.28756492376526455</v>
      </c>
      <c r="I93" s="102">
        <v>0.27384272399416243</v>
      </c>
      <c r="J93" s="102">
        <v>0.2781567338441796</v>
      </c>
      <c r="K93" s="102">
        <v>0.27515093013024966</v>
      </c>
      <c r="L93" s="102">
        <v>0.30518581240775255</v>
      </c>
      <c r="M93" s="102">
        <v>0.30972317471098376</v>
      </c>
      <c r="O93" s="97">
        <v>553960</v>
      </c>
    </row>
    <row r="94" spans="1:18" s="97" customFormat="1" hidden="1" x14ac:dyDescent="0.2">
      <c r="B94" s="97">
        <v>3</v>
      </c>
      <c r="C94" s="97" t="s">
        <v>242</v>
      </c>
      <c r="D94" s="102">
        <v>9.5965472065254784E-2</v>
      </c>
      <c r="E94" s="102">
        <v>9.6729695797215132E-2</v>
      </c>
      <c r="F94" s="102">
        <v>9.5508021236884122E-2</v>
      </c>
      <c r="G94" s="102">
        <v>0.10602575660173152</v>
      </c>
      <c r="H94" s="102">
        <v>0.12921139742646884</v>
      </c>
      <c r="I94" s="102">
        <v>0.15087878799481932</v>
      </c>
      <c r="J94" s="102">
        <v>0.18700846698254864</v>
      </c>
      <c r="K94" s="102">
        <v>0.20975210847198872</v>
      </c>
      <c r="L94" s="102">
        <v>0.19813406995393612</v>
      </c>
      <c r="M94" s="102">
        <v>0.16089798488180532</v>
      </c>
      <c r="O94" s="97">
        <v>3050596</v>
      </c>
    </row>
    <row r="95" spans="1:18" s="97" customFormat="1" hidden="1" x14ac:dyDescent="0.2">
      <c r="B95" s="97">
        <v>4</v>
      </c>
      <c r="C95" s="97" t="s">
        <v>93</v>
      </c>
      <c r="D95" s="102">
        <v>0.27537611943701967</v>
      </c>
      <c r="E95" s="102">
        <v>0.25928186330672609</v>
      </c>
      <c r="F95" s="102">
        <v>0.23179022632165028</v>
      </c>
      <c r="G95" s="102">
        <v>0.21486522966248528</v>
      </c>
      <c r="H95" s="102">
        <v>0.21992809482789846</v>
      </c>
      <c r="I95" s="102">
        <v>0.20324171085216183</v>
      </c>
      <c r="J95" s="102">
        <v>0.22621598859564637</v>
      </c>
      <c r="K95" s="102">
        <v>0.19058750477896313</v>
      </c>
      <c r="L95" s="102">
        <v>0.1353723679594796</v>
      </c>
      <c r="M95" s="102">
        <v>0.10728037761416952</v>
      </c>
      <c r="O95" s="97">
        <v>1692097</v>
      </c>
    </row>
    <row r="96" spans="1:18" s="97" customFormat="1" hidden="1" x14ac:dyDescent="0.2">
      <c r="B96" s="97">
        <v>5</v>
      </c>
      <c r="C96" s="97" t="s">
        <v>246</v>
      </c>
      <c r="D96" s="102">
        <v>8.9417262081037327E-2</v>
      </c>
      <c r="E96" s="102">
        <v>8.4232345946711168E-2</v>
      </c>
      <c r="F96" s="102">
        <v>6.6685511532898062E-2</v>
      </c>
      <c r="G96" s="102">
        <v>4.1561217354519335E-2</v>
      </c>
      <c r="H96" s="102">
        <v>4.2655971141643649E-2</v>
      </c>
      <c r="I96" s="102">
        <v>4.2833618968880667E-2</v>
      </c>
      <c r="J96" s="102">
        <v>4.0067950525374069E-2</v>
      </c>
      <c r="K96" s="102">
        <v>2.9771610569495288E-2</v>
      </c>
      <c r="L96" s="102">
        <v>2.6727890067204659E-2</v>
      </c>
      <c r="M96" s="102">
        <v>1.8656116605780655E-2</v>
      </c>
      <c r="O96" s="97">
        <v>3689192</v>
      </c>
    </row>
    <row r="97" spans="1:15" s="97" customFormat="1" hidden="1" x14ac:dyDescent="0.2">
      <c r="B97" s="97">
        <v>6</v>
      </c>
      <c r="C97" s="97" t="s">
        <v>101</v>
      </c>
      <c r="D97" s="102">
        <v>5.0086096879195567E-2</v>
      </c>
      <c r="E97" s="102">
        <v>3.8768319845232393E-2</v>
      </c>
      <c r="F97" s="102">
        <v>4.3808035279113033E-2</v>
      </c>
      <c r="G97" s="102">
        <v>4.4786796022159903E-2</v>
      </c>
      <c r="H97" s="102">
        <v>4.1690030823251456E-2</v>
      </c>
      <c r="I97" s="102">
        <v>3.3858395392987392E-2</v>
      </c>
      <c r="J97" s="102">
        <v>2.7628249307324951E-2</v>
      </c>
      <c r="K97" s="102">
        <v>3.3981701153759536E-2</v>
      </c>
      <c r="L97" s="102">
        <v>2.7572181455967675E-2</v>
      </c>
      <c r="M97" s="102">
        <v>3.2962500666284207E-2</v>
      </c>
      <c r="O97" s="97">
        <v>5920853</v>
      </c>
    </row>
    <row r="98" spans="1:15" s="97" customFormat="1" hidden="1" x14ac:dyDescent="0.2">
      <c r="B98" s="97">
        <v>7</v>
      </c>
      <c r="D98" s="102"/>
      <c r="E98" s="102"/>
      <c r="F98" s="102"/>
      <c r="G98" s="102"/>
      <c r="H98" s="102"/>
      <c r="I98" s="102"/>
      <c r="J98" s="102"/>
      <c r="K98" s="102"/>
      <c r="L98" s="102"/>
      <c r="M98" s="102"/>
      <c r="O98" s="97">
        <v>2480382</v>
      </c>
    </row>
    <row r="99" spans="1:15" s="97" customFormat="1" hidden="1" x14ac:dyDescent="0.2">
      <c r="B99" s="97">
        <v>8</v>
      </c>
      <c r="D99" s="102"/>
      <c r="E99" s="102"/>
      <c r="F99" s="102"/>
      <c r="G99" s="102"/>
      <c r="H99" s="102"/>
      <c r="I99" s="102"/>
      <c r="J99" s="102"/>
      <c r="K99" s="102"/>
      <c r="L99" s="102"/>
      <c r="M99" s="102"/>
      <c r="O99" s="97">
        <v>7434864</v>
      </c>
    </row>
    <row r="100" spans="1:15" s="97" customFormat="1" hidden="1" x14ac:dyDescent="0.2">
      <c r="B100" s="97">
        <v>9</v>
      </c>
      <c r="D100" s="102"/>
      <c r="E100" s="102"/>
      <c r="F100" s="102"/>
      <c r="G100" s="102"/>
      <c r="H100" s="102"/>
      <c r="I100" s="102"/>
      <c r="J100" s="102"/>
      <c r="K100" s="102"/>
      <c r="L100" s="102"/>
      <c r="M100" s="102"/>
      <c r="O100" s="97">
        <v>8497745</v>
      </c>
    </row>
    <row r="101" spans="1:15" s="97" customFormat="1" hidden="1" x14ac:dyDescent="0.2">
      <c r="B101" s="97">
        <v>10</v>
      </c>
      <c r="D101" s="102"/>
      <c r="E101" s="102"/>
      <c r="F101" s="102"/>
      <c r="G101" s="102"/>
      <c r="H101" s="102"/>
      <c r="I101" s="102"/>
      <c r="J101" s="102"/>
      <c r="K101" s="102"/>
      <c r="L101" s="102"/>
      <c r="M101" s="102"/>
      <c r="O101" s="97">
        <v>14393110</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7</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44</v>
      </c>
      <c r="D120" s="56">
        <v>88</v>
      </c>
      <c r="E120" s="56">
        <v>44</v>
      </c>
      <c r="F120" s="57">
        <v>176</v>
      </c>
    </row>
    <row r="121" spans="1:14" ht="18" customHeight="1" x14ac:dyDescent="0.2">
      <c r="A121" s="225" t="s">
        <v>23</v>
      </c>
      <c r="B121" s="30" t="s">
        <v>58</v>
      </c>
      <c r="C121" s="58">
        <v>11.101363182067871</v>
      </c>
      <c r="D121" s="58">
        <v>11.15749979019165</v>
      </c>
      <c r="E121" s="58">
        <v>11.027727127075195</v>
      </c>
      <c r="F121" s="59">
        <v>11.11102294921875</v>
      </c>
    </row>
    <row r="122" spans="1:14" ht="18" customHeight="1" x14ac:dyDescent="0.2">
      <c r="A122" s="226"/>
      <c r="B122" s="33" t="s">
        <v>51</v>
      </c>
      <c r="C122" s="60">
        <v>139.61363220214844</v>
      </c>
      <c r="D122" s="60">
        <v>133.80682373046875</v>
      </c>
      <c r="E122" s="60">
        <v>142.09091186523437</v>
      </c>
      <c r="F122" s="61">
        <v>137.32954406738281</v>
      </c>
    </row>
    <row r="123" spans="1:14" ht="18" customHeight="1" x14ac:dyDescent="0.2">
      <c r="A123" s="226"/>
      <c r="B123" s="33" t="s">
        <v>52</v>
      </c>
      <c r="C123" s="60">
        <v>13.25</v>
      </c>
      <c r="D123" s="60">
        <v>19.556818008422852</v>
      </c>
      <c r="E123" s="60">
        <v>12.181818008422852</v>
      </c>
      <c r="F123" s="61">
        <v>16.136363983154297</v>
      </c>
    </row>
    <row r="124" spans="1:14" ht="18" customHeight="1" x14ac:dyDescent="0.2">
      <c r="A124" s="226"/>
      <c r="B124" s="33" t="s">
        <v>53</v>
      </c>
      <c r="C124" s="60">
        <v>112.35330963134766</v>
      </c>
      <c r="D124" s="60">
        <v>107.1920051574707</v>
      </c>
      <c r="E124" s="60">
        <v>109.79896545410156</v>
      </c>
      <c r="F124" s="61">
        <v>109.13407135009766</v>
      </c>
    </row>
    <row r="125" spans="1:14" ht="18" customHeight="1" x14ac:dyDescent="0.2">
      <c r="A125" s="226"/>
      <c r="B125" s="33" t="s">
        <v>54</v>
      </c>
      <c r="C125" s="28">
        <v>106.80031585693359</v>
      </c>
      <c r="D125" s="28">
        <v>60.189395904541016</v>
      </c>
      <c r="E125" s="28">
        <v>20.625368118286133</v>
      </c>
      <c r="F125" s="62">
        <v>61.951118469238281</v>
      </c>
    </row>
    <row r="126" spans="1:14" ht="18" customHeight="1" x14ac:dyDescent="0.2">
      <c r="A126" s="226"/>
      <c r="B126" s="33" t="s">
        <v>59</v>
      </c>
      <c r="C126" s="28">
        <f ca="1">236.4516875*OFFSET($L$112,MATCH($N$1,$C$112:$C$113,0)-1,0)</f>
        <v>236.45168749999999</v>
      </c>
      <c r="D126" s="28">
        <f ca="1">143.34650390625*OFFSET($L$112,MATCH($N$1,$C$112:$C$113,0)-1,0)</f>
        <v>143.34650390625001</v>
      </c>
      <c r="E126" s="28">
        <f ca="1">64.01351953125*OFFSET($L$112,MATCH($N$1,$C$112:$C$113,0)-1,0)</f>
        <v>64.013519531249997</v>
      </c>
      <c r="F126" s="62">
        <f ca="1">146.789546875*OFFSET($L$112,MATCH($N$1,$C$112:$C$113,0)-1,0)</f>
        <v>146.78954687500001</v>
      </c>
    </row>
    <row r="127" spans="1:14" ht="18" customHeight="1" x14ac:dyDescent="0.2">
      <c r="A127" s="226"/>
      <c r="B127" s="33" t="s">
        <v>56</v>
      </c>
      <c r="C127" s="60">
        <v>124.09091186523437</v>
      </c>
      <c r="D127" s="60">
        <v>158.30682373046875</v>
      </c>
      <c r="E127" s="60">
        <v>164.11363220214844</v>
      </c>
      <c r="F127" s="61">
        <v>151.20454406738281</v>
      </c>
    </row>
    <row r="128" spans="1:14" ht="18" customHeight="1" x14ac:dyDescent="0.2">
      <c r="A128" s="226"/>
      <c r="B128" s="33" t="s">
        <v>60</v>
      </c>
      <c r="C128" s="60">
        <v>24.25</v>
      </c>
      <c r="D128" s="60">
        <v>27.625</v>
      </c>
      <c r="E128" s="60">
        <v>30.295454025268555</v>
      </c>
      <c r="F128" s="61">
        <v>27.448863983154297</v>
      </c>
    </row>
    <row r="129" spans="1:14" ht="18" customHeight="1" x14ac:dyDescent="0.2">
      <c r="A129" s="226"/>
      <c r="B129" s="33" t="s">
        <v>61</v>
      </c>
      <c r="C129" s="63">
        <v>0.86066186428070068</v>
      </c>
      <c r="D129" s="63">
        <v>0.38020721082130193</v>
      </c>
      <c r="E129" s="63">
        <v>0.12567736208438873</v>
      </c>
      <c r="F129" s="64">
        <v>0.40971729159355164</v>
      </c>
    </row>
    <row r="130" spans="1:14" ht="18" customHeight="1" x14ac:dyDescent="0.2">
      <c r="A130" s="227"/>
      <c r="B130" s="35" t="s">
        <v>24</v>
      </c>
      <c r="C130" s="37">
        <f ca="1">2213.96056371915*OFFSET($L$112,MATCH($N$1,$C$112:$C$113,0)-1,0)</f>
        <v>2213.9605637191498</v>
      </c>
      <c r="D130" s="37">
        <f ca="1">2381.59067310784*OFFSET($L$112,MATCH($N$1,$C$112:$C$113,0)-1,0)</f>
        <v>2381.5906731078398</v>
      </c>
      <c r="E130" s="37">
        <f ca="1">3103.63040136465*OFFSET($L$112,MATCH($N$1,$C$112:$C$113,0)-1,0)</f>
        <v>3103.63040136465</v>
      </c>
      <c r="F130" s="65">
        <f ca="1">2369*OFFSET($L$112,MATCH($N$1,$C$112:$C$113,0)-1,0)</f>
        <v>2369</v>
      </c>
    </row>
    <row r="131" spans="1:14" ht="18" customHeight="1" x14ac:dyDescent="0.2">
      <c r="A131" s="239" t="s">
        <v>25</v>
      </c>
      <c r="B131" s="30" t="s">
        <v>62</v>
      </c>
      <c r="C131" s="66">
        <v>5.7926165711960937</v>
      </c>
      <c r="D131" s="66">
        <v>2.7508921151632886</v>
      </c>
      <c r="E131" s="66">
        <v>0.87904399649574871</v>
      </c>
      <c r="F131" s="67">
        <v>2.8928629843228562</v>
      </c>
    </row>
    <row r="132" spans="1:14" ht="18" customHeight="1" x14ac:dyDescent="0.2">
      <c r="A132" s="228"/>
      <c r="B132" s="33" t="s">
        <v>63</v>
      </c>
      <c r="C132" s="63">
        <f ca="1">12.8246246493742*OFFSET($L$112,MATCH($N$1,$C$112:$C$113,0)-1,0)</f>
        <v>12.824624649374201</v>
      </c>
      <c r="D132" s="63">
        <f ca="1">6.55149900419878*OFFSET($L$112,MATCH($N$1,$C$112:$C$113,0)-1,0)</f>
        <v>6.5514990041987797</v>
      </c>
      <c r="E132" s="63">
        <f ca="1">2.72822767166128*OFFSET($L$112,MATCH($N$1,$C$112:$C$113,0)-1,0)</f>
        <v>2.7282276716612799</v>
      </c>
      <c r="F132" s="64">
        <f ca="1">6.85446941286569*OFFSET($L$112,MATCH($N$1,$C$112:$C$113,0)-1,0)</f>
        <v>6.85446941286569</v>
      </c>
    </row>
    <row r="133" spans="1:14" ht="18" customHeight="1" x14ac:dyDescent="0.2">
      <c r="A133" s="228"/>
      <c r="B133" s="33" t="s">
        <v>11</v>
      </c>
      <c r="C133" s="63">
        <f ca="1">7.44871321295856*OFFSET($L$112,MATCH($N$1,$C$112:$C$113,0)-1,0)</f>
        <v>7.4487132129585598</v>
      </c>
      <c r="D133" s="63">
        <f ca="1">4.06138716613924*OFFSET($L$112,MATCH($N$1,$C$112:$C$113,0)-1,0)</f>
        <v>4.06138716613924</v>
      </c>
      <c r="E133" s="63">
        <f ca="1">1.95891083731192*OFFSET($L$112,MATCH($N$1,$C$112:$C$113,0)-1,0)</f>
        <v>1.95891083731192</v>
      </c>
      <c r="F133" s="64">
        <f ca="1">4.21457238461257*OFFSET($L$112,MATCH($N$1,$C$112:$C$113,0)-1,0)</f>
        <v>4.2145723846125698</v>
      </c>
    </row>
    <row r="134" spans="1:14" ht="18" customHeight="1" x14ac:dyDescent="0.2">
      <c r="A134" s="229"/>
      <c r="B134" s="35" t="s">
        <v>12</v>
      </c>
      <c r="C134" s="68">
        <f ca="1">5.37591143641563*OFFSET($L$112,MATCH($N$1,$C$112:$C$113,0)-1,0)</f>
        <v>5.3759114364156302</v>
      </c>
      <c r="D134" s="68">
        <f ca="1">2.49011183805954*OFFSET($L$112,MATCH($N$1,$C$112:$C$113,0)-1,0)</f>
        <v>2.4901118380595402</v>
      </c>
      <c r="E134" s="68">
        <f ca="1">0.769316834349363*OFFSET($L$112,MATCH($N$1,$C$112:$C$113,0)-1,0)</f>
        <v>0.76931683434936304</v>
      </c>
      <c r="F134" s="69">
        <f ca="1">2.63989702825311*OFFSET($L$112,MATCH($N$1,$C$112:$C$113,0)-1,0)</f>
        <v>2.63989702825311</v>
      </c>
    </row>
    <row r="135" spans="1:14" ht="18" customHeight="1" x14ac:dyDescent="0.2">
      <c r="A135" s="240" t="s">
        <v>45</v>
      </c>
      <c r="B135" s="33" t="s">
        <v>102</v>
      </c>
      <c r="C135" s="70">
        <f ca="1">7.512689453125*OFFSET($L$112,MATCH($N$1,$C$112:$C$113,0)-1,0)</f>
        <v>7.5126894531249997</v>
      </c>
      <c r="D135" s="70">
        <f ca="1">10.1598974609375*OFFSET($L$112,MATCH($N$1,$C$112:$C$113,0)-1,0)</f>
        <v>10.159897460937501</v>
      </c>
      <c r="E135" s="70">
        <f ca="1">10.816693359375*OFFSET($L$112,MATCH($N$1,$C$112:$C$113,0)-1,0)</f>
        <v>10.816693359375</v>
      </c>
      <c r="F135" s="71">
        <f ca="1">9.6622939453125*OFFSET($L$112,MATCH($N$1,$C$112:$C$113,0)-1,0)</f>
        <v>9.6622939453125003</v>
      </c>
    </row>
    <row r="136" spans="1:14" ht="18" customHeight="1" x14ac:dyDescent="0.2">
      <c r="A136" s="241"/>
      <c r="B136" s="33" t="s">
        <v>103</v>
      </c>
      <c r="C136" s="26">
        <v>17809.090807873756</v>
      </c>
      <c r="D136" s="26">
        <v>24031.819187275134</v>
      </c>
      <c r="E136" s="26">
        <v>25586.363508093869</v>
      </c>
      <c r="F136" s="72">
        <v>22864.772727272728</v>
      </c>
    </row>
    <row r="137" spans="1:14" ht="18" customHeight="1" x14ac:dyDescent="0.2">
      <c r="A137" s="241"/>
      <c r="B137" s="33" t="s">
        <v>104</v>
      </c>
      <c r="C137" s="26">
        <v>143.5164794921875</v>
      </c>
      <c r="D137" s="26">
        <v>151.80532728135216</v>
      </c>
      <c r="E137" s="26">
        <v>155.90638732910156</v>
      </c>
      <c r="F137" s="72">
        <v>151.21749877929687</v>
      </c>
    </row>
    <row r="138" spans="1:14" ht="18" customHeight="1" x14ac:dyDescent="0.2">
      <c r="A138" s="241"/>
      <c r="B138" s="33" t="s">
        <v>105</v>
      </c>
      <c r="C138" s="26">
        <f ca="1">60.5418184152273*OFFSET($L$112,MATCH($N$1,$C$112:$C$113,0)-1,0)</f>
        <v>60.541818415227297</v>
      </c>
      <c r="D138" s="26">
        <f ca="1">64.178518787261*OFFSET($L$112,MATCH($N$1,$C$112:$C$113,0)-1,0)</f>
        <v>64.178518787260998</v>
      </c>
      <c r="E138" s="26">
        <f ca="1">65.9097797924029*OFFSET($L$112,MATCH($N$1,$C$112:$C$113,0)-1,0)</f>
        <v>65.909779792402901</v>
      </c>
      <c r="F138" s="72">
        <f ca="1">63.9021400111269*OFFSET($L$112,MATCH($N$1,$C$112:$C$113,0)-1,0)</f>
        <v>63.902140011126903</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70.3433261675814*OFFSET($L$112,MATCH($N$1,$C$112:$C$113,0)-1,0)</f>
        <v>70.343326167581395</v>
      </c>
      <c r="D139" s="26">
        <f ca="1">168.79879434329*OFFSET($L$112,MATCH($N$1,$C$112:$C$113,0)-1,0)</f>
        <v>168.79879434329001</v>
      </c>
      <c r="E139" s="26">
        <f ca="1">524.436378412325*OFFSET($L$112,MATCH($N$1,$C$112:$C$113,0)-1,0)</f>
        <v>524.43637841232498</v>
      </c>
      <c r="F139" s="72">
        <f ca="1">155.966416491904*OFFSET($L$112,MATCH($N$1,$C$112:$C$113,0)-1,0)</f>
        <v>155.966416491904</v>
      </c>
      <c r="I139" s="49"/>
      <c r="K139" s="73" t="s">
        <v>107</v>
      </c>
      <c r="L139" s="74">
        <f t="shared" ref="L139:M141" ca="1" si="2">C140</f>
        <v>260.11500000000001</v>
      </c>
      <c r="M139" s="74">
        <f t="shared" ca="1" si="2"/>
        <v>157.69214843750001</v>
      </c>
      <c r="N139" s="74">
        <f ca="1">E140</f>
        <v>70.41978125</v>
      </c>
    </row>
    <row r="140" spans="1:14" ht="18" customHeight="1" x14ac:dyDescent="0.2">
      <c r="A140" s="230" t="s">
        <v>46</v>
      </c>
      <c r="B140" s="30" t="s">
        <v>108</v>
      </c>
      <c r="C140" s="75">
        <f ca="1">260.115*OFFSET($L$112,MATCH($N$1,$C$112:$C$113,0)-1,0)</f>
        <v>260.11500000000001</v>
      </c>
      <c r="D140" s="75">
        <f ca="1">157.6921484375*OFFSET($L$112,MATCH($N$1,$C$112:$C$113,0)-1,0)</f>
        <v>157.69214843750001</v>
      </c>
      <c r="E140" s="75">
        <f ca="1">70.41978125*OFFSET($L$112,MATCH($N$1,$C$112:$C$113,0)-1,0)</f>
        <v>70.41978125</v>
      </c>
      <c r="F140" s="76">
        <f ca="1">161.479765625*OFFSET($L$112,MATCH($N$1,$C$112:$C$113,0)-1,0)</f>
        <v>161.479765625</v>
      </c>
      <c r="I140" s="49"/>
      <c r="K140" s="73" t="s">
        <v>109</v>
      </c>
      <c r="L140" s="74">
        <f t="shared" ca="1" si="2"/>
        <v>160.997609375</v>
      </c>
      <c r="M140" s="74">
        <f t="shared" ca="1" si="2"/>
        <v>103.20861328125</v>
      </c>
      <c r="N140" s="74">
        <f ca="1">E141</f>
        <v>52.368984374999997</v>
      </c>
    </row>
    <row r="141" spans="1:14" ht="18" customHeight="1" x14ac:dyDescent="0.2">
      <c r="A141" s="237"/>
      <c r="B141" s="33" t="s">
        <v>110</v>
      </c>
      <c r="C141" s="26">
        <f ca="1">160.997609375*OFFSET($L$112,MATCH($N$1,$C$112:$C$113,0)-1,0)</f>
        <v>160.997609375</v>
      </c>
      <c r="D141" s="26">
        <f ca="1">103.20861328125*OFFSET($L$112,MATCH($N$1,$C$112:$C$113,0)-1,0)</f>
        <v>103.20861328125</v>
      </c>
      <c r="E141" s="26">
        <f ca="1">52.368984375*OFFSET($L$112,MATCH($N$1,$C$112:$C$113,0)-1,0)</f>
        <v>52.368984374999997</v>
      </c>
      <c r="F141" s="72">
        <f ca="1">104.945953125*OFFSET($L$112,MATCH($N$1,$C$112:$C$113,0)-1,0)</f>
        <v>104.945953125</v>
      </c>
      <c r="I141" s="49"/>
      <c r="K141" s="73" t="s">
        <v>111</v>
      </c>
      <c r="L141" s="74">
        <f t="shared" ca="1" si="2"/>
        <v>99.117390624999999</v>
      </c>
      <c r="M141" s="74">
        <f t="shared" ca="1" si="2"/>
        <v>54.483535156249999</v>
      </c>
      <c r="N141" s="74">
        <f ca="1">E142</f>
        <v>18.050796875</v>
      </c>
    </row>
    <row r="142" spans="1:14" ht="18" customHeight="1" x14ac:dyDescent="0.2">
      <c r="A142" s="238"/>
      <c r="B142" s="35" t="s">
        <v>112</v>
      </c>
      <c r="C142" s="37">
        <f ca="1">99.117390625*OFFSET($L$112,MATCH($N$1,$C$112:$C$113,0)-1,0)</f>
        <v>99.117390624999999</v>
      </c>
      <c r="D142" s="37">
        <f ca="1">54.48353515625*OFFSET($L$112,MATCH($N$1,$C$112:$C$113,0)-1,0)</f>
        <v>54.483535156249999</v>
      </c>
      <c r="E142" s="37">
        <f ca="1">18.050796875*OFFSET($L$112,MATCH($N$1,$C$112:$C$113,0)-1,0)</f>
        <v>18.050796875</v>
      </c>
      <c r="F142" s="65">
        <f ca="1">56.5338125*OFFSET($L$112,MATCH($N$1,$C$112:$C$113,0)-1,0)</f>
        <v>56.533812500000003</v>
      </c>
      <c r="I142" s="49"/>
      <c r="K142" s="73" t="s">
        <v>113</v>
      </c>
      <c r="L142" s="77">
        <f ca="1">IFERROR(L140/L$139,"")</f>
        <v>0.61894780914211023</v>
      </c>
      <c r="M142" s="77">
        <f t="shared" ref="M142:N143" ca="1" si="3">IFERROR(M140/M$139,"")</f>
        <v>0.65449430617755766</v>
      </c>
      <c r="N142" s="77">
        <f t="shared" ca="1" si="3"/>
        <v>0.74366866021754363</v>
      </c>
    </row>
    <row r="143" spans="1:14" ht="18" customHeight="1" x14ac:dyDescent="0.2">
      <c r="I143" s="49"/>
      <c r="K143" s="73" t="s">
        <v>114</v>
      </c>
      <c r="L143" s="77">
        <f ca="1">IFERROR(L141/L$139,"")</f>
        <v>0.38105219085788977</v>
      </c>
      <c r="M143" s="77">
        <f t="shared" ca="1" si="3"/>
        <v>0.34550569382244228</v>
      </c>
      <c r="N143" s="77">
        <f t="shared" ca="1" si="3"/>
        <v>0.25633133978245637</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8</v>
      </c>
      <c r="B161" s="53"/>
      <c r="C161" s="79" t="s">
        <v>41</v>
      </c>
      <c r="D161" s="79" t="s">
        <v>115</v>
      </c>
      <c r="E161" s="79" t="s">
        <v>43</v>
      </c>
      <c r="F161" s="79" t="s">
        <v>116</v>
      </c>
      <c r="G161" s="80">
        <v>7</v>
      </c>
      <c r="H161" s="79"/>
      <c r="I161" s="79" t="s">
        <v>41</v>
      </c>
      <c r="J161" s="79" t="s">
        <v>115</v>
      </c>
      <c r="K161" s="79" t="s">
        <v>43</v>
      </c>
      <c r="L161" s="53" t="s">
        <v>116</v>
      </c>
    </row>
    <row r="162" spans="1:14" s="49" customFormat="1" x14ac:dyDescent="0.2">
      <c r="A162" s="50">
        <v>1</v>
      </c>
      <c r="B162" s="53" t="s">
        <v>242</v>
      </c>
      <c r="C162" s="53">
        <v>0.47091019421258751</v>
      </c>
      <c r="D162" s="53">
        <v>0.49958679602666789</v>
      </c>
      <c r="E162" s="53">
        <v>0.29709309696279007</v>
      </c>
      <c r="F162" s="50">
        <v>3050596</v>
      </c>
      <c r="G162" s="50">
        <v>1</v>
      </c>
      <c r="H162" s="53" t="s">
        <v>98</v>
      </c>
      <c r="I162" s="53">
        <v>0.32301858370597436</v>
      </c>
      <c r="J162" s="53">
        <v>0.3348802435969262</v>
      </c>
      <c r="K162" s="53">
        <v>0.1423585273926565</v>
      </c>
      <c r="L162" s="50">
        <v>12153634</v>
      </c>
    </row>
    <row r="163" spans="1:14" s="49" customFormat="1" x14ac:dyDescent="0.2">
      <c r="A163" s="50">
        <v>2</v>
      </c>
      <c r="B163" s="53" t="s">
        <v>98</v>
      </c>
      <c r="C163" s="53">
        <v>0.43476546629828167</v>
      </c>
      <c r="D163" s="53">
        <v>0.35391067549457955</v>
      </c>
      <c r="E163" s="53">
        <v>0.25205777286516112</v>
      </c>
      <c r="F163" s="50">
        <v>12153634</v>
      </c>
      <c r="G163" s="50">
        <v>2</v>
      </c>
      <c r="H163" s="53" t="s">
        <v>230</v>
      </c>
      <c r="I163" s="53">
        <v>0.37696644277693492</v>
      </c>
      <c r="J163" s="53">
        <v>0.27667796112105242</v>
      </c>
      <c r="K163" s="53">
        <v>0.1836845387384721</v>
      </c>
      <c r="L163" s="50">
        <v>553960</v>
      </c>
      <c r="N163" s="49" t="s">
        <v>117</v>
      </c>
    </row>
    <row r="164" spans="1:14" s="49" customFormat="1" x14ac:dyDescent="0.2">
      <c r="A164" s="50">
        <v>3</v>
      </c>
      <c r="B164" s="53" t="s">
        <v>93</v>
      </c>
      <c r="C164" s="53">
        <v>1.1158866573271585E-2</v>
      </c>
      <c r="D164" s="53">
        <v>6.0772543650279488E-2</v>
      </c>
      <c r="E164" s="53">
        <v>0.23209405030485089</v>
      </c>
      <c r="F164" s="50">
        <v>1692097</v>
      </c>
      <c r="G164" s="50">
        <v>3</v>
      </c>
      <c r="H164" s="53" t="s">
        <v>242</v>
      </c>
      <c r="I164" s="53">
        <v>0.24304546457111179</v>
      </c>
      <c r="J164" s="53">
        <v>0.18465739748979623</v>
      </c>
      <c r="K164" s="53">
        <v>0.10325320934558468</v>
      </c>
      <c r="L164" s="50">
        <v>3050596</v>
      </c>
      <c r="N164" s="49" t="s">
        <v>118</v>
      </c>
    </row>
    <row r="165" spans="1:14" s="49" customFormat="1" x14ac:dyDescent="0.2">
      <c r="A165" s="50">
        <v>4</v>
      </c>
      <c r="B165" s="53" t="s">
        <v>230</v>
      </c>
      <c r="C165" s="53">
        <v>6.0867478041851664E-2</v>
      </c>
      <c r="D165" s="53">
        <v>4.7227494238759105E-2</v>
      </c>
      <c r="E165" s="53">
        <v>0</v>
      </c>
      <c r="F165" s="50">
        <v>553960</v>
      </c>
      <c r="G165" s="50">
        <v>4</v>
      </c>
      <c r="H165" s="53" t="s">
        <v>93</v>
      </c>
      <c r="I165" s="53">
        <v>3.4041873815004474E-2</v>
      </c>
      <c r="J165" s="53">
        <v>0.14700351563107517</v>
      </c>
      <c r="K165" s="53">
        <v>0.46605508120355577</v>
      </c>
      <c r="L165" s="50">
        <v>1692097</v>
      </c>
    </row>
    <row r="166" spans="1:14" s="49" customFormat="1" x14ac:dyDescent="0.2">
      <c r="A166" s="50">
        <v>5</v>
      </c>
      <c r="B166" s="53" t="s">
        <v>246</v>
      </c>
      <c r="C166" s="53">
        <v>8.9109155869862705E-3</v>
      </c>
      <c r="D166" s="53">
        <v>1.7845239690020158E-2</v>
      </c>
      <c r="E166" s="53">
        <v>7.2383059229275903E-2</v>
      </c>
      <c r="F166" s="50">
        <v>3689192</v>
      </c>
      <c r="G166" s="50">
        <v>5</v>
      </c>
      <c r="H166" s="53" t="s">
        <v>246</v>
      </c>
      <c r="I166" s="53">
        <v>1.27745081574096E-2</v>
      </c>
      <c r="J166" s="53">
        <v>2.7625353406509127E-2</v>
      </c>
      <c r="K166" s="53">
        <v>7.5843144519972525E-2</v>
      </c>
      <c r="L166" s="50">
        <v>3689192</v>
      </c>
    </row>
    <row r="167" spans="1:14" s="49" customFormat="1" x14ac:dyDescent="0.2">
      <c r="A167" s="50">
        <v>6</v>
      </c>
      <c r="B167" s="53" t="s">
        <v>100</v>
      </c>
      <c r="C167" s="53">
        <v>0</v>
      </c>
      <c r="D167" s="53">
        <v>0</v>
      </c>
      <c r="E167" s="53">
        <v>7.5042740661703453E-2</v>
      </c>
      <c r="F167" s="50">
        <v>11115023</v>
      </c>
      <c r="G167" s="50">
        <v>6</v>
      </c>
      <c r="H167" s="53" t="s">
        <v>101</v>
      </c>
      <c r="I167" s="53">
        <v>1.0153126973564963E-2</v>
      </c>
      <c r="J167" s="53">
        <v>2.915552875464078E-2</v>
      </c>
      <c r="K167" s="53">
        <v>2.8805498799758356E-2</v>
      </c>
      <c r="L167" s="50">
        <v>5920853</v>
      </c>
    </row>
    <row r="168" spans="1:14" s="49" customFormat="1" x14ac:dyDescent="0.2">
      <c r="A168" s="50">
        <v>7</v>
      </c>
      <c r="B168" s="53" t="s">
        <v>101</v>
      </c>
      <c r="C168" s="53">
        <v>1.338707928702132E-2</v>
      </c>
      <c r="D168" s="53">
        <v>2.0657250899693835E-2</v>
      </c>
      <c r="E168" s="53">
        <v>7.1329279976218518E-2</v>
      </c>
      <c r="F168" s="50">
        <v>5920853</v>
      </c>
      <c r="G168" s="50">
        <v>7</v>
      </c>
      <c r="H168" s="53"/>
      <c r="I168" s="53">
        <v>0</v>
      </c>
      <c r="J168" s="53">
        <v>0</v>
      </c>
      <c r="K168" s="53">
        <v>0</v>
      </c>
      <c r="L168" s="50"/>
    </row>
    <row r="169" spans="1:14" s="49" customFormat="1" x14ac:dyDescent="0.2">
      <c r="A169" s="50">
        <v>8</v>
      </c>
      <c r="B169" s="53"/>
      <c r="C169" s="53">
        <v>0</v>
      </c>
      <c r="D169" s="53">
        <v>0</v>
      </c>
      <c r="E169" s="53">
        <v>0</v>
      </c>
      <c r="F169" s="50"/>
      <c r="G169" s="50">
        <v>8</v>
      </c>
      <c r="H169" s="53"/>
      <c r="I169" s="53">
        <v>0</v>
      </c>
      <c r="J169" s="53">
        <v>0</v>
      </c>
      <c r="K169" s="53">
        <v>0</v>
      </c>
      <c r="L169" s="50"/>
    </row>
    <row r="170" spans="1:14" s="49" customFormat="1" x14ac:dyDescent="0.2">
      <c r="A170" s="50">
        <v>9</v>
      </c>
      <c r="B170" s="53"/>
      <c r="C170" s="53">
        <v>0</v>
      </c>
      <c r="D170" s="53">
        <v>0</v>
      </c>
      <c r="E170" s="53">
        <v>0</v>
      </c>
      <c r="F170" s="50"/>
      <c r="G170" s="50">
        <v>9</v>
      </c>
      <c r="H170" s="53"/>
      <c r="I170" s="53">
        <v>0</v>
      </c>
      <c r="J170" s="53">
        <v>0</v>
      </c>
      <c r="K170" s="53">
        <v>0</v>
      </c>
      <c r="L170" s="50"/>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'Pots and traps 10-12m'!D3:N3</xm:f>
              <xm:sqref>C3</xm:sqref>
            </x14:sparkline>
            <x14:sparkline>
              <xm:f>'Pots and traps 10-12m'!D4:N4</xm:f>
              <xm:sqref>C4</xm:sqref>
            </x14:sparkline>
            <x14:sparkline>
              <xm:f>'Pots and traps 10-12m'!D5:N5</xm:f>
              <xm:sqref>C5</xm:sqref>
            </x14:sparkline>
            <x14:sparkline>
              <xm:f>'Pots and traps 10-12m'!D6:N6</xm:f>
              <xm:sqref>C6</xm:sqref>
            </x14:sparkline>
            <x14:sparkline>
              <xm:f>'Pots and traps 10-12m'!D7:N7</xm:f>
              <xm:sqref>C7</xm:sqref>
            </x14:sparkline>
            <x14:sparkline>
              <xm:f>'Pots and traps 10-12m'!D8:N8</xm:f>
              <xm:sqref>C8</xm:sqref>
            </x14:sparkline>
            <x14:sparkline>
              <xm:f>'Pots and traps 10-12m'!D9:N9</xm:f>
              <xm:sqref>C9</xm:sqref>
            </x14:sparkline>
            <x14:sparkline>
              <xm:f>'Pots and traps 10-12m'!F10:M10</xm:f>
              <xm:sqref>C10</xm:sqref>
            </x14:sparkline>
            <x14:sparkline>
              <xm:f>'Pots and traps 10-12m'!D11:N11</xm:f>
              <xm:sqref>C11</xm:sqref>
            </x14:sparkline>
            <x14:sparkline>
              <xm:f>'Pots and traps 10-12m'!D12:N12</xm:f>
              <xm:sqref>C12</xm:sqref>
            </x14:sparkline>
            <x14:sparkline>
              <xm:f>'Pots and traps 10-12m'!D13:N13</xm:f>
              <xm:sqref>C13</xm:sqref>
            </x14:sparkline>
            <x14:sparkline>
              <xm:f>'Pots and traps 10-12m'!D14:N14</xm:f>
              <xm:sqref>C14</xm:sqref>
            </x14:sparkline>
            <x14:sparkline>
              <xm:f>'Pots and traps 10-12m'!D15:N15</xm:f>
              <xm:sqref>C15</xm:sqref>
            </x14:sparkline>
            <x14:sparkline>
              <xm:f>'Pots and traps 10-12m'!D16:N16</xm:f>
              <xm:sqref>C16</xm:sqref>
            </x14:sparkline>
            <x14:sparkline>
              <xm:f>'Pots and traps 10-12m'!D17:N17</xm:f>
              <xm:sqref>C17</xm:sqref>
            </x14:sparkline>
            <x14:sparkline>
              <xm:f>'Pots and traps 10-12m'!D18:N18</xm:f>
              <xm:sqref>C18</xm:sqref>
            </x14:sparkline>
            <x14:sparkline>
              <xm:f>'Pots and traps 10-12m'!D19:N19</xm:f>
              <xm:sqref>C19</xm:sqref>
            </x14:sparkline>
            <x14:sparkline>
              <xm:f>'Pots and traps 10-12m'!D20:N20</xm:f>
              <xm:sqref>C20</xm:sqref>
            </x14:sparkline>
            <x14:sparkline>
              <xm:f>'Pots and traps 10-12m'!D21:N21</xm:f>
              <xm:sqref>C21</xm:sqref>
            </x14:sparkline>
            <x14:sparkline>
              <xm:f>'Pots and traps 10-12m'!D22:N22</xm:f>
              <xm:sqref>C22</xm:sqref>
            </x14:sparkline>
            <x14:sparkline>
              <xm:f>'Pots and traps 10-12m'!D23:N23</xm:f>
              <xm:sqref>C23</xm:sqref>
            </x14:sparkline>
            <x14:sparkline>
              <xm:f>'Pots and traps 10-12m'!D24:N24</xm:f>
              <xm:sqref>C24</xm:sqref>
            </x14:sparkline>
            <x14:sparkline>
              <xm:f>'Pots and traps 10-12m'!F25:M25</xm:f>
              <xm:sqref>C25</xm:sqref>
            </x14:sparkline>
            <x14:sparkline>
              <xm:f>'Pots and traps 10-12m'!F26:M26</xm:f>
              <xm:sqref>C26</xm:sqref>
            </x14:sparkline>
            <x14:sparkline>
              <xm:f>'Pots and traps 10-12m'!D27:N27</xm:f>
              <xm:sqref>C27</xm:sqref>
            </x14:sparkline>
            <x14:sparkline>
              <xm:f>'Pots and traps 10-12m'!D28:N28</xm:f>
              <xm:sqref>C28</xm:sqref>
            </x14:sparkline>
            <x14:sparkline>
              <xm:f>'Pots and traps 10-12m'!D29:N29</xm:f>
              <xm:sqref>C29</xm:sqref>
            </x14:sparkline>
            <x14:sparkline>
              <xm:f>'Pots and traps 10-12m'!D30:N30</xm:f>
              <xm:sqref>C30</xm:sqref>
            </x14:sparkline>
            <x14:sparkline>
              <xm:f>'Pots and traps 10-12m'!D31:N31</xm:f>
              <xm:sqref>C31</xm:sqref>
            </x14:sparkline>
            <x14:sparkline>
              <xm:f>'Pots and traps 10-12m'!D32:N32</xm:f>
              <xm:sqref>C32</xm:sqref>
            </x14:sparkline>
            <x14:sparkline>
              <xm:f>'Pots and traps 10-12m'!D33:N33</xm:f>
              <xm:sqref>C33</xm:sqref>
            </x14:sparkline>
            <x14:sparkline>
              <xm:f>'Pots and traps 10-12m'!D34:N34</xm:f>
              <xm:sqref>C34</xm:sqref>
            </x14:sparkline>
            <x14:sparkline>
              <xm:f>'Pots and traps 10-12m'!D35:N35</xm:f>
              <xm:sqref>C35</xm:sqref>
            </x14:sparkline>
            <x14:sparkline>
              <xm:f>'Pots and traps 10-12m'!D36:N36</xm:f>
              <xm:sqref>C36</xm:sqref>
            </x14:sparkline>
            <x14:sparkline>
              <xm:f>'Pots and traps 10-12m'!D37:N37</xm:f>
              <xm:sqref>C37</xm:sqref>
            </x14:sparkline>
            <x14:sparkline>
              <xm:f>'Pots and traps 10-12m'!D38:M38</xm:f>
              <xm:sqref>C38</xm:sqref>
            </x14:sparkline>
            <x14:sparkline>
              <xm:f>'Pots and traps 10-12m'!D39:M39</xm:f>
              <xm:sqref>C39</xm:sqref>
            </x14:sparkline>
            <x14:sparkline>
              <xm:f>'Pots and traps 10-12m'!D40:M40</xm:f>
              <xm:sqref>C40</xm:sqref>
            </x14:sparkline>
            <x14:sparkline>
              <xm:f>'Pots and traps 10-12m'!D41:M41</xm:f>
              <xm:sqref>C41</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392</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88</v>
      </c>
      <c r="E3" s="22">
        <v>81</v>
      </c>
      <c r="F3" s="22">
        <v>79</v>
      </c>
      <c r="G3" s="22">
        <v>81</v>
      </c>
      <c r="H3" s="22">
        <v>81</v>
      </c>
      <c r="I3" s="22">
        <v>87</v>
      </c>
      <c r="J3" s="22">
        <v>92</v>
      </c>
      <c r="K3" s="22">
        <v>95</v>
      </c>
      <c r="L3" s="22">
        <v>93</v>
      </c>
      <c r="M3" s="22">
        <v>92</v>
      </c>
      <c r="N3" s="22">
        <v>98</v>
      </c>
      <c r="O3" s="23">
        <f t="shared" ref="O3:O41" si="0">IF(N3=0,"",IFERROR(IF(AND(N3&gt;0,D3&lt;0),"na",IF(AND(N3&lt;0,D3&lt;0),-1,1)*(N3-D3)/D3),""))</f>
        <v>0.11363636363636363</v>
      </c>
      <c r="P3" s="23">
        <f>IF(N3=0,"",IFERROR(IF(AND(N3&gt;0,J3&lt;0),"na",IF(AND(N3&lt;0,J3&lt;0),-1,1)*(N3-J3)/J3),""))</f>
        <v>6.5217391304347824E-2</v>
      </c>
    </row>
    <row r="4" spans="1:17" ht="18" customHeight="1" x14ac:dyDescent="0.2">
      <c r="A4" s="224"/>
      <c r="B4" s="24" t="s">
        <v>51</v>
      </c>
      <c r="C4" s="25"/>
      <c r="D4" s="26">
        <v>19627</v>
      </c>
      <c r="E4" s="26">
        <v>18230</v>
      </c>
      <c r="F4" s="26">
        <v>17696</v>
      </c>
      <c r="G4" s="26">
        <v>18563</v>
      </c>
      <c r="H4" s="26">
        <v>17609</v>
      </c>
      <c r="I4" s="26">
        <v>18943</v>
      </c>
      <c r="J4" s="26">
        <v>20239</v>
      </c>
      <c r="K4" s="26">
        <v>21371</v>
      </c>
      <c r="L4" s="26">
        <v>21401</v>
      </c>
      <c r="M4" s="26">
        <v>21766</v>
      </c>
      <c r="N4" s="26">
        <v>23251</v>
      </c>
      <c r="O4" s="23">
        <f t="shared" si="0"/>
        <v>0.18464360319967391</v>
      </c>
      <c r="P4" s="23">
        <f t="shared" ref="P4:P41" si="1">IF(N4=0,"",IFERROR(IF(AND(N4&gt;0,J4&lt;0),"na",IF(AND(N4&lt;0,J4&lt;0),-1,1)*(N4-J4)/J4),""))</f>
        <v>0.14882158209397697</v>
      </c>
    </row>
    <row r="5" spans="1:17" ht="18" customHeight="1" x14ac:dyDescent="0.2">
      <c r="A5" s="224"/>
      <c r="B5" s="24" t="s">
        <v>52</v>
      </c>
      <c r="C5" s="25"/>
      <c r="D5" s="26">
        <v>5633</v>
      </c>
      <c r="E5" s="26">
        <v>4683</v>
      </c>
      <c r="F5" s="26">
        <v>4576</v>
      </c>
      <c r="G5" s="26">
        <v>4566</v>
      </c>
      <c r="H5" s="26">
        <v>4179</v>
      </c>
      <c r="I5" s="26">
        <v>4631</v>
      </c>
      <c r="J5" s="26">
        <v>4790</v>
      </c>
      <c r="K5" s="26">
        <v>5042</v>
      </c>
      <c r="L5" s="26">
        <v>4957</v>
      </c>
      <c r="M5" s="26">
        <v>5188</v>
      </c>
      <c r="N5" s="26">
        <v>5442</v>
      </c>
      <c r="O5" s="23">
        <f t="shared" si="0"/>
        <v>-3.3907331794780754E-2</v>
      </c>
      <c r="P5" s="23">
        <f t="shared" si="1"/>
        <v>0.13611691022964509</v>
      </c>
      <c r="Q5" s="27"/>
    </row>
    <row r="6" spans="1:17" ht="18" customHeight="1" x14ac:dyDescent="0.2">
      <c r="A6" s="224"/>
      <c r="B6" s="24" t="s">
        <v>53</v>
      </c>
      <c r="C6" s="25"/>
      <c r="D6" s="26">
        <v>16789.203125</v>
      </c>
      <c r="E6" s="26">
        <v>15162.5703125</v>
      </c>
      <c r="F6" s="26">
        <v>14778.23828125</v>
      </c>
      <c r="G6" s="26">
        <v>15281.8056640625</v>
      </c>
      <c r="H6" s="26">
        <v>14589.451171875</v>
      </c>
      <c r="I6" s="26">
        <v>15802.69921875</v>
      </c>
      <c r="J6" s="26">
        <v>16786.62890625</v>
      </c>
      <c r="K6" s="26">
        <v>17550.763671875</v>
      </c>
      <c r="L6" s="26">
        <v>17358.931640625</v>
      </c>
      <c r="M6" s="26">
        <v>17627.291015625</v>
      </c>
      <c r="N6" s="26">
        <v>18808.705078125</v>
      </c>
      <c r="O6" s="23">
        <f t="shared" si="0"/>
        <v>0.12028575377218804</v>
      </c>
      <c r="P6" s="23">
        <f t="shared" si="1"/>
        <v>0.12045754887225393</v>
      </c>
    </row>
    <row r="7" spans="1:17" ht="18" customHeight="1" x14ac:dyDescent="0.2">
      <c r="A7" s="224"/>
      <c r="B7" s="24" t="s">
        <v>54</v>
      </c>
      <c r="C7" s="25"/>
      <c r="D7" s="26">
        <v>15632.61328125</v>
      </c>
      <c r="E7" s="26">
        <v>15908.4345703125</v>
      </c>
      <c r="F7" s="26">
        <v>17099.9765625</v>
      </c>
      <c r="G7" s="26">
        <v>17794.8828125</v>
      </c>
      <c r="H7" s="26">
        <v>17750.9765625</v>
      </c>
      <c r="I7" s="26">
        <v>19441.435546875</v>
      </c>
      <c r="J7" s="26">
        <v>23666.986328125</v>
      </c>
      <c r="K7" s="26">
        <v>23128.52734375</v>
      </c>
      <c r="L7" s="26">
        <v>24885.1796875</v>
      </c>
      <c r="M7" s="26">
        <v>24725.28515625</v>
      </c>
      <c r="N7" s="26">
        <v>26319.576171875</v>
      </c>
      <c r="O7" s="23">
        <f t="shared" si="0"/>
        <v>0.68363252505216832</v>
      </c>
      <c r="P7" s="23">
        <f t="shared" si="1"/>
        <v>0.11207974716230588</v>
      </c>
    </row>
    <row r="8" spans="1:17" ht="18" customHeight="1" x14ac:dyDescent="0.2">
      <c r="A8" s="224"/>
      <c r="B8" s="24" t="s">
        <v>55</v>
      </c>
      <c r="C8" s="27"/>
      <c r="D8" s="28">
        <f ca="1">24.864858*OFFSET(D$112,MATCH($N$1,$C$112:$C$113,0)-1,0)</f>
        <v>24.864858000000002</v>
      </c>
      <c r="E8" s="28">
        <f ca="1">23.81607*OFFSET(E$112,MATCH($N$1,$C$112:$C$113,0)-1,0)</f>
        <v>23.81607</v>
      </c>
      <c r="F8" s="28">
        <f ca="1">27.485544*OFFSET(F$112,MATCH($N$1,$C$112:$C$113,0)-1,0)</f>
        <v>27.485544000000001</v>
      </c>
      <c r="G8" s="28">
        <f ca="1">28.390034*OFFSET(G$112,MATCH($N$1,$C$112:$C$113,0)-1,0)</f>
        <v>28.390034</v>
      </c>
      <c r="H8" s="28">
        <f ca="1">27.901244*OFFSET(H$112,MATCH($N$1,$C$112:$C$113,0)-1,0)</f>
        <v>27.901243999999998</v>
      </c>
      <c r="I8" s="28">
        <f ca="1">32.761282*OFFSET(I$112,MATCH($N$1,$C$112:$C$113,0)-1,0)</f>
        <v>32.761282000000001</v>
      </c>
      <c r="J8" s="28">
        <f ca="1">38.794444*OFFSET(J$112,MATCH($N$1,$C$112:$C$113,0)-1,0)</f>
        <v>38.794443999999999</v>
      </c>
      <c r="K8" s="28">
        <f ca="1">37.519292*OFFSET(K$112,MATCH($N$1,$C$112:$C$113,0)-1,0)</f>
        <v>37.519292</v>
      </c>
      <c r="L8" s="28">
        <f ca="1">42.295896*OFFSET(L$112,MATCH($N$1,$C$112:$C$113,0)-1,0)</f>
        <v>42.295895999999999</v>
      </c>
      <c r="M8" s="28">
        <f ca="1">46.008632*OFFSET(M$112,MATCH($N$1,$C$112:$C$113,0)-1,0)</f>
        <v>46.008631999999999</v>
      </c>
      <c r="N8" s="28">
        <v>53.474243999999999</v>
      </c>
      <c r="O8" s="23">
        <f t="shared" ca="1" si="0"/>
        <v>1.1505951894034543</v>
      </c>
      <c r="P8" s="23">
        <f t="shared" ca="1" si="1"/>
        <v>0.37839954607933035</v>
      </c>
    </row>
    <row r="9" spans="1:17" ht="18" customHeight="1" x14ac:dyDescent="0.2">
      <c r="A9" s="224"/>
      <c r="B9" s="24" t="s">
        <v>56</v>
      </c>
      <c r="C9" s="27"/>
      <c r="D9" s="26">
        <v>14730</v>
      </c>
      <c r="E9" s="26">
        <v>14557</v>
      </c>
      <c r="F9" s="26">
        <v>15186</v>
      </c>
      <c r="G9" s="26">
        <v>14280</v>
      </c>
      <c r="H9" s="26">
        <v>14122</v>
      </c>
      <c r="I9" s="26">
        <v>14763</v>
      </c>
      <c r="J9" s="26">
        <v>16168</v>
      </c>
      <c r="K9" s="26">
        <v>16257</v>
      </c>
      <c r="L9" s="26">
        <v>17062</v>
      </c>
      <c r="M9" s="26">
        <v>17720</v>
      </c>
      <c r="N9" s="26">
        <v>18559</v>
      </c>
      <c r="O9" s="23">
        <f t="shared" si="0"/>
        <v>0.25994568906992532</v>
      </c>
      <c r="P9" s="23">
        <f t="shared" si="1"/>
        <v>0.14788471053933697</v>
      </c>
    </row>
    <row r="10" spans="1:17" ht="18" customHeight="1" x14ac:dyDescent="0.2">
      <c r="A10" s="224"/>
      <c r="B10" s="24" t="s">
        <v>57</v>
      </c>
      <c r="C10" s="27"/>
      <c r="D10" s="26"/>
      <c r="E10" s="26">
        <v>520.04339599609375</v>
      </c>
      <c r="F10" s="26">
        <v>525.79302978515625</v>
      </c>
      <c r="G10" s="26">
        <v>539.3311767578125</v>
      </c>
      <c r="H10" s="26">
        <v>580.28717041015625</v>
      </c>
      <c r="I10" s="26">
        <v>440.47784423828125</v>
      </c>
      <c r="J10" s="26">
        <v>523.35101318359375</v>
      </c>
      <c r="K10" s="26">
        <v>558.8695068359375</v>
      </c>
      <c r="L10" s="26">
        <v>518.06103515625</v>
      </c>
      <c r="M10" s="26">
        <v>682.91131591796875</v>
      </c>
      <c r="N10" s="26">
        <v>622.83990478515625</v>
      </c>
      <c r="O10" s="29" t="str">
        <f t="shared" si="0"/>
        <v/>
      </c>
      <c r="P10" s="29">
        <f t="shared" si="1"/>
        <v>0.19009974012730416</v>
      </c>
    </row>
    <row r="11" spans="1:17" ht="18" customHeight="1" x14ac:dyDescent="0.2">
      <c r="A11" s="225" t="s">
        <v>23</v>
      </c>
      <c r="B11" s="30" t="s">
        <v>58</v>
      </c>
      <c r="C11" s="31"/>
      <c r="D11" s="32">
        <v>15.922614097595215</v>
      </c>
      <c r="E11" s="32">
        <v>15.464815139770508</v>
      </c>
      <c r="F11" s="32">
        <v>15.488986968994141</v>
      </c>
      <c r="G11" s="32">
        <v>15.453826904296875</v>
      </c>
      <c r="H11" s="32">
        <v>15.095185279846191</v>
      </c>
      <c r="I11" s="32">
        <v>15.244712829589844</v>
      </c>
      <c r="J11" s="32">
        <v>15.276847839355469</v>
      </c>
      <c r="K11" s="32">
        <v>15.340736389160156</v>
      </c>
      <c r="L11" s="32">
        <v>15.267742156982422</v>
      </c>
      <c r="M11" s="32">
        <v>15.458260536193848</v>
      </c>
      <c r="N11" s="32">
        <v>15.427347183227539</v>
      </c>
      <c r="O11" s="23">
        <f t="shared" si="0"/>
        <v>-3.1104623357195833E-2</v>
      </c>
      <c r="P11" s="23">
        <f t="shared" si="1"/>
        <v>9.8514657902372543E-3</v>
      </c>
    </row>
    <row r="12" spans="1:17" ht="18" customHeight="1" x14ac:dyDescent="0.2">
      <c r="A12" s="226"/>
      <c r="B12" s="33" t="s">
        <v>51</v>
      </c>
      <c r="C12" s="25"/>
      <c r="D12" s="26">
        <v>223.03408813476562</v>
      </c>
      <c r="E12" s="26">
        <v>225.06172180175781</v>
      </c>
      <c r="F12" s="26">
        <v>224</v>
      </c>
      <c r="G12" s="26">
        <v>229.17283630371094</v>
      </c>
      <c r="H12" s="26">
        <v>217.39506530761719</v>
      </c>
      <c r="I12" s="26">
        <v>217.73562622070312</v>
      </c>
      <c r="J12" s="26">
        <v>219.9891357421875</v>
      </c>
      <c r="K12" s="26">
        <v>224.95790100097656</v>
      </c>
      <c r="L12" s="26">
        <v>230.1182861328125</v>
      </c>
      <c r="M12" s="26">
        <v>236.58695983886719</v>
      </c>
      <c r="N12" s="26">
        <v>237.25509643554688</v>
      </c>
      <c r="O12" s="23">
        <f t="shared" si="0"/>
        <v>6.3761590973431731E-2</v>
      </c>
      <c r="P12" s="23">
        <f t="shared" si="1"/>
        <v>7.8485515364694738E-2</v>
      </c>
    </row>
    <row r="13" spans="1:17" ht="18" customHeight="1" x14ac:dyDescent="0.2">
      <c r="A13" s="226"/>
      <c r="B13" s="33" t="s">
        <v>52</v>
      </c>
      <c r="C13" s="25"/>
      <c r="D13" s="26">
        <v>64.011360168457031</v>
      </c>
      <c r="E13" s="26">
        <v>57.814815521240234</v>
      </c>
      <c r="F13" s="26">
        <v>57.924049377441406</v>
      </c>
      <c r="G13" s="26">
        <v>56.370368957519531</v>
      </c>
      <c r="H13" s="26">
        <v>51.592594146728516</v>
      </c>
      <c r="I13" s="26">
        <v>53.229885101318359</v>
      </c>
      <c r="J13" s="26">
        <v>52.065216064453125</v>
      </c>
      <c r="K13" s="26">
        <v>53.073684692382813</v>
      </c>
      <c r="L13" s="26">
        <v>53.301074981689453</v>
      </c>
      <c r="M13" s="26">
        <v>56.391304016113281</v>
      </c>
      <c r="N13" s="26">
        <v>55.530612945556641</v>
      </c>
      <c r="O13" s="23">
        <f t="shared" si="0"/>
        <v>-0.13248815836098199</v>
      </c>
      <c r="P13" s="23">
        <f t="shared" si="1"/>
        <v>6.6558772690265888E-2</v>
      </c>
    </row>
    <row r="14" spans="1:17" ht="18" customHeight="1" x14ac:dyDescent="0.2">
      <c r="A14" s="226"/>
      <c r="B14" s="33" t="s">
        <v>53</v>
      </c>
      <c r="C14" s="25"/>
      <c r="D14" s="26">
        <v>190.78639221191406</v>
      </c>
      <c r="E14" s="26">
        <v>187.19223022460937</v>
      </c>
      <c r="F14" s="26">
        <v>187.06629943847656</v>
      </c>
      <c r="G14" s="26">
        <v>188.66426086425781</v>
      </c>
      <c r="H14" s="26">
        <v>180.11668395996094</v>
      </c>
      <c r="I14" s="26">
        <v>181.64021301269531</v>
      </c>
      <c r="J14" s="26">
        <v>182.46336364746094</v>
      </c>
      <c r="K14" s="26">
        <v>184.744873046875</v>
      </c>
      <c r="L14" s="26">
        <v>186.65518188476562</v>
      </c>
      <c r="M14" s="26">
        <v>191.60099792480469</v>
      </c>
      <c r="N14" s="26">
        <v>191.92556762695312</v>
      </c>
      <c r="O14" s="23">
        <f t="shared" si="0"/>
        <v>5.9709468889884709E-3</v>
      </c>
      <c r="P14" s="23">
        <f t="shared" si="1"/>
        <v>5.1858103404112371E-2</v>
      </c>
    </row>
    <row r="15" spans="1:17" ht="18" customHeight="1" x14ac:dyDescent="0.2">
      <c r="A15" s="226"/>
      <c r="B15" s="33" t="s">
        <v>54</v>
      </c>
      <c r="C15" s="27"/>
      <c r="D15" s="28">
        <v>177.64334106445312</v>
      </c>
      <c r="E15" s="28">
        <v>196.40042114257812</v>
      </c>
      <c r="F15" s="28">
        <v>216.45541381835937</v>
      </c>
      <c r="G15" s="28">
        <v>219.68991088867187</v>
      </c>
      <c r="H15" s="28">
        <v>219.14784240722656</v>
      </c>
      <c r="I15" s="28">
        <v>223.46476745605469</v>
      </c>
      <c r="J15" s="28">
        <v>257.24984741210937</v>
      </c>
      <c r="K15" s="28">
        <v>243.45817565917969</v>
      </c>
      <c r="L15" s="28">
        <v>267.58258056640625</v>
      </c>
      <c r="M15" s="28">
        <v>268.75308227539062</v>
      </c>
      <c r="N15" s="28">
        <v>268.56710815429687</v>
      </c>
      <c r="O15" s="23">
        <f t="shared" si="0"/>
        <v>0.5118332415108906</v>
      </c>
      <c r="P15" s="23">
        <f t="shared" si="1"/>
        <v>4.3993265131300398E-2</v>
      </c>
    </row>
    <row r="16" spans="1:17" ht="18" customHeight="1" x14ac:dyDescent="0.2">
      <c r="A16" s="226"/>
      <c r="B16" s="33" t="s">
        <v>59</v>
      </c>
      <c r="C16" s="27"/>
      <c r="D16" s="28">
        <f ca="1">282.55521875*OFFSET(D$112,MATCH($N$1,$C$112:$C$113,0)-1,0)</f>
        <v>282.55521874999999</v>
      </c>
      <c r="E16" s="28">
        <f ca="1">294.0255625*OFFSET(E$112,MATCH($N$1,$C$112:$C$113,0)-1,0)</f>
        <v>294.02556249999998</v>
      </c>
      <c r="F16" s="28">
        <f ca="1">347.91828125*OFFSET(F$112,MATCH($N$1,$C$112:$C$113,0)-1,0)</f>
        <v>347.91828125000001</v>
      </c>
      <c r="G16" s="28">
        <f ca="1">350.49425*OFFSET(G$112,MATCH($N$1,$C$112:$C$113,0)-1,0)</f>
        <v>350.49425000000002</v>
      </c>
      <c r="H16" s="28">
        <f ca="1">344.4598125*OFFSET(H$112,MATCH($N$1,$C$112:$C$113,0)-1,0)</f>
        <v>344.4598125</v>
      </c>
      <c r="I16" s="28">
        <f ca="1">376.56646875*OFFSET(I$112,MATCH($N$1,$C$112:$C$113,0)-1,0)</f>
        <v>376.56646875000001</v>
      </c>
      <c r="J16" s="28">
        <f ca="1">421.67871875*OFFSET(J$112,MATCH($N$1,$C$112:$C$113,0)-1,0)</f>
        <v>421.67871874999997</v>
      </c>
      <c r="K16" s="28">
        <f ca="1">394.93990625*OFFSET(K$112,MATCH($N$1,$C$112:$C$113,0)-1,0)</f>
        <v>394.93990624999998</v>
      </c>
      <c r="L16" s="28">
        <f ca="1">454.79459375*OFFSET(L$112,MATCH($N$1,$C$112:$C$113,0)-1,0)</f>
        <v>454.79459374999999</v>
      </c>
      <c r="M16" s="28">
        <f ca="1">500.09384375*OFFSET(M$112,MATCH($N$1,$C$112:$C$113,0)-1,0)</f>
        <v>500.09384375000002</v>
      </c>
      <c r="N16" s="28">
        <v>545.65556249999997</v>
      </c>
      <c r="O16" s="23">
        <f t="shared" ca="1" si="0"/>
        <v>0.93114664423447313</v>
      </c>
      <c r="P16" s="23">
        <f t="shared" ca="1" si="1"/>
        <v>0.29400782690079735</v>
      </c>
    </row>
    <row r="17" spans="1:16" ht="18" customHeight="1" x14ac:dyDescent="0.2">
      <c r="A17" s="226"/>
      <c r="B17" s="33" t="s">
        <v>56</v>
      </c>
      <c r="C17" s="25"/>
      <c r="D17" s="26">
        <v>167.38636779785156</v>
      </c>
      <c r="E17" s="26">
        <v>179.71604919433594</v>
      </c>
      <c r="F17" s="26">
        <v>192.22784423828125</v>
      </c>
      <c r="G17" s="26">
        <v>176.29629516601562</v>
      </c>
      <c r="H17" s="26">
        <v>174.34567260742187</v>
      </c>
      <c r="I17" s="26">
        <v>169.68965148925781</v>
      </c>
      <c r="J17" s="26">
        <v>175.7391357421875</v>
      </c>
      <c r="K17" s="26">
        <v>171.12631225585937</v>
      </c>
      <c r="L17" s="26">
        <v>183.46237182617188</v>
      </c>
      <c r="M17" s="26">
        <v>192.60868835449219</v>
      </c>
      <c r="N17" s="26">
        <v>189.37754821777344</v>
      </c>
      <c r="O17" s="23">
        <f t="shared" si="0"/>
        <v>0.13137975755875225</v>
      </c>
      <c r="P17" s="23">
        <f t="shared" si="1"/>
        <v>7.7606006300120517E-2</v>
      </c>
    </row>
    <row r="18" spans="1:16" ht="18" customHeight="1" x14ac:dyDescent="0.2">
      <c r="A18" s="226"/>
      <c r="B18" s="33" t="s">
        <v>60</v>
      </c>
      <c r="C18" s="25"/>
      <c r="D18" s="26">
        <v>25.704545974731445</v>
      </c>
      <c r="E18" s="26">
        <v>25.419754028320313</v>
      </c>
      <c r="F18" s="26">
        <v>26.873416900634766</v>
      </c>
      <c r="G18" s="26">
        <v>26.580245971679687</v>
      </c>
      <c r="H18" s="26">
        <v>27.370370864868164</v>
      </c>
      <c r="I18" s="26">
        <v>28.494253158569336</v>
      </c>
      <c r="J18" s="26">
        <v>29.663043975830078</v>
      </c>
      <c r="K18" s="26">
        <v>29.242105484008789</v>
      </c>
      <c r="L18" s="26">
        <v>28.677419662475586</v>
      </c>
      <c r="M18" s="26">
        <v>29.206521987915039</v>
      </c>
      <c r="N18" s="26">
        <v>29.285715103149414</v>
      </c>
      <c r="O18" s="23">
        <f t="shared" si="0"/>
        <v>0.13932045840990132</v>
      </c>
      <c r="P18" s="23">
        <f t="shared" si="1"/>
        <v>-1.2720504105651384E-2</v>
      </c>
    </row>
    <row r="19" spans="1:16" ht="18" customHeight="1" x14ac:dyDescent="0.2">
      <c r="A19" s="226"/>
      <c r="B19" s="33" t="s">
        <v>61</v>
      </c>
      <c r="C19" s="25"/>
      <c r="D19" s="34">
        <v>1.0612772703170776</v>
      </c>
      <c r="E19" s="34">
        <v>1.0928374528884888</v>
      </c>
      <c r="F19" s="34">
        <v>1.1260356903076172</v>
      </c>
      <c r="G19" s="34">
        <v>1.2461402416229248</v>
      </c>
      <c r="H19" s="34">
        <v>1.2569732666015625</v>
      </c>
      <c r="I19" s="34">
        <v>1.316902756690979</v>
      </c>
      <c r="J19" s="34">
        <v>1.4638165235519409</v>
      </c>
      <c r="K19" s="34">
        <v>1.4226810932159424</v>
      </c>
      <c r="L19" s="34">
        <v>1.4585148096084595</v>
      </c>
      <c r="M19" s="34">
        <v>1.3953320980072021</v>
      </c>
      <c r="N19" s="34">
        <v>1.4181571006774902</v>
      </c>
      <c r="O19" s="23">
        <f t="shared" si="0"/>
        <v>0.33627388463128743</v>
      </c>
      <c r="P19" s="23">
        <f t="shared" si="1"/>
        <v>-3.1192039534885425E-2</v>
      </c>
    </row>
    <row r="20" spans="1:16" ht="18" customHeight="1" x14ac:dyDescent="0.2">
      <c r="A20" s="227"/>
      <c r="B20" s="35" t="s">
        <v>24</v>
      </c>
      <c r="C20" s="36"/>
      <c r="D20" s="37">
        <f ca="1">1591*OFFSET(D$112,MATCH($N$1,$C$112:$C$113,0)-1,0)</f>
        <v>1591</v>
      </c>
      <c r="E20" s="37">
        <f ca="1">1497*OFFSET(E$112,MATCH($N$1,$C$112:$C$113,0)-1,0)</f>
        <v>1497</v>
      </c>
      <c r="F20" s="37">
        <f ca="1">1607*OFFSET(F$112,MATCH($N$1,$C$112:$C$113,0)-1,0)</f>
        <v>1607</v>
      </c>
      <c r="G20" s="37">
        <f ca="1">1595*OFFSET(G$112,MATCH($N$1,$C$112:$C$113,0)-1,0)</f>
        <v>1595</v>
      </c>
      <c r="H20" s="37">
        <f ca="1">1572*OFFSET(H$112,MATCH($N$1,$C$112:$C$113,0)-1,0)</f>
        <v>1572</v>
      </c>
      <c r="I20" s="37">
        <f ca="1">1685*OFFSET(I$112,MATCH($N$1,$C$112:$C$113,0)-1,0)</f>
        <v>1685</v>
      </c>
      <c r="J20" s="37">
        <f ca="1">1639*OFFSET(J$112,MATCH($N$1,$C$112:$C$113,0)-1,0)</f>
        <v>1639</v>
      </c>
      <c r="K20" s="37">
        <f ca="1">1622*OFFSET(K$112,MATCH($N$1,$C$112:$C$113,0)-1,0)</f>
        <v>1622</v>
      </c>
      <c r="L20" s="37">
        <f ca="1">1700*OFFSET(L$112,MATCH($N$1,$C$112:$C$113,0)-1,0)</f>
        <v>1700</v>
      </c>
      <c r="M20" s="37">
        <f ca="1">1861*OFFSET(M$112,MATCH($N$1,$C$112:$C$113,0)-1,0)</f>
        <v>1861</v>
      </c>
      <c r="N20" s="37">
        <v>2032</v>
      </c>
      <c r="O20" s="29">
        <f t="shared" ca="1" si="0"/>
        <v>0.27718416090509113</v>
      </c>
      <c r="P20" s="29">
        <f t="shared" ca="1" si="1"/>
        <v>0.2397803538743136</v>
      </c>
    </row>
    <row r="21" spans="1:16" ht="18" customHeight="1" x14ac:dyDescent="0.2">
      <c r="A21" s="228" t="s">
        <v>25</v>
      </c>
      <c r="B21" s="30" t="s">
        <v>62</v>
      </c>
      <c r="C21" s="38"/>
      <c r="D21" s="39">
        <v>4.5653066805489653</v>
      </c>
      <c r="E21" s="39">
        <v>4.5880218972763602</v>
      </c>
      <c r="F21" s="39">
        <v>4.7810480487573388</v>
      </c>
      <c r="G21" s="39">
        <v>5.1770079291394691</v>
      </c>
      <c r="H21" s="39">
        <v>5.4239942308633093</v>
      </c>
      <c r="I21" s="39">
        <v>5.6335442997851732</v>
      </c>
      <c r="J21" s="39">
        <v>6.2562412767295923</v>
      </c>
      <c r="K21" s="39">
        <v>5.9663764050953816</v>
      </c>
      <c r="L21" s="39">
        <v>5.9448176177681304</v>
      </c>
      <c r="M21" s="39">
        <v>5.6329504386691713</v>
      </c>
      <c r="N21" s="39">
        <v>5.7388462178453752</v>
      </c>
      <c r="O21" s="23">
        <f t="shared" si="0"/>
        <v>0.25705601384818577</v>
      </c>
      <c r="P21" s="23">
        <f t="shared" si="1"/>
        <v>-8.2700624224435582E-2</v>
      </c>
    </row>
    <row r="22" spans="1:16" ht="18" customHeight="1" x14ac:dyDescent="0.2">
      <c r="A22" s="228"/>
      <c r="B22" s="33" t="s">
        <v>63</v>
      </c>
      <c r="C22" s="25"/>
      <c r="D22" s="34">
        <f ca="1">7.26146682478419*OFFSET(D$112,MATCH($N$1,$C$112:$C$113,0)-1,0)</f>
        <v>7.2614668247841898</v>
      </c>
      <c r="E22" s="34">
        <f ca="1">6.86859891267589*OFFSET(E$112,MATCH($N$1,$C$112:$C$113,0)-1,0)</f>
        <v>6.86859891267589</v>
      </c>
      <c r="F22" s="34">
        <f ca="1">7.68478824508954*OFFSET(F$112,MATCH($N$1,$C$112:$C$113,0)-1,0)</f>
        <v>7.6847882450895399</v>
      </c>
      <c r="G22" s="34">
        <f ca="1">8.2594212179698*OFFSET(G$112,MATCH($N$1,$C$112:$C$113,0)-1,0)</f>
        <v>8.2594212179698001</v>
      </c>
      <c r="H22" s="34">
        <f ca="1">8.52551416998412*OFFSET(H$112,MATCH($N$1,$C$112:$C$113,0)-1,0)</f>
        <v>8.5255141699841204</v>
      </c>
      <c r="I22" s="34">
        <f ca="1">9.49323648495944*OFFSET(I$112,MATCH($N$1,$C$112:$C$113,0)-1,0)</f>
        <v>9.4932364849594393</v>
      </c>
      <c r="J22" s="34">
        <f ca="1">10.2551034813093*OFFSET(J$112,MATCH($N$1,$C$112:$C$113,0)-1,0)</f>
        <v>10.2551034813093</v>
      </c>
      <c r="K22" s="34">
        <f ca="1">9.67870613381775*OFFSET(K$112,MATCH($N$1,$C$112:$C$113,0)-1,0)</f>
        <v>9.6787061338177498</v>
      </c>
      <c r="L22" s="34">
        <f ca="1">10.1040617355124*OFFSET(L$112,MATCH($N$1,$C$112:$C$113,0)-1,0)</f>
        <v>10.104061735512399</v>
      </c>
      <c r="M22" s="34">
        <f ca="1">10.4817545260401*OFFSET(M$112,MATCH($N$1,$C$112:$C$113,0)-1,0)</f>
        <v>10.481754526040101</v>
      </c>
      <c r="N22" s="34">
        <v>11.659779868874889</v>
      </c>
      <c r="O22" s="23">
        <f t="shared" ca="1" si="0"/>
        <v>0.60570586497465906</v>
      </c>
      <c r="P22" s="23">
        <f t="shared" ca="1" si="1"/>
        <v>0.1369733996468897</v>
      </c>
    </row>
    <row r="23" spans="1:16" ht="18" customHeight="1" x14ac:dyDescent="0.2">
      <c r="A23" s="228"/>
      <c r="B23" s="33" t="s">
        <v>11</v>
      </c>
      <c r="C23" s="25"/>
      <c r="D23" s="34">
        <f ca="1">6.06448934167369*OFFSET(D$112,MATCH($N$1,$C$112:$C$113,0)-1,0)</f>
        <v>6.0644893416736902</v>
      </c>
      <c r="E23" s="34">
        <f ca="1">6.03837362754486*OFFSET(E$112,MATCH($N$1,$C$112:$C$113,0)-1,0)</f>
        <v>6.0383736275448596</v>
      </c>
      <c r="F23" s="34">
        <f ca="1">6.77464658802162*OFFSET(F$112,MATCH($N$1,$C$112:$C$113,0)-1,0)</f>
        <v>6.7746465880216196</v>
      </c>
      <c r="G23" s="34">
        <f ca="1">7.98321923145289*OFFSET(G$112,MATCH($N$1,$C$112:$C$113,0)-1,0)</f>
        <v>7.9832192314528898</v>
      </c>
      <c r="H23" s="34">
        <f ca="1">7.86566920022987*OFFSET(H$112,MATCH($N$1,$C$112:$C$113,0)-1,0)</f>
        <v>7.8656692002298696</v>
      </c>
      <c r="I23" s="34">
        <f ca="1">8.34804117894119*OFFSET(I$112,MATCH($N$1,$C$112:$C$113,0)-1,0)</f>
        <v>8.3480411789411892</v>
      </c>
      <c r="J23" s="34">
        <f ca="1">8.62747821153624*OFFSET(J$112,MATCH($N$1,$C$112:$C$113,0)-1,0)</f>
        <v>8.6274782115362392</v>
      </c>
      <c r="K23" s="34">
        <f ca="1">7.93537738720945*OFFSET(K$112,MATCH($N$1,$C$112:$C$113,0)-1,0)</f>
        <v>7.9353773872094502</v>
      </c>
      <c r="L23" s="34">
        <f ca="1">7.94357852361481*OFFSET(L$112,MATCH($N$1,$C$112:$C$113,0)-1,0)</f>
        <v>7.9435785236148098</v>
      </c>
      <c r="M23" s="34">
        <f ca="1">8.82026951393763*OFFSET(M$112,MATCH($N$1,$C$112:$C$113,0)-1,0)</f>
        <v>8.8202695139376299</v>
      </c>
      <c r="N23" s="34">
        <v>9.8563441659375535</v>
      </c>
      <c r="O23" s="23">
        <f t="shared" ca="1" si="0"/>
        <v>0.62525541898592563</v>
      </c>
      <c r="P23" s="23">
        <f t="shared" ca="1" si="1"/>
        <v>0.14243628604684683</v>
      </c>
    </row>
    <row r="24" spans="1:16" ht="18" customHeight="1" x14ac:dyDescent="0.2">
      <c r="A24" s="228"/>
      <c r="B24" s="33" t="s">
        <v>12</v>
      </c>
      <c r="C24" s="25"/>
      <c r="D24" s="34">
        <f ca="1">1.24004034787595*OFFSET(D$112,MATCH($N$1,$C$112:$C$113,0)-1,0)</f>
        <v>1.2400403478759501</v>
      </c>
      <c r="E24" s="34">
        <f ca="1">1.54513577681038*OFFSET(E$112,MATCH($N$1,$C$112:$C$113,0)-1,0)</f>
        <v>1.5451357768103799</v>
      </c>
      <c r="F24" s="34">
        <f ca="1">0.969210659142972*OFFSET(F$112,MATCH($N$1,$C$112:$C$113,0)-1,0)</f>
        <v>0.969210659142972</v>
      </c>
      <c r="G24" s="34">
        <f ca="1">0.761144827876961*OFFSET(G$112,MATCH($N$1,$C$112:$C$113,0)-1,0)</f>
        <v>0.76114482787696103</v>
      </c>
      <c r="H24" s="34">
        <f ca="1">1.86601744593007*OFFSET(H$112,MATCH($N$1,$C$112:$C$113,0)-1,0)</f>
        <v>1.86601744593007</v>
      </c>
      <c r="I24" s="34">
        <f ca="1">1.72925496112393*OFFSET(I$112,MATCH($N$1,$C$112:$C$113,0)-1,0)</f>
        <v>1.7292549611239301</v>
      </c>
      <c r="J24" s="34">
        <f ca="1">2.14655873276079*OFFSET(J$112,MATCH($N$1,$C$112:$C$113,0)-1,0)</f>
        <v>2.14655873276079</v>
      </c>
      <c r="K24" s="34">
        <f ca="1">2.25923369590607*OFFSET(K$112,MATCH($N$1,$C$112:$C$113,0)-1,0)</f>
        <v>2.2592336959060701</v>
      </c>
      <c r="L24" s="34">
        <f ca="1">2.37849910694705*OFFSET(L$112,MATCH($N$1,$C$112:$C$113,0)-1,0)</f>
        <v>2.37849910694705</v>
      </c>
      <c r="M24" s="34">
        <f ca="1">3.03962702435928*OFFSET(M$112,MATCH($N$1,$C$112:$C$113,0)-1,0)</f>
        <v>3.0396270243592798</v>
      </c>
      <c r="N24" s="34">
        <v>3.3364644699629742</v>
      </c>
      <c r="O24" s="23">
        <f t="shared" ca="1" si="0"/>
        <v>1.6906096045003398</v>
      </c>
      <c r="P24" s="23">
        <f t="shared" ca="1" si="1"/>
        <v>0.55433178652036719</v>
      </c>
    </row>
    <row r="25" spans="1:16" ht="18" customHeight="1" x14ac:dyDescent="0.2">
      <c r="A25" s="228"/>
      <c r="B25" s="33" t="s">
        <v>64</v>
      </c>
      <c r="C25" s="25"/>
      <c r="D25" s="28"/>
      <c r="E25" s="28">
        <f ca="1">45.79*OFFSET(E$112,MATCH($N$1,$C$112:$C$113,0)-1,0)</f>
        <v>45.79</v>
      </c>
      <c r="F25" s="28">
        <f ca="1">52.27*OFFSET(F$112,MATCH($N$1,$C$112:$C$113,0)-1,0)</f>
        <v>52.27</v>
      </c>
      <c r="G25" s="28">
        <f ca="1">52.64*OFFSET(G$112,MATCH($N$1,$C$112:$C$113,0)-1,0)</f>
        <v>52.64</v>
      </c>
      <c r="H25" s="28">
        <f ca="1">48.09*OFFSET(H$112,MATCH($N$1,$C$112:$C$113,0)-1,0)</f>
        <v>48.09</v>
      </c>
      <c r="I25" s="28">
        <f ca="1">74.38*OFFSET(I$112,MATCH($N$1,$C$112:$C$113,0)-1,0)</f>
        <v>74.38</v>
      </c>
      <c r="J25" s="28">
        <f ca="1">74.13*OFFSET(J$112,MATCH($N$1,$C$112:$C$113,0)-1,0)</f>
        <v>74.13</v>
      </c>
      <c r="K25" s="28">
        <f ca="1">67.13*OFFSET(K$112,MATCH($N$1,$C$112:$C$113,0)-1,0)</f>
        <v>67.13</v>
      </c>
      <c r="L25" s="28">
        <f ca="1">81.64*OFFSET(L$112,MATCH($N$1,$C$112:$C$113,0)-1,0)</f>
        <v>81.64</v>
      </c>
      <c r="M25" s="28">
        <f ca="1">67.37*OFFSET(M$112,MATCH($N$1,$C$112:$C$113,0)-1,0)</f>
        <v>67.37</v>
      </c>
      <c r="N25" s="28">
        <v>85.86</v>
      </c>
      <c r="O25" s="23" t="str">
        <f t="shared" si="0"/>
        <v/>
      </c>
      <c r="P25" s="23">
        <f t="shared" ca="1" si="1"/>
        <v>0.15823553217320929</v>
      </c>
    </row>
    <row r="26" spans="1:16" ht="18" customHeight="1" x14ac:dyDescent="0.2">
      <c r="A26" s="229"/>
      <c r="B26" s="33" t="s">
        <v>65</v>
      </c>
      <c r="C26" s="40"/>
      <c r="D26" s="28"/>
      <c r="E26" s="28">
        <f ca="1">10.3*OFFSET(E$112,MATCH($N$1,$C$112:$C$113,0)-1,0)</f>
        <v>10.3</v>
      </c>
      <c r="F26" s="28">
        <f ca="1">6.6*OFFSET(F$112,MATCH($N$1,$C$112:$C$113,0)-1,0)</f>
        <v>6.6</v>
      </c>
      <c r="G26" s="28">
        <f ca="1">4.85*OFFSET(G$112,MATCH($N$1,$C$112:$C$113,0)-1,0)</f>
        <v>4.8499999999999996</v>
      </c>
      <c r="H26" s="28">
        <f ca="1">10.52*OFFSET(H$112,MATCH($N$1,$C$112:$C$113,0)-1,0)</f>
        <v>10.52</v>
      </c>
      <c r="I26" s="28">
        <f ca="1">13.55*OFFSET(I$112,MATCH($N$1,$C$112:$C$113,0)-1,0)</f>
        <v>13.55</v>
      </c>
      <c r="J26" s="28">
        <f ca="1">15.52*OFFSET(J$112,MATCH($N$1,$C$112:$C$113,0)-1,0)</f>
        <v>15.52</v>
      </c>
      <c r="K26" s="28">
        <f ca="1">15.67*OFFSET(K$112,MATCH($N$1,$C$112:$C$113,0)-1,0)</f>
        <v>15.67</v>
      </c>
      <c r="L26" s="28">
        <f ca="1">19.23*OFFSET(L$112,MATCH($N$1,$C$112:$C$113,0)-1,0)</f>
        <v>19.23</v>
      </c>
      <c r="M26" s="28">
        <f ca="1">19.53*OFFSET(M$112,MATCH($N$1,$C$112:$C$113,0)-1,0)</f>
        <v>19.53</v>
      </c>
      <c r="N26" s="28">
        <v>24.56</v>
      </c>
      <c r="O26" s="29" t="str">
        <f t="shared" si="0"/>
        <v/>
      </c>
      <c r="P26" s="29">
        <f t="shared" ca="1" si="1"/>
        <v>0.58247422680412364</v>
      </c>
    </row>
    <row r="27" spans="1:16" ht="18" customHeight="1" x14ac:dyDescent="0.2">
      <c r="A27" s="230" t="s">
        <v>26</v>
      </c>
      <c r="B27" s="30" t="s">
        <v>59</v>
      </c>
      <c r="C27" s="31"/>
      <c r="D27" s="32">
        <f ca="1">282.6*OFFSET(D$112,MATCH($N$1,$C$112:$C$113,0)-1,0)</f>
        <v>282.60000000000002</v>
      </c>
      <c r="E27" s="32">
        <f ca="1">294*OFFSET(E$112,MATCH($N$1,$C$112:$C$113,0)-1,0)</f>
        <v>294</v>
      </c>
      <c r="F27" s="32">
        <f ca="1">347.9*OFFSET(F$112,MATCH($N$1,$C$112:$C$113,0)-1,0)</f>
        <v>347.9</v>
      </c>
      <c r="G27" s="32">
        <f ca="1">350.5*OFFSET(G$112,MATCH($N$1,$C$112:$C$113,0)-1,0)</f>
        <v>350.5</v>
      </c>
      <c r="H27" s="32">
        <f ca="1">344.5*OFFSET(H$112,MATCH($N$1,$C$112:$C$113,0)-1,0)</f>
        <v>344.5</v>
      </c>
      <c r="I27" s="32">
        <f ca="1">376.6*OFFSET(I$112,MATCH($N$1,$C$112:$C$113,0)-1,0)</f>
        <v>376.6</v>
      </c>
      <c r="J27" s="32">
        <f ca="1">421.7*OFFSET(J$112,MATCH($N$1,$C$112:$C$113,0)-1,0)</f>
        <v>421.7</v>
      </c>
      <c r="K27" s="32">
        <f ca="1">394.9*OFFSET(K$112,MATCH($N$1,$C$112:$C$113,0)-1,0)</f>
        <v>394.9</v>
      </c>
      <c r="L27" s="32">
        <f ca="1">454.8*OFFSET(L$112,MATCH($N$1,$C$112:$C$113,0)-1,0)</f>
        <v>454.8</v>
      </c>
      <c r="M27" s="32">
        <f ca="1">500.1*OFFSET(M$112,MATCH($N$1,$C$112:$C$113,0)-1,0)</f>
        <v>500.1</v>
      </c>
      <c r="N27" s="32">
        <v>545.70000000000005</v>
      </c>
      <c r="O27" s="23">
        <f t="shared" ca="1" si="0"/>
        <v>0.93099787685774948</v>
      </c>
      <c r="P27" s="23">
        <f t="shared" ca="1" si="1"/>
        <v>0.29404790135167197</v>
      </c>
    </row>
    <row r="28" spans="1:16" ht="18" customHeight="1" x14ac:dyDescent="0.2">
      <c r="A28" s="231"/>
      <c r="B28" s="33" t="s">
        <v>66</v>
      </c>
      <c r="C28" s="27"/>
      <c r="D28" s="28">
        <f ca="1">1.7*OFFSET(D$112,MATCH($N$1,$C$112:$C$113,0)-1,0)</f>
        <v>1.7</v>
      </c>
      <c r="E28" s="28">
        <f ca="1">30.6*OFFSET(E$112,MATCH($N$1,$C$112:$C$113,0)-1,0)</f>
        <v>30.6</v>
      </c>
      <c r="F28" s="28">
        <f ca="1">2.7*OFFSET(F$112,MATCH($N$1,$C$112:$C$113,0)-1,0)</f>
        <v>2.7</v>
      </c>
      <c r="G28" s="28">
        <f ca="1">20.6*OFFSET(G$112,MATCH($N$1,$C$112:$C$113,0)-1,0)</f>
        <v>20.6</v>
      </c>
      <c r="H28" s="28">
        <f ca="1">48.7*OFFSET(H$112,MATCH($N$1,$C$112:$C$113,0)-1,0)</f>
        <v>48.7</v>
      </c>
      <c r="I28" s="28">
        <f ca="1">23.2*OFFSET(I$112,MATCH($N$1,$C$112:$C$113,0)-1,0)</f>
        <v>23.2</v>
      </c>
      <c r="J28" s="28">
        <f ca="1">21.3*OFFSET(J$112,MATCH($N$1,$C$112:$C$113,0)-1,0)</f>
        <v>21.3</v>
      </c>
      <c r="K28" s="28">
        <f ca="1">21.1*OFFSET(K$112,MATCH($N$1,$C$112:$C$113,0)-1,0)</f>
        <v>21.1</v>
      </c>
      <c r="L28" s="28">
        <f ca="1">9.8*OFFSET(L$112,MATCH($N$1,$C$112:$C$113,0)-1,0)</f>
        <v>9.8000000000000007</v>
      </c>
      <c r="M28" s="28">
        <f ca="1">65.8*OFFSET(M$112,MATCH($N$1,$C$112:$C$113,0)-1,0)</f>
        <v>65.8</v>
      </c>
      <c r="N28" s="28">
        <v>71.7</v>
      </c>
      <c r="O28" s="23">
        <f t="shared" ca="1" si="0"/>
        <v>41.176470588235297</v>
      </c>
      <c r="P28" s="23">
        <f t="shared" ca="1" si="1"/>
        <v>2.3661971830985919</v>
      </c>
    </row>
    <row r="29" spans="1:16" ht="18" customHeight="1" x14ac:dyDescent="0.2">
      <c r="A29" s="231"/>
      <c r="B29" s="41" t="s">
        <v>67</v>
      </c>
      <c r="C29" s="42"/>
      <c r="D29" s="43">
        <f ca="1">284.2*OFFSET(D$112,MATCH($N$1,$C$112:$C$113,0)-1,0)</f>
        <v>284.2</v>
      </c>
      <c r="E29" s="43">
        <f ca="1">324.6*OFFSET(E$112,MATCH($N$1,$C$112:$C$113,0)-1,0)</f>
        <v>324.60000000000002</v>
      </c>
      <c r="F29" s="43">
        <f ca="1">350.6*OFFSET(F$112,MATCH($N$1,$C$112:$C$113,0)-1,0)</f>
        <v>350.6</v>
      </c>
      <c r="G29" s="43">
        <f ca="1">371.1*OFFSET(G$112,MATCH($N$1,$C$112:$C$113,0)-1,0)</f>
        <v>371.1</v>
      </c>
      <c r="H29" s="43">
        <f ca="1">393.2*OFFSET(H$112,MATCH($N$1,$C$112:$C$113,0)-1,0)</f>
        <v>393.2</v>
      </c>
      <c r="I29" s="43">
        <f ca="1">399.7*OFFSET(I$112,MATCH($N$1,$C$112:$C$113,0)-1,0)</f>
        <v>399.7</v>
      </c>
      <c r="J29" s="43">
        <f ca="1">443*OFFSET(J$112,MATCH($N$1,$C$112:$C$113,0)-1,0)</f>
        <v>443</v>
      </c>
      <c r="K29" s="43">
        <f ca="1">416*OFFSET(K$112,MATCH($N$1,$C$112:$C$113,0)-1,0)</f>
        <v>416</v>
      </c>
      <c r="L29" s="43">
        <f ca="1">464.6*OFFSET(L$112,MATCH($N$1,$C$112:$C$113,0)-1,0)</f>
        <v>464.6</v>
      </c>
      <c r="M29" s="43">
        <f ca="1">565.8*OFFSET(M$112,MATCH($N$1,$C$112:$C$113,0)-1,0)</f>
        <v>565.79999999999995</v>
      </c>
      <c r="N29" s="43">
        <v>617.4</v>
      </c>
      <c r="O29" s="23">
        <f t="shared" ca="1" si="0"/>
        <v>1.1724137931034482</v>
      </c>
      <c r="P29" s="23">
        <f t="shared" ca="1" si="1"/>
        <v>0.39367945823927758</v>
      </c>
    </row>
    <row r="30" spans="1:16" ht="18" customHeight="1" x14ac:dyDescent="0.2">
      <c r="A30" s="231"/>
      <c r="B30" s="33" t="s">
        <v>68</v>
      </c>
      <c r="C30" s="27"/>
      <c r="D30" s="28">
        <f ca="1">56.5*OFFSET(D$112,MATCH($N$1,$C$112:$C$113,0)-1,0)</f>
        <v>56.5</v>
      </c>
      <c r="E30" s="28">
        <f ca="1">42.1*OFFSET(E$112,MATCH($N$1,$C$112:$C$113,0)-1,0)</f>
        <v>42.1</v>
      </c>
      <c r="F30" s="28">
        <f ca="1">57*OFFSET(F$112,MATCH($N$1,$C$112:$C$113,0)-1,0)</f>
        <v>57</v>
      </c>
      <c r="G30" s="28">
        <f ca="1">67.8*OFFSET(G$112,MATCH($N$1,$C$112:$C$113,0)-1,0)</f>
        <v>67.8</v>
      </c>
      <c r="H30" s="28">
        <f ca="1">67.2*OFFSET(H$112,MATCH($N$1,$C$112:$C$113,0)-1,0)</f>
        <v>67.2</v>
      </c>
      <c r="I30" s="28">
        <f ca="1">63.3*OFFSET(I$112,MATCH($N$1,$C$112:$C$113,0)-1,0)</f>
        <v>63.3</v>
      </c>
      <c r="J30" s="28">
        <f ca="1">58.7*OFFSET(J$112,MATCH($N$1,$C$112:$C$113,0)-1,0)</f>
        <v>58.7</v>
      </c>
      <c r="K30" s="28">
        <f ca="1">40.4*OFFSET(K$112,MATCH($N$1,$C$112:$C$113,0)-1,0)</f>
        <v>40.4</v>
      </c>
      <c r="L30" s="28">
        <f ca="1">41.3*OFFSET(L$112,MATCH($N$1,$C$112:$C$113,0)-1,0)</f>
        <v>41.3</v>
      </c>
      <c r="M30" s="28">
        <f ca="1">52.3*OFFSET(M$112,MATCH($N$1,$C$112:$C$113,0)-1,0)</f>
        <v>52.3</v>
      </c>
      <c r="N30" s="28">
        <v>61.1</v>
      </c>
      <c r="O30" s="23">
        <f t="shared" ca="1" si="0"/>
        <v>8.141592920353985E-2</v>
      </c>
      <c r="P30" s="23">
        <f t="shared" ca="1" si="1"/>
        <v>4.0885860306643929E-2</v>
      </c>
    </row>
    <row r="31" spans="1:16" ht="18" customHeight="1" x14ac:dyDescent="0.2">
      <c r="A31" s="231"/>
      <c r="B31" s="33" t="s">
        <v>69</v>
      </c>
      <c r="C31" s="27"/>
      <c r="D31" s="28">
        <f ca="1">80*OFFSET(D$112,MATCH($N$1,$C$112:$C$113,0)-1,0)</f>
        <v>80</v>
      </c>
      <c r="E31" s="28">
        <f ca="1">86.9*OFFSET(E$112,MATCH($N$1,$C$112:$C$113,0)-1,0)</f>
        <v>86.9</v>
      </c>
      <c r="F31" s="28">
        <f ca="1">98.2*OFFSET(F$112,MATCH($N$1,$C$112:$C$113,0)-1,0)</f>
        <v>98.2</v>
      </c>
      <c r="G31" s="28">
        <f ca="1">113.8*OFFSET(G$112,MATCH($N$1,$C$112:$C$113,0)-1,0)</f>
        <v>113.8</v>
      </c>
      <c r="H31" s="28">
        <f ca="1">110.7*OFFSET(H$112,MATCH($N$1,$C$112:$C$113,0)-1,0)</f>
        <v>110.7</v>
      </c>
      <c r="I31" s="28">
        <f ca="1">118.2*OFFSET(I$112,MATCH($N$1,$C$112:$C$113,0)-1,0)</f>
        <v>118.2</v>
      </c>
      <c r="J31" s="28">
        <f ca="1">124.2*OFFSET(J$112,MATCH($N$1,$C$112:$C$113,0)-1,0)</f>
        <v>124.2</v>
      </c>
      <c r="K31" s="28">
        <f ca="1">119.4*OFFSET(K$112,MATCH($N$1,$C$112:$C$113,0)-1,0)</f>
        <v>119.4</v>
      </c>
      <c r="L31" s="28">
        <f ca="1">145.2*OFFSET(L$112,MATCH($N$1,$C$112:$C$113,0)-1,0)</f>
        <v>145.19999999999999</v>
      </c>
      <c r="M31" s="28">
        <f ca="1">175.1*OFFSET(M$112,MATCH($N$1,$C$112:$C$113,0)-1,0)</f>
        <v>175.1</v>
      </c>
      <c r="N31" s="28">
        <v>189.1</v>
      </c>
      <c r="O31" s="23">
        <f t="shared" ca="1" si="0"/>
        <v>1.36375</v>
      </c>
      <c r="P31" s="23">
        <f t="shared" ca="1" si="1"/>
        <v>0.52254428341384851</v>
      </c>
    </row>
    <row r="32" spans="1:16" ht="18" customHeight="1" x14ac:dyDescent="0.2">
      <c r="A32" s="231"/>
      <c r="B32" s="33" t="s">
        <v>70</v>
      </c>
      <c r="C32" s="27"/>
      <c r="D32" s="28">
        <f ca="1">35.6*OFFSET(D$112,MATCH($N$1,$C$112:$C$113,0)-1,0)</f>
        <v>35.6</v>
      </c>
      <c r="E32" s="28">
        <f ca="1">35.5*OFFSET(E$112,MATCH($N$1,$C$112:$C$113,0)-1,0)</f>
        <v>35.5</v>
      </c>
      <c r="F32" s="28">
        <f ca="1">74.6*OFFSET(F$112,MATCH($N$1,$C$112:$C$113,0)-1,0)</f>
        <v>74.599999999999994</v>
      </c>
      <c r="G32" s="28">
        <f ca="1">60.4*OFFSET(G$112,MATCH($N$1,$C$112:$C$113,0)-1,0)</f>
        <v>60.4</v>
      </c>
      <c r="H32" s="28">
        <f ca="1">60.8*OFFSET(H$112,MATCH($N$1,$C$112:$C$113,0)-1,0)</f>
        <v>60.8</v>
      </c>
      <c r="I32" s="28">
        <f ca="1">61.8*OFFSET(I$112,MATCH($N$1,$C$112:$C$113,0)-1,0)</f>
        <v>61.8</v>
      </c>
      <c r="J32" s="28">
        <f ca="1">66.6*OFFSET(J$112,MATCH($N$1,$C$112:$C$113,0)-1,0)</f>
        <v>66.599999999999994</v>
      </c>
      <c r="K32" s="28">
        <f ca="1">67*OFFSET(K$112,MATCH($N$1,$C$112:$C$113,0)-1,0)</f>
        <v>67</v>
      </c>
      <c r="L32" s="28">
        <f ca="1">77.5*OFFSET(L$112,MATCH($N$1,$C$112:$C$113,0)-1,0)</f>
        <v>77.5</v>
      </c>
      <c r="M32" s="28">
        <f ca="1">85*OFFSET(M$112,MATCH($N$1,$C$112:$C$113,0)-1,0)</f>
        <v>85</v>
      </c>
      <c r="N32" s="28">
        <v>92.7</v>
      </c>
      <c r="O32" s="23">
        <f t="shared" ca="1" si="0"/>
        <v>1.6039325842696628</v>
      </c>
      <c r="P32" s="23">
        <f t="shared" ca="1" si="1"/>
        <v>0.39189189189189205</v>
      </c>
    </row>
    <row r="33" spans="1:16" ht="18" customHeight="1" x14ac:dyDescent="0.2">
      <c r="A33" s="231"/>
      <c r="B33" s="33" t="s">
        <v>71</v>
      </c>
      <c r="C33" s="27"/>
      <c r="D33" s="28">
        <f ca="1">172.1*OFFSET(D$112,MATCH($N$1,$C$112:$C$113,0)-1,0)</f>
        <v>172.1</v>
      </c>
      <c r="E33" s="28">
        <f ca="1">164.5*OFFSET(E$112,MATCH($N$1,$C$112:$C$113,0)-1,0)</f>
        <v>164.5</v>
      </c>
      <c r="F33" s="28">
        <f ca="1">229.8*OFFSET(F$112,MATCH($N$1,$C$112:$C$113,0)-1,0)</f>
        <v>229.8</v>
      </c>
      <c r="G33" s="28">
        <f ca="1">242.1*OFFSET(G$112,MATCH($N$1,$C$112:$C$113,0)-1,0)</f>
        <v>242.1</v>
      </c>
      <c r="H33" s="28">
        <f ca="1">238.7*OFFSET(H$112,MATCH($N$1,$C$112:$C$113,0)-1,0)</f>
        <v>238.7</v>
      </c>
      <c r="I33" s="28">
        <f ca="1">243.3*OFFSET(I$112,MATCH($N$1,$C$112:$C$113,0)-1,0)</f>
        <v>243.3</v>
      </c>
      <c r="J33" s="28">
        <f ca="1">249.5*OFFSET(J$112,MATCH($N$1,$C$112:$C$113,0)-1,0)</f>
        <v>249.5</v>
      </c>
      <c r="K33" s="28">
        <f ca="1">226.8*OFFSET(K$112,MATCH($N$1,$C$112:$C$113,0)-1,0)</f>
        <v>226.8</v>
      </c>
      <c r="L33" s="28">
        <f ca="1">264*OFFSET(L$112,MATCH($N$1,$C$112:$C$113,0)-1,0)</f>
        <v>264</v>
      </c>
      <c r="M33" s="28">
        <f ca="1">312.3*OFFSET(M$112,MATCH($N$1,$C$112:$C$113,0)-1,0)</f>
        <v>312.3</v>
      </c>
      <c r="N33" s="28">
        <v>342.90000000000003</v>
      </c>
      <c r="O33" s="23">
        <f t="shared" ca="1" si="0"/>
        <v>0.99244625217896598</v>
      </c>
      <c r="P33" s="23">
        <f t="shared" ca="1" si="1"/>
        <v>0.37434869739478971</v>
      </c>
    </row>
    <row r="34" spans="1:16" ht="18" customHeight="1" x14ac:dyDescent="0.2">
      <c r="A34" s="231"/>
      <c r="B34" s="33" t="s">
        <v>72</v>
      </c>
      <c r="C34" s="27"/>
      <c r="D34" s="28">
        <f ca="1">63.9*OFFSET(D$112,MATCH($N$1,$C$112:$C$113,0)-1,0)</f>
        <v>63.9</v>
      </c>
      <c r="E34" s="28">
        <f ca="1">94*OFFSET(E$112,MATCH($N$1,$C$112:$C$113,0)-1,0)</f>
        <v>94</v>
      </c>
      <c r="F34" s="28">
        <f ca="1">76.9*OFFSET(F$112,MATCH($N$1,$C$112:$C$113,0)-1,0)</f>
        <v>76.900000000000006</v>
      </c>
      <c r="G34" s="28">
        <f ca="1">96.7*OFFSET(G$112,MATCH($N$1,$C$112:$C$113,0)-1,0)</f>
        <v>96.7</v>
      </c>
      <c r="H34" s="28">
        <f ca="1">79.1*OFFSET(H$112,MATCH($N$1,$C$112:$C$113,0)-1,0)</f>
        <v>79.099999999999994</v>
      </c>
      <c r="I34" s="28">
        <f ca="1">87.9*OFFSET(I$112,MATCH($N$1,$C$112:$C$113,0)-1,0)</f>
        <v>87.9</v>
      </c>
      <c r="J34" s="28">
        <f ca="1">105.2*OFFSET(J$112,MATCH($N$1,$C$112:$C$113,0)-1,0)</f>
        <v>105.2</v>
      </c>
      <c r="K34" s="28">
        <f ca="1">97*OFFSET(K$112,MATCH($N$1,$C$112:$C$113,0)-1,0)</f>
        <v>97</v>
      </c>
      <c r="L34" s="28">
        <f ca="1">93.6*OFFSET(L$112,MATCH($N$1,$C$112:$C$113,0)-1,0)</f>
        <v>93.6</v>
      </c>
      <c r="M34" s="28">
        <f ca="1">108.5*OFFSET(M$112,MATCH($N$1,$C$112:$C$113,0)-1,0)</f>
        <v>108.5</v>
      </c>
      <c r="N34" s="28">
        <v>118.4</v>
      </c>
      <c r="O34" s="23">
        <f t="shared" ca="1" si="0"/>
        <v>0.85289514866979665</v>
      </c>
      <c r="P34" s="23">
        <f t="shared" ca="1" si="1"/>
        <v>0.12547528517110268</v>
      </c>
    </row>
    <row r="35" spans="1:16" ht="18" customHeight="1" x14ac:dyDescent="0.2">
      <c r="A35" s="231"/>
      <c r="B35" s="33" t="s">
        <v>73</v>
      </c>
      <c r="C35" s="27"/>
      <c r="D35" s="28">
        <f ca="1">236*OFFSET(D$112,MATCH($N$1,$C$112:$C$113,0)-1,0)</f>
        <v>236</v>
      </c>
      <c r="E35" s="28">
        <f ca="1">258.5*OFFSET(E$112,MATCH($N$1,$C$112:$C$113,0)-1,0)</f>
        <v>258.5</v>
      </c>
      <c r="F35" s="28">
        <f ca="1">306.7*OFFSET(F$112,MATCH($N$1,$C$112:$C$113,0)-1,0)</f>
        <v>306.7</v>
      </c>
      <c r="G35" s="28">
        <f ca="1">338.8*OFFSET(G$112,MATCH($N$1,$C$112:$C$113,0)-1,0)</f>
        <v>338.8</v>
      </c>
      <c r="H35" s="28">
        <f ca="1">317.8*OFFSET(H$112,MATCH($N$1,$C$112:$C$113,0)-1,0)</f>
        <v>317.8</v>
      </c>
      <c r="I35" s="28">
        <f ca="1">331.1*OFFSET(I$112,MATCH($N$1,$C$112:$C$113,0)-1,0)</f>
        <v>331.1</v>
      </c>
      <c r="J35" s="28">
        <f ca="1">354.8*OFFSET(J$112,MATCH($N$1,$C$112:$C$113,0)-1,0)</f>
        <v>354.8</v>
      </c>
      <c r="K35" s="28">
        <f ca="1">323.8*OFFSET(K$112,MATCH($N$1,$C$112:$C$113,0)-1,0)</f>
        <v>323.8</v>
      </c>
      <c r="L35" s="28">
        <f ca="1">357.5*OFFSET(L$112,MATCH($N$1,$C$112:$C$113,0)-1,0)</f>
        <v>357.5</v>
      </c>
      <c r="M35" s="28">
        <f ca="1">420.8*OFFSET(M$112,MATCH($N$1,$C$112:$C$113,0)-1,0)</f>
        <v>420.8</v>
      </c>
      <c r="N35" s="28">
        <v>461.3</v>
      </c>
      <c r="O35" s="23">
        <f t="shared" ca="1" si="0"/>
        <v>0.95466101694915262</v>
      </c>
      <c r="P35" s="23">
        <f t="shared" ca="1" si="1"/>
        <v>0.30016910935738444</v>
      </c>
    </row>
    <row r="36" spans="1:16" ht="18" customHeight="1" x14ac:dyDescent="0.2">
      <c r="A36" s="231"/>
      <c r="B36" s="41" t="s">
        <v>74</v>
      </c>
      <c r="C36" s="42"/>
      <c r="D36" s="43">
        <f ca="1">128.3*OFFSET(D$112,MATCH($N$1,$C$112:$C$113,0)-1,0)</f>
        <v>128.30000000000001</v>
      </c>
      <c r="E36" s="43">
        <f ca="1">153*OFFSET(E$112,MATCH($N$1,$C$112:$C$113,0)-1,0)</f>
        <v>153</v>
      </c>
      <c r="F36" s="43">
        <f ca="1">142.1*OFFSET(F$112,MATCH($N$1,$C$112:$C$113,0)-1,0)</f>
        <v>142.1</v>
      </c>
      <c r="G36" s="43">
        <f ca="1">146.1*OFFSET(G$112,MATCH($N$1,$C$112:$C$113,0)-1,0)</f>
        <v>146.1</v>
      </c>
      <c r="H36" s="43">
        <f ca="1">186.1*OFFSET(H$112,MATCH($N$1,$C$112:$C$113,0)-1,0)</f>
        <v>186.1</v>
      </c>
      <c r="I36" s="43">
        <f ca="1">186.8*OFFSET(I$112,MATCH($N$1,$C$112:$C$113,0)-1,0)</f>
        <v>186.8</v>
      </c>
      <c r="J36" s="43">
        <f ca="1">212.5*OFFSET(J$112,MATCH($N$1,$C$112:$C$113,0)-1,0)</f>
        <v>212.5</v>
      </c>
      <c r="K36" s="43">
        <f ca="1">211.6*OFFSET(K$112,MATCH($N$1,$C$112:$C$113,0)-1,0)</f>
        <v>211.6</v>
      </c>
      <c r="L36" s="43">
        <f ca="1">252.3*OFFSET(L$112,MATCH($N$1,$C$112:$C$113,0)-1,0)</f>
        <v>252.3</v>
      </c>
      <c r="M36" s="43">
        <f ca="1">320.1*OFFSET(M$112,MATCH($N$1,$C$112:$C$113,0)-1,0)</f>
        <v>320.10000000000002</v>
      </c>
      <c r="N36" s="43">
        <v>345.2</v>
      </c>
      <c r="O36" s="23">
        <f t="shared" ca="1" si="0"/>
        <v>1.6905689789555725</v>
      </c>
      <c r="P36" s="23">
        <f t="shared" ca="1" si="1"/>
        <v>0.62447058823529411</v>
      </c>
    </row>
    <row r="37" spans="1:16" ht="18" customHeight="1" x14ac:dyDescent="0.2">
      <c r="A37" s="231"/>
      <c r="B37" s="41" t="s">
        <v>75</v>
      </c>
      <c r="C37" s="42"/>
      <c r="D37" s="43">
        <f ca="1">48.3*OFFSET(D$112,MATCH($N$1,$C$112:$C$113,0)-1,0)</f>
        <v>48.3</v>
      </c>
      <c r="E37" s="43">
        <f ca="1">66.1*OFFSET(E$112,MATCH($N$1,$C$112:$C$113,0)-1,0)</f>
        <v>66.099999999999994</v>
      </c>
      <c r="F37" s="43">
        <f ca="1">43.9*OFFSET(F$112,MATCH($N$1,$C$112:$C$113,0)-1,0)</f>
        <v>43.9</v>
      </c>
      <c r="G37" s="43">
        <f ca="1">32.3*OFFSET(G$112,MATCH($N$1,$C$112:$C$113,0)-1,0)</f>
        <v>32.299999999999997</v>
      </c>
      <c r="H37" s="43">
        <f ca="1">75.4*OFFSET(H$112,MATCH($N$1,$C$112:$C$113,0)-1,0)</f>
        <v>75.400000000000006</v>
      </c>
      <c r="I37" s="43">
        <f ca="1">68.6*OFFSET(I$112,MATCH($N$1,$C$112:$C$113,0)-1,0)</f>
        <v>68.599999999999994</v>
      </c>
      <c r="J37" s="43">
        <f ca="1">88.3*OFFSET(J$112,MATCH($N$1,$C$112:$C$113,0)-1,0)</f>
        <v>88.3</v>
      </c>
      <c r="K37" s="43">
        <f ca="1">92.2*OFFSET(K$112,MATCH($N$1,$C$112:$C$113,0)-1,0)</f>
        <v>92.2</v>
      </c>
      <c r="L37" s="43">
        <f ca="1">107.1*OFFSET(L$112,MATCH($N$1,$C$112:$C$113,0)-1,0)</f>
        <v>107.1</v>
      </c>
      <c r="M37" s="43">
        <f ca="1">145*OFFSET(M$112,MATCH($N$1,$C$112:$C$113,0)-1,0)</f>
        <v>145</v>
      </c>
      <c r="N37" s="43">
        <v>156.1</v>
      </c>
      <c r="O37" s="23">
        <f t="shared" ca="1" si="0"/>
        <v>2.2318840579710146</v>
      </c>
      <c r="P37" s="23">
        <f t="shared" ca="1" si="1"/>
        <v>0.76783691959229894</v>
      </c>
    </row>
    <row r="38" spans="1:16" ht="18" customHeight="1" x14ac:dyDescent="0.2">
      <c r="A38" s="231"/>
      <c r="B38" s="33" t="s">
        <v>76</v>
      </c>
      <c r="C38" s="27"/>
      <c r="D38" s="28">
        <f ca="1">12.4*OFFSET(D$112,MATCH($N$1,$C$112:$C$113,0)-1,0)</f>
        <v>12.4</v>
      </c>
      <c r="E38" s="28">
        <f ca="1">12.3*OFFSET(E$112,MATCH($N$1,$C$112:$C$113,0)-1,0)</f>
        <v>12.3</v>
      </c>
      <c r="F38" s="28">
        <f ca="1">20.8*OFFSET(F$112,MATCH($N$1,$C$112:$C$113,0)-1,0)</f>
        <v>20.8</v>
      </c>
      <c r="G38" s="28">
        <f ca="1">22.3*OFFSET(G$112,MATCH($N$1,$C$112:$C$113,0)-1,0)</f>
        <v>22.3</v>
      </c>
      <c r="H38" s="28">
        <f ca="1">18.2*OFFSET(H$112,MATCH($N$1,$C$112:$C$113,0)-1,0)</f>
        <v>18.2</v>
      </c>
      <c r="I38" s="28">
        <f ca="1">18.8*OFFSET(I$112,MATCH($N$1,$C$112:$C$113,0)-1,0)</f>
        <v>18.8</v>
      </c>
      <c r="J38" s="28">
        <f ca="1">21.5*OFFSET(J$112,MATCH($N$1,$C$112:$C$113,0)-1,0)</f>
        <v>21.5</v>
      </c>
      <c r="K38" s="28">
        <f ca="1">21.8*OFFSET(K$112,MATCH($N$1,$C$112:$C$113,0)-1,0)</f>
        <v>21.8</v>
      </c>
      <c r="L38" s="28">
        <f ca="1">15.4*OFFSET(L$112,MATCH($N$1,$C$112:$C$113,0)-1,0)</f>
        <v>15.4</v>
      </c>
      <c r="M38" s="28">
        <f ca="1">26.2*OFFSET(M$112,MATCH($N$1,$C$112:$C$113,0)-1,0)</f>
        <v>26.2</v>
      </c>
      <c r="N38" s="28"/>
      <c r="O38" s="23" t="str">
        <f t="shared" si="0"/>
        <v/>
      </c>
      <c r="P38" s="23" t="str">
        <f t="shared" si="1"/>
        <v/>
      </c>
    </row>
    <row r="39" spans="1:16" ht="18" customHeight="1" x14ac:dyDescent="0.2">
      <c r="A39" s="231"/>
      <c r="B39" s="33" t="s">
        <v>77</v>
      </c>
      <c r="C39" s="27"/>
      <c r="D39" s="28">
        <f ca="1">3.8*OFFSET(D$112,MATCH($N$1,$C$112:$C$113,0)-1,0)</f>
        <v>3.8</v>
      </c>
      <c r="E39" s="28">
        <f ca="1">1.5*OFFSET(E$112,MATCH($N$1,$C$112:$C$113,0)-1,0)</f>
        <v>1.5</v>
      </c>
      <c r="F39" s="28">
        <f ca="1">6.4*OFFSET(F$112,MATCH($N$1,$C$112:$C$113,0)-1,0)</f>
        <v>6.4</v>
      </c>
      <c r="G39" s="28">
        <f ca="1">4.3*OFFSET(G$112,MATCH($N$1,$C$112:$C$113,0)-1,0)</f>
        <v>4.3</v>
      </c>
      <c r="H39" s="28">
        <f ca="1">3.9*OFFSET(H$112,MATCH($N$1,$C$112:$C$113,0)-1,0)</f>
        <v>3.9</v>
      </c>
      <c r="I39" s="28">
        <f ca="1">4.5*OFFSET(I$112,MATCH($N$1,$C$112:$C$113,0)-1,0)</f>
        <v>4.5</v>
      </c>
      <c r="J39" s="28">
        <f ca="1">4*OFFSET(J$112,MATCH($N$1,$C$112:$C$113,0)-1,0)</f>
        <v>4</v>
      </c>
      <c r="K39" s="28">
        <f ca="1">3.3*OFFSET(K$112,MATCH($N$1,$C$112:$C$113,0)-1,0)</f>
        <v>3.3</v>
      </c>
      <c r="L39" s="28">
        <f ca="1">2.8*OFFSET(L$112,MATCH($N$1,$C$112:$C$113,0)-1,0)</f>
        <v>2.8</v>
      </c>
      <c r="M39" s="28">
        <f ca="1">3.3*OFFSET(M$112,MATCH($N$1,$C$112:$C$113,0)-1,0)</f>
        <v>3.3</v>
      </c>
      <c r="N39" s="28"/>
      <c r="O39" s="23" t="str">
        <f t="shared" si="0"/>
        <v/>
      </c>
      <c r="P39" s="23" t="str">
        <f t="shared" si="1"/>
        <v/>
      </c>
    </row>
    <row r="40" spans="1:16" ht="18" customHeight="1" x14ac:dyDescent="0.2">
      <c r="A40" s="231"/>
      <c r="B40" s="33" t="s">
        <v>78</v>
      </c>
      <c r="C40" s="27"/>
      <c r="D40" s="28"/>
      <c r="E40" s="28">
        <f ca="1">0.9*OFFSET(E$112,MATCH($N$1,$C$112:$C$113,0)-1,0)</f>
        <v>0.9</v>
      </c>
      <c r="F40" s="28">
        <f ca="1">0.6*OFFSET(F$112,MATCH($N$1,$C$112:$C$113,0)-1,0)</f>
        <v>0.6</v>
      </c>
      <c r="G40" s="28">
        <f ca="1">1.9*OFFSET(G$112,MATCH($N$1,$C$112:$C$113,0)-1,0)</f>
        <v>1.9</v>
      </c>
      <c r="H40" s="28">
        <f ca="1">1*OFFSET(H$112,MATCH($N$1,$C$112:$C$113,0)-1,0)</f>
        <v>1</v>
      </c>
      <c r="I40" s="28">
        <f ca="1">3.4*OFFSET(I$112,MATCH($N$1,$C$112:$C$113,0)-1,0)</f>
        <v>3.4</v>
      </c>
      <c r="J40" s="28">
        <f ca="1">0.8*OFFSET(J$112,MATCH($N$1,$C$112:$C$113,0)-1,0)</f>
        <v>0.8</v>
      </c>
      <c r="K40" s="28">
        <f ca="1">3.4*OFFSET(K$112,MATCH($N$1,$C$112:$C$113,0)-1,0)</f>
        <v>3.4</v>
      </c>
      <c r="L40" s="28">
        <f ca="1">1.2*OFFSET(L$112,MATCH($N$1,$C$112:$C$113,0)-1,0)</f>
        <v>1.2</v>
      </c>
      <c r="M40" s="28">
        <f ca="1">4.7*OFFSET(M$112,MATCH($N$1,$C$112:$C$113,0)-1,0)</f>
        <v>4.7</v>
      </c>
      <c r="N40" s="28"/>
      <c r="O40" s="23" t="str">
        <f t="shared" si="0"/>
        <v/>
      </c>
      <c r="P40" s="23" t="str">
        <f t="shared" si="1"/>
        <v/>
      </c>
    </row>
    <row r="41" spans="1:16" ht="18" customHeight="1" thickBot="1" x14ac:dyDescent="0.25">
      <c r="A41" s="232"/>
      <c r="B41" s="44" t="s">
        <v>79</v>
      </c>
      <c r="C41" s="45"/>
      <c r="D41" s="46">
        <f ca="1">32*OFFSET(D$112,MATCH($N$1,$C$112:$C$113,0)-1,0)</f>
        <v>32</v>
      </c>
      <c r="E41" s="46">
        <f ca="1">51.4*OFFSET(E$112,MATCH($N$1,$C$112:$C$113,0)-1,0)</f>
        <v>51.4</v>
      </c>
      <c r="F41" s="46">
        <f ca="1">16.2*OFFSET(F$112,MATCH($N$1,$C$112:$C$113,0)-1,0)</f>
        <v>16.2</v>
      </c>
      <c r="G41" s="46">
        <f ca="1">3.8*OFFSET(G$112,MATCH($N$1,$C$112:$C$113,0)-1,0)</f>
        <v>3.8</v>
      </c>
      <c r="H41" s="46">
        <f ca="1">52.3*OFFSET(H$112,MATCH($N$1,$C$112:$C$113,0)-1,0)</f>
        <v>52.3</v>
      </c>
      <c r="I41" s="46">
        <f ca="1">41.9*OFFSET(I$112,MATCH($N$1,$C$112:$C$113,0)-1,0)</f>
        <v>41.9</v>
      </c>
      <c r="J41" s="46">
        <f ca="1">62*OFFSET(J$112,MATCH($N$1,$C$112:$C$113,0)-1,0)</f>
        <v>62</v>
      </c>
      <c r="K41" s="46">
        <f ca="1">63.6*OFFSET(K$112,MATCH($N$1,$C$112:$C$113,0)-1,0)</f>
        <v>63.6</v>
      </c>
      <c r="L41" s="46">
        <f ca="1">87.7*OFFSET(L$112,MATCH($N$1,$C$112:$C$113,0)-1,0)</f>
        <v>87.7</v>
      </c>
      <c r="M41" s="46">
        <f ca="1">110.9*OFFSET(M$112,MATCH($N$1,$C$112:$C$113,0)-1,0)</f>
        <v>110.9</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Pots and traps over 12m</v>
      </c>
      <c r="C48" s="97"/>
      <c r="D48" s="97"/>
      <c r="E48" s="97"/>
      <c r="F48" s="97"/>
      <c r="G48" s="97"/>
      <c r="K48" s="97" t="str">
        <f>$B24&amp;CHAR(10)&amp;$A$1</f>
        <v>Operating profit per kW day at sea (£)
Pots and traps over 12m</v>
      </c>
    </row>
    <row r="49" spans="1:11" s="83" customFormat="1" x14ac:dyDescent="0.2">
      <c r="A49" s="97" t="str">
        <f>$B22&amp;CHAR(10)&amp;$A$1</f>
        <v>Fishing income per kW day at sea (£)
Pots and traps over 12m</v>
      </c>
    </row>
    <row r="50" spans="1:11" s="83" customFormat="1" x14ac:dyDescent="0.2">
      <c r="A50" s="97" t="str">
        <f>$B20&amp;CHAR(10)&amp;$A$1</f>
        <v>Average price per tonne landed (£)
Pots and traps over 12m</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Pots and traps over 12m</v>
      </c>
      <c r="F62" s="97" t="str">
        <f>$B20&amp;CHAR(10)&amp;$A$1</f>
        <v>Average price per tonne landed (£)
Pots and traps over 12m</v>
      </c>
      <c r="K62" s="97" t="str">
        <f>"Average annual operating profit per vessel (£'000)"&amp;CHAR(10)&amp;$A$1</f>
        <v>Average annual operating profit per vessel (£'000)
Pots and traps over 12m</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Pots and traps over 12m</v>
      </c>
      <c r="F76" s="97" t="str">
        <f>"Top 5 landed species by value in "&amp;A77&amp;CHAR(10)&amp;A1</f>
        <v>Top 5 landed species by value in 2017
Pots and traps over 12m</v>
      </c>
    </row>
    <row r="77" spans="1:9" s="97" customFormat="1" x14ac:dyDescent="0.2">
      <c r="A77" s="97">
        <v>2017</v>
      </c>
      <c r="B77" s="97" t="s">
        <v>393</v>
      </c>
      <c r="C77" s="98">
        <v>0.69523757388414853</v>
      </c>
      <c r="D77" s="99">
        <v>12153634</v>
      </c>
      <c r="G77" s="97" t="s">
        <v>394</v>
      </c>
      <c r="H77" s="98">
        <v>0.65620434401264849</v>
      </c>
      <c r="I77" s="99">
        <v>12153634</v>
      </c>
    </row>
    <row r="78" spans="1:9" s="97" customFormat="1" x14ac:dyDescent="0.2">
      <c r="B78" s="97" t="s">
        <v>395</v>
      </c>
      <c r="C78" s="98">
        <v>0.2727536635778815</v>
      </c>
      <c r="D78" s="99">
        <v>553960</v>
      </c>
      <c r="G78" s="97" t="s">
        <v>396</v>
      </c>
      <c r="H78" s="98">
        <v>0.16459154176276219</v>
      </c>
      <c r="I78" s="99">
        <v>553960</v>
      </c>
    </row>
    <row r="79" spans="1:9" s="97" customFormat="1" x14ac:dyDescent="0.2">
      <c r="B79" s="97" t="s">
        <v>397</v>
      </c>
      <c r="C79" s="98">
        <v>2.133507479375317E-2</v>
      </c>
      <c r="D79" s="99">
        <v>3050596</v>
      </c>
      <c r="G79" s="97" t="s">
        <v>398</v>
      </c>
      <c r="H79" s="98">
        <v>0.15482540535012129</v>
      </c>
      <c r="I79" s="99">
        <v>3050596</v>
      </c>
    </row>
    <row r="80" spans="1:9" s="97" customFormat="1" x14ac:dyDescent="0.2">
      <c r="B80" s="97" t="s">
        <v>399</v>
      </c>
      <c r="C80" s="98">
        <v>4.3789183254411401E-3</v>
      </c>
      <c r="D80" s="99">
        <v>1692097</v>
      </c>
      <c r="G80" s="97" t="s">
        <v>400</v>
      </c>
      <c r="H80" s="98">
        <v>1.7162182220602736E-2</v>
      </c>
      <c r="I80" s="99">
        <v>1692097</v>
      </c>
    </row>
    <row r="81" spans="1:18" s="97" customFormat="1" x14ac:dyDescent="0.2">
      <c r="B81" s="97" t="s">
        <v>401</v>
      </c>
      <c r="C81" s="98">
        <v>2.9973485720549862E-3</v>
      </c>
      <c r="D81" s="99">
        <v>3689192</v>
      </c>
      <c r="G81" s="97" t="s">
        <v>401</v>
      </c>
      <c r="H81" s="98">
        <v>3.4432314881145559E-3</v>
      </c>
      <c r="I81" s="99">
        <v>3689192</v>
      </c>
    </row>
    <row r="82" spans="1:18" s="97" customFormat="1" x14ac:dyDescent="0.2">
      <c r="B82" s="97" t="s">
        <v>402</v>
      </c>
      <c r="C82" s="98">
        <v>3.2974208467205779E-3</v>
      </c>
      <c r="D82" s="99">
        <v>5920853</v>
      </c>
      <c r="G82" s="97" t="s">
        <v>403</v>
      </c>
      <c r="H82" s="98">
        <v>3.7732951657507563E-3</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98</v>
      </c>
      <c r="D92" s="102">
        <v>0.63679382987949118</v>
      </c>
      <c r="E92" s="102">
        <v>0.64114731156542981</v>
      </c>
      <c r="F92" s="102">
        <v>0.69225711783258248</v>
      </c>
      <c r="G92" s="102">
        <v>0.67486559742674879</v>
      </c>
      <c r="H92" s="102">
        <v>0.67918896346830626</v>
      </c>
      <c r="I92" s="102">
        <v>0.69110500848740464</v>
      </c>
      <c r="J92" s="102">
        <v>0.65413165043225752</v>
      </c>
      <c r="K92" s="102">
        <v>0.65885088969926464</v>
      </c>
      <c r="L92" s="102">
        <v>0.65620434401264849</v>
      </c>
      <c r="M92" s="102">
        <v>0.72073284476915656</v>
      </c>
      <c r="O92" s="97">
        <v>12153634</v>
      </c>
    </row>
    <row r="93" spans="1:18" s="97" customFormat="1" hidden="1" x14ac:dyDescent="0.2">
      <c r="B93" s="97">
        <v>2</v>
      </c>
      <c r="C93" s="97" t="s">
        <v>242</v>
      </c>
      <c r="D93" s="102">
        <v>0.10837123748984767</v>
      </c>
      <c r="E93" s="102">
        <v>0.114939979162288</v>
      </c>
      <c r="F93" s="102">
        <v>9.5295333486732026E-2</v>
      </c>
      <c r="G93" s="102">
        <v>0.10853852783950846</v>
      </c>
      <c r="H93" s="102">
        <v>0.10549430572290004</v>
      </c>
      <c r="I93" s="102">
        <v>0.12372497772393211</v>
      </c>
      <c r="J93" s="102">
        <v>0.14778877413796834</v>
      </c>
      <c r="K93" s="102">
        <v>0.15533268499115252</v>
      </c>
      <c r="L93" s="102">
        <v>0.16459154176276219</v>
      </c>
      <c r="M93" s="102">
        <v>0.15741634421236511</v>
      </c>
      <c r="O93" s="97">
        <v>553960</v>
      </c>
    </row>
    <row r="94" spans="1:18" s="97" customFormat="1" hidden="1" x14ac:dyDescent="0.2">
      <c r="B94" s="97">
        <v>3</v>
      </c>
      <c r="C94" s="97" t="s">
        <v>230</v>
      </c>
      <c r="D94" s="102">
        <v>0.19850220648586245</v>
      </c>
      <c r="E94" s="102">
        <v>0.18479515273383387</v>
      </c>
      <c r="F94" s="102">
        <v>0.16782130296555955</v>
      </c>
      <c r="G94" s="102">
        <v>0.1639772613622261</v>
      </c>
      <c r="H94" s="102">
        <v>0.15884565042170812</v>
      </c>
      <c r="I94" s="102">
        <v>0.151889199789952</v>
      </c>
      <c r="J94" s="102">
        <v>0.16861370937041739</v>
      </c>
      <c r="K94" s="102">
        <v>0.1602214383725768</v>
      </c>
      <c r="L94" s="102">
        <v>0.15482540535012129</v>
      </c>
      <c r="M94" s="102">
        <v>0.10862037619456574</v>
      </c>
      <c r="O94" s="97">
        <v>3050596</v>
      </c>
    </row>
    <row r="95" spans="1:18" s="97" customFormat="1" hidden="1" x14ac:dyDescent="0.2">
      <c r="B95" s="97">
        <v>4</v>
      </c>
      <c r="C95" s="97" t="s">
        <v>93</v>
      </c>
      <c r="D95" s="102">
        <v>2.707862184106823E-2</v>
      </c>
      <c r="E95" s="102">
        <v>4.0176563261408366E-2</v>
      </c>
      <c r="F95" s="102">
        <v>2.8314739674004309E-2</v>
      </c>
      <c r="G95" s="102">
        <v>3.67946187894631E-2</v>
      </c>
      <c r="H95" s="102">
        <v>4.2663779415131137E-2</v>
      </c>
      <c r="I95" s="102">
        <v>2.5146485637423398E-2</v>
      </c>
      <c r="J95" s="102">
        <v>2.0866568835280486E-2</v>
      </c>
      <c r="K95" s="102">
        <v>1.9430120611925807E-2</v>
      </c>
      <c r="L95" s="102">
        <v>1.7162182220602736E-2</v>
      </c>
      <c r="M95" s="102">
        <v>8.8570910885621863E-3</v>
      </c>
      <c r="O95" s="97">
        <v>1692097</v>
      </c>
    </row>
    <row r="96" spans="1:18" s="97" customFormat="1" hidden="1" x14ac:dyDescent="0.2">
      <c r="B96" s="97">
        <v>5</v>
      </c>
      <c r="C96" s="97" t="s">
        <v>94</v>
      </c>
      <c r="D96" s="102"/>
      <c r="E96" s="102"/>
      <c r="F96" s="102"/>
      <c r="G96" s="102"/>
      <c r="H96" s="102"/>
      <c r="I96" s="102"/>
      <c r="J96" s="102">
        <v>3.9537384111871026E-3</v>
      </c>
      <c r="K96" s="102">
        <v>2.069180715653009E-3</v>
      </c>
      <c r="L96" s="102">
        <v>3.4432314881145559E-3</v>
      </c>
      <c r="M96" s="102">
        <v>1.9952907433810566E-3</v>
      </c>
      <c r="O96" s="97">
        <v>3689192</v>
      </c>
    </row>
    <row r="97" spans="1:15" s="97" customFormat="1" hidden="1" x14ac:dyDescent="0.2">
      <c r="B97" s="97">
        <v>6</v>
      </c>
      <c r="C97" s="97" t="s">
        <v>246</v>
      </c>
      <c r="D97" s="102">
        <v>1.1794118020844431E-2</v>
      </c>
      <c r="E97" s="102">
        <v>7.2518766608382582E-3</v>
      </c>
      <c r="F97" s="102">
        <v>5.3891594931420265E-3</v>
      </c>
      <c r="G97" s="102">
        <v>3.7313923522522682E-3</v>
      </c>
      <c r="H97" s="102"/>
      <c r="I97" s="102">
        <v>3.1002370332188734E-3</v>
      </c>
      <c r="J97" s="102"/>
      <c r="K97" s="102"/>
      <c r="L97" s="102"/>
      <c r="M97" s="102"/>
      <c r="O97" s="97">
        <v>11115023</v>
      </c>
    </row>
    <row r="98" spans="1:15" s="97" customFormat="1" hidden="1" x14ac:dyDescent="0.2">
      <c r="B98" s="97">
        <v>7</v>
      </c>
      <c r="C98" s="97" t="s">
        <v>119</v>
      </c>
      <c r="D98" s="102"/>
      <c r="E98" s="102"/>
      <c r="F98" s="102"/>
      <c r="G98" s="102"/>
      <c r="H98" s="102">
        <v>5.2590220467925572E-3</v>
      </c>
      <c r="I98" s="102"/>
      <c r="J98" s="102"/>
      <c r="K98" s="102"/>
      <c r="L98" s="102"/>
      <c r="M98" s="102"/>
      <c r="O98" s="97">
        <v>2480382</v>
      </c>
    </row>
    <row r="99" spans="1:15" s="97" customFormat="1" hidden="1" x14ac:dyDescent="0.2">
      <c r="B99" s="97">
        <v>8</v>
      </c>
      <c r="C99" s="97" t="s">
        <v>101</v>
      </c>
      <c r="D99" s="102">
        <v>1.7459986282886045E-2</v>
      </c>
      <c r="E99" s="102">
        <v>1.1689116616201721E-2</v>
      </c>
      <c r="F99" s="102">
        <v>1.0922346547979633E-2</v>
      </c>
      <c r="G99" s="102">
        <v>1.2092602229801257E-2</v>
      </c>
      <c r="H99" s="102">
        <v>8.5482789251619239E-3</v>
      </c>
      <c r="I99" s="102">
        <v>5.0340913280689679E-3</v>
      </c>
      <c r="J99" s="102">
        <v>4.6455588128891988E-3</v>
      </c>
      <c r="K99" s="102">
        <v>4.0956856094272109E-3</v>
      </c>
      <c r="L99" s="102">
        <v>3.7732951657506873E-3</v>
      </c>
      <c r="M99" s="102">
        <v>2.3780529919693676E-3</v>
      </c>
      <c r="O99" s="97">
        <v>5920853</v>
      </c>
    </row>
    <row r="100" spans="1:15" s="97" customFormat="1" hidden="1" x14ac:dyDescent="0.2">
      <c r="B100" s="97">
        <v>9</v>
      </c>
      <c r="D100" s="102"/>
      <c r="E100" s="102"/>
      <c r="F100" s="102"/>
      <c r="G100" s="102"/>
      <c r="H100" s="102"/>
      <c r="I100" s="102"/>
      <c r="J100" s="102"/>
      <c r="K100" s="102"/>
      <c r="L100" s="102"/>
      <c r="M100" s="102"/>
      <c r="O100" s="97">
        <v>8497745</v>
      </c>
    </row>
    <row r="101" spans="1:15" s="97" customFormat="1" hidden="1" x14ac:dyDescent="0.2">
      <c r="B101" s="97">
        <v>10</v>
      </c>
      <c r="D101" s="102"/>
      <c r="E101" s="102"/>
      <c r="F101" s="102"/>
      <c r="G101" s="102"/>
      <c r="H101" s="102"/>
      <c r="I101" s="102"/>
      <c r="J101" s="102"/>
      <c r="K101" s="102"/>
      <c r="L101" s="102"/>
      <c r="M101" s="102"/>
      <c r="O101" s="97">
        <v>14393110</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9</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23</v>
      </c>
      <c r="D120" s="56">
        <v>46</v>
      </c>
      <c r="E120" s="56">
        <v>23</v>
      </c>
      <c r="F120" s="57">
        <v>92</v>
      </c>
    </row>
    <row r="121" spans="1:14" ht="18" customHeight="1" x14ac:dyDescent="0.2">
      <c r="A121" s="225" t="s">
        <v>23</v>
      </c>
      <c r="B121" s="30" t="s">
        <v>58</v>
      </c>
      <c r="C121" s="58">
        <v>16.385217666625977</v>
      </c>
      <c r="D121" s="58">
        <v>15.696304798126221</v>
      </c>
      <c r="E121" s="58">
        <v>14.055217742919922</v>
      </c>
      <c r="F121" s="59">
        <v>15.458260536193848</v>
      </c>
    </row>
    <row r="122" spans="1:14" ht="18" customHeight="1" x14ac:dyDescent="0.2">
      <c r="A122" s="226"/>
      <c r="B122" s="33" t="s">
        <v>51</v>
      </c>
      <c r="C122" s="60">
        <v>271.7391357421875</v>
      </c>
      <c r="D122" s="60">
        <v>220.71739196777344</v>
      </c>
      <c r="E122" s="60">
        <v>233.17391967773437</v>
      </c>
      <c r="F122" s="61">
        <v>236.58695983886719</v>
      </c>
    </row>
    <row r="123" spans="1:14" ht="18" customHeight="1" x14ac:dyDescent="0.2">
      <c r="A123" s="226"/>
      <c r="B123" s="33" t="s">
        <v>52</v>
      </c>
      <c r="C123" s="60">
        <v>79.086959838867188</v>
      </c>
      <c r="D123" s="60">
        <v>57.5</v>
      </c>
      <c r="E123" s="60">
        <v>31.478260040283203</v>
      </c>
      <c r="F123" s="61">
        <v>56.391304016113281</v>
      </c>
    </row>
    <row r="124" spans="1:14" ht="18" customHeight="1" x14ac:dyDescent="0.2">
      <c r="A124" s="226"/>
      <c r="B124" s="33" t="s">
        <v>53</v>
      </c>
      <c r="C124" s="60">
        <v>219.25309753417969</v>
      </c>
      <c r="D124" s="60">
        <v>187.91506195068359</v>
      </c>
      <c r="E124" s="60">
        <v>171.32073974609375</v>
      </c>
      <c r="F124" s="61">
        <v>191.60099792480469</v>
      </c>
    </row>
    <row r="125" spans="1:14" ht="18" customHeight="1" x14ac:dyDescent="0.2">
      <c r="A125" s="226"/>
      <c r="B125" s="33" t="s">
        <v>54</v>
      </c>
      <c r="C125" s="28">
        <v>419.4068603515625</v>
      </c>
      <c r="D125" s="28">
        <v>286.20719909667969</v>
      </c>
      <c r="E125" s="28">
        <v>83.191123962402344</v>
      </c>
      <c r="F125" s="62">
        <v>268.75308227539062</v>
      </c>
    </row>
    <row r="126" spans="1:14" ht="18" customHeight="1" x14ac:dyDescent="0.2">
      <c r="A126" s="226"/>
      <c r="B126" s="33" t="s">
        <v>59</v>
      </c>
      <c r="C126" s="28">
        <f ca="1">851.2176875*OFFSET($L$112,MATCH($N$1,$C$112:$C$113,0)-1,0)</f>
        <v>851.21768750000001</v>
      </c>
      <c r="D126" s="28">
        <f ca="1">485.521625*OFFSET($L$112,MATCH($N$1,$C$112:$C$113,0)-1,0)</f>
        <v>485.52162499999997</v>
      </c>
      <c r="E126" s="28">
        <f ca="1">178.114390625*OFFSET($L$112,MATCH($N$1,$C$112:$C$113,0)-1,0)</f>
        <v>178.114390625</v>
      </c>
      <c r="F126" s="62">
        <f ca="1">500.09384375*OFFSET($L$112,MATCH($N$1,$C$112:$C$113,0)-1,0)</f>
        <v>500.09384375000002</v>
      </c>
    </row>
    <row r="127" spans="1:14" ht="18" customHeight="1" x14ac:dyDescent="0.2">
      <c r="A127" s="226"/>
      <c r="B127" s="33" t="s">
        <v>56</v>
      </c>
      <c r="C127" s="60">
        <v>209.39131164550781</v>
      </c>
      <c r="D127" s="60">
        <v>202.10869598388672</v>
      </c>
      <c r="E127" s="60">
        <v>156.82608032226562</v>
      </c>
      <c r="F127" s="61">
        <v>192.60868835449219</v>
      </c>
    </row>
    <row r="128" spans="1:14" ht="18" customHeight="1" x14ac:dyDescent="0.2">
      <c r="A128" s="226"/>
      <c r="B128" s="33" t="s">
        <v>60</v>
      </c>
      <c r="C128" s="60">
        <v>26.260869979858398</v>
      </c>
      <c r="D128" s="60">
        <v>29.391304016113281</v>
      </c>
      <c r="E128" s="60">
        <v>31.782608032226563</v>
      </c>
      <c r="F128" s="61">
        <v>29.206521987915039</v>
      </c>
    </row>
    <row r="129" spans="1:14" ht="18" customHeight="1" x14ac:dyDescent="0.2">
      <c r="A129" s="226"/>
      <c r="B129" s="33" t="s">
        <v>61</v>
      </c>
      <c r="C129" s="63">
        <v>2.0029811859130859</v>
      </c>
      <c r="D129" s="63">
        <v>1.4161053175044866</v>
      </c>
      <c r="E129" s="63">
        <v>0.53046739101409912</v>
      </c>
      <c r="F129" s="64">
        <v>1.3953320980072021</v>
      </c>
    </row>
    <row r="130" spans="1:14" ht="18" customHeight="1" x14ac:dyDescent="0.2">
      <c r="A130" s="227"/>
      <c r="B130" s="35" t="s">
        <v>24</v>
      </c>
      <c r="C130" s="37">
        <f ca="1">2029.57502122516*OFFSET($L$112,MATCH($N$1,$C$112:$C$113,0)-1,0)</f>
        <v>2029.5750212251601</v>
      </c>
      <c r="D130" s="37">
        <f ca="1">1696.39906519609*OFFSET($L$112,MATCH($N$1,$C$112:$C$113,0)-1,0)</f>
        <v>1696.3990651960901</v>
      </c>
      <c r="E130" s="37">
        <f ca="1">2141.02637566837*OFFSET($L$112,MATCH($N$1,$C$112:$C$113,0)-1,0)</f>
        <v>2141.0263756683698</v>
      </c>
      <c r="F130" s="65">
        <f ca="1">1861*OFFSET($L$112,MATCH($N$1,$C$112:$C$113,0)-1,0)</f>
        <v>1861</v>
      </c>
    </row>
    <row r="131" spans="1:14" ht="18" customHeight="1" x14ac:dyDescent="0.2">
      <c r="A131" s="239" t="s">
        <v>25</v>
      </c>
      <c r="B131" s="30" t="s">
        <v>62</v>
      </c>
      <c r="C131" s="66">
        <v>6.8842713562587292</v>
      </c>
      <c r="D131" s="66">
        <v>6.1880340648461569</v>
      </c>
      <c r="E131" s="66">
        <v>2.2233122270242602</v>
      </c>
      <c r="F131" s="67">
        <v>5.6329504386691713</v>
      </c>
    </row>
    <row r="132" spans="1:14" ht="18" customHeight="1" x14ac:dyDescent="0.2">
      <c r="A132" s="228"/>
      <c r="B132" s="33" t="s">
        <v>63</v>
      </c>
      <c r="C132" s="63">
        <f ca="1">13.9721451839986*OFFSET($L$112,MATCH($N$1,$C$112:$C$113,0)-1,0)</f>
        <v>13.972145183998601</v>
      </c>
      <c r="D132" s="63">
        <f ca="1">10.4973752030066*OFFSET($L$112,MATCH($N$1,$C$112:$C$113,0)-1,0)</f>
        <v>10.4973752030066</v>
      </c>
      <c r="E132" s="63">
        <f ca="1">4.76017011940491*OFFSET($L$112,MATCH($N$1,$C$112:$C$113,0)-1,0)</f>
        <v>4.7601701194049104</v>
      </c>
      <c r="F132" s="64">
        <f ca="1">10.4817545260401*OFFSET($L$112,MATCH($N$1,$C$112:$C$113,0)-1,0)</f>
        <v>10.481754526040101</v>
      </c>
    </row>
    <row r="133" spans="1:14" ht="18" customHeight="1" x14ac:dyDescent="0.2">
      <c r="A133" s="228"/>
      <c r="B133" s="33" t="s">
        <v>11</v>
      </c>
      <c r="C133" s="63">
        <f ca="1">9.42089902420815*OFFSET($L$112,MATCH($N$1,$C$112:$C$113,0)-1,0)</f>
        <v>9.4208990242081505</v>
      </c>
      <c r="D133" s="63">
        <f ca="1">7.54693370968197*OFFSET($L$112,MATCH($N$1,$C$112:$C$113,0)-1,0)</f>
        <v>7.5469337096819702</v>
      </c>
      <c r="E133" s="63">
        <f ca="1">3.96123951982473*OFFSET($L$112,MATCH($N$1,$C$112:$C$113,0)-1,0)</f>
        <v>3.9612395198247299</v>
      </c>
      <c r="F133" s="64">
        <f ca="1">7.44212750168086*OFFSET($L$112,MATCH($N$1,$C$112:$C$113,0)-1,0)</f>
        <v>7.4421275016808597</v>
      </c>
    </row>
    <row r="134" spans="1:14" ht="18" customHeight="1" x14ac:dyDescent="0.2">
      <c r="A134" s="229"/>
      <c r="B134" s="35" t="s">
        <v>12</v>
      </c>
      <c r="C134" s="68">
        <f ca="1">4.55124615979042*OFFSET($L$112,MATCH($N$1,$C$112:$C$113,0)-1,0)</f>
        <v>4.5512461597904199</v>
      </c>
      <c r="D134" s="68">
        <f ca="1">2.95044149332464*OFFSET($L$112,MATCH($N$1,$C$112:$C$113,0)-1,0)</f>
        <v>2.9504414933246399</v>
      </c>
      <c r="E134" s="68">
        <f ca="1">0.798930599580182*OFFSET($L$112,MATCH($N$1,$C$112:$C$113,0)-1,0)</f>
        <v>0.79893059958018198</v>
      </c>
      <c r="F134" s="69">
        <f ca="1">3.03962702435928*OFFSET($L$112,MATCH($N$1,$C$112:$C$113,0)-1,0)</f>
        <v>3.0396270243592798</v>
      </c>
    </row>
    <row r="135" spans="1:14" ht="18" customHeight="1" x14ac:dyDescent="0.2">
      <c r="A135" s="240" t="s">
        <v>45</v>
      </c>
      <c r="B135" s="33" t="s">
        <v>102</v>
      </c>
      <c r="C135" s="70">
        <f ca="1">58.51226953125*OFFSET($L$112,MATCH($N$1,$C$112:$C$113,0)-1,0)</f>
        <v>58.512269531249999</v>
      </c>
      <c r="D135" s="70">
        <f ca="1">55.063927734375*OFFSET($L$112,MATCH($N$1,$C$112:$C$113,0)-1,0)</f>
        <v>55.063927734375</v>
      </c>
      <c r="E135" s="70">
        <f ca="1">40.3678515625*OFFSET($L$112,MATCH($N$1,$C$112:$C$113,0)-1,0)</f>
        <v>40.3678515625</v>
      </c>
      <c r="F135" s="71">
        <f ca="1">52.2519921875*OFFSET($L$112,MATCH($N$1,$C$112:$C$113,0)-1,0)</f>
        <v>52.251992187500001</v>
      </c>
    </row>
    <row r="136" spans="1:14" ht="18" customHeight="1" x14ac:dyDescent="0.2">
      <c r="A136" s="241"/>
      <c r="B136" s="33" t="s">
        <v>103</v>
      </c>
      <c r="C136" s="26">
        <v>138052.17486063112</v>
      </c>
      <c r="D136" s="26">
        <v>130235.86904495768</v>
      </c>
      <c r="E136" s="26">
        <v>95843.477921560407</v>
      </c>
      <c r="F136" s="72">
        <v>123591.84782608696</v>
      </c>
    </row>
    <row r="137" spans="1:14" ht="18" customHeight="1" x14ac:dyDescent="0.2">
      <c r="A137" s="241"/>
      <c r="B137" s="33" t="s">
        <v>104</v>
      </c>
      <c r="C137" s="26">
        <v>659.30230712890625</v>
      </c>
      <c r="D137" s="26">
        <v>644.38528194423088</v>
      </c>
      <c r="E137" s="26">
        <v>611.14501953125</v>
      </c>
      <c r="F137" s="72">
        <v>641.67327880859375</v>
      </c>
    </row>
    <row r="138" spans="1:14" ht="18" customHeight="1" x14ac:dyDescent="0.2">
      <c r="A138" s="241"/>
      <c r="B138" s="33" t="s">
        <v>105</v>
      </c>
      <c r="C138" s="26">
        <f ca="1">279.439815680171*OFFSET($L$112,MATCH($N$1,$C$112:$C$113,0)-1,0)</f>
        <v>279.43981568017102</v>
      </c>
      <c r="D138" s="26">
        <f ca="1">272.447098163282*OFFSET($L$112,MATCH($N$1,$C$112:$C$113,0)-1,0)</f>
        <v>272.44709816328202</v>
      </c>
      <c r="E138" s="26">
        <f ca="1">257.40521907802*OFFSET($L$112,MATCH($N$1,$C$112:$C$113,0)-1,0)</f>
        <v>257.40521907802002</v>
      </c>
      <c r="F138" s="72">
        <f ca="1">271.285748498174*OFFSET($L$112,MATCH($N$1,$C$112:$C$113,0)-1,0)</f>
        <v>271.28574849817397</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139.51195143113*OFFSET($L$112,MATCH($N$1,$C$112:$C$113,0)-1,0)</f>
        <v>139.51195143113</v>
      </c>
      <c r="D139" s="26">
        <f ca="1">192.391833287794*OFFSET($L$112,MATCH($N$1,$C$112:$C$113,0)-1,0)</f>
        <v>192.39183328779399</v>
      </c>
      <c r="E139" s="26">
        <f ca="1">485.242290761019*OFFSET($L$112,MATCH($N$1,$C$112:$C$113,0)-1,0)</f>
        <v>485.24229076101898</v>
      </c>
      <c r="F139" s="72">
        <f ca="1">194.423787608722*OFFSET($L$112,MATCH($N$1,$C$112:$C$113,0)-1,0)</f>
        <v>194.42378760872199</v>
      </c>
      <c r="I139" s="49"/>
      <c r="K139" s="73" t="s">
        <v>107</v>
      </c>
      <c r="L139" s="74">
        <f t="shared" ref="L139:M141" ca="1" si="2">C140</f>
        <v>963.13587500000006</v>
      </c>
      <c r="M139" s="74">
        <f t="shared" ca="1" si="2"/>
        <v>549.35806249999996</v>
      </c>
      <c r="N139" s="74">
        <f ca="1">E140</f>
        <v>201.53289062499999</v>
      </c>
    </row>
    <row r="140" spans="1:14" ht="18" customHeight="1" x14ac:dyDescent="0.2">
      <c r="A140" s="230" t="s">
        <v>46</v>
      </c>
      <c r="B140" s="30" t="s">
        <v>108</v>
      </c>
      <c r="C140" s="75">
        <f ca="1">963.135875*OFFSET($L$112,MATCH($N$1,$C$112:$C$113,0)-1,0)</f>
        <v>963.13587500000006</v>
      </c>
      <c r="D140" s="75">
        <f ca="1">549.3580625*OFFSET($L$112,MATCH($N$1,$C$112:$C$113,0)-1,0)</f>
        <v>549.35806249999996</v>
      </c>
      <c r="E140" s="75">
        <f ca="1">201.532890625*OFFSET($L$112,MATCH($N$1,$C$112:$C$113,0)-1,0)</f>
        <v>201.53289062499999</v>
      </c>
      <c r="F140" s="76">
        <f ca="1">565.84625*OFFSET($L$112,MATCH($N$1,$C$112:$C$113,0)-1,0)</f>
        <v>565.84625000000005</v>
      </c>
      <c r="I140" s="49"/>
      <c r="K140" s="73" t="s">
        <v>109</v>
      </c>
      <c r="L140" s="74">
        <f t="shared" ca="1" si="2"/>
        <v>685.86268749999999</v>
      </c>
      <c r="M140" s="74">
        <f t="shared" ca="1" si="2"/>
        <v>412.895078125</v>
      </c>
      <c r="N140" s="74">
        <f ca="1">E141</f>
        <v>171.63878124999999</v>
      </c>
    </row>
    <row r="141" spans="1:14" ht="18" customHeight="1" x14ac:dyDescent="0.2">
      <c r="A141" s="237"/>
      <c r="B141" s="33" t="s">
        <v>110</v>
      </c>
      <c r="C141" s="26">
        <f ca="1">685.8626875*OFFSET($L$112,MATCH($N$1,$C$112:$C$113,0)-1,0)</f>
        <v>685.86268749999999</v>
      </c>
      <c r="D141" s="26">
        <f ca="1">412.895078125*OFFSET($L$112,MATCH($N$1,$C$112:$C$113,0)-1,0)</f>
        <v>412.895078125</v>
      </c>
      <c r="E141" s="26">
        <f ca="1">171.63878125*OFFSET($L$112,MATCH($N$1,$C$112:$C$113,0)-1,0)</f>
        <v>171.63878124999999</v>
      </c>
      <c r="F141" s="72">
        <f ca="1">420.82290625*OFFSET($L$112,MATCH($N$1,$C$112:$C$113,0)-1,0)</f>
        <v>420.82290625000002</v>
      </c>
      <c r="I141" s="49"/>
      <c r="K141" s="73" t="s">
        <v>111</v>
      </c>
      <c r="L141" s="74">
        <f t="shared" ca="1" si="2"/>
        <v>277.27318750000001</v>
      </c>
      <c r="M141" s="74">
        <f t="shared" ca="1" si="2"/>
        <v>136.46298437499999</v>
      </c>
      <c r="N141" s="74">
        <f ca="1">E142</f>
        <v>29.894109374999999</v>
      </c>
    </row>
    <row r="142" spans="1:14" ht="18" customHeight="1" x14ac:dyDescent="0.2">
      <c r="A142" s="238"/>
      <c r="B142" s="35" t="s">
        <v>112</v>
      </c>
      <c r="C142" s="37">
        <f ca="1">277.2731875*OFFSET($L$112,MATCH($N$1,$C$112:$C$113,0)-1,0)</f>
        <v>277.27318750000001</v>
      </c>
      <c r="D142" s="37">
        <f ca="1">136.462984375*OFFSET($L$112,MATCH($N$1,$C$112:$C$113,0)-1,0)</f>
        <v>136.46298437499999</v>
      </c>
      <c r="E142" s="37">
        <f ca="1">29.894109375*OFFSET($L$112,MATCH($N$1,$C$112:$C$113,0)-1,0)</f>
        <v>29.894109374999999</v>
      </c>
      <c r="F142" s="65">
        <f ca="1">145.0233125*OFFSET($L$112,MATCH($N$1,$C$112:$C$113,0)-1,0)</f>
        <v>145.0233125</v>
      </c>
      <c r="I142" s="49"/>
      <c r="K142" s="73" t="s">
        <v>113</v>
      </c>
      <c r="L142" s="77">
        <f ca="1">IFERROR(L140/L$139,"")</f>
        <v>0.71211415263708244</v>
      </c>
      <c r="M142" s="77">
        <f t="shared" ref="M142:N143" ca="1" si="3">IFERROR(M140/M$139,"")</f>
        <v>0.75159555544886547</v>
      </c>
      <c r="N142" s="77">
        <f t="shared" ca="1" si="3"/>
        <v>0.85166634943660324</v>
      </c>
    </row>
    <row r="143" spans="1:14" ht="18" customHeight="1" x14ac:dyDescent="0.2">
      <c r="I143" s="49"/>
      <c r="K143" s="73" t="s">
        <v>114</v>
      </c>
      <c r="L143" s="77">
        <f ca="1">IFERROR(L141/L$139,"")</f>
        <v>0.2878858473629175</v>
      </c>
      <c r="M143" s="77">
        <f t="shared" ca="1" si="3"/>
        <v>0.24840444455113464</v>
      </c>
      <c r="N143" s="77">
        <f t="shared" ca="1" si="3"/>
        <v>0.14833365056339673</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9</v>
      </c>
      <c r="B161" s="53"/>
      <c r="C161" s="79" t="s">
        <v>41</v>
      </c>
      <c r="D161" s="79" t="s">
        <v>115</v>
      </c>
      <c r="E161" s="79" t="s">
        <v>43</v>
      </c>
      <c r="F161" s="79" t="s">
        <v>116</v>
      </c>
      <c r="G161" s="80">
        <v>9</v>
      </c>
      <c r="H161" s="79"/>
      <c r="I161" s="79" t="s">
        <v>41</v>
      </c>
      <c r="J161" s="79" t="s">
        <v>115</v>
      </c>
      <c r="K161" s="79" t="s">
        <v>43</v>
      </c>
      <c r="L161" s="53" t="s">
        <v>116</v>
      </c>
    </row>
    <row r="162" spans="1:14" s="49" customFormat="1" x14ac:dyDescent="0.2">
      <c r="A162" s="50">
        <v>1</v>
      </c>
      <c r="B162" s="53" t="s">
        <v>98</v>
      </c>
      <c r="C162" s="53">
        <v>0.83763849517775646</v>
      </c>
      <c r="D162" s="53">
        <v>0.623964088034755</v>
      </c>
      <c r="E162" s="53">
        <v>0.57178217490160321</v>
      </c>
      <c r="F162" s="50">
        <v>12153634</v>
      </c>
      <c r="G162" s="50">
        <v>1</v>
      </c>
      <c r="H162" s="53" t="s">
        <v>98</v>
      </c>
      <c r="I162" s="53">
        <v>0.74846335104600337</v>
      </c>
      <c r="J162" s="53">
        <v>0.61608099620005863</v>
      </c>
      <c r="K162" s="53">
        <v>0.43472054599759619</v>
      </c>
      <c r="L162" s="50">
        <v>12153634</v>
      </c>
    </row>
    <row r="163" spans="1:14" s="49" customFormat="1" x14ac:dyDescent="0.2">
      <c r="A163" s="50">
        <v>2</v>
      </c>
      <c r="B163" s="53" t="s">
        <v>242</v>
      </c>
      <c r="C163" s="53">
        <v>0.13618152130150313</v>
      </c>
      <c r="D163" s="53">
        <v>0.34212018038541864</v>
      </c>
      <c r="E163" s="53">
        <v>0.30758521829573426</v>
      </c>
      <c r="F163" s="50">
        <v>553960</v>
      </c>
      <c r="G163" s="50">
        <v>2</v>
      </c>
      <c r="H163" s="53" t="s">
        <v>242</v>
      </c>
      <c r="I163" s="53">
        <v>7.987576046890385E-2</v>
      </c>
      <c r="J163" s="53">
        <v>0.24083250148706489</v>
      </c>
      <c r="K163" s="53">
        <v>0.15406924941553224</v>
      </c>
      <c r="L163" s="50">
        <v>553960</v>
      </c>
      <c r="N163" s="49" t="s">
        <v>117</v>
      </c>
    </row>
    <row r="164" spans="1:14" s="49" customFormat="1" x14ac:dyDescent="0.2">
      <c r="A164" s="50">
        <v>3</v>
      </c>
      <c r="B164" s="53" t="s">
        <v>230</v>
      </c>
      <c r="C164" s="53">
        <v>2.4839083809152802E-2</v>
      </c>
      <c r="D164" s="53">
        <v>2.1011459642372391E-2</v>
      </c>
      <c r="E164" s="53">
        <v>3.9209869266330577E-2</v>
      </c>
      <c r="F164" s="50">
        <v>3050596</v>
      </c>
      <c r="G164" s="50">
        <v>3</v>
      </c>
      <c r="H164" s="53" t="s">
        <v>230</v>
      </c>
      <c r="I164" s="53">
        <v>0.17069510169117483</v>
      </c>
      <c r="J164" s="53">
        <v>0.12494822203873647</v>
      </c>
      <c r="K164" s="53">
        <v>0.24200603235750801</v>
      </c>
      <c r="L164" s="50">
        <v>3050596</v>
      </c>
      <c r="N164" s="49" t="s">
        <v>118</v>
      </c>
    </row>
    <row r="165" spans="1:14" s="49" customFormat="1" x14ac:dyDescent="0.2">
      <c r="A165" s="50">
        <v>4</v>
      </c>
      <c r="B165" s="53" t="s">
        <v>93</v>
      </c>
      <c r="C165" s="53">
        <v>0</v>
      </c>
      <c r="D165" s="53">
        <v>9.1040684585974151E-3</v>
      </c>
      <c r="E165" s="53">
        <v>2.5983593121941258E-2</v>
      </c>
      <c r="F165" s="50">
        <v>1692097</v>
      </c>
      <c r="G165" s="50">
        <v>4</v>
      </c>
      <c r="H165" s="53" t="s">
        <v>93</v>
      </c>
      <c r="I165" s="53">
        <v>0</v>
      </c>
      <c r="J165" s="53">
        <v>1.4771087231106553E-2</v>
      </c>
      <c r="K165" s="53">
        <v>0.11223324150208761</v>
      </c>
      <c r="L165" s="50">
        <v>1692097</v>
      </c>
    </row>
    <row r="166" spans="1:14" s="49" customFormat="1" x14ac:dyDescent="0.2">
      <c r="A166" s="50">
        <v>5</v>
      </c>
      <c r="B166" s="53" t="s">
        <v>246</v>
      </c>
      <c r="C166" s="53">
        <v>9.3752479896098051E-4</v>
      </c>
      <c r="D166" s="53">
        <v>1.588258212081937E-3</v>
      </c>
      <c r="E166" s="53">
        <v>0</v>
      </c>
      <c r="F166" s="50">
        <v>11115023</v>
      </c>
      <c r="G166" s="50">
        <v>5</v>
      </c>
      <c r="H166" s="53" t="s">
        <v>246</v>
      </c>
      <c r="I166" s="53">
        <v>7.3260454207158855E-4</v>
      </c>
      <c r="J166" s="53">
        <v>1.9983048433372809E-3</v>
      </c>
      <c r="K166" s="53">
        <v>0</v>
      </c>
      <c r="L166" s="50">
        <v>11115023</v>
      </c>
    </row>
    <row r="167" spans="1:14" s="49" customFormat="1" x14ac:dyDescent="0.2">
      <c r="A167" s="50">
        <v>6</v>
      </c>
      <c r="B167" s="53" t="s">
        <v>94</v>
      </c>
      <c r="C167" s="53">
        <v>0</v>
      </c>
      <c r="D167" s="53">
        <v>0</v>
      </c>
      <c r="E167" s="53">
        <v>3.8732339273263472E-2</v>
      </c>
      <c r="F167" s="50">
        <v>3689192</v>
      </c>
      <c r="G167" s="50">
        <v>6</v>
      </c>
      <c r="H167" s="53" t="s">
        <v>94</v>
      </c>
      <c r="I167" s="53">
        <v>0</v>
      </c>
      <c r="J167" s="53">
        <v>0</v>
      </c>
      <c r="K167" s="53">
        <v>3.8670402414285571E-2</v>
      </c>
      <c r="L167" s="50">
        <v>3689192</v>
      </c>
    </row>
    <row r="168" spans="1:14" s="49" customFormat="1" x14ac:dyDescent="0.2">
      <c r="A168" s="50">
        <v>7</v>
      </c>
      <c r="B168" s="53" t="s">
        <v>404</v>
      </c>
      <c r="C168" s="53">
        <v>4.0335427483722202E-4</v>
      </c>
      <c r="D168" s="53">
        <v>0</v>
      </c>
      <c r="E168" s="53">
        <v>0</v>
      </c>
      <c r="F168" s="50">
        <v>2480382</v>
      </c>
      <c r="G168" s="50">
        <v>7</v>
      </c>
      <c r="H168" s="53" t="s">
        <v>404</v>
      </c>
      <c r="I168" s="53">
        <v>2.3315029590474404E-4</v>
      </c>
      <c r="J168" s="53">
        <v>0</v>
      </c>
      <c r="K168" s="53">
        <v>0</v>
      </c>
      <c r="L168" s="50">
        <v>2480382</v>
      </c>
    </row>
    <row r="169" spans="1:14" s="49" customFormat="1" x14ac:dyDescent="0.2">
      <c r="A169" s="50">
        <v>8</v>
      </c>
      <c r="B169" s="53" t="s">
        <v>101</v>
      </c>
      <c r="C169" s="53">
        <v>2.0637789366340087E-8</v>
      </c>
      <c r="D169" s="53">
        <v>2.2119452667745954E-3</v>
      </c>
      <c r="E169" s="53">
        <v>1.6706805141127212E-2</v>
      </c>
      <c r="F169" s="50">
        <v>5920853</v>
      </c>
      <c r="G169" s="50">
        <v>8</v>
      </c>
      <c r="H169" s="53" t="s">
        <v>101</v>
      </c>
      <c r="I169" s="53">
        <v>3.1955941559580481E-8</v>
      </c>
      <c r="J169" s="53">
        <v>1.368888199696161E-3</v>
      </c>
      <c r="K169" s="53">
        <v>1.8300528312990449E-2</v>
      </c>
      <c r="L169" s="50">
        <v>5920853</v>
      </c>
    </row>
    <row r="170" spans="1:14" s="49" customFormat="1" x14ac:dyDescent="0.2">
      <c r="A170" s="50">
        <v>9</v>
      </c>
      <c r="B170" s="53"/>
      <c r="C170" s="53">
        <v>0</v>
      </c>
      <c r="D170" s="53">
        <v>0</v>
      </c>
      <c r="E170" s="53">
        <v>0</v>
      </c>
      <c r="F170" s="50"/>
      <c r="G170" s="50">
        <v>9</v>
      </c>
      <c r="H170" s="53"/>
      <c r="I170" s="53">
        <v>0</v>
      </c>
      <c r="J170" s="53">
        <v>0</v>
      </c>
      <c r="K170" s="53">
        <v>0</v>
      </c>
      <c r="L170" s="50"/>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'Pots and traps over 12m'!D3:N3</xm:f>
              <xm:sqref>C3</xm:sqref>
            </x14:sparkline>
            <x14:sparkline>
              <xm:f>'Pots and traps over 12m'!D4:N4</xm:f>
              <xm:sqref>C4</xm:sqref>
            </x14:sparkline>
            <x14:sparkline>
              <xm:f>'Pots and traps over 12m'!D5:N5</xm:f>
              <xm:sqref>C5</xm:sqref>
            </x14:sparkline>
            <x14:sparkline>
              <xm:f>'Pots and traps over 12m'!D6:N6</xm:f>
              <xm:sqref>C6</xm:sqref>
            </x14:sparkline>
            <x14:sparkline>
              <xm:f>'Pots and traps over 12m'!D7:N7</xm:f>
              <xm:sqref>C7</xm:sqref>
            </x14:sparkline>
            <x14:sparkline>
              <xm:f>'Pots and traps over 12m'!D8:N8</xm:f>
              <xm:sqref>C8</xm:sqref>
            </x14:sparkline>
            <x14:sparkline>
              <xm:f>'Pots and traps over 12m'!D9:N9</xm:f>
              <xm:sqref>C9</xm:sqref>
            </x14:sparkline>
            <x14:sparkline>
              <xm:f>'Pots and traps over 12m'!F10:M10</xm:f>
              <xm:sqref>C10</xm:sqref>
            </x14:sparkline>
            <x14:sparkline>
              <xm:f>'Pots and traps over 12m'!D11:N11</xm:f>
              <xm:sqref>C11</xm:sqref>
            </x14:sparkline>
            <x14:sparkline>
              <xm:f>'Pots and traps over 12m'!D12:N12</xm:f>
              <xm:sqref>C12</xm:sqref>
            </x14:sparkline>
            <x14:sparkline>
              <xm:f>'Pots and traps over 12m'!D13:N13</xm:f>
              <xm:sqref>C13</xm:sqref>
            </x14:sparkline>
            <x14:sparkline>
              <xm:f>'Pots and traps over 12m'!D14:N14</xm:f>
              <xm:sqref>C14</xm:sqref>
            </x14:sparkline>
            <x14:sparkline>
              <xm:f>'Pots and traps over 12m'!D15:N15</xm:f>
              <xm:sqref>C15</xm:sqref>
            </x14:sparkline>
            <x14:sparkline>
              <xm:f>'Pots and traps over 12m'!D16:N16</xm:f>
              <xm:sqref>C16</xm:sqref>
            </x14:sparkline>
            <x14:sparkline>
              <xm:f>'Pots and traps over 12m'!D17:N17</xm:f>
              <xm:sqref>C17</xm:sqref>
            </x14:sparkline>
            <x14:sparkline>
              <xm:f>'Pots and traps over 12m'!D18:N18</xm:f>
              <xm:sqref>C18</xm:sqref>
            </x14:sparkline>
            <x14:sparkline>
              <xm:f>'Pots and traps over 12m'!D19:N19</xm:f>
              <xm:sqref>C19</xm:sqref>
            </x14:sparkline>
            <x14:sparkline>
              <xm:f>'Pots and traps over 12m'!D20:N20</xm:f>
              <xm:sqref>C20</xm:sqref>
            </x14:sparkline>
            <x14:sparkline>
              <xm:f>'Pots and traps over 12m'!D21:N21</xm:f>
              <xm:sqref>C21</xm:sqref>
            </x14:sparkline>
            <x14:sparkline>
              <xm:f>'Pots and traps over 12m'!D22:N22</xm:f>
              <xm:sqref>C22</xm:sqref>
            </x14:sparkline>
            <x14:sparkline>
              <xm:f>'Pots and traps over 12m'!D23:N23</xm:f>
              <xm:sqref>C23</xm:sqref>
            </x14:sparkline>
            <x14:sparkline>
              <xm:f>'Pots and traps over 12m'!D24:N24</xm:f>
              <xm:sqref>C24</xm:sqref>
            </x14:sparkline>
            <x14:sparkline>
              <xm:f>'Pots and traps over 12m'!F25:M25</xm:f>
              <xm:sqref>C25</xm:sqref>
            </x14:sparkline>
            <x14:sparkline>
              <xm:f>'Pots and traps over 12m'!F26:M26</xm:f>
              <xm:sqref>C26</xm:sqref>
            </x14:sparkline>
            <x14:sparkline>
              <xm:f>'Pots and traps over 12m'!D27:N27</xm:f>
              <xm:sqref>C27</xm:sqref>
            </x14:sparkline>
            <x14:sparkline>
              <xm:f>'Pots and traps over 12m'!D28:N28</xm:f>
              <xm:sqref>C28</xm:sqref>
            </x14:sparkline>
            <x14:sparkline>
              <xm:f>'Pots and traps over 12m'!D29:N29</xm:f>
              <xm:sqref>C29</xm:sqref>
            </x14:sparkline>
            <x14:sparkline>
              <xm:f>'Pots and traps over 12m'!D30:N30</xm:f>
              <xm:sqref>C30</xm:sqref>
            </x14:sparkline>
            <x14:sparkline>
              <xm:f>'Pots and traps over 12m'!D31:N31</xm:f>
              <xm:sqref>C31</xm:sqref>
            </x14:sparkline>
            <x14:sparkline>
              <xm:f>'Pots and traps over 12m'!D32:N32</xm:f>
              <xm:sqref>C32</xm:sqref>
            </x14:sparkline>
            <x14:sparkline>
              <xm:f>'Pots and traps over 12m'!D33:N33</xm:f>
              <xm:sqref>C33</xm:sqref>
            </x14:sparkline>
            <x14:sparkline>
              <xm:f>'Pots and traps over 12m'!D34:N34</xm:f>
              <xm:sqref>C34</xm:sqref>
            </x14:sparkline>
            <x14:sparkline>
              <xm:f>'Pots and traps over 12m'!D35:N35</xm:f>
              <xm:sqref>C35</xm:sqref>
            </x14:sparkline>
            <x14:sparkline>
              <xm:f>'Pots and traps over 12m'!D36:N36</xm:f>
              <xm:sqref>C36</xm:sqref>
            </x14:sparkline>
            <x14:sparkline>
              <xm:f>'Pots and traps over 12m'!D37:N37</xm:f>
              <xm:sqref>C37</xm:sqref>
            </x14:sparkline>
            <x14:sparkline>
              <xm:f>'Pots and traps over 12m'!D38:M38</xm:f>
              <xm:sqref>C38</xm:sqref>
            </x14:sparkline>
            <x14:sparkline>
              <xm:f>'Pots and traps over 12m'!D39:M39</xm:f>
              <xm:sqref>C39</xm:sqref>
            </x14:sparkline>
            <x14:sparkline>
              <xm:f>'Pots and traps over 12m'!D40:M40</xm:f>
              <xm:sqref>C40</xm:sqref>
            </x14:sparkline>
            <x14:sparkline>
              <xm:f>'Pots and traps over 12m'!D41:M41</xm:f>
              <xm:sqref>C41</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405</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31</v>
      </c>
      <c r="E3" s="22">
        <v>24</v>
      </c>
      <c r="F3" s="22">
        <v>22</v>
      </c>
      <c r="G3" s="22">
        <v>22</v>
      </c>
      <c r="H3" s="22">
        <v>19</v>
      </c>
      <c r="I3" s="22">
        <v>19</v>
      </c>
      <c r="J3" s="22">
        <v>20</v>
      </c>
      <c r="K3" s="22">
        <v>22</v>
      </c>
      <c r="L3" s="22">
        <v>23</v>
      </c>
      <c r="M3" s="22">
        <v>26</v>
      </c>
      <c r="N3" s="22">
        <v>26</v>
      </c>
      <c r="O3" s="23">
        <f t="shared" ref="O3:O41" si="0">IF(N3=0,"",IFERROR(IF(AND(N3&gt;0,D3&lt;0),"na",IF(AND(N3&lt;0,D3&lt;0),-1,1)*(N3-D3)/D3),""))</f>
        <v>-0.16129032258064516</v>
      </c>
      <c r="P3" s="23">
        <f>IF(N3=0,"",IFERROR(IF(AND(N3&gt;0,J3&lt;0),"na",IF(AND(N3&lt;0,J3&lt;0),-1,1)*(N3-J3)/J3),""))</f>
        <v>0.3</v>
      </c>
    </row>
    <row r="4" spans="1:17" ht="18" customHeight="1" x14ac:dyDescent="0.2">
      <c r="A4" s="224"/>
      <c r="B4" s="24" t="s">
        <v>51</v>
      </c>
      <c r="C4" s="25"/>
      <c r="D4" s="26">
        <v>18548</v>
      </c>
      <c r="E4" s="26">
        <v>14516</v>
      </c>
      <c r="F4" s="26">
        <v>13170</v>
      </c>
      <c r="G4" s="26">
        <v>13241</v>
      </c>
      <c r="H4" s="26">
        <v>11526</v>
      </c>
      <c r="I4" s="26">
        <v>11424</v>
      </c>
      <c r="J4" s="26">
        <v>12125</v>
      </c>
      <c r="K4" s="26">
        <v>13465</v>
      </c>
      <c r="L4" s="26">
        <v>13971</v>
      </c>
      <c r="M4" s="26">
        <v>16196</v>
      </c>
      <c r="N4" s="26">
        <v>16196</v>
      </c>
      <c r="O4" s="23">
        <f t="shared" si="0"/>
        <v>-0.1268061246495579</v>
      </c>
      <c r="P4" s="23">
        <f t="shared" ref="P4:P41" si="1">IF(N4=0,"",IFERROR(IF(AND(N4&gt;0,J4&lt;0),"na",IF(AND(N4&lt;0,J4&lt;0),-1,1)*(N4-J4)/J4),""))</f>
        <v>0.33575257731958763</v>
      </c>
    </row>
    <row r="5" spans="1:17" ht="18" customHeight="1" x14ac:dyDescent="0.2">
      <c r="A5" s="224"/>
      <c r="B5" s="24" t="s">
        <v>52</v>
      </c>
      <c r="C5" s="25"/>
      <c r="D5" s="26">
        <v>4923</v>
      </c>
      <c r="E5" s="26">
        <v>3835</v>
      </c>
      <c r="F5" s="26">
        <v>3464</v>
      </c>
      <c r="G5" s="26">
        <v>3497</v>
      </c>
      <c r="H5" s="26">
        <v>3087</v>
      </c>
      <c r="I5" s="26">
        <v>3141</v>
      </c>
      <c r="J5" s="26">
        <v>3308</v>
      </c>
      <c r="K5" s="26">
        <v>3773</v>
      </c>
      <c r="L5" s="26">
        <v>3893</v>
      </c>
      <c r="M5" s="26">
        <v>4437</v>
      </c>
      <c r="N5" s="26">
        <v>4437</v>
      </c>
      <c r="O5" s="23">
        <f t="shared" si="0"/>
        <v>-9.8720292504570387E-2</v>
      </c>
      <c r="P5" s="23">
        <f t="shared" si="1"/>
        <v>0.34129383313180167</v>
      </c>
      <c r="Q5" s="27"/>
    </row>
    <row r="6" spans="1:17" ht="18" customHeight="1" x14ac:dyDescent="0.2">
      <c r="A6" s="224"/>
      <c r="B6" s="24" t="s">
        <v>53</v>
      </c>
      <c r="C6" s="25"/>
      <c r="D6" s="26">
        <v>14332.025390625</v>
      </c>
      <c r="E6" s="26">
        <v>11114.9873046875</v>
      </c>
      <c r="F6" s="26">
        <v>10114.748046875</v>
      </c>
      <c r="G6" s="26">
        <v>10150.666015625</v>
      </c>
      <c r="H6" s="26">
        <v>8862.1005859375</v>
      </c>
      <c r="I6" s="26">
        <v>8853.3505859375</v>
      </c>
      <c r="J6" s="26">
        <v>9365.8505859375</v>
      </c>
      <c r="K6" s="26">
        <v>10416.4150390625</v>
      </c>
      <c r="L6" s="26">
        <v>10847.42578125</v>
      </c>
      <c r="M6" s="26">
        <v>12544.0810546875</v>
      </c>
      <c r="N6" s="26">
        <v>12562.3056640625</v>
      </c>
      <c r="O6" s="23">
        <f t="shared" si="0"/>
        <v>-0.12348008591445322</v>
      </c>
      <c r="P6" s="23">
        <f t="shared" si="1"/>
        <v>0.34128828436835906</v>
      </c>
    </row>
    <row r="7" spans="1:17" ht="18" customHeight="1" x14ac:dyDescent="0.2">
      <c r="A7" s="224"/>
      <c r="B7" s="24" t="s">
        <v>54</v>
      </c>
      <c r="C7" s="25"/>
      <c r="D7" s="26">
        <v>6643.34912109375</v>
      </c>
      <c r="E7" s="26">
        <v>5368.681640625</v>
      </c>
      <c r="F7" s="26">
        <v>5578.9619140625</v>
      </c>
      <c r="G7" s="26">
        <v>6131.6708984375</v>
      </c>
      <c r="H7" s="26">
        <v>5797.1298828125</v>
      </c>
      <c r="I7" s="26">
        <v>5539.44287109375</v>
      </c>
      <c r="J7" s="26">
        <v>5359.58837890625</v>
      </c>
      <c r="K7" s="26">
        <v>6152.73388671875</v>
      </c>
      <c r="L7" s="26">
        <v>6505.96044921875</v>
      </c>
      <c r="M7" s="26">
        <v>7760.0361328125</v>
      </c>
      <c r="N7" s="26">
        <v>6866.962890625</v>
      </c>
      <c r="O7" s="23">
        <f t="shared" si="0"/>
        <v>3.3659795000271581E-2</v>
      </c>
      <c r="P7" s="23">
        <f t="shared" si="1"/>
        <v>0.28124818645613325</v>
      </c>
    </row>
    <row r="8" spans="1:17" ht="18" customHeight="1" x14ac:dyDescent="0.2">
      <c r="A8" s="224"/>
      <c r="B8" s="24" t="s">
        <v>55</v>
      </c>
      <c r="C8" s="27"/>
      <c r="D8" s="28">
        <f ca="1">19.180348*OFFSET(D$112,MATCH($N$1,$C$112:$C$113,0)-1,0)</f>
        <v>19.180347999999999</v>
      </c>
      <c r="E8" s="28">
        <f ca="1">15.383862*OFFSET(E$112,MATCH($N$1,$C$112:$C$113,0)-1,0)</f>
        <v>15.383862000000001</v>
      </c>
      <c r="F8" s="28">
        <f ca="1">16.3258*OFFSET(F$112,MATCH($N$1,$C$112:$C$113,0)-1,0)</f>
        <v>16.325800000000001</v>
      </c>
      <c r="G8" s="28">
        <f ca="1">19.41268*OFFSET(G$112,MATCH($N$1,$C$112:$C$113,0)-1,0)</f>
        <v>19.412680000000002</v>
      </c>
      <c r="H8" s="28">
        <f ca="1">15.462376*OFFSET(H$112,MATCH($N$1,$C$112:$C$113,0)-1,0)</f>
        <v>15.462376000000001</v>
      </c>
      <c r="I8" s="28">
        <f ca="1">14.626346*OFFSET(I$112,MATCH($N$1,$C$112:$C$113,0)-1,0)</f>
        <v>14.626346</v>
      </c>
      <c r="J8" s="28">
        <f ca="1">14.446974*OFFSET(J$112,MATCH($N$1,$C$112:$C$113,0)-1,0)</f>
        <v>14.446974000000001</v>
      </c>
      <c r="K8" s="28">
        <f ca="1">15.538345*OFFSET(K$112,MATCH($N$1,$C$112:$C$113,0)-1,0)</f>
        <v>15.538345</v>
      </c>
      <c r="L8" s="28">
        <f ca="1">19.938164*OFFSET(L$112,MATCH($N$1,$C$112:$C$113,0)-1,0)</f>
        <v>19.938164</v>
      </c>
      <c r="M8" s="28">
        <f ca="1">26.180796*OFFSET(M$112,MATCH($N$1,$C$112:$C$113,0)-1,0)</f>
        <v>26.180796000000001</v>
      </c>
      <c r="N8" s="28">
        <v>24.522221999999999</v>
      </c>
      <c r="O8" s="23">
        <f t="shared" ca="1" si="0"/>
        <v>0.27850766836972934</v>
      </c>
      <c r="P8" s="23">
        <f t="shared" ca="1" si="1"/>
        <v>0.69739503926566204</v>
      </c>
    </row>
    <row r="9" spans="1:17" ht="18" customHeight="1" x14ac:dyDescent="0.2">
      <c r="A9" s="224"/>
      <c r="B9" s="24" t="s">
        <v>56</v>
      </c>
      <c r="C9" s="27"/>
      <c r="D9" s="26">
        <v>6200</v>
      </c>
      <c r="E9" s="26">
        <v>5117</v>
      </c>
      <c r="F9" s="26">
        <v>4668</v>
      </c>
      <c r="G9" s="26">
        <v>4916</v>
      </c>
      <c r="H9" s="26">
        <v>4115</v>
      </c>
      <c r="I9" s="26">
        <v>4099</v>
      </c>
      <c r="J9" s="26">
        <v>4315</v>
      </c>
      <c r="K9" s="26">
        <v>4443</v>
      </c>
      <c r="L9" s="26">
        <v>4806</v>
      </c>
      <c r="M9" s="26">
        <v>5870</v>
      </c>
      <c r="N9" s="26">
        <v>5433</v>
      </c>
      <c r="O9" s="23">
        <f t="shared" si="0"/>
        <v>-0.12370967741935483</v>
      </c>
      <c r="P9" s="23">
        <f t="shared" si="1"/>
        <v>0.25909617612977986</v>
      </c>
    </row>
    <row r="10" spans="1:17" ht="18" customHeight="1" x14ac:dyDescent="0.2">
      <c r="A10" s="224"/>
      <c r="B10" s="24" t="s">
        <v>57</v>
      </c>
      <c r="C10" s="27"/>
      <c r="D10" s="26"/>
      <c r="E10" s="26">
        <v>173.92820739746094</v>
      </c>
      <c r="F10" s="26">
        <v>175.28179931640625</v>
      </c>
      <c r="G10" s="26">
        <v>157.55940246582031</v>
      </c>
      <c r="H10" s="26">
        <v>157.17359924316406</v>
      </c>
      <c r="I10" s="26">
        <v>173.18310546875</v>
      </c>
      <c r="J10" s="26">
        <v>124.01369476318359</v>
      </c>
      <c r="K10" s="26">
        <v>122.88623046875</v>
      </c>
      <c r="L10" s="26">
        <v>132.43960571289062</v>
      </c>
      <c r="M10" s="26">
        <v>154.80448913574219</v>
      </c>
      <c r="N10" s="26">
        <v>185.444580078125</v>
      </c>
      <c r="O10" s="29" t="str">
        <f t="shared" si="0"/>
        <v/>
      </c>
      <c r="P10" s="29">
        <f t="shared" si="1"/>
        <v>0.49535565755257716</v>
      </c>
    </row>
    <row r="11" spans="1:17" ht="18" customHeight="1" x14ac:dyDescent="0.2">
      <c r="A11" s="225" t="s">
        <v>23</v>
      </c>
      <c r="B11" s="30" t="s">
        <v>58</v>
      </c>
      <c r="C11" s="31"/>
      <c r="D11" s="32">
        <v>28.52967643737793</v>
      </c>
      <c r="E11" s="32">
        <v>28.260416030883789</v>
      </c>
      <c r="F11" s="32">
        <v>28.200908660888672</v>
      </c>
      <c r="G11" s="32">
        <v>28.157272338867188</v>
      </c>
      <c r="H11" s="32">
        <v>28.5321044921875</v>
      </c>
      <c r="I11" s="32">
        <v>28.159473419189453</v>
      </c>
      <c r="J11" s="32">
        <v>28.159000396728516</v>
      </c>
      <c r="K11" s="32">
        <v>28.316818237304688</v>
      </c>
      <c r="L11" s="32">
        <v>28.414783477783203</v>
      </c>
      <c r="M11" s="32">
        <v>28.788461685180664</v>
      </c>
      <c r="N11" s="32">
        <v>28.788461685180664</v>
      </c>
      <c r="O11" s="23">
        <f t="shared" si="0"/>
        <v>9.0707389679221505E-3</v>
      </c>
      <c r="P11" s="23">
        <f t="shared" si="1"/>
        <v>2.2353822209018423E-2</v>
      </c>
    </row>
    <row r="12" spans="1:17" ht="18" customHeight="1" x14ac:dyDescent="0.2">
      <c r="A12" s="226"/>
      <c r="B12" s="33" t="s">
        <v>51</v>
      </c>
      <c r="C12" s="25"/>
      <c r="D12" s="26">
        <v>598.32257080078125</v>
      </c>
      <c r="E12" s="26">
        <v>604.83331298828125</v>
      </c>
      <c r="F12" s="26">
        <v>598.6363525390625</v>
      </c>
      <c r="G12" s="26">
        <v>601.8636474609375</v>
      </c>
      <c r="H12" s="26">
        <v>606.631591796875</v>
      </c>
      <c r="I12" s="26">
        <v>601.26318359375</v>
      </c>
      <c r="J12" s="26">
        <v>606.25</v>
      </c>
      <c r="K12" s="26">
        <v>612.04547119140625</v>
      </c>
      <c r="L12" s="26">
        <v>607.43475341796875</v>
      </c>
      <c r="M12" s="26">
        <v>622.923095703125</v>
      </c>
      <c r="N12" s="26">
        <v>622.923095703125</v>
      </c>
      <c r="O12" s="23">
        <f t="shared" si="0"/>
        <v>4.1115822973916846E-2</v>
      </c>
      <c r="P12" s="23">
        <f t="shared" si="1"/>
        <v>2.7502013530927835E-2</v>
      </c>
    </row>
    <row r="13" spans="1:17" ht="18" customHeight="1" x14ac:dyDescent="0.2">
      <c r="A13" s="226"/>
      <c r="B13" s="33" t="s">
        <v>52</v>
      </c>
      <c r="C13" s="25"/>
      <c r="D13" s="26">
        <v>158.80645751953125</v>
      </c>
      <c r="E13" s="26">
        <v>159.79167175292969</v>
      </c>
      <c r="F13" s="26">
        <v>157.45454406738281</v>
      </c>
      <c r="G13" s="26">
        <v>158.95454406738281</v>
      </c>
      <c r="H13" s="26">
        <v>162.47367858886719</v>
      </c>
      <c r="I13" s="26">
        <v>165.3157958984375</v>
      </c>
      <c r="J13" s="26">
        <v>165.39999389648437</v>
      </c>
      <c r="K13" s="26">
        <v>171.5</v>
      </c>
      <c r="L13" s="26">
        <v>169.2608642578125</v>
      </c>
      <c r="M13" s="26">
        <v>170.65383911132812</v>
      </c>
      <c r="N13" s="26">
        <v>170.65383911132812</v>
      </c>
      <c r="O13" s="23">
        <f t="shared" si="0"/>
        <v>7.4602643852437756E-2</v>
      </c>
      <c r="P13" s="23">
        <f t="shared" si="1"/>
        <v>3.1764482519460492E-2</v>
      </c>
    </row>
    <row r="14" spans="1:17" ht="18" customHeight="1" x14ac:dyDescent="0.2">
      <c r="A14" s="226"/>
      <c r="B14" s="33" t="s">
        <v>53</v>
      </c>
      <c r="C14" s="25"/>
      <c r="D14" s="26">
        <v>462.32339477539062</v>
      </c>
      <c r="E14" s="26">
        <v>463.12448120117187</v>
      </c>
      <c r="F14" s="26">
        <v>459.76129150390625</v>
      </c>
      <c r="G14" s="26">
        <v>461.3939208984375</v>
      </c>
      <c r="H14" s="26">
        <v>466.42633056640625</v>
      </c>
      <c r="I14" s="26">
        <v>465.96585083007812</v>
      </c>
      <c r="J14" s="26">
        <v>468.29254150390625</v>
      </c>
      <c r="K14" s="26">
        <v>473.47341918945312</v>
      </c>
      <c r="L14" s="26">
        <v>471.62722778320312</v>
      </c>
      <c r="M14" s="26">
        <v>482.46466064453125</v>
      </c>
      <c r="N14" s="26">
        <v>483.16561889648437</v>
      </c>
      <c r="O14" s="23">
        <f t="shared" si="0"/>
        <v>4.5081482695072082E-2</v>
      </c>
      <c r="P14" s="23">
        <f t="shared" si="1"/>
        <v>3.1760226940223561E-2</v>
      </c>
    </row>
    <row r="15" spans="1:17" ht="18" customHeight="1" x14ac:dyDescent="0.2">
      <c r="A15" s="226"/>
      <c r="B15" s="33" t="s">
        <v>54</v>
      </c>
      <c r="C15" s="27"/>
      <c r="D15" s="28">
        <v>214.30157470703125</v>
      </c>
      <c r="E15" s="28">
        <v>223.695068359375</v>
      </c>
      <c r="F15" s="28">
        <v>253.58918762207031</v>
      </c>
      <c r="G15" s="28">
        <v>278.71231079101562</v>
      </c>
      <c r="H15" s="28">
        <v>305.11212158203125</v>
      </c>
      <c r="I15" s="28">
        <v>291.54962158203125</v>
      </c>
      <c r="J15" s="28">
        <v>267.97943115234375</v>
      </c>
      <c r="K15" s="28">
        <v>279.66970825195312</v>
      </c>
      <c r="L15" s="28">
        <v>282.86782836914062</v>
      </c>
      <c r="M15" s="28">
        <v>298.46295166015625</v>
      </c>
      <c r="N15" s="28">
        <v>264.11395263671875</v>
      </c>
      <c r="O15" s="23">
        <f t="shared" si="0"/>
        <v>0.23244055951425144</v>
      </c>
      <c r="P15" s="23">
        <f t="shared" si="1"/>
        <v>-1.4424534371921673E-2</v>
      </c>
    </row>
    <row r="16" spans="1:17" ht="18" customHeight="1" x14ac:dyDescent="0.2">
      <c r="A16" s="226"/>
      <c r="B16" s="33" t="s">
        <v>59</v>
      </c>
      <c r="C16" s="27"/>
      <c r="D16" s="28">
        <f ca="1">618.720875*OFFSET(D$112,MATCH($N$1,$C$112:$C$113,0)-1,0)</f>
        <v>618.72087499999998</v>
      </c>
      <c r="E16" s="28">
        <f ca="1">640.99425*OFFSET(E$112,MATCH($N$1,$C$112:$C$113,0)-1,0)</f>
        <v>640.99424999999997</v>
      </c>
      <c r="F16" s="28">
        <f ca="1">742.0818125*OFFSET(F$112,MATCH($N$1,$C$112:$C$113,0)-1,0)</f>
        <v>742.08181249999996</v>
      </c>
      <c r="G16" s="28">
        <f ca="1">882.3945625*OFFSET(G$112,MATCH($N$1,$C$112:$C$113,0)-1,0)</f>
        <v>882.39456250000001</v>
      </c>
      <c r="H16" s="28">
        <f ca="1">813.80925*OFFSET(H$112,MATCH($N$1,$C$112:$C$113,0)-1,0)</f>
        <v>813.80925000000002</v>
      </c>
      <c r="I16" s="28">
        <f ca="1">769.8076875*OFFSET(I$112,MATCH($N$1,$C$112:$C$113,0)-1,0)</f>
        <v>769.80768750000004</v>
      </c>
      <c r="J16" s="28">
        <f ca="1">722.3486875*OFFSET(J$112,MATCH($N$1,$C$112:$C$113,0)-1,0)</f>
        <v>722.34868749999998</v>
      </c>
      <c r="K16" s="28">
        <f ca="1">706.288375*OFFSET(K$112,MATCH($N$1,$C$112:$C$113,0)-1,0)</f>
        <v>706.28837499999997</v>
      </c>
      <c r="L16" s="28">
        <f ca="1">866.8766875*OFFSET(L$112,MATCH($N$1,$C$112:$C$113,0)-1,0)</f>
        <v>866.8766875</v>
      </c>
      <c r="M16" s="28">
        <f ca="1">1006.9536875*OFFSET(M$112,MATCH($N$1,$C$112:$C$113,0)-1,0)</f>
        <v>1006.9536875</v>
      </c>
      <c r="N16" s="28">
        <v>943.162375</v>
      </c>
      <c r="O16" s="23">
        <f t="shared" ca="1" si="0"/>
        <v>0.52437458167222828</v>
      </c>
      <c r="P16" s="23">
        <f t="shared" ca="1" si="1"/>
        <v>0.30568850102603673</v>
      </c>
    </row>
    <row r="17" spans="1:16" ht="18" customHeight="1" x14ac:dyDescent="0.2">
      <c r="A17" s="226"/>
      <c r="B17" s="33" t="s">
        <v>56</v>
      </c>
      <c r="C17" s="25"/>
      <c r="D17" s="26">
        <v>200</v>
      </c>
      <c r="E17" s="26">
        <v>213.20832824707031</v>
      </c>
      <c r="F17" s="26">
        <v>212.18182373046875</v>
      </c>
      <c r="G17" s="26">
        <v>223.45454406738281</v>
      </c>
      <c r="H17" s="26">
        <v>216.57894897460937</v>
      </c>
      <c r="I17" s="26">
        <v>215.73684692382812</v>
      </c>
      <c r="J17" s="26">
        <v>215.75</v>
      </c>
      <c r="K17" s="26">
        <v>201.95454406738281</v>
      </c>
      <c r="L17" s="26">
        <v>208.95652770996094</v>
      </c>
      <c r="M17" s="26">
        <v>225.76922607421875</v>
      </c>
      <c r="N17" s="26">
        <v>208.96153259277344</v>
      </c>
      <c r="O17" s="23">
        <f t="shared" si="0"/>
        <v>4.4807662963867186E-2</v>
      </c>
      <c r="P17" s="23">
        <f t="shared" si="1"/>
        <v>-3.1464507101861237E-2</v>
      </c>
    </row>
    <row r="18" spans="1:16" ht="18" customHeight="1" x14ac:dyDescent="0.2">
      <c r="A18" s="226"/>
      <c r="B18" s="33" t="s">
        <v>60</v>
      </c>
      <c r="C18" s="25"/>
      <c r="D18" s="26">
        <v>37.548385620117188</v>
      </c>
      <c r="E18" s="26">
        <v>37.541667938232422</v>
      </c>
      <c r="F18" s="26">
        <v>38.772727966308594</v>
      </c>
      <c r="G18" s="26">
        <v>39.181819915771484</v>
      </c>
      <c r="H18" s="26">
        <v>40.052631378173828</v>
      </c>
      <c r="I18" s="26">
        <v>39.263156890869141</v>
      </c>
      <c r="J18" s="26">
        <v>40.549999237060547</v>
      </c>
      <c r="K18" s="26">
        <v>40.136363983154297</v>
      </c>
      <c r="L18" s="26">
        <v>41.826087951660156</v>
      </c>
      <c r="M18" s="26">
        <v>43.115383148193359</v>
      </c>
      <c r="N18" s="26">
        <v>44.115383148193359</v>
      </c>
      <c r="O18" s="23">
        <f t="shared" si="0"/>
        <v>0.17489427094191209</v>
      </c>
      <c r="P18" s="23">
        <f t="shared" si="1"/>
        <v>8.7925622150795038E-2</v>
      </c>
    </row>
    <row r="19" spans="1:16" ht="18" customHeight="1" x14ac:dyDescent="0.2">
      <c r="A19" s="226"/>
      <c r="B19" s="33" t="s">
        <v>61</v>
      </c>
      <c r="C19" s="25"/>
      <c r="D19" s="34">
        <v>1.0715079307556152</v>
      </c>
      <c r="E19" s="34">
        <v>1.0491853952407837</v>
      </c>
      <c r="F19" s="34">
        <v>1.1951503753662109</v>
      </c>
      <c r="G19" s="34">
        <v>1.2472885847091675</v>
      </c>
      <c r="H19" s="34">
        <v>1.4087800979614258</v>
      </c>
      <c r="I19" s="34">
        <v>1.3514132499694824</v>
      </c>
      <c r="J19" s="34">
        <v>1.2420830726623535</v>
      </c>
      <c r="K19" s="34">
        <v>1.3848150968551636</v>
      </c>
      <c r="L19" s="34">
        <v>1.3537161350250244</v>
      </c>
      <c r="M19" s="34">
        <v>1.3219823837280273</v>
      </c>
      <c r="N19" s="34">
        <v>1.2639358043670654</v>
      </c>
      <c r="O19" s="23">
        <f t="shared" si="0"/>
        <v>0.17958604699803971</v>
      </c>
      <c r="P19" s="23">
        <f t="shared" si="1"/>
        <v>1.7593615262682463E-2</v>
      </c>
    </row>
    <row r="20" spans="1:16" ht="18" customHeight="1" x14ac:dyDescent="0.2">
      <c r="A20" s="227"/>
      <c r="B20" s="35" t="s">
        <v>24</v>
      </c>
      <c r="C20" s="36"/>
      <c r="D20" s="37">
        <f ca="1">2887*OFFSET(D$112,MATCH($N$1,$C$112:$C$113,0)-1,0)</f>
        <v>2887</v>
      </c>
      <c r="E20" s="37">
        <f ca="1">2865*OFFSET(E$112,MATCH($N$1,$C$112:$C$113,0)-1,0)</f>
        <v>2865</v>
      </c>
      <c r="F20" s="37">
        <f ca="1">2926*OFFSET(F$112,MATCH($N$1,$C$112:$C$113,0)-1,0)</f>
        <v>2926</v>
      </c>
      <c r="G20" s="37">
        <f ca="1">3166*OFFSET(G$112,MATCH($N$1,$C$112:$C$113,0)-1,0)</f>
        <v>3166</v>
      </c>
      <c r="H20" s="37">
        <f ca="1">2667*OFFSET(H$112,MATCH($N$1,$C$112:$C$113,0)-1,0)</f>
        <v>2667</v>
      </c>
      <c r="I20" s="37">
        <f ca="1">2640*OFFSET(I$112,MATCH($N$1,$C$112:$C$113,0)-1,0)</f>
        <v>2640</v>
      </c>
      <c r="J20" s="37">
        <f ca="1">2696*OFFSET(J$112,MATCH($N$1,$C$112:$C$113,0)-1,0)</f>
        <v>2696</v>
      </c>
      <c r="K20" s="37">
        <f ca="1">2525*OFFSET(K$112,MATCH($N$1,$C$112:$C$113,0)-1,0)</f>
        <v>2525</v>
      </c>
      <c r="L20" s="37">
        <f ca="1">3065*OFFSET(L$112,MATCH($N$1,$C$112:$C$113,0)-1,0)</f>
        <v>3065</v>
      </c>
      <c r="M20" s="37">
        <f ca="1">3374*OFFSET(M$112,MATCH($N$1,$C$112:$C$113,0)-1,0)</f>
        <v>3374</v>
      </c>
      <c r="N20" s="37">
        <v>3571</v>
      </c>
      <c r="O20" s="29">
        <f t="shared" ca="1" si="0"/>
        <v>0.23692414270869414</v>
      </c>
      <c r="P20" s="29">
        <f t="shared" ca="1" si="1"/>
        <v>0.32455489614243321</v>
      </c>
    </row>
    <row r="21" spans="1:16" ht="18" customHeight="1" x14ac:dyDescent="0.2">
      <c r="A21" s="228" t="s">
        <v>25</v>
      </c>
      <c r="B21" s="30" t="s">
        <v>62</v>
      </c>
      <c r="C21" s="38"/>
      <c r="D21" s="39">
        <v>1.7150029874346744</v>
      </c>
      <c r="E21" s="39">
        <v>1.6756410432724693</v>
      </c>
      <c r="F21" s="39">
        <v>1.9447497800508939</v>
      </c>
      <c r="G21" s="39">
        <v>2.0418818543647177</v>
      </c>
      <c r="H21" s="39">
        <v>2.284056788630092</v>
      </c>
      <c r="I21" s="39">
        <v>2.176908811754287</v>
      </c>
      <c r="J21" s="39">
        <v>2.0186501234681971</v>
      </c>
      <c r="K21" s="39">
        <v>2.2926983898693432</v>
      </c>
      <c r="L21" s="39">
        <v>2.1799462159080503</v>
      </c>
      <c r="M21" s="39">
        <v>2.1038285098917218</v>
      </c>
      <c r="N21" s="39">
        <v>1.9853501444560031</v>
      </c>
      <c r="O21" s="23">
        <f t="shared" si="0"/>
        <v>0.15763655165739263</v>
      </c>
      <c r="P21" s="23">
        <f t="shared" si="1"/>
        <v>-1.6496161779130901E-2</v>
      </c>
    </row>
    <row r="22" spans="1:16" ht="18" customHeight="1" x14ac:dyDescent="0.2">
      <c r="A22" s="228"/>
      <c r="B22" s="33" t="s">
        <v>63</v>
      </c>
      <c r="C22" s="25"/>
      <c r="D22" s="34">
        <f ca="1">4.95147154407905*OFFSET(D$112,MATCH($N$1,$C$112:$C$113,0)-1,0)</f>
        <v>4.95147154407905</v>
      </c>
      <c r="E22" s="34">
        <f ca="1">4.80151968337589*OFFSET(E$112,MATCH($N$1,$C$112:$C$113,0)-1,0)</f>
        <v>4.80151968337589</v>
      </c>
      <c r="F22" s="34">
        <f ca="1">5.6909502142888*OFFSET(F$112,MATCH($N$1,$C$112:$C$113,0)-1,0)</f>
        <v>5.6909502142888</v>
      </c>
      <c r="G22" s="34">
        <f ca="1">6.46453484758278*OFFSET(G$112,MATCH($N$1,$C$112:$C$113,0)-1,0)</f>
        <v>6.4645348475827804</v>
      </c>
      <c r="H22" s="34">
        <f ca="1">6.09214256213258*OFFSET(H$112,MATCH($N$1,$C$112:$C$113,0)-1,0)</f>
        <v>6.0921425621325804</v>
      </c>
      <c r="I22" s="34">
        <f ca="1">5.7479105243957*OFFSET(I$112,MATCH($N$1,$C$112:$C$113,0)-1,0)</f>
        <v>5.7479105243957003</v>
      </c>
      <c r="J22" s="34">
        <f ca="1">5.44134772187053*OFFSET(J$112,MATCH($N$1,$C$112:$C$113,0)-1,0)</f>
        <v>5.44134772187053</v>
      </c>
      <c r="K22" s="34">
        <f ca="1">5.79006654051754*OFFSET(K$112,MATCH($N$1,$C$112:$C$113,0)-1,0)</f>
        <v>5.7900665405175404</v>
      </c>
      <c r="L22" s="34">
        <f ca="1">6.6806627161164*OFFSET(L$112,MATCH($N$1,$C$112:$C$113,0)-1,0)</f>
        <v>6.6806627161163998</v>
      </c>
      <c r="M22" s="34">
        <f ca="1">7.09789226475008*OFFSET(M$112,MATCH($N$1,$C$112:$C$113,0)-1,0)</f>
        <v>7.0978922647500804</v>
      </c>
      <c r="N22" s="34">
        <v>7.0897714367529003</v>
      </c>
      <c r="O22" s="23">
        <f t="shared" ca="1" si="0"/>
        <v>0.43185139481026019</v>
      </c>
      <c r="P22" s="23">
        <f t="shared" ca="1" si="1"/>
        <v>0.30294401297987705</v>
      </c>
    </row>
    <row r="23" spans="1:16" ht="18" customHeight="1" x14ac:dyDescent="0.2">
      <c r="A23" s="228"/>
      <c r="B23" s="33" t="s">
        <v>11</v>
      </c>
      <c r="C23" s="25"/>
      <c r="D23" s="34">
        <f ca="1">5.01210234982768*OFFSET(D$112,MATCH($N$1,$C$112:$C$113,0)-1,0)</f>
        <v>5.0121023498276802</v>
      </c>
      <c r="E23" s="34">
        <f ca="1">4.38758898908401*OFFSET(E$112,MATCH($N$1,$C$112:$C$113,0)-1,0)</f>
        <v>4.3875889890840103</v>
      </c>
      <c r="F23" s="34">
        <f ca="1">5.03607059742458*OFFSET(F$112,MATCH($N$1,$C$112:$C$113,0)-1,0)</f>
        <v>5.0360705974245796</v>
      </c>
      <c r="G23" s="34">
        <f ca="1">5.83856566676858*OFFSET(G$112,MATCH($N$1,$C$112:$C$113,0)-1,0)</f>
        <v>5.8385656667685799</v>
      </c>
      <c r="H23" s="34">
        <f ca="1">6.0414622259101*OFFSET(H$112,MATCH($N$1,$C$112:$C$113,0)-1,0)</f>
        <v>6.0414622259100996</v>
      </c>
      <c r="I23" s="34">
        <f ca="1">5.66650420674711*OFFSET(I$112,MATCH($N$1,$C$112:$C$113,0)-1,0)</f>
        <v>5.6665042067471099</v>
      </c>
      <c r="J23" s="34">
        <f ca="1">5.42165848743808*OFFSET(J$112,MATCH($N$1,$C$112:$C$113,0)-1,0)</f>
        <v>5.42165848743808</v>
      </c>
      <c r="K23" s="34">
        <f ca="1">6.72507561422447*OFFSET(K$112,MATCH($N$1,$C$112:$C$113,0)-1,0)</f>
        <v>6.7250756142244699</v>
      </c>
      <c r="L23" s="34">
        <f ca="1">5.57858261731792*OFFSET(L$112,MATCH($N$1,$C$112:$C$113,0)-1,0)</f>
        <v>5.5785826173179203</v>
      </c>
      <c r="M23" s="34">
        <f ca="1">5.94849979169331*OFFSET(M$112,MATCH($N$1,$C$112:$C$113,0)-1,0)</f>
        <v>5.94849979169331</v>
      </c>
      <c r="N23" s="34">
        <v>6.1179677020032042</v>
      </c>
      <c r="O23" s="23">
        <f t="shared" ca="1" si="0"/>
        <v>0.22063902031321136</v>
      </c>
      <c r="P23" s="23">
        <f t="shared" ca="1" si="1"/>
        <v>0.12843103566527928</v>
      </c>
    </row>
    <row r="24" spans="1:16" ht="18" customHeight="1" x14ac:dyDescent="0.2">
      <c r="A24" s="228"/>
      <c r="B24" s="33" t="s">
        <v>12</v>
      </c>
      <c r="C24" s="25"/>
      <c r="D24" s="34">
        <f ca="1">-0.0266101097490311*OFFSET(D$112,MATCH($N$1,$C$112:$C$113,0)-1,0)</f>
        <v>-2.6610109749031101E-2</v>
      </c>
      <c r="E24" s="34">
        <f ca="1">0.413930694291882*OFFSET(E$112,MATCH($N$1,$C$112:$C$113,0)-1,0)</f>
        <v>0.41393069429188201</v>
      </c>
      <c r="F24" s="34">
        <f ca="1">0.744565941234787*OFFSET(F$112,MATCH($N$1,$C$112:$C$113,0)-1,0)</f>
        <v>0.74456594123478703</v>
      </c>
      <c r="G24" s="34">
        <f ca="1">0.733611138552291*OFFSET(G$112,MATCH($N$1,$C$112:$C$113,0)-1,0)</f>
        <v>0.73361113855229099</v>
      </c>
      <c r="H24" s="34">
        <f ca="1">0.257801772745238*OFFSET(H$112,MATCH($N$1,$C$112:$C$113,0)-1,0)</f>
        <v>0.25780177274523802</v>
      </c>
      <c r="I24" s="34">
        <f ca="1">0.101561963149816*OFFSET(I$112,MATCH($N$1,$C$112:$C$113,0)-1,0)</f>
        <v>0.101561963149816</v>
      </c>
      <c r="J24" s="34">
        <f ca="1">0.456990842284974*OFFSET(J$112,MATCH($N$1,$C$112:$C$113,0)-1,0)</f>
        <v>0.456990842284974</v>
      </c>
      <c r="K24" s="34">
        <f ca="1">0.547969535913594*OFFSET(K$112,MATCH($N$1,$C$112:$C$113,0)-1,0)</f>
        <v>0.54796953591359399</v>
      </c>
      <c r="L24" s="34">
        <f ca="1">1.10208009879848*OFFSET(L$112,MATCH($N$1,$C$112:$C$113,0)-1,0)</f>
        <v>1.10208009879848</v>
      </c>
      <c r="M24" s="34">
        <f ca="1">1.16164241467638*OFFSET(M$112,MATCH($N$1,$C$112:$C$113,0)-1,0)</f>
        <v>1.16164241467638</v>
      </c>
      <c r="N24" s="34">
        <v>0.98403966121255892</v>
      </c>
      <c r="O24" s="23" t="str">
        <f t="shared" ca="1" si="0"/>
        <v>na</v>
      </c>
      <c r="P24" s="23">
        <f t="shared" ca="1" si="1"/>
        <v>1.1533028020699889</v>
      </c>
    </row>
    <row r="25" spans="1:16" ht="18" customHeight="1" x14ac:dyDescent="0.2">
      <c r="A25" s="228"/>
      <c r="B25" s="33" t="s">
        <v>64</v>
      </c>
      <c r="C25" s="25"/>
      <c r="D25" s="28"/>
      <c r="E25" s="28">
        <f ca="1">88.45*OFFSET(E$112,MATCH($N$1,$C$112:$C$113,0)-1,0)</f>
        <v>88.45</v>
      </c>
      <c r="F25" s="28">
        <f ca="1">93.14*OFFSET(F$112,MATCH($N$1,$C$112:$C$113,0)-1,0)</f>
        <v>93.14</v>
      </c>
      <c r="G25" s="28">
        <f ca="1">123.21*OFFSET(G$112,MATCH($N$1,$C$112:$C$113,0)-1,0)</f>
        <v>123.21</v>
      </c>
      <c r="H25" s="28">
        <f ca="1">98.38*OFFSET(H$112,MATCH($N$1,$C$112:$C$113,0)-1,0)</f>
        <v>98.38</v>
      </c>
      <c r="I25" s="28">
        <f ca="1">84.46*OFFSET(I$112,MATCH($N$1,$C$112:$C$113,0)-1,0)</f>
        <v>84.46</v>
      </c>
      <c r="J25" s="28">
        <f ca="1">116.49*OFFSET(J$112,MATCH($N$1,$C$112:$C$113,0)-1,0)</f>
        <v>116.49</v>
      </c>
      <c r="K25" s="28">
        <f ca="1">126.45*OFFSET(K$112,MATCH($N$1,$C$112:$C$113,0)-1,0)</f>
        <v>126.45</v>
      </c>
      <c r="L25" s="28">
        <f ca="1">150.55*OFFSET(L$112,MATCH($N$1,$C$112:$C$113,0)-1,0)</f>
        <v>150.55000000000001</v>
      </c>
      <c r="M25" s="28">
        <f ca="1">169.13*OFFSET(M$112,MATCH($N$1,$C$112:$C$113,0)-1,0)</f>
        <v>169.13</v>
      </c>
      <c r="N25" s="28">
        <v>132.24</v>
      </c>
      <c r="O25" s="23" t="str">
        <f t="shared" si="0"/>
        <v/>
      </c>
      <c r="P25" s="23">
        <f t="shared" ca="1" si="1"/>
        <v>0.13520473860417215</v>
      </c>
    </row>
    <row r="26" spans="1:16" ht="18" customHeight="1" x14ac:dyDescent="0.2">
      <c r="A26" s="229"/>
      <c r="B26" s="33" t="s">
        <v>65</v>
      </c>
      <c r="C26" s="40"/>
      <c r="D26" s="28"/>
      <c r="E26" s="28">
        <f ca="1">7.63*OFFSET(E$112,MATCH($N$1,$C$112:$C$113,0)-1,0)</f>
        <v>7.63</v>
      </c>
      <c r="F26" s="28">
        <f ca="1">12.19*OFFSET(F$112,MATCH($N$1,$C$112:$C$113,0)-1,0)</f>
        <v>12.19</v>
      </c>
      <c r="G26" s="28">
        <f ca="1">13.98*OFFSET(G$112,MATCH($N$1,$C$112:$C$113,0)-1,0)</f>
        <v>13.98</v>
      </c>
      <c r="H26" s="28">
        <f ca="1">4.16*OFFSET(H$112,MATCH($N$1,$C$112:$C$113,0)-1,0)</f>
        <v>4.16</v>
      </c>
      <c r="I26" s="28">
        <f ca="1">1.49*OFFSET(I$112,MATCH($N$1,$C$112:$C$113,0)-1,0)</f>
        <v>1.49</v>
      </c>
      <c r="J26" s="28">
        <f ca="1">9.79*OFFSET(J$112,MATCH($N$1,$C$112:$C$113,0)-1,0)</f>
        <v>9.7899999999999991</v>
      </c>
      <c r="K26" s="28">
        <f ca="1">11.96*OFFSET(K$112,MATCH($N$1,$C$112:$C$113,0)-1,0)</f>
        <v>11.96</v>
      </c>
      <c r="L26" s="28">
        <f ca="1">24.83*OFFSET(L$112,MATCH($N$1,$C$112:$C$113,0)-1,0)</f>
        <v>24.83</v>
      </c>
      <c r="M26" s="28">
        <f ca="1">27.68*OFFSET(M$112,MATCH($N$1,$C$112:$C$113,0)-1,0)</f>
        <v>27.68</v>
      </c>
      <c r="N26" s="28">
        <v>18.350000000000001</v>
      </c>
      <c r="O26" s="29" t="str">
        <f t="shared" si="0"/>
        <v/>
      </c>
      <c r="P26" s="29">
        <f t="shared" ca="1" si="1"/>
        <v>0.87436159346271736</v>
      </c>
    </row>
    <row r="27" spans="1:16" ht="18" customHeight="1" x14ac:dyDescent="0.2">
      <c r="A27" s="230" t="s">
        <v>26</v>
      </c>
      <c r="B27" s="30" t="s">
        <v>59</v>
      </c>
      <c r="C27" s="31"/>
      <c r="D27" s="32">
        <f ca="1">618.7*OFFSET(D$112,MATCH($N$1,$C$112:$C$113,0)-1,0)</f>
        <v>618.70000000000005</v>
      </c>
      <c r="E27" s="32">
        <f ca="1">641*OFFSET(E$112,MATCH($N$1,$C$112:$C$113,0)-1,0)</f>
        <v>641</v>
      </c>
      <c r="F27" s="32">
        <f ca="1">742.1*OFFSET(F$112,MATCH($N$1,$C$112:$C$113,0)-1,0)</f>
        <v>742.1</v>
      </c>
      <c r="G27" s="32">
        <f ca="1">882.4*OFFSET(G$112,MATCH($N$1,$C$112:$C$113,0)-1,0)</f>
        <v>882.4</v>
      </c>
      <c r="H27" s="32">
        <f ca="1">813.8*OFFSET(H$112,MATCH($N$1,$C$112:$C$113,0)-1,0)</f>
        <v>813.8</v>
      </c>
      <c r="I27" s="32">
        <f ca="1">769.8*OFFSET(I$112,MATCH($N$1,$C$112:$C$113,0)-1,0)</f>
        <v>769.8</v>
      </c>
      <c r="J27" s="32">
        <f ca="1">722.3*OFFSET(J$112,MATCH($N$1,$C$112:$C$113,0)-1,0)</f>
        <v>722.3</v>
      </c>
      <c r="K27" s="32">
        <f ca="1">706.3*OFFSET(K$112,MATCH($N$1,$C$112:$C$113,0)-1,0)</f>
        <v>706.3</v>
      </c>
      <c r="L27" s="32">
        <f ca="1">866.9*OFFSET(L$112,MATCH($N$1,$C$112:$C$113,0)-1,0)</f>
        <v>866.9</v>
      </c>
      <c r="M27" s="32">
        <f ca="1">1007*OFFSET(M$112,MATCH($N$1,$C$112:$C$113,0)-1,0)</f>
        <v>1007</v>
      </c>
      <c r="N27" s="32">
        <v>943.2</v>
      </c>
      <c r="O27" s="23">
        <f t="shared" ca="1" si="0"/>
        <v>0.52448682721836104</v>
      </c>
      <c r="P27" s="23">
        <f t="shared" ca="1" si="1"/>
        <v>0.30582860307351528</v>
      </c>
    </row>
    <row r="28" spans="1:16" ht="18" customHeight="1" x14ac:dyDescent="0.2">
      <c r="A28" s="231"/>
      <c r="B28" s="33" t="s">
        <v>66</v>
      </c>
      <c r="C28" s="27"/>
      <c r="D28" s="28">
        <f ca="1">4.3*OFFSET(D$112,MATCH($N$1,$C$112:$C$113,0)-1,0)</f>
        <v>4.3</v>
      </c>
      <c r="E28" s="28"/>
      <c r="F28" s="28">
        <f ca="1">11.7*OFFSET(F$112,MATCH($N$1,$C$112:$C$113,0)-1,0)</f>
        <v>11.7</v>
      </c>
      <c r="G28" s="28">
        <f ca="1">14.7*OFFSET(G$112,MATCH($N$1,$C$112:$C$113,0)-1,0)</f>
        <v>14.7</v>
      </c>
      <c r="H28" s="28">
        <f ca="1">27.7*OFFSET(H$112,MATCH($N$1,$C$112:$C$113,0)-1,0)</f>
        <v>27.7</v>
      </c>
      <c r="I28" s="28">
        <f ca="1">2.7*OFFSET(I$112,MATCH($N$1,$C$112:$C$113,0)-1,0)</f>
        <v>2.7</v>
      </c>
      <c r="J28" s="28">
        <f ca="1">58.1*OFFSET(J$112,MATCH($N$1,$C$112:$C$113,0)-1,0)</f>
        <v>58.1</v>
      </c>
      <c r="K28" s="28">
        <f ca="1">180.9*OFFSET(K$112,MATCH($N$1,$C$112:$C$113,0)-1,0)</f>
        <v>180.9</v>
      </c>
      <c r="L28" s="28"/>
      <c r="M28" s="28">
        <f ca="1">1.7*OFFSET(M$112,MATCH($N$1,$C$112:$C$113,0)-1,0)</f>
        <v>1.7</v>
      </c>
      <c r="N28" s="28">
        <v>1.6</v>
      </c>
      <c r="O28" s="23">
        <f t="shared" ca="1" si="0"/>
        <v>-0.62790697674418605</v>
      </c>
      <c r="P28" s="23">
        <f t="shared" ca="1" si="1"/>
        <v>-0.97246127366609292</v>
      </c>
    </row>
    <row r="29" spans="1:16" ht="18" customHeight="1" x14ac:dyDescent="0.2">
      <c r="A29" s="231"/>
      <c r="B29" s="41" t="s">
        <v>67</v>
      </c>
      <c r="C29" s="42"/>
      <c r="D29" s="43">
        <f ca="1">623*OFFSET(D$112,MATCH($N$1,$C$112:$C$113,0)-1,0)</f>
        <v>623</v>
      </c>
      <c r="E29" s="43">
        <f ca="1">641*OFFSET(E$112,MATCH($N$1,$C$112:$C$113,0)-1,0)</f>
        <v>641</v>
      </c>
      <c r="F29" s="43">
        <f ca="1">753.8*OFFSET(F$112,MATCH($N$1,$C$112:$C$113,0)-1,0)</f>
        <v>753.8</v>
      </c>
      <c r="G29" s="43">
        <f ca="1">897.1*OFFSET(G$112,MATCH($N$1,$C$112:$C$113,0)-1,0)</f>
        <v>897.1</v>
      </c>
      <c r="H29" s="43">
        <f ca="1">841.5*OFFSET(H$112,MATCH($N$1,$C$112:$C$113,0)-1,0)</f>
        <v>841.5</v>
      </c>
      <c r="I29" s="43">
        <f ca="1">772.5*OFFSET(I$112,MATCH($N$1,$C$112:$C$113,0)-1,0)</f>
        <v>772.5</v>
      </c>
      <c r="J29" s="43">
        <f ca="1">780.4*OFFSET(J$112,MATCH($N$1,$C$112:$C$113,0)-1,0)</f>
        <v>780.4</v>
      </c>
      <c r="K29" s="43">
        <f ca="1">887.2*OFFSET(K$112,MATCH($N$1,$C$112:$C$113,0)-1,0)</f>
        <v>887.2</v>
      </c>
      <c r="L29" s="43">
        <f ca="1">866.9*OFFSET(L$112,MATCH($N$1,$C$112:$C$113,0)-1,0)</f>
        <v>866.9</v>
      </c>
      <c r="M29" s="43">
        <f ca="1">1008.7*OFFSET(M$112,MATCH($N$1,$C$112:$C$113,0)-1,0)</f>
        <v>1008.7</v>
      </c>
      <c r="N29" s="43">
        <v>944.80000000000007</v>
      </c>
      <c r="O29" s="23">
        <f t="shared" ca="1" si="0"/>
        <v>0.5165329052969504</v>
      </c>
      <c r="P29" s="23">
        <f t="shared" ca="1" si="1"/>
        <v>0.21066119938493091</v>
      </c>
    </row>
    <row r="30" spans="1:16" ht="18" customHeight="1" x14ac:dyDescent="0.2">
      <c r="A30" s="231"/>
      <c r="B30" s="33" t="s">
        <v>68</v>
      </c>
      <c r="C30" s="27"/>
      <c r="D30" s="28">
        <f ca="1">274.1*OFFSET(D$112,MATCH($N$1,$C$112:$C$113,0)-1,0)</f>
        <v>274.10000000000002</v>
      </c>
      <c r="E30" s="28">
        <f ca="1">203.9*OFFSET(E$112,MATCH($N$1,$C$112:$C$113,0)-1,0)</f>
        <v>203.9</v>
      </c>
      <c r="F30" s="28">
        <f ca="1">252.4*OFFSET(F$112,MATCH($N$1,$C$112:$C$113,0)-1,0)</f>
        <v>252.4</v>
      </c>
      <c r="G30" s="28">
        <f ca="1">345.4*OFFSET(G$112,MATCH($N$1,$C$112:$C$113,0)-1,0)</f>
        <v>345.4</v>
      </c>
      <c r="H30" s="28">
        <f ca="1">353.6*OFFSET(H$112,MATCH($N$1,$C$112:$C$113,0)-1,0)</f>
        <v>353.6</v>
      </c>
      <c r="I30" s="28">
        <f ca="1">330.4*OFFSET(I$112,MATCH($N$1,$C$112:$C$113,0)-1,0)</f>
        <v>330.4</v>
      </c>
      <c r="J30" s="28">
        <f ca="1">295.8*OFFSET(J$112,MATCH($N$1,$C$112:$C$113,0)-1,0)</f>
        <v>295.8</v>
      </c>
      <c r="K30" s="28">
        <f ca="1">192.8*OFFSET(K$112,MATCH($N$1,$C$112:$C$113,0)-1,0)</f>
        <v>192.8</v>
      </c>
      <c r="L30" s="28">
        <f ca="1">190.8*OFFSET(L$112,MATCH($N$1,$C$112:$C$113,0)-1,0)</f>
        <v>190.8</v>
      </c>
      <c r="M30" s="28">
        <f ca="1">250.8*OFFSET(M$112,MATCH($N$1,$C$112:$C$113,0)-1,0)</f>
        <v>250.8</v>
      </c>
      <c r="N30" s="28">
        <v>278.10000000000002</v>
      </c>
      <c r="O30" s="23">
        <f t="shared" ca="1" si="0"/>
        <v>1.4593214155417729E-2</v>
      </c>
      <c r="P30" s="23">
        <f t="shared" ca="1" si="1"/>
        <v>-5.9837728194726124E-2</v>
      </c>
    </row>
    <row r="31" spans="1:16" ht="18" customHeight="1" x14ac:dyDescent="0.2">
      <c r="A31" s="231"/>
      <c r="B31" s="33" t="s">
        <v>69</v>
      </c>
      <c r="C31" s="27"/>
      <c r="D31" s="28">
        <f ca="1">167*OFFSET(D$112,MATCH($N$1,$C$112:$C$113,0)-1,0)</f>
        <v>167</v>
      </c>
      <c r="E31" s="28">
        <f ca="1">184.5*OFFSET(E$112,MATCH($N$1,$C$112:$C$113,0)-1,0)</f>
        <v>184.5</v>
      </c>
      <c r="F31" s="28">
        <f ca="1">191.5*OFFSET(F$112,MATCH($N$1,$C$112:$C$113,0)-1,0)</f>
        <v>191.5</v>
      </c>
      <c r="G31" s="28">
        <f ca="1">230.2*OFFSET(G$112,MATCH($N$1,$C$112:$C$113,0)-1,0)</f>
        <v>230.2</v>
      </c>
      <c r="H31" s="28">
        <f ca="1">204.5*OFFSET(H$112,MATCH($N$1,$C$112:$C$113,0)-1,0)</f>
        <v>204.5</v>
      </c>
      <c r="I31" s="28">
        <f ca="1">189.6*OFFSET(I$112,MATCH($N$1,$C$112:$C$113,0)-1,0)</f>
        <v>189.6</v>
      </c>
      <c r="J31" s="28">
        <f ca="1">180.7*OFFSET(J$112,MATCH($N$1,$C$112:$C$113,0)-1,0)</f>
        <v>180.7</v>
      </c>
      <c r="K31" s="28">
        <f ca="1">222.2*OFFSET(K$112,MATCH($N$1,$C$112:$C$113,0)-1,0)</f>
        <v>222.2</v>
      </c>
      <c r="L31" s="28">
        <f ca="1">256.4*OFFSET(L$112,MATCH($N$1,$C$112:$C$113,0)-1,0)</f>
        <v>256.39999999999998</v>
      </c>
      <c r="M31" s="28">
        <f ca="1">285.4*OFFSET(M$112,MATCH($N$1,$C$112:$C$113,0)-1,0)</f>
        <v>285.39999999999998</v>
      </c>
      <c r="N31" s="28">
        <v>247.6</v>
      </c>
      <c r="O31" s="23">
        <f t="shared" ca="1" si="0"/>
        <v>0.48263473053892214</v>
      </c>
      <c r="P31" s="23">
        <f t="shared" ca="1" si="1"/>
        <v>0.37022689540675158</v>
      </c>
    </row>
    <row r="32" spans="1:16" ht="18" customHeight="1" x14ac:dyDescent="0.2">
      <c r="A32" s="231"/>
      <c r="B32" s="33" t="s">
        <v>70</v>
      </c>
      <c r="C32" s="27"/>
      <c r="D32" s="28">
        <f ca="1">47.2*OFFSET(D$112,MATCH($N$1,$C$112:$C$113,0)-1,0)</f>
        <v>47.2</v>
      </c>
      <c r="E32" s="28">
        <f ca="1">53.1*OFFSET(E$112,MATCH($N$1,$C$112:$C$113,0)-1,0)</f>
        <v>53.1</v>
      </c>
      <c r="F32" s="28">
        <f ca="1">56.1*OFFSET(F$112,MATCH($N$1,$C$112:$C$113,0)-1,0)</f>
        <v>56.1</v>
      </c>
      <c r="G32" s="28">
        <f ca="1">67.1*OFFSET(G$112,MATCH($N$1,$C$112:$C$113,0)-1,0)</f>
        <v>67.099999999999994</v>
      </c>
      <c r="H32" s="28">
        <f ca="1">60*OFFSET(H$112,MATCH($N$1,$C$112:$C$113,0)-1,0)</f>
        <v>60</v>
      </c>
      <c r="I32" s="28">
        <f ca="1">82*OFFSET(I$112,MATCH($N$1,$C$112:$C$113,0)-1,0)</f>
        <v>82</v>
      </c>
      <c r="J32" s="28">
        <f ca="1">82.3*OFFSET(J$112,MATCH($N$1,$C$112:$C$113,0)-1,0)</f>
        <v>82.3</v>
      </c>
      <c r="K32" s="28">
        <f ca="1">58.8*OFFSET(K$112,MATCH($N$1,$C$112:$C$113,0)-1,0)</f>
        <v>58.8</v>
      </c>
      <c r="L32" s="28">
        <f ca="1">78.6*OFFSET(L$112,MATCH($N$1,$C$112:$C$113,0)-1,0)</f>
        <v>78.599999999999994</v>
      </c>
      <c r="M32" s="28">
        <f ca="1">131.1*OFFSET(M$112,MATCH($N$1,$C$112:$C$113,0)-1,0)</f>
        <v>131.1</v>
      </c>
      <c r="N32" s="28">
        <v>122.8</v>
      </c>
      <c r="O32" s="23">
        <f t="shared" ca="1" si="0"/>
        <v>1.601694915254237</v>
      </c>
      <c r="P32" s="23">
        <f t="shared" ca="1" si="1"/>
        <v>0.49210206561360875</v>
      </c>
    </row>
    <row r="33" spans="1:16" ht="18" customHeight="1" x14ac:dyDescent="0.2">
      <c r="A33" s="231"/>
      <c r="B33" s="33" t="s">
        <v>71</v>
      </c>
      <c r="C33" s="27"/>
      <c r="D33" s="28">
        <f ca="1">488.3*OFFSET(D$112,MATCH($N$1,$C$112:$C$113,0)-1,0)</f>
        <v>488.3</v>
      </c>
      <c r="E33" s="28">
        <f ca="1">441.5*OFFSET(E$112,MATCH($N$1,$C$112:$C$113,0)-1,0)</f>
        <v>441.5</v>
      </c>
      <c r="F33" s="28">
        <f ca="1">500*OFFSET(F$112,MATCH($N$1,$C$112:$C$113,0)-1,0)</f>
        <v>500</v>
      </c>
      <c r="G33" s="28">
        <f ca="1">642.7*OFFSET(G$112,MATCH($N$1,$C$112:$C$113,0)-1,0)</f>
        <v>642.70000000000005</v>
      </c>
      <c r="H33" s="28">
        <f ca="1">618.1*OFFSET(H$112,MATCH($N$1,$C$112:$C$113,0)-1,0)</f>
        <v>618.1</v>
      </c>
      <c r="I33" s="28">
        <f ca="1">602*OFFSET(I$112,MATCH($N$1,$C$112:$C$113,0)-1,0)</f>
        <v>602</v>
      </c>
      <c r="J33" s="28">
        <f ca="1">558.8*OFFSET(J$112,MATCH($N$1,$C$112:$C$113,0)-1,0)</f>
        <v>558.79999999999995</v>
      </c>
      <c r="K33" s="28">
        <f ca="1">473.9*OFFSET(K$112,MATCH($N$1,$C$112:$C$113,0)-1,0)</f>
        <v>473.9</v>
      </c>
      <c r="L33" s="28">
        <f ca="1">525.8*OFFSET(L$112,MATCH($N$1,$C$112:$C$113,0)-1,0)</f>
        <v>525.79999999999995</v>
      </c>
      <c r="M33" s="28">
        <f ca="1">667.3*OFFSET(M$112,MATCH($N$1,$C$112:$C$113,0)-1,0)</f>
        <v>667.3</v>
      </c>
      <c r="N33" s="28">
        <v>648.5</v>
      </c>
      <c r="O33" s="23">
        <f t="shared" ca="1" si="0"/>
        <v>0.32807700184312921</v>
      </c>
      <c r="P33" s="23">
        <f t="shared" ca="1" si="1"/>
        <v>0.160522548317824</v>
      </c>
    </row>
    <row r="34" spans="1:16" ht="18" customHeight="1" x14ac:dyDescent="0.2">
      <c r="A34" s="231"/>
      <c r="B34" s="33" t="s">
        <v>72</v>
      </c>
      <c r="C34" s="27"/>
      <c r="D34" s="28">
        <f ca="1">138*OFFSET(D$112,MATCH($N$1,$C$112:$C$113,0)-1,0)</f>
        <v>138</v>
      </c>
      <c r="E34" s="28">
        <f ca="1">144.2*OFFSET(E$112,MATCH($N$1,$C$112:$C$113,0)-1,0)</f>
        <v>144.19999999999999</v>
      </c>
      <c r="F34" s="28">
        <f ca="1">156.7*OFFSET(F$112,MATCH($N$1,$C$112:$C$113,0)-1,0)</f>
        <v>156.69999999999999</v>
      </c>
      <c r="G34" s="28">
        <f ca="1">154.3*OFFSET(G$112,MATCH($N$1,$C$112:$C$113,0)-1,0)</f>
        <v>154.30000000000001</v>
      </c>
      <c r="H34" s="28">
        <f ca="1">188.9*OFFSET(H$112,MATCH($N$1,$C$112:$C$113,0)-1,0)</f>
        <v>188.9</v>
      </c>
      <c r="I34" s="28">
        <f ca="1">156.9*OFFSET(I$112,MATCH($N$1,$C$112:$C$113,0)-1,0)</f>
        <v>156.9</v>
      </c>
      <c r="J34" s="28">
        <f ca="1">160.9*OFFSET(J$112,MATCH($N$1,$C$112:$C$113,0)-1,0)</f>
        <v>160.9</v>
      </c>
      <c r="K34" s="28">
        <f ca="1">346.5*OFFSET(K$112,MATCH($N$1,$C$112:$C$113,0)-1,0)</f>
        <v>346.5</v>
      </c>
      <c r="L34" s="28">
        <f ca="1">198.1*OFFSET(L$112,MATCH($N$1,$C$112:$C$113,0)-1,0)</f>
        <v>198.1</v>
      </c>
      <c r="M34" s="28">
        <f ca="1">176.6*OFFSET(M$112,MATCH($N$1,$C$112:$C$113,0)-1,0)</f>
        <v>176.6</v>
      </c>
      <c r="N34" s="28">
        <v>165.4</v>
      </c>
      <c r="O34" s="23">
        <f t="shared" ca="1" si="0"/>
        <v>0.1985507246376812</v>
      </c>
      <c r="P34" s="23">
        <f t="shared" ca="1" si="1"/>
        <v>2.7967681789931635E-2</v>
      </c>
    </row>
    <row r="35" spans="1:16" ht="18" customHeight="1" x14ac:dyDescent="0.2">
      <c r="A35" s="231"/>
      <c r="B35" s="33" t="s">
        <v>73</v>
      </c>
      <c r="C35" s="27"/>
      <c r="D35" s="28">
        <f ca="1">626.3*OFFSET(D$112,MATCH($N$1,$C$112:$C$113,0)-1,0)</f>
        <v>626.29999999999995</v>
      </c>
      <c r="E35" s="28">
        <f ca="1">585.7*OFFSET(E$112,MATCH($N$1,$C$112:$C$113,0)-1,0)</f>
        <v>585.70000000000005</v>
      </c>
      <c r="F35" s="28">
        <f ca="1">656.7*OFFSET(F$112,MATCH($N$1,$C$112:$C$113,0)-1,0)</f>
        <v>656.7</v>
      </c>
      <c r="G35" s="28">
        <f ca="1">797*OFFSET(G$112,MATCH($N$1,$C$112:$C$113,0)-1,0)</f>
        <v>797</v>
      </c>
      <c r="H35" s="28">
        <f ca="1">807*OFFSET(H$112,MATCH($N$1,$C$112:$C$113,0)-1,0)</f>
        <v>807</v>
      </c>
      <c r="I35" s="28">
        <f ca="1">758.9*OFFSET(I$112,MATCH($N$1,$C$112:$C$113,0)-1,0)</f>
        <v>758.9</v>
      </c>
      <c r="J35" s="28">
        <f ca="1">719.7*OFFSET(J$112,MATCH($N$1,$C$112:$C$113,0)-1,0)</f>
        <v>719.7</v>
      </c>
      <c r="K35" s="28">
        <f ca="1">820.3*OFFSET(K$112,MATCH($N$1,$C$112:$C$113,0)-1,0)</f>
        <v>820.3</v>
      </c>
      <c r="L35" s="28">
        <f ca="1">723.9*OFFSET(L$112,MATCH($N$1,$C$112:$C$113,0)-1,0)</f>
        <v>723.9</v>
      </c>
      <c r="M35" s="28">
        <f ca="1">843.9*OFFSET(M$112,MATCH($N$1,$C$112:$C$113,0)-1,0)</f>
        <v>843.9</v>
      </c>
      <c r="N35" s="28">
        <v>813.9</v>
      </c>
      <c r="O35" s="23">
        <f t="shared" ca="1" si="0"/>
        <v>0.29953696311671729</v>
      </c>
      <c r="P35" s="23">
        <f t="shared" ca="1" si="1"/>
        <v>0.13088786994581064</v>
      </c>
    </row>
    <row r="36" spans="1:16" ht="18" customHeight="1" x14ac:dyDescent="0.2">
      <c r="A36" s="231"/>
      <c r="B36" s="41" t="s">
        <v>74</v>
      </c>
      <c r="C36" s="42"/>
      <c r="D36" s="43">
        <f ca="1">163.7*OFFSET(D$112,MATCH($N$1,$C$112:$C$113,0)-1,0)</f>
        <v>163.69999999999999</v>
      </c>
      <c r="E36" s="43">
        <f ca="1">239.8*OFFSET(E$112,MATCH($N$1,$C$112:$C$113,0)-1,0)</f>
        <v>239.8</v>
      </c>
      <c r="F36" s="43">
        <f ca="1">288.6*OFFSET(F$112,MATCH($N$1,$C$112:$C$113,0)-1,0)</f>
        <v>288.60000000000002</v>
      </c>
      <c r="G36" s="43">
        <f ca="1">330.3*OFFSET(G$112,MATCH($N$1,$C$112:$C$113,0)-1,0)</f>
        <v>330.3</v>
      </c>
      <c r="H36" s="43">
        <f ca="1">238.9*OFFSET(H$112,MATCH($N$1,$C$112:$C$113,0)-1,0)</f>
        <v>238.9</v>
      </c>
      <c r="I36" s="43">
        <f ca="1">203.2*OFFSET(I$112,MATCH($N$1,$C$112:$C$113,0)-1,0)</f>
        <v>203.2</v>
      </c>
      <c r="J36" s="43">
        <f ca="1">241.4*OFFSET(J$112,MATCH($N$1,$C$112:$C$113,0)-1,0)</f>
        <v>241.4</v>
      </c>
      <c r="K36" s="43">
        <f ca="1">289*OFFSET(K$112,MATCH($N$1,$C$112:$C$113,0)-1,0)</f>
        <v>289</v>
      </c>
      <c r="L36" s="43">
        <f ca="1">399.4*OFFSET(L$112,MATCH($N$1,$C$112:$C$113,0)-1,0)</f>
        <v>399.4</v>
      </c>
      <c r="M36" s="43">
        <f ca="1">450.2*OFFSET(M$112,MATCH($N$1,$C$112:$C$113,0)-1,0)</f>
        <v>450.2</v>
      </c>
      <c r="N36" s="43">
        <v>378.5</v>
      </c>
      <c r="O36" s="23">
        <f t="shared" ca="1" si="0"/>
        <v>1.312156383628589</v>
      </c>
      <c r="P36" s="23">
        <f t="shared" ca="1" si="1"/>
        <v>0.56793703396851691</v>
      </c>
    </row>
    <row r="37" spans="1:16" ht="18" customHeight="1" x14ac:dyDescent="0.2">
      <c r="A37" s="231"/>
      <c r="B37" s="41" t="s">
        <v>75</v>
      </c>
      <c r="C37" s="42"/>
      <c r="D37" s="43">
        <f ca="1">-3.3*OFFSET(D$112,MATCH($N$1,$C$112:$C$113,0)-1,0)</f>
        <v>-3.3</v>
      </c>
      <c r="E37" s="43">
        <f ca="1">55.3*OFFSET(E$112,MATCH($N$1,$C$112:$C$113,0)-1,0)</f>
        <v>55.3</v>
      </c>
      <c r="F37" s="43">
        <f ca="1">97.1*OFFSET(F$112,MATCH($N$1,$C$112:$C$113,0)-1,0)</f>
        <v>97.1</v>
      </c>
      <c r="G37" s="43">
        <f ca="1">100.1*OFFSET(G$112,MATCH($N$1,$C$112:$C$113,0)-1,0)</f>
        <v>100.1</v>
      </c>
      <c r="H37" s="43">
        <f ca="1">34.4*OFFSET(H$112,MATCH($N$1,$C$112:$C$113,0)-1,0)</f>
        <v>34.4</v>
      </c>
      <c r="I37" s="43">
        <f ca="1">13.6*OFFSET(I$112,MATCH($N$1,$C$112:$C$113,0)-1,0)</f>
        <v>13.6</v>
      </c>
      <c r="J37" s="43">
        <f ca="1">60.7*OFFSET(J$112,MATCH($N$1,$C$112:$C$113,0)-1,0)</f>
        <v>60.7</v>
      </c>
      <c r="K37" s="43">
        <f ca="1">66.8*OFFSET(K$112,MATCH($N$1,$C$112:$C$113,0)-1,0)</f>
        <v>66.8</v>
      </c>
      <c r="L37" s="43">
        <f ca="1">143*OFFSET(L$112,MATCH($N$1,$C$112:$C$113,0)-1,0)</f>
        <v>143</v>
      </c>
      <c r="M37" s="43">
        <f ca="1">164.8*OFFSET(M$112,MATCH($N$1,$C$112:$C$113,0)-1,0)</f>
        <v>164.8</v>
      </c>
      <c r="N37" s="43">
        <v>130.9</v>
      </c>
      <c r="O37" s="23" t="str">
        <f t="shared" ca="1" si="0"/>
        <v>na</v>
      </c>
      <c r="P37" s="23">
        <f t="shared" ca="1" si="1"/>
        <v>1.1565074135090609</v>
      </c>
    </row>
    <row r="38" spans="1:16" ht="18" customHeight="1" x14ac:dyDescent="0.2">
      <c r="A38" s="231"/>
      <c r="B38" s="33" t="s">
        <v>76</v>
      </c>
      <c r="C38" s="27"/>
      <c r="D38" s="28">
        <f ca="1">35*OFFSET(D$112,MATCH($N$1,$C$112:$C$113,0)-1,0)</f>
        <v>35</v>
      </c>
      <c r="E38" s="28">
        <f ca="1">38.2*OFFSET(E$112,MATCH($N$1,$C$112:$C$113,0)-1,0)</f>
        <v>38.200000000000003</v>
      </c>
      <c r="F38" s="28">
        <f ca="1">23.3*OFFSET(F$112,MATCH($N$1,$C$112:$C$113,0)-1,0)</f>
        <v>23.3</v>
      </c>
      <c r="G38" s="28">
        <f ca="1">5.2*OFFSET(G$112,MATCH($N$1,$C$112:$C$113,0)-1,0)</f>
        <v>5.2</v>
      </c>
      <c r="H38" s="28">
        <f ca="1">7*OFFSET(H$112,MATCH($N$1,$C$112:$C$113,0)-1,0)</f>
        <v>7</v>
      </c>
      <c r="I38" s="28">
        <f ca="1">6.6*OFFSET(I$112,MATCH($N$1,$C$112:$C$113,0)-1,0)</f>
        <v>6.6</v>
      </c>
      <c r="J38" s="28">
        <f ca="1">5*OFFSET(J$112,MATCH($N$1,$C$112:$C$113,0)-1,0)</f>
        <v>5</v>
      </c>
      <c r="K38" s="28">
        <f ca="1">8.9*OFFSET(K$112,MATCH($N$1,$C$112:$C$113,0)-1,0)</f>
        <v>8.9</v>
      </c>
      <c r="L38" s="28">
        <f ca="1">27.4*OFFSET(L$112,MATCH($N$1,$C$112:$C$113,0)-1,0)</f>
        <v>27.4</v>
      </c>
      <c r="M38" s="28">
        <f ca="1">31.1*OFFSET(M$112,MATCH($N$1,$C$112:$C$113,0)-1,0)</f>
        <v>31.1</v>
      </c>
      <c r="N38" s="28"/>
      <c r="O38" s="23" t="str">
        <f t="shared" si="0"/>
        <v/>
      </c>
      <c r="P38" s="23" t="str">
        <f t="shared" si="1"/>
        <v/>
      </c>
    </row>
    <row r="39" spans="1:16" ht="18" customHeight="1" x14ac:dyDescent="0.2">
      <c r="A39" s="231"/>
      <c r="B39" s="33" t="s">
        <v>77</v>
      </c>
      <c r="C39" s="27"/>
      <c r="D39" s="28">
        <f ca="1">5.2*OFFSET(D$112,MATCH($N$1,$C$112:$C$113,0)-1,0)</f>
        <v>5.2</v>
      </c>
      <c r="E39" s="28">
        <f ca="1">2*OFFSET(E$112,MATCH($N$1,$C$112:$C$113,0)-1,0)</f>
        <v>2</v>
      </c>
      <c r="F39" s="28">
        <f ca="1">2.1*OFFSET(F$112,MATCH($N$1,$C$112:$C$113,0)-1,0)</f>
        <v>2.1</v>
      </c>
      <c r="G39" s="28">
        <f ca="1">1.9*OFFSET(G$112,MATCH($N$1,$C$112:$C$113,0)-1,0)</f>
        <v>1.9</v>
      </c>
      <c r="H39" s="28">
        <f ca="1">3*OFFSET(H$112,MATCH($N$1,$C$112:$C$113,0)-1,0)</f>
        <v>3</v>
      </c>
      <c r="I39" s="28">
        <f ca="1">2.9*OFFSET(I$112,MATCH($N$1,$C$112:$C$113,0)-1,0)</f>
        <v>2.9</v>
      </c>
      <c r="J39" s="28">
        <f ca="1">2.4*OFFSET(J$112,MATCH($N$1,$C$112:$C$113,0)-1,0)</f>
        <v>2.4</v>
      </c>
      <c r="K39" s="28">
        <f ca="1">3*OFFSET(K$112,MATCH($N$1,$C$112:$C$113,0)-1,0)</f>
        <v>3</v>
      </c>
      <c r="L39" s="28">
        <f ca="1">2*OFFSET(L$112,MATCH($N$1,$C$112:$C$113,0)-1,0)</f>
        <v>2</v>
      </c>
      <c r="M39" s="28">
        <f ca="1">2*OFFSET(M$112,MATCH($N$1,$C$112:$C$113,0)-1,0)</f>
        <v>2</v>
      </c>
      <c r="N39" s="28"/>
      <c r="O39" s="23" t="str">
        <f t="shared" si="0"/>
        <v/>
      </c>
      <c r="P39" s="23" t="str">
        <f t="shared" si="1"/>
        <v/>
      </c>
    </row>
    <row r="40" spans="1:16" ht="18" customHeight="1" x14ac:dyDescent="0.2">
      <c r="A40" s="231"/>
      <c r="B40" s="33" t="s">
        <v>78</v>
      </c>
      <c r="C40" s="27"/>
      <c r="D40" s="28"/>
      <c r="E40" s="28"/>
      <c r="F40" s="28">
        <f ca="1">20*OFFSET(F$112,MATCH($N$1,$C$112:$C$113,0)-1,0)</f>
        <v>20</v>
      </c>
      <c r="G40" s="28">
        <f ca="1">0.7*OFFSET(G$112,MATCH($N$1,$C$112:$C$113,0)-1,0)</f>
        <v>0.7</v>
      </c>
      <c r="H40" s="28">
        <f ca="1">0.9*OFFSET(H$112,MATCH($N$1,$C$112:$C$113,0)-1,0)</f>
        <v>0.9</v>
      </c>
      <c r="I40" s="28">
        <f ca="1">1.7*OFFSET(I$112,MATCH($N$1,$C$112:$C$113,0)-1,0)</f>
        <v>1.7</v>
      </c>
      <c r="J40" s="28">
        <f ca="1">0.4*OFFSET(J$112,MATCH($N$1,$C$112:$C$113,0)-1,0)</f>
        <v>0.4</v>
      </c>
      <c r="K40" s="28">
        <f ca="1">1.9*OFFSET(K$112,MATCH($N$1,$C$112:$C$113,0)-1,0)</f>
        <v>1.9</v>
      </c>
      <c r="L40" s="28">
        <f ca="1">0.1*OFFSET(L$112,MATCH($N$1,$C$112:$C$113,0)-1,0)</f>
        <v>0.1</v>
      </c>
      <c r="M40" s="28">
        <f ca="1">0.6*OFFSET(M$112,MATCH($N$1,$C$112:$C$113,0)-1,0)</f>
        <v>0.6</v>
      </c>
      <c r="N40" s="28"/>
      <c r="O40" s="23" t="str">
        <f t="shared" si="0"/>
        <v/>
      </c>
      <c r="P40" s="23" t="str">
        <f t="shared" si="1"/>
        <v/>
      </c>
    </row>
    <row r="41" spans="1:16" ht="18" customHeight="1" thickBot="1" x14ac:dyDescent="0.25">
      <c r="A41" s="232"/>
      <c r="B41" s="44" t="s">
        <v>79</v>
      </c>
      <c r="C41" s="45"/>
      <c r="D41" s="46">
        <f ca="1">-43.5*OFFSET(D$112,MATCH($N$1,$C$112:$C$113,0)-1,0)</f>
        <v>-43.5</v>
      </c>
      <c r="E41" s="46">
        <f ca="1">15.1*OFFSET(E$112,MATCH($N$1,$C$112:$C$113,0)-1,0)</f>
        <v>15.1</v>
      </c>
      <c r="F41" s="46">
        <f ca="1">51.7*OFFSET(F$112,MATCH($N$1,$C$112:$C$113,0)-1,0)</f>
        <v>51.7</v>
      </c>
      <c r="G41" s="46">
        <f ca="1">92.3*OFFSET(G$112,MATCH($N$1,$C$112:$C$113,0)-1,0)</f>
        <v>92.3</v>
      </c>
      <c r="H41" s="46">
        <f ca="1">23.5*OFFSET(H$112,MATCH($N$1,$C$112:$C$113,0)-1,0)</f>
        <v>23.5</v>
      </c>
      <c r="I41" s="46">
        <f ca="1">2.5*OFFSET(I$112,MATCH($N$1,$C$112:$C$113,0)-1,0)</f>
        <v>2.5</v>
      </c>
      <c r="J41" s="46">
        <f ca="1">52.9*OFFSET(J$112,MATCH($N$1,$C$112:$C$113,0)-1,0)</f>
        <v>52.9</v>
      </c>
      <c r="K41" s="46">
        <f ca="1">53*OFFSET(K$112,MATCH($N$1,$C$112:$C$113,0)-1,0)</f>
        <v>53</v>
      </c>
      <c r="L41" s="46">
        <f ca="1">113.6*OFFSET(L$112,MATCH($N$1,$C$112:$C$113,0)-1,0)</f>
        <v>113.6</v>
      </c>
      <c r="M41" s="46">
        <f ca="1">131.1*OFFSET(M$112,MATCH($N$1,$C$112:$C$113,0)-1,0)</f>
        <v>131.1</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South West beamers over 250kW</v>
      </c>
      <c r="C48" s="97"/>
      <c r="D48" s="97"/>
      <c r="E48" s="97"/>
      <c r="F48" s="97"/>
      <c r="G48" s="97"/>
      <c r="K48" s="97" t="str">
        <f>$B24&amp;CHAR(10)&amp;$A$1</f>
        <v>Operating profit per kW day at sea (£)
South West beamers over 250kW</v>
      </c>
    </row>
    <row r="49" spans="1:11" s="83" customFormat="1" x14ac:dyDescent="0.2">
      <c r="A49" s="97" t="str">
        <f>$B22&amp;CHAR(10)&amp;$A$1</f>
        <v>Fishing income per kW day at sea (£)
South West beamers over 250kW</v>
      </c>
    </row>
    <row r="50" spans="1:11" s="83" customFormat="1" x14ac:dyDescent="0.2">
      <c r="A50" s="97" t="str">
        <f>$B20&amp;CHAR(10)&amp;$A$1</f>
        <v>Average price per tonne landed (£)
South West beamers over 250kW</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South West beamers over 250kW</v>
      </c>
      <c r="F62" s="97" t="str">
        <f>$B20&amp;CHAR(10)&amp;$A$1</f>
        <v>Average price per tonne landed (£)
South West beamers over 250kW</v>
      </c>
      <c r="K62" s="97" t="str">
        <f>"Average annual operating profit per vessel (£'000)"&amp;CHAR(10)&amp;$A$1</f>
        <v>Average annual operating profit per vessel (£'000)
South West beamers over 250kW</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South West beamers over 250kW</v>
      </c>
      <c r="F76" s="97" t="str">
        <f>"Top 5 landed species by value in "&amp;A77&amp;CHAR(10)&amp;A1</f>
        <v>Top 5 landed species by value in 2017
South West beamers over 250kW</v>
      </c>
    </row>
    <row r="77" spans="1:9" s="97" customFormat="1" x14ac:dyDescent="0.2">
      <c r="A77" s="97">
        <v>2017</v>
      </c>
      <c r="B77" s="97" t="s">
        <v>406</v>
      </c>
      <c r="C77" s="98">
        <v>0.31255095939897387</v>
      </c>
      <c r="D77" s="99">
        <v>12153634</v>
      </c>
      <c r="G77" s="97" t="s">
        <v>407</v>
      </c>
      <c r="H77" s="98">
        <v>0.34389322254499871</v>
      </c>
      <c r="I77" s="99">
        <v>12153634</v>
      </c>
    </row>
    <row r="78" spans="1:9" s="97" customFormat="1" x14ac:dyDescent="0.2">
      <c r="B78" s="97" t="s">
        <v>408</v>
      </c>
      <c r="C78" s="98">
        <v>0.15892108971283031</v>
      </c>
      <c r="D78" s="99">
        <v>3050596</v>
      </c>
      <c r="G78" s="97" t="s">
        <v>409</v>
      </c>
      <c r="H78" s="98">
        <v>0.16655002156799645</v>
      </c>
      <c r="I78" s="99">
        <v>553960</v>
      </c>
    </row>
    <row r="79" spans="1:9" s="97" customFormat="1" x14ac:dyDescent="0.2">
      <c r="B79" s="97" t="s">
        <v>410</v>
      </c>
      <c r="C79" s="98">
        <v>9.0060571762096892E-2</v>
      </c>
      <c r="D79" s="99">
        <v>1692097</v>
      </c>
      <c r="G79" s="97" t="s">
        <v>411</v>
      </c>
      <c r="H79" s="98">
        <v>0.14722793279623939</v>
      </c>
      <c r="I79" s="99">
        <v>3050596</v>
      </c>
    </row>
    <row r="80" spans="1:9" s="97" customFormat="1" x14ac:dyDescent="0.2">
      <c r="B80" s="97" t="s">
        <v>412</v>
      </c>
      <c r="C80" s="98">
        <v>8.0021522972330311E-2</v>
      </c>
      <c r="D80" s="99">
        <v>11115023</v>
      </c>
      <c r="G80" s="97" t="s">
        <v>413</v>
      </c>
      <c r="H80" s="98">
        <v>6.0119720275846271E-2</v>
      </c>
      <c r="I80" s="99">
        <v>1692097</v>
      </c>
    </row>
    <row r="81" spans="1:18" s="97" customFormat="1" x14ac:dyDescent="0.2">
      <c r="B81" s="97" t="s">
        <v>414</v>
      </c>
      <c r="C81" s="98">
        <v>7.0120707156319878E-2</v>
      </c>
      <c r="D81" s="99">
        <v>3689192</v>
      </c>
      <c r="G81" s="97" t="s">
        <v>415</v>
      </c>
      <c r="H81" s="98">
        <v>5.8167882732344585E-2</v>
      </c>
      <c r="I81" s="99">
        <v>3689192</v>
      </c>
    </row>
    <row r="82" spans="1:18" s="97" customFormat="1" x14ac:dyDescent="0.2">
      <c r="B82" s="97" t="s">
        <v>416</v>
      </c>
      <c r="C82" s="98">
        <v>0.28832514899744865</v>
      </c>
      <c r="D82" s="99">
        <v>5920853</v>
      </c>
      <c r="G82" s="97" t="s">
        <v>417</v>
      </c>
      <c r="H82" s="98">
        <v>0.22404122008257465</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96</v>
      </c>
      <c r="D92" s="102">
        <v>0.1168736573303006</v>
      </c>
      <c r="E92" s="102">
        <v>0.18897788198092114</v>
      </c>
      <c r="F92" s="102">
        <v>0.21610734670189594</v>
      </c>
      <c r="G92" s="102">
        <v>0.23263143342409665</v>
      </c>
      <c r="H92" s="102">
        <v>0.14030825448075429</v>
      </c>
      <c r="I92" s="102">
        <v>0.12026512423791083</v>
      </c>
      <c r="J92" s="102">
        <v>0.19761453663319356</v>
      </c>
      <c r="K92" s="102">
        <v>0.20718827503181445</v>
      </c>
      <c r="L92" s="102">
        <v>0.34389322254499871</v>
      </c>
      <c r="M92" s="102">
        <v>0.31005789361176161</v>
      </c>
      <c r="O92" s="97">
        <v>12153634</v>
      </c>
    </row>
    <row r="93" spans="1:18" s="97" customFormat="1" hidden="1" x14ac:dyDescent="0.2">
      <c r="B93" s="97">
        <v>2</v>
      </c>
      <c r="C93" s="97" t="s">
        <v>245</v>
      </c>
      <c r="D93" s="102">
        <v>0.1917297399809009</v>
      </c>
      <c r="E93" s="102">
        <v>0.16259534544391124</v>
      </c>
      <c r="F93" s="102">
        <v>0.15271132897590886</v>
      </c>
      <c r="G93" s="102">
        <v>0.15735087795315056</v>
      </c>
      <c r="H93" s="102">
        <v>0.17597771187498396</v>
      </c>
      <c r="I93" s="102">
        <v>0.17149999564235588</v>
      </c>
      <c r="J93" s="102">
        <v>0.1529604113862818</v>
      </c>
      <c r="K93" s="102">
        <v>0.18959752305170621</v>
      </c>
      <c r="L93" s="102">
        <v>0.16655002156799645</v>
      </c>
      <c r="M93" s="102">
        <v>0.1989988305301208</v>
      </c>
      <c r="O93" s="97">
        <v>553960</v>
      </c>
    </row>
    <row r="94" spans="1:18" s="97" customFormat="1" hidden="1" x14ac:dyDescent="0.2">
      <c r="B94" s="97">
        <v>3</v>
      </c>
      <c r="C94" s="97" t="s">
        <v>121</v>
      </c>
      <c r="D94" s="102">
        <v>0.28037579193155016</v>
      </c>
      <c r="E94" s="102">
        <v>0.30040629038624361</v>
      </c>
      <c r="F94" s="102">
        <v>0.27830795114098117</v>
      </c>
      <c r="G94" s="102">
        <v>0.25198608219493079</v>
      </c>
      <c r="H94" s="102">
        <v>0.28517094755325861</v>
      </c>
      <c r="I94" s="102">
        <v>0.27769541338015363</v>
      </c>
      <c r="J94" s="102">
        <v>0.2339463935669272</v>
      </c>
      <c r="K94" s="102">
        <v>0.22867763511208491</v>
      </c>
      <c r="L94" s="102">
        <v>0.14722793279623939</v>
      </c>
      <c r="M94" s="102">
        <v>0.1218423334557529</v>
      </c>
      <c r="O94" s="97">
        <v>3050596</v>
      </c>
    </row>
    <row r="95" spans="1:18" s="97" customFormat="1" hidden="1" x14ac:dyDescent="0.2">
      <c r="B95" s="97">
        <v>4</v>
      </c>
      <c r="C95" s="97" t="s">
        <v>94</v>
      </c>
      <c r="D95" s="102"/>
      <c r="E95" s="102"/>
      <c r="F95" s="102"/>
      <c r="G95" s="102">
        <v>4.5391276854152195E-2</v>
      </c>
      <c r="H95" s="102"/>
      <c r="I95" s="102"/>
      <c r="J95" s="102">
        <v>6.4679750568691893E-2</v>
      </c>
      <c r="K95" s="102"/>
      <c r="L95" s="102">
        <v>6.0119720275846271E-2</v>
      </c>
      <c r="M95" s="102">
        <v>6.6985309283962929E-2</v>
      </c>
      <c r="O95" s="97">
        <v>1692097</v>
      </c>
    </row>
    <row r="96" spans="1:18" s="97" customFormat="1" hidden="1" x14ac:dyDescent="0.2">
      <c r="B96" s="97">
        <v>5</v>
      </c>
      <c r="C96" s="97" t="s">
        <v>168</v>
      </c>
      <c r="D96" s="102">
        <v>0.11952337661396036</v>
      </c>
      <c r="E96" s="102">
        <v>0.10156975767325048</v>
      </c>
      <c r="F96" s="102">
        <v>9.3708070450954445E-2</v>
      </c>
      <c r="G96" s="102">
        <v>8.0103634922956996E-2</v>
      </c>
      <c r="H96" s="102">
        <v>0.11589115064289357</v>
      </c>
      <c r="I96" s="102">
        <v>0.12993787550520974</v>
      </c>
      <c r="J96" s="102">
        <v>0.11720822020461284</v>
      </c>
      <c r="K96" s="102">
        <v>9.0714107937631044E-2</v>
      </c>
      <c r="L96" s="102">
        <v>5.8167882732344585E-2</v>
      </c>
      <c r="M96" s="102"/>
      <c r="O96" s="97">
        <v>3689192</v>
      </c>
    </row>
    <row r="97" spans="1:15" s="97" customFormat="1" hidden="1" x14ac:dyDescent="0.2">
      <c r="B97" s="97">
        <v>6</v>
      </c>
      <c r="C97" s="97" t="s">
        <v>138</v>
      </c>
      <c r="D97" s="102"/>
      <c r="E97" s="102"/>
      <c r="F97" s="102"/>
      <c r="G97" s="102"/>
      <c r="H97" s="102"/>
      <c r="I97" s="102"/>
      <c r="J97" s="102"/>
      <c r="K97" s="102">
        <v>4.652832410234798E-2</v>
      </c>
      <c r="L97" s="102"/>
      <c r="M97" s="102">
        <v>5.3956703026340765E-2</v>
      </c>
      <c r="O97" s="97">
        <v>11115023</v>
      </c>
    </row>
    <row r="98" spans="1:15" s="97" customFormat="1" hidden="1" x14ac:dyDescent="0.2">
      <c r="B98" s="97">
        <v>7</v>
      </c>
      <c r="C98" s="97" t="s">
        <v>187</v>
      </c>
      <c r="D98" s="102">
        <v>4.7146323694459057E-2</v>
      </c>
      <c r="E98" s="102">
        <v>4.3539432955672489E-2</v>
      </c>
      <c r="F98" s="102">
        <v>4.0347316780703663E-2</v>
      </c>
      <c r="G98" s="102"/>
      <c r="H98" s="102">
        <v>4.3967083899322176E-2</v>
      </c>
      <c r="I98" s="102">
        <v>5.1733637009427139E-2</v>
      </c>
      <c r="J98" s="102"/>
      <c r="K98" s="102"/>
      <c r="L98" s="102"/>
      <c r="M98" s="102"/>
      <c r="O98" s="97">
        <v>2480382</v>
      </c>
    </row>
    <row r="99" spans="1:15" s="97" customFormat="1" hidden="1" x14ac:dyDescent="0.2">
      <c r="B99" s="97">
        <v>8</v>
      </c>
      <c r="C99" s="97" t="s">
        <v>101</v>
      </c>
      <c r="D99" s="102">
        <v>0.24435111044882893</v>
      </c>
      <c r="E99" s="102">
        <v>0.20291129156000101</v>
      </c>
      <c r="F99" s="102">
        <v>0.21881798594955595</v>
      </c>
      <c r="G99" s="102">
        <v>0.23253669465071281</v>
      </c>
      <c r="H99" s="102">
        <v>0.23868485154878738</v>
      </c>
      <c r="I99" s="102">
        <v>0.24886795422494276</v>
      </c>
      <c r="J99" s="102">
        <v>0.23359068764029273</v>
      </c>
      <c r="K99" s="102">
        <v>0.23729413476441538</v>
      </c>
      <c r="L99" s="102">
        <v>0.22404122008257463</v>
      </c>
      <c r="M99" s="102">
        <v>0.248158930092061</v>
      </c>
      <c r="O99" s="97">
        <v>5920853</v>
      </c>
    </row>
    <row r="100" spans="1:15" s="97" customFormat="1" hidden="1" x14ac:dyDescent="0.2">
      <c r="B100" s="97">
        <v>9</v>
      </c>
      <c r="D100" s="102"/>
      <c r="E100" s="102"/>
      <c r="F100" s="102"/>
      <c r="G100" s="102"/>
      <c r="H100" s="102"/>
      <c r="I100" s="102"/>
      <c r="J100" s="102"/>
      <c r="K100" s="102"/>
      <c r="L100" s="102"/>
      <c r="M100" s="102"/>
      <c r="O100" s="97">
        <v>8497745</v>
      </c>
    </row>
    <row r="101" spans="1:15" s="97" customFormat="1" hidden="1" x14ac:dyDescent="0.2">
      <c r="B101" s="97">
        <v>10</v>
      </c>
      <c r="D101" s="102"/>
      <c r="E101" s="102"/>
      <c r="F101" s="102"/>
      <c r="G101" s="102"/>
      <c r="H101" s="102"/>
      <c r="I101" s="102"/>
      <c r="J101" s="102"/>
      <c r="K101" s="102"/>
      <c r="L101" s="102"/>
      <c r="M101" s="102"/>
      <c r="O101" s="97">
        <v>14393110</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9</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7</v>
      </c>
      <c r="D120" s="56">
        <v>12</v>
      </c>
      <c r="E120" s="56">
        <v>7</v>
      </c>
      <c r="F120" s="57">
        <v>26</v>
      </c>
    </row>
    <row r="121" spans="1:14" ht="18" customHeight="1" x14ac:dyDescent="0.2">
      <c r="A121" s="225" t="s">
        <v>23</v>
      </c>
      <c r="B121" s="30" t="s">
        <v>58</v>
      </c>
      <c r="C121" s="58">
        <v>27.29571533203125</v>
      </c>
      <c r="D121" s="58">
        <v>28.775833129882813</v>
      </c>
      <c r="E121" s="58">
        <v>30.3028564453125</v>
      </c>
      <c r="F121" s="59">
        <v>28.788461685180664</v>
      </c>
    </row>
    <row r="122" spans="1:14" ht="18" customHeight="1" x14ac:dyDescent="0.2">
      <c r="A122" s="226"/>
      <c r="B122" s="33" t="s">
        <v>51</v>
      </c>
      <c r="C122" s="60">
        <v>582.5714111328125</v>
      </c>
      <c r="D122" s="60">
        <v>641.75</v>
      </c>
      <c r="E122" s="60">
        <v>631</v>
      </c>
      <c r="F122" s="61">
        <v>622.923095703125</v>
      </c>
    </row>
    <row r="123" spans="1:14" ht="18" customHeight="1" x14ac:dyDescent="0.2">
      <c r="A123" s="226"/>
      <c r="B123" s="33" t="s">
        <v>52</v>
      </c>
      <c r="C123" s="60">
        <v>169.85714721679687</v>
      </c>
      <c r="D123" s="60">
        <v>169.25</v>
      </c>
      <c r="E123" s="60">
        <v>173.85714721679687</v>
      </c>
      <c r="F123" s="61">
        <v>170.65383911132812</v>
      </c>
    </row>
    <row r="124" spans="1:14" ht="18" customHeight="1" x14ac:dyDescent="0.2">
      <c r="A124" s="226"/>
      <c r="B124" s="33" t="s">
        <v>53</v>
      </c>
      <c r="C124" s="60">
        <v>451.78826904296875</v>
      </c>
      <c r="D124" s="60">
        <v>491.92483520507812</v>
      </c>
      <c r="E124" s="60">
        <v>496.923583984375</v>
      </c>
      <c r="F124" s="61">
        <v>482.46466064453125</v>
      </c>
    </row>
    <row r="125" spans="1:14" ht="18" customHeight="1" x14ac:dyDescent="0.2">
      <c r="A125" s="226"/>
      <c r="B125" s="33" t="s">
        <v>54</v>
      </c>
      <c r="C125" s="28">
        <v>347.43960571289062</v>
      </c>
      <c r="D125" s="28">
        <v>299.47433471679687</v>
      </c>
      <c r="E125" s="28">
        <v>247.75242614746094</v>
      </c>
      <c r="F125" s="62">
        <v>298.46295166015625</v>
      </c>
    </row>
    <row r="126" spans="1:14" ht="18" customHeight="1" x14ac:dyDescent="0.2">
      <c r="A126" s="226"/>
      <c r="B126" s="33" t="s">
        <v>59</v>
      </c>
      <c r="C126" s="28">
        <f ca="1">1222.326625*OFFSET($L$112,MATCH($N$1,$C$112:$C$113,0)-1,0)</f>
        <v>1222.3266249999999</v>
      </c>
      <c r="D126" s="28">
        <f ca="1">1012.58396875*OFFSET($L$112,MATCH($N$1,$C$112:$C$113,0)-1,0)</f>
        <v>1012.5839687500001</v>
      </c>
      <c r="E126" s="28">
        <f ca="1">781.9289375*OFFSET($L$112,MATCH($N$1,$C$112:$C$113,0)-1,0)</f>
        <v>781.92893749999996</v>
      </c>
      <c r="F126" s="62">
        <f ca="1">1006.9536875*OFFSET($L$112,MATCH($N$1,$C$112:$C$113,0)-1,0)</f>
        <v>1006.9536875</v>
      </c>
    </row>
    <row r="127" spans="1:14" ht="18" customHeight="1" x14ac:dyDescent="0.2">
      <c r="A127" s="226"/>
      <c r="B127" s="33" t="s">
        <v>56</v>
      </c>
      <c r="C127" s="60">
        <v>233.42857360839844</v>
      </c>
      <c r="D127" s="60">
        <v>231.5</v>
      </c>
      <c r="E127" s="60">
        <v>208.28572082519531</v>
      </c>
      <c r="F127" s="61">
        <v>225.76922607421875</v>
      </c>
    </row>
    <row r="128" spans="1:14" ht="18" customHeight="1" x14ac:dyDescent="0.2">
      <c r="A128" s="226"/>
      <c r="B128" s="33" t="s">
        <v>60</v>
      </c>
      <c r="C128" s="60">
        <v>38.285713195800781</v>
      </c>
      <c r="D128" s="60">
        <v>44.75</v>
      </c>
      <c r="E128" s="60">
        <v>45.142856597900391</v>
      </c>
      <c r="F128" s="61">
        <v>43.115383148193359</v>
      </c>
    </row>
    <row r="129" spans="1:14" ht="18" customHeight="1" x14ac:dyDescent="0.2">
      <c r="A129" s="226"/>
      <c r="B129" s="33" t="s">
        <v>61</v>
      </c>
      <c r="C129" s="63">
        <v>1.4884192943572998</v>
      </c>
      <c r="D129" s="63">
        <v>1.2936256359256884</v>
      </c>
      <c r="E129" s="63">
        <v>1.1894835233688354</v>
      </c>
      <c r="F129" s="64">
        <v>1.3219823837280273</v>
      </c>
    </row>
    <row r="130" spans="1:14" ht="18" customHeight="1" x14ac:dyDescent="0.2">
      <c r="A130" s="227"/>
      <c r="B130" s="35" t="s">
        <v>24</v>
      </c>
      <c r="C130" s="37">
        <f ca="1">3518.09812382207*OFFSET($L$112,MATCH($N$1,$C$112:$C$113,0)-1,0)</f>
        <v>3518.0981238220702</v>
      </c>
      <c r="D130" s="37">
        <f ca="1">3381.20450190688*OFFSET($L$112,MATCH($N$1,$C$112:$C$113,0)-1,0)</f>
        <v>3381.2045019068801</v>
      </c>
      <c r="E130" s="37">
        <f ca="1">3156.08993081908*OFFSET($L$112,MATCH($N$1,$C$112:$C$113,0)-1,0)</f>
        <v>3156.0899308190801</v>
      </c>
      <c r="F130" s="65">
        <f ca="1">3374*OFFSET($L$112,MATCH($N$1,$C$112:$C$113,0)-1,0)</f>
        <v>3374</v>
      </c>
    </row>
    <row r="131" spans="1:14" ht="18" customHeight="1" x14ac:dyDescent="0.2">
      <c r="A131" s="239" t="s">
        <v>25</v>
      </c>
      <c r="B131" s="30" t="s">
        <v>62</v>
      </c>
      <c r="C131" s="66">
        <v>2.5532439028552618</v>
      </c>
      <c r="D131" s="66">
        <v>1.9936413349341315</v>
      </c>
      <c r="E131" s="66">
        <v>1.8579906376559434</v>
      </c>
      <c r="F131" s="67">
        <v>2.1038285098917218</v>
      </c>
    </row>
    <row r="132" spans="1:14" ht="18" customHeight="1" x14ac:dyDescent="0.2">
      <c r="A132" s="228"/>
      <c r="B132" s="33" t="s">
        <v>63</v>
      </c>
      <c r="C132" s="63">
        <f ca="1">8.98256258429523*OFFSET($L$112,MATCH($N$1,$C$112:$C$113,0)-1,0)</f>
        <v>8.9825625842952306</v>
      </c>
      <c r="D132" s="63">
        <f ca="1">6.74090905686692*OFFSET($L$112,MATCH($N$1,$C$112:$C$113,0)-1,0)</f>
        <v>6.7409090568669203</v>
      </c>
      <c r="E132" s="63">
        <f ca="1">5.86398554306205*OFFSET($L$112,MATCH($N$1,$C$112:$C$113,0)-1,0)</f>
        <v>5.86398554306205</v>
      </c>
      <c r="F132" s="64">
        <f ca="1">7.09789226475008*OFFSET($L$112,MATCH($N$1,$C$112:$C$113,0)-1,0)</f>
        <v>7.0978922647500804</v>
      </c>
    </row>
    <row r="133" spans="1:14" ht="18" customHeight="1" x14ac:dyDescent="0.2">
      <c r="A133" s="228"/>
      <c r="B133" s="33" t="s">
        <v>11</v>
      </c>
      <c r="C133" s="63">
        <f ca="1">7.07023077574924*OFFSET($L$112,MATCH($N$1,$C$112:$C$113,0)-1,0)</f>
        <v>7.0702307757492404</v>
      </c>
      <c r="D133" s="63">
        <f ca="1">5.58736949933345*OFFSET($L$112,MATCH($N$1,$C$112:$C$113,0)-1,0)</f>
        <v>5.58736949933345</v>
      </c>
      <c r="E133" s="63">
        <f ca="1">5.45277265710448*OFFSET($L$112,MATCH($N$1,$C$112:$C$113,0)-1,0)</f>
        <v>5.4527726571044797</v>
      </c>
      <c r="F133" s="64">
        <f ca="1">5.9362498500737*OFFSET($L$112,MATCH($N$1,$C$112:$C$113,0)-1,0)</f>
        <v>5.9362498500737004</v>
      </c>
    </row>
    <row r="134" spans="1:14" ht="18" customHeight="1" x14ac:dyDescent="0.2">
      <c r="A134" s="229"/>
      <c r="B134" s="35" t="s">
        <v>12</v>
      </c>
      <c r="C134" s="68">
        <f ca="1">1.91233180854599*OFFSET($L$112,MATCH($N$1,$C$112:$C$113,0)-1,0)</f>
        <v>1.9123318085459899</v>
      </c>
      <c r="D134" s="68">
        <f ca="1">1.15353955753346*OFFSET($L$112,MATCH($N$1,$C$112:$C$113,0)-1,0)</f>
        <v>1.1535395575334599</v>
      </c>
      <c r="E134" s="68">
        <f ca="1">0.411212885957567*OFFSET($L$112,MATCH($N$1,$C$112:$C$113,0)-1,0)</f>
        <v>0.411212885957567</v>
      </c>
      <c r="F134" s="69">
        <f ca="1">1.16164241467638*OFFSET($L$112,MATCH($N$1,$C$112:$C$113,0)-1,0)</f>
        <v>1.16164241467638</v>
      </c>
    </row>
    <row r="135" spans="1:14" ht="18" customHeight="1" x14ac:dyDescent="0.2">
      <c r="A135" s="240" t="s">
        <v>45</v>
      </c>
      <c r="B135" s="33" t="s">
        <v>102</v>
      </c>
      <c r="C135" s="70">
        <f ca="1">244.3183125*OFFSET($L$112,MATCH($N$1,$C$112:$C$113,0)-1,0)</f>
        <v>244.31831249999999</v>
      </c>
      <c r="D135" s="70">
        <f ca="1">244.6891796875*OFFSET($L$112,MATCH($N$1,$C$112:$C$113,0)-1,0)</f>
        <v>244.6891796875</v>
      </c>
      <c r="E135" s="70">
        <f ca="1">267.9266875*OFFSET($L$112,MATCH($N$1,$C$112:$C$113,0)-1,0)</f>
        <v>267.92668750000001</v>
      </c>
      <c r="F135" s="71">
        <f ca="1">250.845578125*OFFSET($L$112,MATCH($N$1,$C$112:$C$113,0)-1,0)</f>
        <v>250.845578125</v>
      </c>
    </row>
    <row r="136" spans="1:14" ht="18" customHeight="1" x14ac:dyDescent="0.2">
      <c r="A136" s="241"/>
      <c r="B136" s="33" t="s">
        <v>103</v>
      </c>
      <c r="C136" s="26">
        <v>574342.85587957129</v>
      </c>
      <c r="D136" s="26">
        <v>576850.01158165373</v>
      </c>
      <c r="E136" s="26">
        <v>632628.56917884573</v>
      </c>
      <c r="F136" s="72">
        <v>591192.30769230775</v>
      </c>
    </row>
    <row r="137" spans="1:14" ht="18" customHeight="1" x14ac:dyDescent="0.2">
      <c r="A137" s="241"/>
      <c r="B137" s="33" t="s">
        <v>104</v>
      </c>
      <c r="C137" s="26">
        <v>2460.465087890625</v>
      </c>
      <c r="D137" s="26">
        <v>2491.7927066162147</v>
      </c>
      <c r="E137" s="26">
        <v>3037.311279296875</v>
      </c>
      <c r="F137" s="72">
        <v>2618.569091796875</v>
      </c>
    </row>
    <row r="138" spans="1:14" ht="18" customHeight="1" x14ac:dyDescent="0.2">
      <c r="A138" s="241"/>
      <c r="B138" s="33" t="s">
        <v>105</v>
      </c>
      <c r="C138" s="26">
        <f ca="1">1046.65126776583*OFFSET($L$112,MATCH($N$1,$C$112:$C$113,0)-1,0)</f>
        <v>1046.65126776583</v>
      </c>
      <c r="D138" s="26">
        <f ca="1">1056.97269843413*OFFSET($L$112,MATCH($N$1,$C$112:$C$113,0)-1,0)</f>
        <v>1056.9726984341301</v>
      </c>
      <c r="E138" s="26">
        <f ca="1">1286.34208066936*OFFSET($L$112,MATCH($N$1,$C$112:$C$113,0)-1,0)</f>
        <v>1286.34208066936</v>
      </c>
      <c r="F138" s="72">
        <f ca="1">1111.07072689587*OFFSET($L$112,MATCH($N$1,$C$112:$C$113,0)-1,0)</f>
        <v>1111.0707268958699</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703.19649367175*OFFSET($L$112,MATCH($N$1,$C$112:$C$113,0)-1,0)</f>
        <v>703.19649367174998</v>
      </c>
      <c r="D139" s="26">
        <f ca="1">817.062269856596*OFFSET($L$112,MATCH($N$1,$C$112:$C$113,0)-1,0)</f>
        <v>817.062269856596</v>
      </c>
      <c r="E139" s="26">
        <f ca="1">1081.42911722903*OFFSET($L$112,MATCH($N$1,$C$112:$C$113,0)-1,0)</f>
        <v>1081.42911722903</v>
      </c>
      <c r="F139" s="72">
        <f ca="1">840.458009041686*OFFSET($L$112,MATCH($N$1,$C$112:$C$113,0)-1,0)</f>
        <v>840.45800904168595</v>
      </c>
      <c r="I139" s="49"/>
      <c r="K139" s="73" t="s">
        <v>107</v>
      </c>
      <c r="L139" s="74">
        <f t="shared" ref="L139:M141" ca="1" si="2">C140</f>
        <v>1224.4361249999999</v>
      </c>
      <c r="M139" s="74">
        <f t="shared" ca="1" si="2"/>
        <v>1014.3315625</v>
      </c>
      <c r="N139" s="74">
        <f ca="1">E140</f>
        <v>783.2784375</v>
      </c>
    </row>
    <row r="140" spans="1:14" ht="18" customHeight="1" x14ac:dyDescent="0.2">
      <c r="A140" s="230" t="s">
        <v>46</v>
      </c>
      <c r="B140" s="30" t="s">
        <v>108</v>
      </c>
      <c r="C140" s="75">
        <f ca="1">1224.436125*OFFSET($L$112,MATCH($N$1,$C$112:$C$113,0)-1,0)</f>
        <v>1224.4361249999999</v>
      </c>
      <c r="D140" s="75">
        <f ca="1">1014.3315625*OFFSET($L$112,MATCH($N$1,$C$112:$C$113,0)-1,0)</f>
        <v>1014.3315625</v>
      </c>
      <c r="E140" s="75">
        <f ca="1">783.2784375*OFFSET($L$112,MATCH($N$1,$C$112:$C$113,0)-1,0)</f>
        <v>783.2784375</v>
      </c>
      <c r="F140" s="76">
        <f ca="1">1008.6915625*OFFSET($L$112,MATCH($N$1,$C$112:$C$113,0)-1,0)</f>
        <v>1008.6915625</v>
      </c>
      <c r="I140" s="49"/>
      <c r="K140" s="73" t="s">
        <v>109</v>
      </c>
      <c r="L140" s="74">
        <f t="shared" ca="1" si="2"/>
        <v>964.21043750000001</v>
      </c>
      <c r="M140" s="74">
        <f t="shared" ca="1" si="2"/>
        <v>841.05290624999998</v>
      </c>
      <c r="N140" s="74">
        <f ca="1">E141</f>
        <v>728.44556250000005</v>
      </c>
    </row>
    <row r="141" spans="1:14" ht="18" customHeight="1" x14ac:dyDescent="0.2">
      <c r="A141" s="237"/>
      <c r="B141" s="33" t="s">
        <v>110</v>
      </c>
      <c r="C141" s="26">
        <f ca="1">964.2104375*OFFSET($L$112,MATCH($N$1,$C$112:$C$113,0)-1,0)</f>
        <v>964.21043750000001</v>
      </c>
      <c r="D141" s="26">
        <f ca="1">841.05290625*OFFSET($L$112,MATCH($N$1,$C$112:$C$113,0)-1,0)</f>
        <v>841.05290624999998</v>
      </c>
      <c r="E141" s="26">
        <f ca="1">728.4455625*OFFSET($L$112,MATCH($N$1,$C$112:$C$113,0)-1,0)</f>
        <v>728.44556250000005</v>
      </c>
      <c r="F141" s="72">
        <f ca="1">843.8933125*OFFSET($L$112,MATCH($N$1,$C$112:$C$113,0)-1,0)</f>
        <v>843.89331249999998</v>
      </c>
      <c r="I141" s="49"/>
      <c r="K141" s="73" t="s">
        <v>111</v>
      </c>
      <c r="L141" s="74">
        <f t="shared" ca="1" si="2"/>
        <v>260.22568749999999</v>
      </c>
      <c r="M141" s="74">
        <f t="shared" ca="1" si="2"/>
        <v>173.27865625000001</v>
      </c>
      <c r="N141" s="74">
        <f ca="1">E142</f>
        <v>54.832875000000001</v>
      </c>
    </row>
    <row r="142" spans="1:14" ht="18" customHeight="1" x14ac:dyDescent="0.2">
      <c r="A142" s="238"/>
      <c r="B142" s="35" t="s">
        <v>112</v>
      </c>
      <c r="C142" s="37">
        <f ca="1">260.2256875*OFFSET($L$112,MATCH($N$1,$C$112:$C$113,0)-1,0)</f>
        <v>260.22568749999999</v>
      </c>
      <c r="D142" s="37">
        <f ca="1">173.27865625*OFFSET($L$112,MATCH($N$1,$C$112:$C$113,0)-1,0)</f>
        <v>173.27865625000001</v>
      </c>
      <c r="E142" s="37">
        <f ca="1">54.832875*OFFSET($L$112,MATCH($N$1,$C$112:$C$113,0)-1,0)</f>
        <v>54.832875000000001</v>
      </c>
      <c r="F142" s="65">
        <f ca="1">164.798234375*OFFSET($L$112,MATCH($N$1,$C$112:$C$113,0)-1,0)</f>
        <v>164.79823437499999</v>
      </c>
      <c r="I142" s="49"/>
      <c r="K142" s="73" t="s">
        <v>113</v>
      </c>
      <c r="L142" s="77">
        <f ca="1">IFERROR(L140/L$139,"")</f>
        <v>0.78747303988601292</v>
      </c>
      <c r="M142" s="77">
        <f t="shared" ref="M142:N143" ca="1" si="3">IFERROR(M140/M$139,"")</f>
        <v>0.829169610158907</v>
      </c>
      <c r="N142" s="77">
        <f t="shared" ca="1" si="3"/>
        <v>0.92999567921847726</v>
      </c>
    </row>
    <row r="143" spans="1:14" ht="18" customHeight="1" x14ac:dyDescent="0.2">
      <c r="I143" s="49"/>
      <c r="K143" s="73" t="s">
        <v>114</v>
      </c>
      <c r="L143" s="77">
        <f ca="1">IFERROR(L141/L$139,"")</f>
        <v>0.21252696011398717</v>
      </c>
      <c r="M143" s="77">
        <f t="shared" ca="1" si="3"/>
        <v>0.17083038984109303</v>
      </c>
      <c r="N143" s="77">
        <f t="shared" ca="1" si="3"/>
        <v>7.0004320781522855E-2</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9</v>
      </c>
      <c r="B161" s="53"/>
      <c r="C161" s="79" t="s">
        <v>41</v>
      </c>
      <c r="D161" s="79" t="s">
        <v>115</v>
      </c>
      <c r="E161" s="79" t="s">
        <v>43</v>
      </c>
      <c r="F161" s="79" t="s">
        <v>116</v>
      </c>
      <c r="G161" s="80">
        <v>8</v>
      </c>
      <c r="H161" s="79"/>
      <c r="I161" s="79" t="s">
        <v>41</v>
      </c>
      <c r="J161" s="79" t="s">
        <v>115</v>
      </c>
      <c r="K161" s="79" t="s">
        <v>43</v>
      </c>
      <c r="L161" s="53" t="s">
        <v>116</v>
      </c>
    </row>
    <row r="162" spans="1:14" s="49" customFormat="1" x14ac:dyDescent="0.2">
      <c r="A162" s="50">
        <v>1</v>
      </c>
      <c r="B162" s="53" t="s">
        <v>96</v>
      </c>
      <c r="C162" s="53">
        <v>0.3229220926080647</v>
      </c>
      <c r="D162" s="53">
        <v>0.29112262216787488</v>
      </c>
      <c r="E162" s="53">
        <v>0.28860030424190242</v>
      </c>
      <c r="F162" s="50">
        <v>12153634</v>
      </c>
      <c r="G162" s="50">
        <v>1</v>
      </c>
      <c r="H162" s="53" t="s">
        <v>96</v>
      </c>
      <c r="I162" s="53">
        <v>0.34519188739806217</v>
      </c>
      <c r="J162" s="53">
        <v>0.37599680803899166</v>
      </c>
      <c r="K162" s="53">
        <v>0.33028963832751085</v>
      </c>
      <c r="L162" s="50">
        <v>12153634</v>
      </c>
    </row>
    <row r="163" spans="1:14" s="49" customFormat="1" x14ac:dyDescent="0.2">
      <c r="A163" s="50">
        <v>2</v>
      </c>
      <c r="B163" s="53" t="s">
        <v>121</v>
      </c>
      <c r="C163" s="53">
        <v>0.12483114227775755</v>
      </c>
      <c r="D163" s="53">
        <v>0.23365557218568683</v>
      </c>
      <c r="E163" s="53">
        <v>0.19802750607512459</v>
      </c>
      <c r="F163" s="50">
        <v>3050596</v>
      </c>
      <c r="G163" s="50">
        <v>2</v>
      </c>
      <c r="H163" s="53" t="s">
        <v>245</v>
      </c>
      <c r="I163" s="53">
        <v>0.21632743633036644</v>
      </c>
      <c r="J163" s="53">
        <v>0.1761517483644553</v>
      </c>
      <c r="K163" s="53">
        <v>9.5388340583083889E-2</v>
      </c>
      <c r="L163" s="50">
        <v>553960</v>
      </c>
      <c r="N163" s="49" t="s">
        <v>117</v>
      </c>
    </row>
    <row r="164" spans="1:14" s="49" customFormat="1" x14ac:dyDescent="0.2">
      <c r="A164" s="50">
        <v>3</v>
      </c>
      <c r="B164" s="53" t="s">
        <v>170</v>
      </c>
      <c r="C164" s="53">
        <v>9.8341773751682557E-2</v>
      </c>
      <c r="D164" s="53">
        <v>0.11372984191110562</v>
      </c>
      <c r="E164" s="53">
        <v>3.8778744750166044E-2</v>
      </c>
      <c r="F164" s="50">
        <v>11115023</v>
      </c>
      <c r="G164" s="50">
        <v>3</v>
      </c>
      <c r="H164" s="53" t="s">
        <v>121</v>
      </c>
      <c r="I164" s="53">
        <v>0.11136042789488695</v>
      </c>
      <c r="J164" s="53">
        <v>0.16199946983863064</v>
      </c>
      <c r="K164" s="53">
        <v>0.19622440303998268</v>
      </c>
      <c r="L164" s="50">
        <v>3050596</v>
      </c>
      <c r="N164" s="49" t="s">
        <v>118</v>
      </c>
    </row>
    <row r="165" spans="1:14" s="49" customFormat="1" x14ac:dyDescent="0.2">
      <c r="A165" s="50">
        <v>4</v>
      </c>
      <c r="B165" s="53" t="s">
        <v>418</v>
      </c>
      <c r="C165" s="53">
        <v>0</v>
      </c>
      <c r="D165" s="53">
        <v>8.1838409277371613E-2</v>
      </c>
      <c r="E165" s="53">
        <v>0</v>
      </c>
      <c r="F165" s="50">
        <v>2480382</v>
      </c>
      <c r="G165" s="50">
        <v>4</v>
      </c>
      <c r="H165" s="53" t="s">
        <v>168</v>
      </c>
      <c r="I165" s="53">
        <v>0</v>
      </c>
      <c r="J165" s="53">
        <v>6.9262019768594571E-2</v>
      </c>
      <c r="K165" s="53">
        <v>9.8654455786756107E-2</v>
      </c>
      <c r="L165" s="50">
        <v>3689192</v>
      </c>
    </row>
    <row r="166" spans="1:14" s="49" customFormat="1" x14ac:dyDescent="0.2">
      <c r="A166" s="50">
        <v>5</v>
      </c>
      <c r="B166" s="53" t="s">
        <v>168</v>
      </c>
      <c r="C166" s="53">
        <v>0</v>
      </c>
      <c r="D166" s="53">
        <v>7.7563122253840391E-2</v>
      </c>
      <c r="E166" s="53">
        <v>0.10656369315207956</v>
      </c>
      <c r="F166" s="50">
        <v>3689192</v>
      </c>
      <c r="G166" s="50">
        <v>5</v>
      </c>
      <c r="H166" s="53" t="s">
        <v>138</v>
      </c>
      <c r="I166" s="53">
        <v>5.2546627617576995E-2</v>
      </c>
      <c r="J166" s="53">
        <v>5.0179459080089348E-2</v>
      </c>
      <c r="K166" s="53">
        <v>0</v>
      </c>
      <c r="L166" s="50">
        <v>7434864</v>
      </c>
    </row>
    <row r="167" spans="1:14" s="49" customFormat="1" x14ac:dyDescent="0.2">
      <c r="A167" s="50">
        <v>6</v>
      </c>
      <c r="B167" s="53" t="s">
        <v>94</v>
      </c>
      <c r="C167" s="53">
        <v>9.2123218279367286E-2</v>
      </c>
      <c r="D167" s="53">
        <v>0</v>
      </c>
      <c r="E167" s="53">
        <v>0.15963878594360742</v>
      </c>
      <c r="F167" s="50">
        <v>1692097</v>
      </c>
      <c r="G167" s="50">
        <v>6</v>
      </c>
      <c r="H167" s="53" t="s">
        <v>94</v>
      </c>
      <c r="I167" s="53">
        <v>6.194631154897897E-2</v>
      </c>
      <c r="J167" s="53">
        <v>0</v>
      </c>
      <c r="K167" s="53">
        <v>0.11046331739728001</v>
      </c>
      <c r="L167" s="50">
        <v>1692097</v>
      </c>
    </row>
    <row r="168" spans="1:14" s="49" customFormat="1" x14ac:dyDescent="0.2">
      <c r="A168" s="50">
        <v>7</v>
      </c>
      <c r="B168" s="53" t="s">
        <v>245</v>
      </c>
      <c r="C168" s="53">
        <v>6.6542333661152628E-2</v>
      </c>
      <c r="D168" s="53">
        <v>0</v>
      </c>
      <c r="E168" s="53">
        <v>0</v>
      </c>
      <c r="F168" s="50">
        <v>553960</v>
      </c>
      <c r="G168" s="50">
        <v>7</v>
      </c>
      <c r="H168" s="53" t="s">
        <v>101</v>
      </c>
      <c r="I168" s="53">
        <v>0.2126273092101284</v>
      </c>
      <c r="J168" s="53">
        <v>0.16641049490923843</v>
      </c>
      <c r="K168" s="53">
        <v>0.16897984486538642</v>
      </c>
      <c r="L168" s="50">
        <v>5920853</v>
      </c>
    </row>
    <row r="169" spans="1:14" s="49" customFormat="1" x14ac:dyDescent="0.2">
      <c r="A169" s="50">
        <v>8</v>
      </c>
      <c r="B169" s="53" t="s">
        <v>101</v>
      </c>
      <c r="C169" s="53">
        <v>0.29523943942197528</v>
      </c>
      <c r="D169" s="53">
        <v>0.20209043220412071</v>
      </c>
      <c r="E169" s="53">
        <v>0.20839096583711991</v>
      </c>
      <c r="F169" s="50">
        <v>5920853</v>
      </c>
      <c r="G169" s="50">
        <v>8</v>
      </c>
      <c r="H169" s="53"/>
      <c r="I169" s="53">
        <v>0</v>
      </c>
      <c r="J169" s="53">
        <v>0</v>
      </c>
      <c r="K169" s="53">
        <v>0</v>
      </c>
      <c r="L169" s="50"/>
    </row>
    <row r="170" spans="1:14" s="49" customFormat="1" x14ac:dyDescent="0.2">
      <c r="A170" s="50">
        <v>9</v>
      </c>
      <c r="B170" s="53"/>
      <c r="C170" s="53">
        <v>0</v>
      </c>
      <c r="D170" s="53">
        <v>0</v>
      </c>
      <c r="E170" s="53">
        <v>0</v>
      </c>
      <c r="F170" s="50"/>
      <c r="G170" s="50">
        <v>9</v>
      </c>
      <c r="H170" s="53"/>
      <c r="I170" s="53">
        <v>0</v>
      </c>
      <c r="J170" s="53">
        <v>0</v>
      </c>
      <c r="K170" s="53">
        <v>0</v>
      </c>
      <c r="L170" s="50"/>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'South West beamers o250kW'!D3:N3</xm:f>
              <xm:sqref>C3</xm:sqref>
            </x14:sparkline>
            <x14:sparkline>
              <xm:f>'South West beamers o250kW'!D4:N4</xm:f>
              <xm:sqref>C4</xm:sqref>
            </x14:sparkline>
            <x14:sparkline>
              <xm:f>'South West beamers o250kW'!D5:N5</xm:f>
              <xm:sqref>C5</xm:sqref>
            </x14:sparkline>
            <x14:sparkline>
              <xm:f>'South West beamers o250kW'!D6:N6</xm:f>
              <xm:sqref>C6</xm:sqref>
            </x14:sparkline>
            <x14:sparkline>
              <xm:f>'South West beamers o250kW'!D7:N7</xm:f>
              <xm:sqref>C7</xm:sqref>
            </x14:sparkline>
            <x14:sparkline>
              <xm:f>'South West beamers o250kW'!D8:N8</xm:f>
              <xm:sqref>C8</xm:sqref>
            </x14:sparkline>
            <x14:sparkline>
              <xm:f>'South West beamers o250kW'!D9:N9</xm:f>
              <xm:sqref>C9</xm:sqref>
            </x14:sparkline>
            <x14:sparkline>
              <xm:f>'South West beamers o250kW'!F10:M10</xm:f>
              <xm:sqref>C10</xm:sqref>
            </x14:sparkline>
            <x14:sparkline>
              <xm:f>'South West beamers o250kW'!D11:N11</xm:f>
              <xm:sqref>C11</xm:sqref>
            </x14:sparkline>
            <x14:sparkline>
              <xm:f>'South West beamers o250kW'!D12:N12</xm:f>
              <xm:sqref>C12</xm:sqref>
            </x14:sparkline>
            <x14:sparkline>
              <xm:f>'South West beamers o250kW'!D13:N13</xm:f>
              <xm:sqref>C13</xm:sqref>
            </x14:sparkline>
            <x14:sparkline>
              <xm:f>'South West beamers o250kW'!D14:N14</xm:f>
              <xm:sqref>C14</xm:sqref>
            </x14:sparkline>
            <x14:sparkline>
              <xm:f>'South West beamers o250kW'!D15:N15</xm:f>
              <xm:sqref>C15</xm:sqref>
            </x14:sparkline>
            <x14:sparkline>
              <xm:f>'South West beamers o250kW'!D16:N16</xm:f>
              <xm:sqref>C16</xm:sqref>
            </x14:sparkline>
            <x14:sparkline>
              <xm:f>'South West beamers o250kW'!D17:N17</xm:f>
              <xm:sqref>C17</xm:sqref>
            </x14:sparkline>
            <x14:sparkline>
              <xm:f>'South West beamers o250kW'!D18:N18</xm:f>
              <xm:sqref>C18</xm:sqref>
            </x14:sparkline>
            <x14:sparkline>
              <xm:f>'South West beamers o250kW'!D19:N19</xm:f>
              <xm:sqref>C19</xm:sqref>
            </x14:sparkline>
            <x14:sparkline>
              <xm:f>'South West beamers o250kW'!D20:N20</xm:f>
              <xm:sqref>C20</xm:sqref>
            </x14:sparkline>
            <x14:sparkline>
              <xm:f>'South West beamers o250kW'!D21:N21</xm:f>
              <xm:sqref>C21</xm:sqref>
            </x14:sparkline>
            <x14:sparkline>
              <xm:f>'South West beamers o250kW'!D22:N22</xm:f>
              <xm:sqref>C22</xm:sqref>
            </x14:sparkline>
            <x14:sparkline>
              <xm:f>'South West beamers o250kW'!D23:N23</xm:f>
              <xm:sqref>C23</xm:sqref>
            </x14:sparkline>
            <x14:sparkline>
              <xm:f>'South West beamers o250kW'!D24:N24</xm:f>
              <xm:sqref>C24</xm:sqref>
            </x14:sparkline>
            <x14:sparkline>
              <xm:f>'South West beamers o250kW'!F25:M25</xm:f>
              <xm:sqref>C25</xm:sqref>
            </x14:sparkline>
            <x14:sparkline>
              <xm:f>'South West beamers o250kW'!F26:M26</xm:f>
              <xm:sqref>C26</xm:sqref>
            </x14:sparkline>
            <x14:sparkline>
              <xm:f>'South West beamers o250kW'!D27:N27</xm:f>
              <xm:sqref>C27</xm:sqref>
            </x14:sparkline>
            <x14:sparkline>
              <xm:f>'South West beamers o250kW'!D28:N28</xm:f>
              <xm:sqref>C28</xm:sqref>
            </x14:sparkline>
            <x14:sparkline>
              <xm:f>'South West beamers o250kW'!D29:N29</xm:f>
              <xm:sqref>C29</xm:sqref>
            </x14:sparkline>
            <x14:sparkline>
              <xm:f>'South West beamers o250kW'!D30:N30</xm:f>
              <xm:sqref>C30</xm:sqref>
            </x14:sparkline>
            <x14:sparkline>
              <xm:f>'South West beamers o250kW'!D31:N31</xm:f>
              <xm:sqref>C31</xm:sqref>
            </x14:sparkline>
            <x14:sparkline>
              <xm:f>'South West beamers o250kW'!D32:N32</xm:f>
              <xm:sqref>C32</xm:sqref>
            </x14:sparkline>
            <x14:sparkline>
              <xm:f>'South West beamers o250kW'!D33:N33</xm:f>
              <xm:sqref>C33</xm:sqref>
            </x14:sparkline>
            <x14:sparkline>
              <xm:f>'South West beamers o250kW'!D34:N34</xm:f>
              <xm:sqref>C34</xm:sqref>
            </x14:sparkline>
            <x14:sparkline>
              <xm:f>'South West beamers o250kW'!D35:N35</xm:f>
              <xm:sqref>C35</xm:sqref>
            </x14:sparkline>
            <x14:sparkline>
              <xm:f>'South West beamers o250kW'!D36:N36</xm:f>
              <xm:sqref>C36</xm:sqref>
            </x14:sparkline>
            <x14:sparkline>
              <xm:f>'South West beamers o250kW'!D37:N37</xm:f>
              <xm:sqref>C37</xm:sqref>
            </x14:sparkline>
            <x14:sparkline>
              <xm:f>'South West beamers o250kW'!D38:M38</xm:f>
              <xm:sqref>C38</xm:sqref>
            </x14:sparkline>
            <x14:sparkline>
              <xm:f>'South West beamers o250kW'!D39:M39</xm:f>
              <xm:sqref>C39</xm:sqref>
            </x14:sparkline>
            <x14:sparkline>
              <xm:f>'South West beamers o250kW'!D40:M40</xm:f>
              <xm:sqref>C40</xm:sqref>
            </x14:sparkline>
            <x14:sparkline>
              <xm:f>'South West beamers o250kW'!D41:M41</xm:f>
              <xm:sqref>C41</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419</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22</v>
      </c>
      <c r="E3" s="22">
        <v>22</v>
      </c>
      <c r="F3" s="22">
        <v>19</v>
      </c>
      <c r="G3" s="22">
        <v>23</v>
      </c>
      <c r="H3" s="22">
        <v>27</v>
      </c>
      <c r="I3" s="22">
        <v>25</v>
      </c>
      <c r="J3" s="22">
        <v>23</v>
      </c>
      <c r="K3" s="22">
        <v>24</v>
      </c>
      <c r="L3" s="22">
        <v>23</v>
      </c>
      <c r="M3" s="22">
        <v>22</v>
      </c>
      <c r="N3" s="22">
        <v>25</v>
      </c>
      <c r="O3" s="23">
        <f t="shared" ref="O3:O41" si="0">IF(N3=0,"",IFERROR(IF(AND(N3&gt;0,D3&lt;0),"na",IF(AND(N3&lt;0,D3&lt;0),-1,1)*(N3-D3)/D3),""))</f>
        <v>0.13636363636363635</v>
      </c>
      <c r="P3" s="23">
        <f>IF(N3=0,"",IFERROR(IF(AND(N3&gt;0,J3&lt;0),"na",IF(AND(N3&lt;0,J3&lt;0),-1,1)*(N3-J3)/J3),""))</f>
        <v>8.6956521739130432E-2</v>
      </c>
    </row>
    <row r="4" spans="1:17" ht="18" customHeight="1" x14ac:dyDescent="0.2">
      <c r="A4" s="224"/>
      <c r="B4" s="24" t="s">
        <v>51</v>
      </c>
      <c r="C4" s="25"/>
      <c r="D4" s="26">
        <v>4682</v>
      </c>
      <c r="E4" s="26">
        <v>4686</v>
      </c>
      <c r="F4" s="26">
        <v>4052</v>
      </c>
      <c r="G4" s="26">
        <v>5012</v>
      </c>
      <c r="H4" s="26">
        <v>5876</v>
      </c>
      <c r="I4" s="26">
        <v>5452</v>
      </c>
      <c r="J4" s="26">
        <v>5031</v>
      </c>
      <c r="K4" s="26">
        <v>5253</v>
      </c>
      <c r="L4" s="26">
        <v>5032</v>
      </c>
      <c r="M4" s="26">
        <v>4813</v>
      </c>
      <c r="N4" s="26">
        <v>5456</v>
      </c>
      <c r="O4" s="23">
        <f t="shared" si="0"/>
        <v>0.1653139683895771</v>
      </c>
      <c r="P4" s="23">
        <f t="shared" ref="P4:P41" si="1">IF(N4=0,"",IFERROR(IF(AND(N4&gt;0,J4&lt;0),"na",IF(AND(N4&lt;0,J4&lt;0),-1,1)*(N4-J4)/J4),""))</f>
        <v>8.4476247266944943E-2</v>
      </c>
    </row>
    <row r="5" spans="1:17" ht="18" customHeight="1" x14ac:dyDescent="0.2">
      <c r="A5" s="224"/>
      <c r="B5" s="24" t="s">
        <v>52</v>
      </c>
      <c r="C5" s="25"/>
      <c r="D5" s="26">
        <v>1891</v>
      </c>
      <c r="E5" s="26">
        <v>1908</v>
      </c>
      <c r="F5" s="26">
        <v>1817</v>
      </c>
      <c r="G5" s="26">
        <v>2472</v>
      </c>
      <c r="H5" s="26">
        <v>2663</v>
      </c>
      <c r="I5" s="26">
        <v>2596</v>
      </c>
      <c r="J5" s="26">
        <v>2597</v>
      </c>
      <c r="K5" s="26">
        <v>2539</v>
      </c>
      <c r="L5" s="26">
        <v>2389</v>
      </c>
      <c r="M5" s="26">
        <v>2359</v>
      </c>
      <c r="N5" s="26">
        <v>2461</v>
      </c>
      <c r="O5" s="23">
        <f t="shared" si="0"/>
        <v>0.30142781597038604</v>
      </c>
      <c r="P5" s="23">
        <f t="shared" si="1"/>
        <v>-5.2368117058144009E-2</v>
      </c>
      <c r="Q5" s="27"/>
    </row>
    <row r="6" spans="1:17" ht="18" customHeight="1" x14ac:dyDescent="0.2">
      <c r="A6" s="224"/>
      <c r="B6" s="24" t="s">
        <v>53</v>
      </c>
      <c r="C6" s="25"/>
      <c r="D6" s="26">
        <v>4743.03466796875</v>
      </c>
      <c r="E6" s="26">
        <v>4758.6787109375</v>
      </c>
      <c r="F6" s="26">
        <v>4266.09375</v>
      </c>
      <c r="G6" s="26">
        <v>5436.82470703125</v>
      </c>
      <c r="H6" s="26">
        <v>6127.95068359375</v>
      </c>
      <c r="I6" s="26">
        <v>5794.14697265625</v>
      </c>
      <c r="J6" s="26">
        <v>5475.68408203125</v>
      </c>
      <c r="K6" s="26">
        <v>5629.9814453125</v>
      </c>
      <c r="L6" s="26">
        <v>5367.53564453125</v>
      </c>
      <c r="M6" s="26">
        <v>5196.4453125</v>
      </c>
      <c r="N6" s="26">
        <v>5717.126953125</v>
      </c>
      <c r="O6" s="23">
        <f t="shared" si="0"/>
        <v>0.20537321637866382</v>
      </c>
      <c r="P6" s="23">
        <f t="shared" si="1"/>
        <v>4.4093645191485335E-2</v>
      </c>
    </row>
    <row r="7" spans="1:17" ht="18" customHeight="1" x14ac:dyDescent="0.2">
      <c r="A7" s="224"/>
      <c r="B7" s="24" t="s">
        <v>54</v>
      </c>
      <c r="C7" s="25"/>
      <c r="D7" s="26">
        <v>2913.01025390625</v>
      </c>
      <c r="E7" s="26">
        <v>2964.451171875</v>
      </c>
      <c r="F7" s="26">
        <v>3465.37353515625</v>
      </c>
      <c r="G7" s="26">
        <v>4105.9521484375</v>
      </c>
      <c r="H7" s="26">
        <v>6154.83984375</v>
      </c>
      <c r="I7" s="26">
        <v>5897.17822265625</v>
      </c>
      <c r="J7" s="26">
        <v>5080.89013671875</v>
      </c>
      <c r="K7" s="26">
        <v>5238.453125</v>
      </c>
      <c r="L7" s="26">
        <v>4810.5810546875</v>
      </c>
      <c r="M7" s="26">
        <v>4558.43359375</v>
      </c>
      <c r="N7" s="26">
        <v>4536.99609375</v>
      </c>
      <c r="O7" s="23">
        <f t="shared" si="0"/>
        <v>0.55749403479305948</v>
      </c>
      <c r="P7" s="23">
        <f t="shared" si="1"/>
        <v>-0.10704699931181703</v>
      </c>
    </row>
    <row r="8" spans="1:17" ht="18" customHeight="1" x14ac:dyDescent="0.2">
      <c r="A8" s="224"/>
      <c r="B8" s="24" t="s">
        <v>55</v>
      </c>
      <c r="C8" s="27"/>
      <c r="D8" s="28">
        <f ca="1">9.44637*OFFSET(D$112,MATCH($N$1,$C$112:$C$113,0)-1,0)</f>
        <v>9.4463699999999999</v>
      </c>
      <c r="E8" s="28">
        <f ca="1">9.443305*OFFSET(E$112,MATCH($N$1,$C$112:$C$113,0)-1,0)</f>
        <v>9.4433050000000005</v>
      </c>
      <c r="F8" s="28">
        <f ca="1">11.172702*OFFSET(F$112,MATCH($N$1,$C$112:$C$113,0)-1,0)</f>
        <v>11.172701999999999</v>
      </c>
      <c r="G8" s="28">
        <f ca="1">14.407058*OFFSET(G$112,MATCH($N$1,$C$112:$C$113,0)-1,0)</f>
        <v>14.407057999999999</v>
      </c>
      <c r="H8" s="28">
        <f ca="1">17.590988*OFFSET(H$112,MATCH($N$1,$C$112:$C$113,0)-1,0)</f>
        <v>17.590987999999999</v>
      </c>
      <c r="I8" s="28">
        <f ca="1">16.071676*OFFSET(I$112,MATCH($N$1,$C$112:$C$113,0)-1,0)</f>
        <v>16.071676</v>
      </c>
      <c r="J8" s="28">
        <f ca="1">14.311569*OFFSET(J$112,MATCH($N$1,$C$112:$C$113,0)-1,0)</f>
        <v>14.311569</v>
      </c>
      <c r="K8" s="28">
        <f ca="1">13.668039*OFFSET(K$112,MATCH($N$1,$C$112:$C$113,0)-1,0)</f>
        <v>13.668039</v>
      </c>
      <c r="L8" s="28">
        <f ca="1">15.5858*OFFSET(L$112,MATCH($N$1,$C$112:$C$113,0)-1,0)</f>
        <v>15.585800000000001</v>
      </c>
      <c r="M8" s="28">
        <f ca="1">16.571911*OFFSET(M$112,MATCH($N$1,$C$112:$C$113,0)-1,0)</f>
        <v>16.571911</v>
      </c>
      <c r="N8" s="28">
        <v>16.198733999999998</v>
      </c>
      <c r="O8" s="23">
        <f t="shared" ca="1" si="0"/>
        <v>0.71481045099863738</v>
      </c>
      <c r="P8" s="23">
        <f t="shared" ca="1" si="1"/>
        <v>0.13186290056666727</v>
      </c>
    </row>
    <row r="9" spans="1:17" ht="18" customHeight="1" x14ac:dyDescent="0.2">
      <c r="A9" s="224"/>
      <c r="B9" s="24" t="s">
        <v>56</v>
      </c>
      <c r="C9" s="27"/>
      <c r="D9" s="26">
        <v>4938</v>
      </c>
      <c r="E9" s="26">
        <v>4836</v>
      </c>
      <c r="F9" s="26">
        <v>4665</v>
      </c>
      <c r="G9" s="26">
        <v>4942</v>
      </c>
      <c r="H9" s="26">
        <v>6583</v>
      </c>
      <c r="I9" s="26">
        <v>6207</v>
      </c>
      <c r="J9" s="26">
        <v>5506</v>
      </c>
      <c r="K9" s="26">
        <v>5318</v>
      </c>
      <c r="L9" s="26">
        <v>5368</v>
      </c>
      <c r="M9" s="26">
        <v>5005</v>
      </c>
      <c r="N9" s="26">
        <v>5484</v>
      </c>
      <c r="O9" s="23">
        <f t="shared" si="0"/>
        <v>0.11057108140947752</v>
      </c>
      <c r="P9" s="23">
        <f t="shared" si="1"/>
        <v>-3.9956411187795134E-3</v>
      </c>
    </row>
    <row r="10" spans="1:17" ht="18" customHeight="1" x14ac:dyDescent="0.2">
      <c r="A10" s="224"/>
      <c r="B10" s="24" t="s">
        <v>57</v>
      </c>
      <c r="C10" s="27"/>
      <c r="D10" s="26"/>
      <c r="E10" s="26">
        <v>146.77201843261719</v>
      </c>
      <c r="F10" s="26">
        <v>162.76188659667969</v>
      </c>
      <c r="G10" s="26">
        <v>155.06121826171875</v>
      </c>
      <c r="H10" s="26">
        <v>157.19593811035156</v>
      </c>
      <c r="I10" s="26">
        <v>219.45005798339844</v>
      </c>
      <c r="J10" s="26">
        <v>265.81201171875</v>
      </c>
      <c r="K10" s="26">
        <v>178.99127197265625</v>
      </c>
      <c r="L10" s="26">
        <v>156.58805847167969</v>
      </c>
      <c r="M10" s="26">
        <v>110.62154388427734</v>
      </c>
      <c r="N10" s="26">
        <v>173.5078125</v>
      </c>
      <c r="O10" s="29" t="str">
        <f t="shared" si="0"/>
        <v/>
      </c>
      <c r="P10" s="29">
        <f t="shared" si="1"/>
        <v>-0.34725367985407335</v>
      </c>
    </row>
    <row r="11" spans="1:17" ht="18" customHeight="1" x14ac:dyDescent="0.2">
      <c r="A11" s="225" t="s">
        <v>23</v>
      </c>
      <c r="B11" s="30" t="s">
        <v>58</v>
      </c>
      <c r="C11" s="31"/>
      <c r="D11" s="32">
        <v>19.563180923461914</v>
      </c>
      <c r="E11" s="32">
        <v>19.657726287841797</v>
      </c>
      <c r="F11" s="32">
        <v>20.610000610351562</v>
      </c>
      <c r="G11" s="32">
        <v>21.653913497924805</v>
      </c>
      <c r="H11" s="32">
        <v>20.478147506713867</v>
      </c>
      <c r="I11" s="32">
        <v>21.013198852539063</v>
      </c>
      <c r="J11" s="32">
        <v>21.566085815429688</v>
      </c>
      <c r="K11" s="32">
        <v>21.382499694824219</v>
      </c>
      <c r="L11" s="32">
        <v>21.270000457763672</v>
      </c>
      <c r="M11" s="32">
        <v>21.602727890014648</v>
      </c>
      <c r="N11" s="32">
        <v>20.686800003051758</v>
      </c>
      <c r="O11" s="23">
        <f t="shared" si="0"/>
        <v>5.7435397852007769E-2</v>
      </c>
      <c r="P11" s="23">
        <f t="shared" si="1"/>
        <v>-4.0771692179247254E-2</v>
      </c>
    </row>
    <row r="12" spans="1:17" ht="18" customHeight="1" x14ac:dyDescent="0.2">
      <c r="A12" s="226"/>
      <c r="B12" s="33" t="s">
        <v>51</v>
      </c>
      <c r="C12" s="25"/>
      <c r="D12" s="26">
        <v>212.81817626953125</v>
      </c>
      <c r="E12" s="26">
        <v>213</v>
      </c>
      <c r="F12" s="26">
        <v>213.26315307617187</v>
      </c>
      <c r="G12" s="26">
        <v>217.91304016113281</v>
      </c>
      <c r="H12" s="26">
        <v>217.62962341308594</v>
      </c>
      <c r="I12" s="26">
        <v>218.08000183105469</v>
      </c>
      <c r="J12" s="26">
        <v>218.7391357421875</v>
      </c>
      <c r="K12" s="26">
        <v>218.875</v>
      </c>
      <c r="L12" s="26">
        <v>218.78260803222656</v>
      </c>
      <c r="M12" s="26">
        <v>218.77272033691406</v>
      </c>
      <c r="N12" s="26">
        <v>218.24000549316406</v>
      </c>
      <c r="O12" s="23">
        <f t="shared" si="0"/>
        <v>2.5476344730847339E-2</v>
      </c>
      <c r="P12" s="23">
        <f t="shared" si="1"/>
        <v>-2.2818516098176752E-3</v>
      </c>
    </row>
    <row r="13" spans="1:17" ht="18" customHeight="1" x14ac:dyDescent="0.2">
      <c r="A13" s="226"/>
      <c r="B13" s="33" t="s">
        <v>52</v>
      </c>
      <c r="C13" s="25"/>
      <c r="D13" s="26">
        <v>85.954544067382813</v>
      </c>
      <c r="E13" s="26">
        <v>86.727272033691406</v>
      </c>
      <c r="F13" s="26">
        <v>95.631576538085938</v>
      </c>
      <c r="G13" s="26">
        <v>107.47826385498047</v>
      </c>
      <c r="H13" s="26">
        <v>98.629631042480469</v>
      </c>
      <c r="I13" s="26">
        <v>103.83999633789062</v>
      </c>
      <c r="J13" s="26">
        <v>112.91304016113281</v>
      </c>
      <c r="K13" s="26">
        <v>105.79166412353516</v>
      </c>
      <c r="L13" s="26">
        <v>103.86956787109375</v>
      </c>
      <c r="M13" s="26">
        <v>107.22727203369141</v>
      </c>
      <c r="N13" s="26">
        <v>98.44000244140625</v>
      </c>
      <c r="O13" s="23">
        <f t="shared" si="0"/>
        <v>0.14525652493992225</v>
      </c>
      <c r="P13" s="23">
        <f t="shared" si="1"/>
        <v>-0.12817862045936218</v>
      </c>
    </row>
    <row r="14" spans="1:17" ht="18" customHeight="1" x14ac:dyDescent="0.2">
      <c r="A14" s="226"/>
      <c r="B14" s="33" t="s">
        <v>53</v>
      </c>
      <c r="C14" s="25"/>
      <c r="D14" s="26">
        <v>215.59248352050781</v>
      </c>
      <c r="E14" s="26">
        <v>216.3035888671875</v>
      </c>
      <c r="F14" s="26">
        <v>224.53125</v>
      </c>
      <c r="G14" s="26">
        <v>236.38368225097656</v>
      </c>
      <c r="H14" s="26">
        <v>226.96113586425781</v>
      </c>
      <c r="I14" s="26">
        <v>231.765869140625</v>
      </c>
      <c r="J14" s="26">
        <v>238.07322692871094</v>
      </c>
      <c r="K14" s="26">
        <v>234.58256530761719</v>
      </c>
      <c r="L14" s="26">
        <v>233.37110900878906</v>
      </c>
      <c r="M14" s="26">
        <v>236.20207214355469</v>
      </c>
      <c r="N14" s="26">
        <v>228.68507385253906</v>
      </c>
      <c r="O14" s="23">
        <f t="shared" si="0"/>
        <v>6.072841742085059E-2</v>
      </c>
      <c r="P14" s="23">
        <f t="shared" si="1"/>
        <v>-3.94338884606419E-2</v>
      </c>
    </row>
    <row r="15" spans="1:17" ht="18" customHeight="1" x14ac:dyDescent="0.2">
      <c r="A15" s="226"/>
      <c r="B15" s="33" t="s">
        <v>54</v>
      </c>
      <c r="C15" s="27"/>
      <c r="D15" s="28">
        <v>132.40956115722656</v>
      </c>
      <c r="E15" s="28">
        <v>134.74777221679687</v>
      </c>
      <c r="F15" s="28">
        <v>182.38807678222656</v>
      </c>
      <c r="G15" s="28">
        <v>178.51966857910156</v>
      </c>
      <c r="H15" s="28">
        <v>227.95703125</v>
      </c>
      <c r="I15" s="28">
        <v>235.88713073730469</v>
      </c>
      <c r="J15" s="28">
        <v>220.90826416015625</v>
      </c>
      <c r="K15" s="28">
        <v>218.26887512207031</v>
      </c>
      <c r="L15" s="28">
        <v>209.15570068359375</v>
      </c>
      <c r="M15" s="28">
        <v>207.20152282714844</v>
      </c>
      <c r="N15" s="28">
        <v>181.4798583984375</v>
      </c>
      <c r="O15" s="23">
        <f t="shared" si="0"/>
        <v>0.37059481817135237</v>
      </c>
      <c r="P15" s="23">
        <f t="shared" si="1"/>
        <v>-0.17848316318819812</v>
      </c>
    </row>
    <row r="16" spans="1:17" ht="18" customHeight="1" x14ac:dyDescent="0.2">
      <c r="A16" s="226"/>
      <c r="B16" s="33" t="s">
        <v>59</v>
      </c>
      <c r="C16" s="27"/>
      <c r="D16" s="28">
        <f ca="1">429.38046875*OFFSET(D$112,MATCH($N$1,$C$112:$C$113,0)-1,0)</f>
        <v>429.38046874999998</v>
      </c>
      <c r="E16" s="28">
        <f ca="1">429.241125*OFFSET(E$112,MATCH($N$1,$C$112:$C$113,0)-1,0)</f>
        <v>429.24112500000001</v>
      </c>
      <c r="F16" s="28">
        <f ca="1">588.0369375*OFFSET(F$112,MATCH($N$1,$C$112:$C$113,0)-1,0)</f>
        <v>588.03693750000002</v>
      </c>
      <c r="G16" s="28">
        <f ca="1">626.3938125*OFFSET(G$112,MATCH($N$1,$C$112:$C$113,0)-1,0)</f>
        <v>626.39381249999997</v>
      </c>
      <c r="H16" s="28">
        <f ca="1">651.5180625*OFFSET(H$112,MATCH($N$1,$C$112:$C$113,0)-1,0)</f>
        <v>651.51806250000004</v>
      </c>
      <c r="I16" s="28">
        <f ca="1">642.8670625*OFFSET(I$112,MATCH($N$1,$C$112:$C$113,0)-1,0)</f>
        <v>642.86706249999997</v>
      </c>
      <c r="J16" s="28">
        <f ca="1">622.242125*OFFSET(J$112,MATCH($N$1,$C$112:$C$113,0)-1,0)</f>
        <v>622.24212499999999</v>
      </c>
      <c r="K16" s="28">
        <f ca="1">569.501625*OFFSET(K$112,MATCH($N$1,$C$112:$C$113,0)-1,0)</f>
        <v>569.50162499999999</v>
      </c>
      <c r="L16" s="28">
        <f ca="1">677.6435*OFFSET(L$112,MATCH($N$1,$C$112:$C$113,0)-1,0)</f>
        <v>677.64350000000002</v>
      </c>
      <c r="M16" s="28">
        <f ca="1">753.2686875*OFFSET(M$112,MATCH($N$1,$C$112:$C$113,0)-1,0)</f>
        <v>753.26868750000006</v>
      </c>
      <c r="N16" s="28">
        <v>647.94937500000003</v>
      </c>
      <c r="O16" s="23">
        <f t="shared" ca="1" si="0"/>
        <v>0.50903318189178826</v>
      </c>
      <c r="P16" s="23">
        <f t="shared" ca="1" si="1"/>
        <v>4.1313901722741846E-2</v>
      </c>
    </row>
    <row r="17" spans="1:16" ht="18" customHeight="1" x14ac:dyDescent="0.2">
      <c r="A17" s="226"/>
      <c r="B17" s="33" t="s">
        <v>56</v>
      </c>
      <c r="C17" s="25"/>
      <c r="D17" s="26">
        <v>224.45454406738281</v>
      </c>
      <c r="E17" s="26">
        <v>219.81817626953125</v>
      </c>
      <c r="F17" s="26">
        <v>245.52632141113281</v>
      </c>
      <c r="G17" s="26">
        <v>214.86956787109375</v>
      </c>
      <c r="H17" s="26">
        <v>243.8148193359375</v>
      </c>
      <c r="I17" s="26">
        <v>248.27999877929687</v>
      </c>
      <c r="J17" s="26">
        <v>239.39131164550781</v>
      </c>
      <c r="K17" s="26">
        <v>221.58332824707031</v>
      </c>
      <c r="L17" s="26">
        <v>233.39131164550781</v>
      </c>
      <c r="M17" s="26">
        <v>227.5</v>
      </c>
      <c r="N17" s="26">
        <v>219.36000061035156</v>
      </c>
      <c r="O17" s="23">
        <f t="shared" si="0"/>
        <v>-2.26974396005181E-2</v>
      </c>
      <c r="P17" s="23">
        <f t="shared" si="1"/>
        <v>-8.3676015213195135E-2</v>
      </c>
    </row>
    <row r="18" spans="1:16" ht="18" customHeight="1" x14ac:dyDescent="0.2">
      <c r="A18" s="226"/>
      <c r="B18" s="33" t="s">
        <v>60</v>
      </c>
      <c r="C18" s="25"/>
      <c r="D18" s="26">
        <v>20.454545974731445</v>
      </c>
      <c r="E18" s="26">
        <v>21.590909957885742</v>
      </c>
      <c r="F18" s="26">
        <v>22.684209823608398</v>
      </c>
      <c r="G18" s="26">
        <v>21.130434036254883</v>
      </c>
      <c r="H18" s="26">
        <v>21.629629135131836</v>
      </c>
      <c r="I18" s="26">
        <v>22.879999160766602</v>
      </c>
      <c r="J18" s="26">
        <v>22.260869979858398</v>
      </c>
      <c r="K18" s="26">
        <v>24.291666030883789</v>
      </c>
      <c r="L18" s="26">
        <v>25.608695983886719</v>
      </c>
      <c r="M18" s="26">
        <v>27.181818008422852</v>
      </c>
      <c r="N18" s="26">
        <v>25.479999542236328</v>
      </c>
      <c r="O18" s="23">
        <f t="shared" si="0"/>
        <v>0.24568883482982631</v>
      </c>
      <c r="P18" s="23">
        <f t="shared" si="1"/>
        <v>0.14460933311638732</v>
      </c>
    </row>
    <row r="19" spans="1:16" ht="18" customHeight="1" x14ac:dyDescent="0.2">
      <c r="A19" s="226"/>
      <c r="B19" s="33" t="s">
        <v>61</v>
      </c>
      <c r="C19" s="25"/>
      <c r="D19" s="34">
        <v>0.58991706371307373</v>
      </c>
      <c r="E19" s="34">
        <v>0.61299651861190796</v>
      </c>
      <c r="F19" s="34">
        <v>0.74284529685974121</v>
      </c>
      <c r="G19" s="34">
        <v>0.83082807064056396</v>
      </c>
      <c r="H19" s="34">
        <v>0.93495970964431763</v>
      </c>
      <c r="I19" s="34">
        <v>0.9500851035118103</v>
      </c>
      <c r="J19" s="34">
        <v>0.92279148101806641</v>
      </c>
      <c r="K19" s="34">
        <v>0.98504197597503662</v>
      </c>
      <c r="L19" s="34">
        <v>0.89615887403488159</v>
      </c>
      <c r="M19" s="34">
        <v>0.91077589988708496</v>
      </c>
      <c r="N19" s="34">
        <v>0.82731515169143677</v>
      </c>
      <c r="O19" s="23">
        <f t="shared" si="0"/>
        <v>0.40242620968467135</v>
      </c>
      <c r="P19" s="23">
        <f t="shared" si="1"/>
        <v>-0.10346468437408603</v>
      </c>
    </row>
    <row r="20" spans="1:16" ht="18" customHeight="1" x14ac:dyDescent="0.2">
      <c r="A20" s="227"/>
      <c r="B20" s="35" t="s">
        <v>24</v>
      </c>
      <c r="C20" s="36"/>
      <c r="D20" s="37">
        <f ca="1">3243*OFFSET(D$112,MATCH($N$1,$C$112:$C$113,0)-1,0)</f>
        <v>3243</v>
      </c>
      <c r="E20" s="37">
        <f ca="1">3186*OFFSET(E$112,MATCH($N$1,$C$112:$C$113,0)-1,0)</f>
        <v>3186</v>
      </c>
      <c r="F20" s="37">
        <f ca="1">3224*OFFSET(F$112,MATCH($N$1,$C$112:$C$113,0)-1,0)</f>
        <v>3224</v>
      </c>
      <c r="G20" s="37">
        <f ca="1">3509*OFFSET(G$112,MATCH($N$1,$C$112:$C$113,0)-1,0)</f>
        <v>3509</v>
      </c>
      <c r="H20" s="37">
        <f ca="1">2858*OFFSET(H$112,MATCH($N$1,$C$112:$C$113,0)-1,0)</f>
        <v>2858</v>
      </c>
      <c r="I20" s="37">
        <f ca="1">2725*OFFSET(I$112,MATCH($N$1,$C$112:$C$113,0)-1,0)</f>
        <v>2725</v>
      </c>
      <c r="J20" s="37">
        <f ca="1">2817*OFFSET(J$112,MATCH($N$1,$C$112:$C$113,0)-1,0)</f>
        <v>2817</v>
      </c>
      <c r="K20" s="37">
        <f ca="1">2609*OFFSET(K$112,MATCH($N$1,$C$112:$C$113,0)-1,0)</f>
        <v>2609</v>
      </c>
      <c r="L20" s="37">
        <f ca="1">3240*OFFSET(L$112,MATCH($N$1,$C$112:$C$113,0)-1,0)</f>
        <v>3240</v>
      </c>
      <c r="M20" s="37">
        <f ca="1">3635*OFFSET(M$112,MATCH($N$1,$C$112:$C$113,0)-1,0)</f>
        <v>3635</v>
      </c>
      <c r="N20" s="37">
        <v>3570</v>
      </c>
      <c r="O20" s="29">
        <f t="shared" ca="1" si="0"/>
        <v>0.10083256244218317</v>
      </c>
      <c r="P20" s="29">
        <f t="shared" ca="1" si="1"/>
        <v>0.26730564430244941</v>
      </c>
    </row>
    <row r="21" spans="1:16" ht="18" customHeight="1" x14ac:dyDescent="0.2">
      <c r="A21" s="228" t="s">
        <v>25</v>
      </c>
      <c r="B21" s="30" t="s">
        <v>62</v>
      </c>
      <c r="C21" s="38"/>
      <c r="D21" s="39">
        <v>2.746801393158937</v>
      </c>
      <c r="E21" s="39">
        <v>2.8611077974770645</v>
      </c>
      <c r="F21" s="39">
        <v>3.4513299031142308</v>
      </c>
      <c r="G21" s="39">
        <v>3.8085538478773047</v>
      </c>
      <c r="H21" s="39">
        <v>4.2919013629767271</v>
      </c>
      <c r="I21" s="39">
        <v>4.3490862065457643</v>
      </c>
      <c r="J21" s="39">
        <v>4.2099381255955901</v>
      </c>
      <c r="K21" s="39">
        <v>4.4918609369670488</v>
      </c>
      <c r="L21" s="39">
        <v>4.0842536957200126</v>
      </c>
      <c r="M21" s="39">
        <v>4.1442075566627725</v>
      </c>
      <c r="N21" s="39">
        <v>3.7859476362541131</v>
      </c>
      <c r="O21" s="23">
        <f t="shared" si="0"/>
        <v>0.3783113863576843</v>
      </c>
      <c r="P21" s="23">
        <f t="shared" si="1"/>
        <v>-0.10071181017214927</v>
      </c>
    </row>
    <row r="22" spans="1:16" ht="18" customHeight="1" x14ac:dyDescent="0.2">
      <c r="A22" s="228"/>
      <c r="B22" s="33" t="s">
        <v>63</v>
      </c>
      <c r="C22" s="25"/>
      <c r="D22" s="34">
        <f ca="1">8.90738447775127*OFFSET(D$112,MATCH($N$1,$C$112:$C$113,0)-1,0)</f>
        <v>8.9073844777512701</v>
      </c>
      <c r="E22" s="34">
        <f ca="1">9.11410340617297*OFFSET(E$112,MATCH($N$1,$C$112:$C$113,0)-1,0)</f>
        <v>9.1141034061729709</v>
      </c>
      <c r="F22" s="34">
        <f ca="1">11.1274240198975*OFFSET(F$112,MATCH($N$1,$C$112:$C$113,0)-1,0)</f>
        <v>11.1274240198975</v>
      </c>
      <c r="G22" s="34">
        <f ca="1">13.363539064752*OFFSET(G$112,MATCH($N$1,$C$112:$C$113,0)-1,0)</f>
        <v>13.363539064752</v>
      </c>
      <c r="H22" s="34">
        <f ca="1">12.2665716653463*OFFSET(H$112,MATCH($N$1,$C$112:$C$113,0)-1,0)</f>
        <v>12.2665716653463</v>
      </c>
      <c r="I22" s="34">
        <f ca="1">11.8526359001542*OFFSET(I$112,MATCH($N$1,$C$112:$C$113,0)-1,0)</f>
        <v>11.852635900154199</v>
      </c>
      <c r="J22" s="34">
        <f ca="1">11.8583198113853*OFFSET(J$112,MATCH($N$1,$C$112:$C$113,0)-1,0)</f>
        <v>11.8583198113853</v>
      </c>
      <c r="K22" s="34">
        <f ca="1">11.7200498763101*OFFSET(K$112,MATCH($N$1,$C$112:$C$113,0)-1,0)</f>
        <v>11.7200498763101</v>
      </c>
      <c r="L22" s="34">
        <f ca="1">13.2325724816964*OFFSET(L$112,MATCH($N$1,$C$112:$C$113,0)-1,0)</f>
        <v>13.232572481696399</v>
      </c>
      <c r="M22" s="34">
        <f ca="1">15.0660175868453*OFFSET(M$112,MATCH($N$1,$C$112:$C$113,0)-1,0)</f>
        <v>15.0660175868453</v>
      </c>
      <c r="N22" s="34">
        <v>13.51721577447903</v>
      </c>
      <c r="O22" s="23">
        <f t="shared" ca="1" si="0"/>
        <v>0.51752917012195077</v>
      </c>
      <c r="P22" s="23">
        <f t="shared" ca="1" si="1"/>
        <v>0.13989300250622408</v>
      </c>
    </row>
    <row r="23" spans="1:16" ht="18" customHeight="1" x14ac:dyDescent="0.2">
      <c r="A23" s="228"/>
      <c r="B23" s="33" t="s">
        <v>11</v>
      </c>
      <c r="C23" s="25"/>
      <c r="D23" s="34">
        <f ca="1">8.86276689633679*OFFSET(D$112,MATCH($N$1,$C$112:$C$113,0)-1,0)</f>
        <v>8.8627668963367903</v>
      </c>
      <c r="E23" s="34">
        <f ca="1">8.15842818246482*OFFSET(E$112,MATCH($N$1,$C$112:$C$113,0)-1,0)</f>
        <v>8.1584281824648208</v>
      </c>
      <c r="F23" s="34">
        <f ca="1">10.7324811071198*OFFSET(F$112,MATCH($N$1,$C$112:$C$113,0)-1,0)</f>
        <v>10.732481107119799</v>
      </c>
      <c r="G23" s="34">
        <f ca="1">12.854151677206*OFFSET(G$112,MATCH($N$1,$C$112:$C$113,0)-1,0)</f>
        <v>12.854151677206</v>
      </c>
      <c r="H23" s="34">
        <f ca="1">11.0030596078371*OFFSET(H$112,MATCH($N$1,$C$112:$C$113,0)-1,0)</f>
        <v>11.0030596078371</v>
      </c>
      <c r="I23" s="34">
        <f ca="1">11.1583048283725*OFFSET(I$112,MATCH($N$1,$C$112:$C$113,0)-1,0)</f>
        <v>11.158304828372501</v>
      </c>
      <c r="J23" s="34">
        <f ca="1">11.6161526465338*OFFSET(J$112,MATCH($N$1,$C$112:$C$113,0)-1,0)</f>
        <v>11.6161526465338</v>
      </c>
      <c r="K23" s="34">
        <f ca="1">10.7187483846913*OFFSET(K$112,MATCH($N$1,$C$112:$C$113,0)-1,0)</f>
        <v>10.718748384691301</v>
      </c>
      <c r="L23" s="34">
        <f ca="1">10.0475431140319*OFFSET(L$112,MATCH($N$1,$C$112:$C$113,0)-1,0)</f>
        <v>10.0475431140319</v>
      </c>
      <c r="M23" s="34">
        <f ca="1">11.2989909803177*OFFSET(M$112,MATCH($N$1,$C$112:$C$113,0)-1,0)</f>
        <v>11.298990980317701</v>
      </c>
      <c r="N23" s="34">
        <v>10.439132776390224</v>
      </c>
      <c r="O23" s="23">
        <f t="shared" ca="1" si="0"/>
        <v>0.17786385431224488</v>
      </c>
      <c r="P23" s="23">
        <f t="shared" ca="1" si="1"/>
        <v>-0.10132613662706928</v>
      </c>
    </row>
    <row r="24" spans="1:16" ht="18" customHeight="1" x14ac:dyDescent="0.2">
      <c r="A24" s="228"/>
      <c r="B24" s="33" t="s">
        <v>12</v>
      </c>
      <c r="C24" s="25"/>
      <c r="D24" s="34">
        <f ca="1">0.0473072410878669*OFFSET(D$112,MATCH($N$1,$C$112:$C$113,0)-1,0)</f>
        <v>4.7307241087866901E-2</v>
      </c>
      <c r="E24" s="34">
        <f ca="1">0.968554498759151*OFFSET(E$112,MATCH($N$1,$C$112:$C$113,0)-1,0)</f>
        <v>0.96855449875915101</v>
      </c>
      <c r="F24" s="34">
        <f ca="1">0.437383897959487*OFFSET(F$112,MATCH($N$1,$C$112:$C$113,0)-1,0)</f>
        <v>0.43738389795948701</v>
      </c>
      <c r="G24" s="34">
        <f ca="1">0.517425864261715*OFFSET(G$112,MATCH($N$1,$C$112:$C$113,0)-1,0)</f>
        <v>0.517425864261715</v>
      </c>
      <c r="H24" s="34">
        <f ca="1">1.79239176512708*OFFSET(H$112,MATCH($N$1,$C$112:$C$113,0)-1,0)</f>
        <v>1.79239176512708</v>
      </c>
      <c r="I24" s="34">
        <f ca="1">0.761874208228874*OFFSET(I$112,MATCH($N$1,$C$112:$C$113,0)-1,0)</f>
        <v>0.76187420822887397</v>
      </c>
      <c r="J24" s="34">
        <f ca="1">0.646600311663005*OFFSET(J$112,MATCH($N$1,$C$112:$C$113,0)-1,0)</f>
        <v>0.64660031166300502</v>
      </c>
      <c r="K24" s="34">
        <f ca="1">1.70351554671531*OFFSET(K$112,MATCH($N$1,$C$112:$C$113,0)-1,0)</f>
        <v>1.70351554671531</v>
      </c>
      <c r="L24" s="34">
        <f ca="1">3.18502936766442*OFFSET(L$112,MATCH($N$1,$C$112:$C$113,0)-1,0)</f>
        <v>3.1850293676644199</v>
      </c>
      <c r="M24" s="34">
        <f ca="1">3.76702660652764*OFFSET(M$112,MATCH($N$1,$C$112:$C$113,0)-1,0)</f>
        <v>3.7670266065276401</v>
      </c>
      <c r="N24" s="34">
        <v>3.0780829980888069</v>
      </c>
      <c r="O24" s="23">
        <f t="shared" ca="1" si="0"/>
        <v>64.065789661495529</v>
      </c>
      <c r="P24" s="23">
        <f t="shared" ca="1" si="1"/>
        <v>3.7604106316809842</v>
      </c>
    </row>
    <row r="25" spans="1:16" ht="18" customHeight="1" x14ac:dyDescent="0.2">
      <c r="A25" s="228"/>
      <c r="B25" s="33" t="s">
        <v>64</v>
      </c>
      <c r="C25" s="25"/>
      <c r="D25" s="28"/>
      <c r="E25" s="28">
        <f ca="1">64.33*OFFSET(E$112,MATCH($N$1,$C$112:$C$113,0)-1,0)</f>
        <v>64.33</v>
      </c>
      <c r="F25" s="28">
        <f ca="1">68.64*OFFSET(F$112,MATCH($N$1,$C$112:$C$113,0)-1,0)</f>
        <v>68.64</v>
      </c>
      <c r="G25" s="28">
        <f ca="1">92.91*OFFSET(G$112,MATCH($N$1,$C$112:$C$113,0)-1,0)</f>
        <v>92.91</v>
      </c>
      <c r="H25" s="28">
        <f ca="1">111.9*OFFSET(H$112,MATCH($N$1,$C$112:$C$113,0)-1,0)</f>
        <v>111.9</v>
      </c>
      <c r="I25" s="28">
        <f ca="1">73.24*OFFSET(I$112,MATCH($N$1,$C$112:$C$113,0)-1,0)</f>
        <v>73.239999999999995</v>
      </c>
      <c r="J25" s="28">
        <f ca="1">53.84*OFFSET(J$112,MATCH($N$1,$C$112:$C$113,0)-1,0)</f>
        <v>53.84</v>
      </c>
      <c r="K25" s="28">
        <f ca="1">76.36*OFFSET(K$112,MATCH($N$1,$C$112:$C$113,0)-1,0)</f>
        <v>76.36</v>
      </c>
      <c r="L25" s="28">
        <f ca="1">99.53*OFFSET(L$112,MATCH($N$1,$C$112:$C$113,0)-1,0)</f>
        <v>99.53</v>
      </c>
      <c r="M25" s="28">
        <f ca="1">149.81*OFFSET(M$112,MATCH($N$1,$C$112:$C$113,0)-1,0)</f>
        <v>149.81</v>
      </c>
      <c r="N25" s="28">
        <v>93.35</v>
      </c>
      <c r="O25" s="23" t="str">
        <f t="shared" si="0"/>
        <v/>
      </c>
      <c r="P25" s="23">
        <f t="shared" ca="1" si="1"/>
        <v>0.73384101040118854</v>
      </c>
    </row>
    <row r="26" spans="1:16" ht="18" customHeight="1" x14ac:dyDescent="0.2">
      <c r="A26" s="229"/>
      <c r="B26" s="33" t="s">
        <v>65</v>
      </c>
      <c r="C26" s="40"/>
      <c r="D26" s="28"/>
      <c r="E26" s="28">
        <f ca="1">6.84*OFFSET(E$112,MATCH($N$1,$C$112:$C$113,0)-1,0)</f>
        <v>6.84</v>
      </c>
      <c r="F26" s="28">
        <f ca="1">2.7*OFFSET(F$112,MATCH($N$1,$C$112:$C$113,0)-1,0)</f>
        <v>2.7</v>
      </c>
      <c r="G26" s="28">
        <f ca="1">3.6*OFFSET(G$112,MATCH($N$1,$C$112:$C$113,0)-1,0)</f>
        <v>3.6</v>
      </c>
      <c r="H26" s="28">
        <f ca="1">16.35*OFFSET(H$112,MATCH($N$1,$C$112:$C$113,0)-1,0)</f>
        <v>16.350000000000001</v>
      </c>
      <c r="I26" s="28">
        <f ca="1">4.7*OFFSET(I$112,MATCH($N$1,$C$112:$C$113,0)-1,0)</f>
        <v>4.7</v>
      </c>
      <c r="J26" s="28">
        <f ca="1">2.93*OFFSET(J$112,MATCH($N$1,$C$112:$C$113,0)-1,0)</f>
        <v>2.93</v>
      </c>
      <c r="K26" s="28">
        <f ca="1">11.1*OFFSET(K$112,MATCH($N$1,$C$112:$C$113,0)-1,0)</f>
        <v>11.1</v>
      </c>
      <c r="L26" s="28">
        <f ca="1">23.96*OFFSET(L$112,MATCH($N$1,$C$112:$C$113,0)-1,0)</f>
        <v>23.96</v>
      </c>
      <c r="M26" s="28">
        <f ca="1">37.45*OFFSET(M$112,MATCH($N$1,$C$112:$C$113,0)-1,0)</f>
        <v>37.450000000000003</v>
      </c>
      <c r="N26" s="28">
        <v>21.25</v>
      </c>
      <c r="O26" s="29" t="str">
        <f t="shared" si="0"/>
        <v/>
      </c>
      <c r="P26" s="29">
        <f t="shared" ca="1" si="1"/>
        <v>6.2525597269624571</v>
      </c>
    </row>
    <row r="27" spans="1:16" ht="18" customHeight="1" x14ac:dyDescent="0.2">
      <c r="A27" s="230" t="s">
        <v>26</v>
      </c>
      <c r="B27" s="30" t="s">
        <v>59</v>
      </c>
      <c r="C27" s="31"/>
      <c r="D27" s="32">
        <f ca="1">429.4*OFFSET(D$112,MATCH($N$1,$C$112:$C$113,0)-1,0)</f>
        <v>429.4</v>
      </c>
      <c r="E27" s="32">
        <f ca="1">429.2*OFFSET(E$112,MATCH($N$1,$C$112:$C$113,0)-1,0)</f>
        <v>429.2</v>
      </c>
      <c r="F27" s="32">
        <f ca="1">588*OFFSET(F$112,MATCH($N$1,$C$112:$C$113,0)-1,0)</f>
        <v>588</v>
      </c>
      <c r="G27" s="32">
        <f ca="1">626.4*OFFSET(G$112,MATCH($N$1,$C$112:$C$113,0)-1,0)</f>
        <v>626.4</v>
      </c>
      <c r="H27" s="32">
        <f ca="1">651.5*OFFSET(H$112,MATCH($N$1,$C$112:$C$113,0)-1,0)</f>
        <v>651.5</v>
      </c>
      <c r="I27" s="32">
        <f ca="1">642.9*OFFSET(I$112,MATCH($N$1,$C$112:$C$113,0)-1,0)</f>
        <v>642.9</v>
      </c>
      <c r="J27" s="32">
        <f ca="1">622.2*OFFSET(J$112,MATCH($N$1,$C$112:$C$113,0)-1,0)</f>
        <v>622.20000000000005</v>
      </c>
      <c r="K27" s="32">
        <f ca="1">569.5*OFFSET(K$112,MATCH($N$1,$C$112:$C$113,0)-1,0)</f>
        <v>569.5</v>
      </c>
      <c r="L27" s="32">
        <f ca="1">677.6*OFFSET(L$112,MATCH($N$1,$C$112:$C$113,0)-1,0)</f>
        <v>677.6</v>
      </c>
      <c r="M27" s="32">
        <f ca="1">753.3*OFFSET(M$112,MATCH($N$1,$C$112:$C$113,0)-1,0)</f>
        <v>753.3</v>
      </c>
      <c r="N27" s="32">
        <v>647.9</v>
      </c>
      <c r="O27" s="23">
        <f t="shared" ca="1" si="0"/>
        <v>0.50884955752212391</v>
      </c>
      <c r="P27" s="23">
        <f t="shared" ca="1" si="1"/>
        <v>4.1305046608807343E-2</v>
      </c>
    </row>
    <row r="28" spans="1:16" ht="18" customHeight="1" x14ac:dyDescent="0.2">
      <c r="A28" s="231"/>
      <c r="B28" s="33" t="s">
        <v>66</v>
      </c>
      <c r="C28" s="27"/>
      <c r="D28" s="28">
        <f ca="1">0.1*OFFSET(D$112,MATCH($N$1,$C$112:$C$113,0)-1,0)</f>
        <v>0.1</v>
      </c>
      <c r="E28" s="28">
        <f ca="1">0.6*OFFSET(E$112,MATCH($N$1,$C$112:$C$113,0)-1,0)</f>
        <v>0.6</v>
      </c>
      <c r="F28" s="28">
        <f ca="1">2.2*OFFSET(F$112,MATCH($N$1,$C$112:$C$113,0)-1,0)</f>
        <v>2.2000000000000002</v>
      </c>
      <c r="G28" s="28">
        <f ca="1">0.4*OFFSET(G$112,MATCH($N$1,$C$112:$C$113,0)-1,0)</f>
        <v>0.4</v>
      </c>
      <c r="H28" s="28">
        <f ca="1">28.1*OFFSET(H$112,MATCH($N$1,$C$112:$C$113,0)-1,0)</f>
        <v>28.1</v>
      </c>
      <c r="I28" s="28">
        <f ca="1">3.7*OFFSET(I$112,MATCH($N$1,$C$112:$C$113,0)-1,0)</f>
        <v>3.7</v>
      </c>
      <c r="J28" s="28">
        <f ca="1">21.2*OFFSET(J$112,MATCH($N$1,$C$112:$C$113,0)-1,0)</f>
        <v>21.2</v>
      </c>
      <c r="K28" s="28">
        <f ca="1">34.1*OFFSET(K$112,MATCH($N$1,$C$112:$C$113,0)-1,0)</f>
        <v>34.1</v>
      </c>
      <c r="L28" s="28"/>
      <c r="M28" s="28"/>
      <c r="N28" s="28"/>
      <c r="O28" s="23" t="str">
        <f t="shared" si="0"/>
        <v/>
      </c>
      <c r="P28" s="23" t="str">
        <f t="shared" si="1"/>
        <v/>
      </c>
    </row>
    <row r="29" spans="1:16" ht="18" customHeight="1" x14ac:dyDescent="0.2">
      <c r="A29" s="231"/>
      <c r="B29" s="41" t="s">
        <v>67</v>
      </c>
      <c r="C29" s="42"/>
      <c r="D29" s="43">
        <f ca="1">429.5*OFFSET(D$112,MATCH($N$1,$C$112:$C$113,0)-1,0)</f>
        <v>429.5</v>
      </c>
      <c r="E29" s="43">
        <f ca="1">429.8*OFFSET(E$112,MATCH($N$1,$C$112:$C$113,0)-1,0)</f>
        <v>429.8</v>
      </c>
      <c r="F29" s="43">
        <f ca="1">590.3*OFFSET(F$112,MATCH($N$1,$C$112:$C$113,0)-1,0)</f>
        <v>590.29999999999995</v>
      </c>
      <c r="G29" s="43">
        <f ca="1">626.8*OFFSET(G$112,MATCH($N$1,$C$112:$C$113,0)-1,0)</f>
        <v>626.79999999999995</v>
      </c>
      <c r="H29" s="43">
        <f ca="1">679.6*OFFSET(H$112,MATCH($N$1,$C$112:$C$113,0)-1,0)</f>
        <v>679.6</v>
      </c>
      <c r="I29" s="43">
        <f ca="1">646.5*OFFSET(I$112,MATCH($N$1,$C$112:$C$113,0)-1,0)</f>
        <v>646.5</v>
      </c>
      <c r="J29" s="43">
        <f ca="1">643.5*OFFSET(J$112,MATCH($N$1,$C$112:$C$113,0)-1,0)</f>
        <v>643.5</v>
      </c>
      <c r="K29" s="43">
        <f ca="1">603.6*OFFSET(K$112,MATCH($N$1,$C$112:$C$113,0)-1,0)</f>
        <v>603.6</v>
      </c>
      <c r="L29" s="43">
        <f ca="1">677.6*OFFSET(L$112,MATCH($N$1,$C$112:$C$113,0)-1,0)</f>
        <v>677.6</v>
      </c>
      <c r="M29" s="43">
        <f ca="1">753.3*OFFSET(M$112,MATCH($N$1,$C$112:$C$113,0)-1,0)</f>
        <v>753.3</v>
      </c>
      <c r="N29" s="43">
        <v>647.9</v>
      </c>
      <c r="O29" s="23">
        <f t="shared" ca="1" si="0"/>
        <v>0.50849825378346913</v>
      </c>
      <c r="P29" s="23">
        <f t="shared" ca="1" si="1"/>
        <v>6.837606837606802E-3</v>
      </c>
    </row>
    <row r="30" spans="1:16" ht="18" customHeight="1" x14ac:dyDescent="0.2">
      <c r="A30" s="231"/>
      <c r="B30" s="33" t="s">
        <v>68</v>
      </c>
      <c r="C30" s="27"/>
      <c r="D30" s="28">
        <f ca="1">127.6*OFFSET(D$112,MATCH($N$1,$C$112:$C$113,0)-1,0)</f>
        <v>127.6</v>
      </c>
      <c r="E30" s="28">
        <f ca="1">85.3*OFFSET(E$112,MATCH($N$1,$C$112:$C$113,0)-1,0)</f>
        <v>85.3</v>
      </c>
      <c r="F30" s="28">
        <f ca="1">127.7*OFFSET(F$112,MATCH($N$1,$C$112:$C$113,0)-1,0)</f>
        <v>127.7</v>
      </c>
      <c r="G30" s="28">
        <f ca="1">149.5*OFFSET(G$112,MATCH($N$1,$C$112:$C$113,0)-1,0)</f>
        <v>149.5</v>
      </c>
      <c r="H30" s="28">
        <f ca="1">169*OFFSET(H$112,MATCH($N$1,$C$112:$C$113,0)-1,0)</f>
        <v>169</v>
      </c>
      <c r="I30" s="28">
        <f ca="1">168.3*OFFSET(I$112,MATCH($N$1,$C$112:$C$113,0)-1,0)</f>
        <v>168.3</v>
      </c>
      <c r="J30" s="28">
        <f ca="1">150*OFFSET(J$112,MATCH($N$1,$C$112:$C$113,0)-1,0)</f>
        <v>150</v>
      </c>
      <c r="K30" s="28">
        <f ca="1">95.1*OFFSET(K$112,MATCH($N$1,$C$112:$C$113,0)-1,0)</f>
        <v>95.1</v>
      </c>
      <c r="L30" s="28">
        <f ca="1">92.6*OFFSET(L$112,MATCH($N$1,$C$112:$C$113,0)-1,0)</f>
        <v>92.6</v>
      </c>
      <c r="M30" s="28">
        <f ca="1">112.2*OFFSET(M$112,MATCH($N$1,$C$112:$C$113,0)-1,0)</f>
        <v>112.2</v>
      </c>
      <c r="N30" s="28">
        <v>120.9</v>
      </c>
      <c r="O30" s="23">
        <f t="shared" ca="1" si="0"/>
        <v>-5.2507836990595524E-2</v>
      </c>
      <c r="P30" s="23">
        <f t="shared" ca="1" si="1"/>
        <v>-0.19399999999999995</v>
      </c>
    </row>
    <row r="31" spans="1:16" ht="18" customHeight="1" x14ac:dyDescent="0.2">
      <c r="A31" s="231"/>
      <c r="B31" s="33" t="s">
        <v>69</v>
      </c>
      <c r="C31" s="27"/>
      <c r="D31" s="28">
        <f ca="1">109.7*OFFSET(D$112,MATCH($N$1,$C$112:$C$113,0)-1,0)</f>
        <v>109.7</v>
      </c>
      <c r="E31" s="28">
        <f ca="1">109.4*OFFSET(E$112,MATCH($N$1,$C$112:$C$113,0)-1,0)</f>
        <v>109.4</v>
      </c>
      <c r="F31" s="28">
        <f ca="1">153.6*OFFSET(F$112,MATCH($N$1,$C$112:$C$113,0)-1,0)</f>
        <v>153.6</v>
      </c>
      <c r="G31" s="28">
        <f ca="1">167.1*OFFSET(G$112,MATCH($N$1,$C$112:$C$113,0)-1,0)</f>
        <v>167.1</v>
      </c>
      <c r="H31" s="28">
        <f ca="1">163.9*OFFSET(H$112,MATCH($N$1,$C$112:$C$113,0)-1,0)</f>
        <v>163.9</v>
      </c>
      <c r="I31" s="28">
        <f ca="1">157.5*OFFSET(I$112,MATCH($N$1,$C$112:$C$113,0)-1,0)</f>
        <v>157.5</v>
      </c>
      <c r="J31" s="28">
        <f ca="1">167.3*OFFSET(J$112,MATCH($N$1,$C$112:$C$113,0)-1,0)</f>
        <v>167.3</v>
      </c>
      <c r="K31" s="28">
        <f ca="1">167.4*OFFSET(K$112,MATCH($N$1,$C$112:$C$113,0)-1,0)</f>
        <v>167.4</v>
      </c>
      <c r="L31" s="28">
        <f ca="1">185.8*OFFSET(L$112,MATCH($N$1,$C$112:$C$113,0)-1,0)</f>
        <v>185.8</v>
      </c>
      <c r="M31" s="28">
        <f ca="1">205.1*OFFSET(M$112,MATCH($N$1,$C$112:$C$113,0)-1,0)</f>
        <v>205.1</v>
      </c>
      <c r="N31" s="28">
        <v>166.5</v>
      </c>
      <c r="O31" s="23">
        <f t="shared" ca="1" si="0"/>
        <v>0.51777575205104831</v>
      </c>
      <c r="P31" s="23">
        <f t="shared" ca="1" si="1"/>
        <v>-4.7818290496115436E-3</v>
      </c>
    </row>
    <row r="32" spans="1:16" ht="18" customHeight="1" x14ac:dyDescent="0.2">
      <c r="A32" s="231"/>
      <c r="B32" s="33" t="s">
        <v>70</v>
      </c>
      <c r="C32" s="27"/>
      <c r="D32" s="28">
        <f ca="1">92.4*OFFSET(D$112,MATCH($N$1,$C$112:$C$113,0)-1,0)</f>
        <v>92.4</v>
      </c>
      <c r="E32" s="28">
        <f ca="1">92.1*OFFSET(E$112,MATCH($N$1,$C$112:$C$113,0)-1,0)</f>
        <v>92.1</v>
      </c>
      <c r="F32" s="28">
        <f ca="1">168.5*OFFSET(F$112,MATCH($N$1,$C$112:$C$113,0)-1,0)</f>
        <v>168.5</v>
      </c>
      <c r="G32" s="28">
        <f ca="1">173.7*OFFSET(G$112,MATCH($N$1,$C$112:$C$113,0)-1,0)</f>
        <v>173.7</v>
      </c>
      <c r="H32" s="28">
        <f ca="1">126.3*OFFSET(H$112,MATCH($N$1,$C$112:$C$113,0)-1,0)</f>
        <v>126.3</v>
      </c>
      <c r="I32" s="28">
        <f ca="1">165.2*OFFSET(I$112,MATCH($N$1,$C$112:$C$113,0)-1,0)</f>
        <v>165.2</v>
      </c>
      <c r="J32" s="28">
        <f ca="1">178.4*OFFSET(J$112,MATCH($N$1,$C$112:$C$113,0)-1,0)</f>
        <v>178.4</v>
      </c>
      <c r="K32" s="28">
        <f ca="1">153.9*OFFSET(K$112,MATCH($N$1,$C$112:$C$113,0)-1,0)</f>
        <v>153.9</v>
      </c>
      <c r="L32" s="28">
        <f ca="1">103.1*OFFSET(L$112,MATCH($N$1,$C$112:$C$113,0)-1,0)</f>
        <v>103.1</v>
      </c>
      <c r="M32" s="28">
        <f ca="1">138.3*OFFSET(M$112,MATCH($N$1,$C$112:$C$113,0)-1,0)</f>
        <v>138.30000000000001</v>
      </c>
      <c r="N32" s="28">
        <v>118.9</v>
      </c>
      <c r="O32" s="23">
        <f t="shared" ca="1" si="0"/>
        <v>0.28679653679653677</v>
      </c>
      <c r="P32" s="23">
        <f t="shared" ca="1" si="1"/>
        <v>-0.3335201793721973</v>
      </c>
    </row>
    <row r="33" spans="1:16" ht="18" customHeight="1" x14ac:dyDescent="0.2">
      <c r="A33" s="231"/>
      <c r="B33" s="33" t="s">
        <v>71</v>
      </c>
      <c r="C33" s="27"/>
      <c r="D33" s="28">
        <f ca="1">329.7*OFFSET(D$112,MATCH($N$1,$C$112:$C$113,0)-1,0)</f>
        <v>329.7</v>
      </c>
      <c r="E33" s="28">
        <f ca="1">286.8*OFFSET(E$112,MATCH($N$1,$C$112:$C$113,0)-1,0)</f>
        <v>286.8</v>
      </c>
      <c r="F33" s="28">
        <f ca="1">449.8*OFFSET(F$112,MATCH($N$1,$C$112:$C$113,0)-1,0)</f>
        <v>449.8</v>
      </c>
      <c r="G33" s="28">
        <f ca="1">490.3*OFFSET(G$112,MATCH($N$1,$C$112:$C$113,0)-1,0)</f>
        <v>490.3</v>
      </c>
      <c r="H33" s="28">
        <f ca="1">459.2*OFFSET(H$112,MATCH($N$1,$C$112:$C$113,0)-1,0)</f>
        <v>459.2</v>
      </c>
      <c r="I33" s="28">
        <f ca="1">491*OFFSET(I$112,MATCH($N$1,$C$112:$C$113,0)-1,0)</f>
        <v>491</v>
      </c>
      <c r="J33" s="28">
        <f ca="1">495.6*OFFSET(J$112,MATCH($N$1,$C$112:$C$113,0)-1,0)</f>
        <v>495.6</v>
      </c>
      <c r="K33" s="28">
        <f ca="1">416.5*OFFSET(K$112,MATCH($N$1,$C$112:$C$113,0)-1,0)</f>
        <v>416.5</v>
      </c>
      <c r="L33" s="28">
        <f ca="1">381.5*OFFSET(L$112,MATCH($N$1,$C$112:$C$113,0)-1,0)</f>
        <v>381.5</v>
      </c>
      <c r="M33" s="28">
        <f ca="1">455.6*OFFSET(M$112,MATCH($N$1,$C$112:$C$113,0)-1,0)</f>
        <v>455.6</v>
      </c>
      <c r="N33" s="28">
        <v>406.3</v>
      </c>
      <c r="O33" s="23">
        <f t="shared" ca="1" si="0"/>
        <v>0.23233242341522603</v>
      </c>
      <c r="P33" s="23">
        <f t="shared" ca="1" si="1"/>
        <v>-0.1801856335754641</v>
      </c>
    </row>
    <row r="34" spans="1:16" ht="18" customHeight="1" x14ac:dyDescent="0.2">
      <c r="A34" s="231"/>
      <c r="B34" s="33" t="s">
        <v>72</v>
      </c>
      <c r="C34" s="27"/>
      <c r="D34" s="28">
        <f ca="1">97.5*OFFSET(D$112,MATCH($N$1,$C$112:$C$113,0)-1,0)</f>
        <v>97.5</v>
      </c>
      <c r="E34" s="28">
        <f ca="1">97.4*OFFSET(E$112,MATCH($N$1,$C$112:$C$113,0)-1,0)</f>
        <v>97.4</v>
      </c>
      <c r="F34" s="28">
        <f ca="1">117.4*OFFSET(F$112,MATCH($N$1,$C$112:$C$113,0)-1,0)</f>
        <v>117.4</v>
      </c>
      <c r="G34" s="28">
        <f ca="1">112.2*OFFSET(G$112,MATCH($N$1,$C$112:$C$113,0)-1,0)</f>
        <v>112.2</v>
      </c>
      <c r="H34" s="28">
        <f ca="1">125.2*OFFSET(H$112,MATCH($N$1,$C$112:$C$113,0)-1,0)</f>
        <v>125.2</v>
      </c>
      <c r="I34" s="28">
        <f ca="1">114.2*OFFSET(I$112,MATCH($N$1,$C$112:$C$113,0)-1,0)</f>
        <v>114.2</v>
      </c>
      <c r="J34" s="28">
        <f ca="1">113.9*OFFSET(J$112,MATCH($N$1,$C$112:$C$113,0)-1,0)</f>
        <v>113.9</v>
      </c>
      <c r="K34" s="28">
        <f ca="1">104.4*OFFSET(K$112,MATCH($N$1,$C$112:$C$113,0)-1,0)</f>
        <v>104.4</v>
      </c>
      <c r="L34" s="28">
        <f ca="1">133*OFFSET(L$112,MATCH($N$1,$C$112:$C$113,0)-1,0)</f>
        <v>133</v>
      </c>
      <c r="M34" s="28">
        <f ca="1">109.4*OFFSET(M$112,MATCH($N$1,$C$112:$C$113,0)-1,0)</f>
        <v>109.4</v>
      </c>
      <c r="N34" s="28">
        <v>94.100000000000009</v>
      </c>
      <c r="O34" s="23">
        <f t="shared" ca="1" si="0"/>
        <v>-3.4871794871794787E-2</v>
      </c>
      <c r="P34" s="23">
        <f t="shared" ca="1" si="1"/>
        <v>-0.17383669885864791</v>
      </c>
    </row>
    <row r="35" spans="1:16" ht="18" customHeight="1" x14ac:dyDescent="0.2">
      <c r="A35" s="231"/>
      <c r="B35" s="33" t="s">
        <v>73</v>
      </c>
      <c r="C35" s="27"/>
      <c r="D35" s="28">
        <f ca="1">427.2*OFFSET(D$112,MATCH($N$1,$C$112:$C$113,0)-1,0)</f>
        <v>427.2</v>
      </c>
      <c r="E35" s="28">
        <f ca="1">384.2*OFFSET(E$112,MATCH($N$1,$C$112:$C$113,0)-1,0)</f>
        <v>384.2</v>
      </c>
      <c r="F35" s="28">
        <f ca="1">567.2*OFFSET(F$112,MATCH($N$1,$C$112:$C$113,0)-1,0)</f>
        <v>567.20000000000005</v>
      </c>
      <c r="G35" s="28">
        <f ca="1">602.5*OFFSET(G$112,MATCH($N$1,$C$112:$C$113,0)-1,0)</f>
        <v>602.5</v>
      </c>
      <c r="H35" s="28">
        <f ca="1">584.4*OFFSET(H$112,MATCH($N$1,$C$112:$C$113,0)-1,0)</f>
        <v>584.4</v>
      </c>
      <c r="I35" s="28">
        <f ca="1">605.2*OFFSET(I$112,MATCH($N$1,$C$112:$C$113,0)-1,0)</f>
        <v>605.20000000000005</v>
      </c>
      <c r="J35" s="28">
        <f ca="1">609.5*OFFSET(J$112,MATCH($N$1,$C$112:$C$113,0)-1,0)</f>
        <v>609.5</v>
      </c>
      <c r="K35" s="28">
        <f ca="1">520.8*OFFSET(K$112,MATCH($N$1,$C$112:$C$113,0)-1,0)</f>
        <v>520.79999999999995</v>
      </c>
      <c r="L35" s="28">
        <f ca="1">514.5*OFFSET(L$112,MATCH($N$1,$C$112:$C$113,0)-1,0)</f>
        <v>514.5</v>
      </c>
      <c r="M35" s="28">
        <f ca="1">564.9*OFFSET(M$112,MATCH($N$1,$C$112:$C$113,0)-1,0)</f>
        <v>564.9</v>
      </c>
      <c r="N35" s="28">
        <v>500.40000000000003</v>
      </c>
      <c r="O35" s="23">
        <f t="shared" ca="1" si="0"/>
        <v>0.17134831460674169</v>
      </c>
      <c r="P35" s="23">
        <f t="shared" ca="1" si="1"/>
        <v>-0.17899917965545523</v>
      </c>
    </row>
    <row r="36" spans="1:16" ht="18" customHeight="1" x14ac:dyDescent="0.2">
      <c r="A36" s="231"/>
      <c r="B36" s="41" t="s">
        <v>74</v>
      </c>
      <c r="C36" s="42"/>
      <c r="D36" s="43">
        <f ca="1">112*OFFSET(D$112,MATCH($N$1,$C$112:$C$113,0)-1,0)</f>
        <v>112</v>
      </c>
      <c r="E36" s="43">
        <f ca="1">155*OFFSET(E$112,MATCH($N$1,$C$112:$C$113,0)-1,0)</f>
        <v>155</v>
      </c>
      <c r="F36" s="43">
        <f ca="1">176.7*OFFSET(F$112,MATCH($N$1,$C$112:$C$113,0)-1,0)</f>
        <v>176.7</v>
      </c>
      <c r="G36" s="43">
        <f ca="1">191.4*OFFSET(G$112,MATCH($N$1,$C$112:$C$113,0)-1,0)</f>
        <v>191.4</v>
      </c>
      <c r="H36" s="43">
        <f ca="1">259.1*OFFSET(H$112,MATCH($N$1,$C$112:$C$113,0)-1,0)</f>
        <v>259.10000000000002</v>
      </c>
      <c r="I36" s="43">
        <f ca="1">198.8*OFFSET(I$112,MATCH($N$1,$C$112:$C$113,0)-1,0)</f>
        <v>198.8</v>
      </c>
      <c r="J36" s="43">
        <f ca="1">201.2*OFFSET(J$112,MATCH($N$1,$C$112:$C$113,0)-1,0)</f>
        <v>201.2</v>
      </c>
      <c r="K36" s="43">
        <f ca="1">250.2*OFFSET(K$112,MATCH($N$1,$C$112:$C$113,0)-1,0)</f>
        <v>250.2</v>
      </c>
      <c r="L36" s="43">
        <f ca="1">348.9*OFFSET(L$112,MATCH($N$1,$C$112:$C$113,0)-1,0)</f>
        <v>348.9</v>
      </c>
      <c r="M36" s="43">
        <f ca="1">393.4*OFFSET(M$112,MATCH($N$1,$C$112:$C$113,0)-1,0)</f>
        <v>393.4</v>
      </c>
      <c r="N36" s="43">
        <v>314</v>
      </c>
      <c r="O36" s="23">
        <f t="shared" ca="1" si="0"/>
        <v>1.8035714285714286</v>
      </c>
      <c r="P36" s="23">
        <f t="shared" ca="1" si="1"/>
        <v>0.56063618290258455</v>
      </c>
    </row>
    <row r="37" spans="1:16" ht="18" customHeight="1" x14ac:dyDescent="0.2">
      <c r="A37" s="231"/>
      <c r="B37" s="41" t="s">
        <v>75</v>
      </c>
      <c r="C37" s="42"/>
      <c r="D37" s="43">
        <f ca="1">2.3*OFFSET(D$112,MATCH($N$1,$C$112:$C$113,0)-1,0)</f>
        <v>2.2999999999999998</v>
      </c>
      <c r="E37" s="43">
        <f ca="1">45.6*OFFSET(E$112,MATCH($N$1,$C$112:$C$113,0)-1,0)</f>
        <v>45.6</v>
      </c>
      <c r="F37" s="43">
        <f ca="1">23.1*OFFSET(F$112,MATCH($N$1,$C$112:$C$113,0)-1,0)</f>
        <v>23.1</v>
      </c>
      <c r="G37" s="43">
        <f ca="1">24.3*OFFSET(G$112,MATCH($N$1,$C$112:$C$113,0)-1,0)</f>
        <v>24.3</v>
      </c>
      <c r="H37" s="43">
        <f ca="1">95.2*OFFSET(H$112,MATCH($N$1,$C$112:$C$113,0)-1,0)</f>
        <v>95.2</v>
      </c>
      <c r="I37" s="43">
        <f ca="1">41.3*OFFSET(I$112,MATCH($N$1,$C$112:$C$113,0)-1,0)</f>
        <v>41.3</v>
      </c>
      <c r="J37" s="43">
        <f ca="1">33.9*OFFSET(J$112,MATCH($N$1,$C$112:$C$113,0)-1,0)</f>
        <v>33.9</v>
      </c>
      <c r="K37" s="43">
        <f ca="1">82.8*OFFSET(K$112,MATCH($N$1,$C$112:$C$113,0)-1,0)</f>
        <v>82.8</v>
      </c>
      <c r="L37" s="43">
        <f ca="1">163.1*OFFSET(L$112,MATCH($N$1,$C$112:$C$113,0)-1,0)</f>
        <v>163.1</v>
      </c>
      <c r="M37" s="43">
        <f ca="1">188.3*OFFSET(M$112,MATCH($N$1,$C$112:$C$113,0)-1,0)</f>
        <v>188.3</v>
      </c>
      <c r="N37" s="43">
        <v>147.5</v>
      </c>
      <c r="O37" s="23">
        <f t="shared" ca="1" si="0"/>
        <v>63.130434782608695</v>
      </c>
      <c r="P37" s="23">
        <f t="shared" ca="1" si="1"/>
        <v>3.3510324483775813</v>
      </c>
    </row>
    <row r="38" spans="1:16" ht="18" customHeight="1" x14ac:dyDescent="0.2">
      <c r="A38" s="231"/>
      <c r="B38" s="33" t="s">
        <v>76</v>
      </c>
      <c r="C38" s="27"/>
      <c r="D38" s="28">
        <f ca="1">14*OFFSET(D$112,MATCH($N$1,$C$112:$C$113,0)-1,0)</f>
        <v>14</v>
      </c>
      <c r="E38" s="28">
        <f ca="1">13.9*OFFSET(E$112,MATCH($N$1,$C$112:$C$113,0)-1,0)</f>
        <v>13.9</v>
      </c>
      <c r="F38" s="28">
        <f ca="1">11.9*OFFSET(F$112,MATCH($N$1,$C$112:$C$113,0)-1,0)</f>
        <v>11.9</v>
      </c>
      <c r="G38" s="28">
        <f ca="1">14.5*OFFSET(G$112,MATCH($N$1,$C$112:$C$113,0)-1,0)</f>
        <v>14.5</v>
      </c>
      <c r="H38" s="28">
        <f ca="1">11*OFFSET(H$112,MATCH($N$1,$C$112:$C$113,0)-1,0)</f>
        <v>11</v>
      </c>
      <c r="I38" s="28">
        <f ca="1">11.4*OFFSET(I$112,MATCH($N$1,$C$112:$C$113,0)-1,0)</f>
        <v>11.4</v>
      </c>
      <c r="J38" s="28">
        <f ca="1">12.4*OFFSET(J$112,MATCH($N$1,$C$112:$C$113,0)-1,0)</f>
        <v>12.4</v>
      </c>
      <c r="K38" s="28">
        <f ca="1">18.9*OFFSET(K$112,MATCH($N$1,$C$112:$C$113,0)-1,0)</f>
        <v>18.899999999999999</v>
      </c>
      <c r="L38" s="28">
        <f ca="1">39.3*OFFSET(L$112,MATCH($N$1,$C$112:$C$113,0)-1,0)</f>
        <v>39.299999999999997</v>
      </c>
      <c r="M38" s="28">
        <f ca="1">24.9*OFFSET(M$112,MATCH($N$1,$C$112:$C$113,0)-1,0)</f>
        <v>24.9</v>
      </c>
      <c r="N38" s="28"/>
      <c r="O38" s="23" t="str">
        <f t="shared" si="0"/>
        <v/>
      </c>
      <c r="P38" s="23" t="str">
        <f t="shared" si="1"/>
        <v/>
      </c>
    </row>
    <row r="39" spans="1:16" ht="18" customHeight="1" x14ac:dyDescent="0.2">
      <c r="A39" s="231"/>
      <c r="B39" s="33" t="s">
        <v>77</v>
      </c>
      <c r="C39" s="27"/>
      <c r="D39" s="28">
        <f ca="1">20.4*OFFSET(D$112,MATCH($N$1,$C$112:$C$113,0)-1,0)</f>
        <v>20.399999999999999</v>
      </c>
      <c r="E39" s="28">
        <f ca="1">9.5*OFFSET(E$112,MATCH($N$1,$C$112:$C$113,0)-1,0)</f>
        <v>9.5</v>
      </c>
      <c r="F39" s="28">
        <f ca="1">6.4*OFFSET(F$112,MATCH($N$1,$C$112:$C$113,0)-1,0)</f>
        <v>6.4</v>
      </c>
      <c r="G39" s="28">
        <f ca="1">9.2*OFFSET(G$112,MATCH($N$1,$C$112:$C$113,0)-1,0)</f>
        <v>9.1999999999999993</v>
      </c>
      <c r="H39" s="28">
        <f ca="1">7*OFFSET(H$112,MATCH($N$1,$C$112:$C$113,0)-1,0)</f>
        <v>7</v>
      </c>
      <c r="I39" s="28">
        <f ca="1">11.3*OFFSET(I$112,MATCH($N$1,$C$112:$C$113,0)-1,0)</f>
        <v>11.3</v>
      </c>
      <c r="J39" s="28">
        <f ca="1">7.6*OFFSET(J$112,MATCH($N$1,$C$112:$C$113,0)-1,0)</f>
        <v>7.6</v>
      </c>
      <c r="K39" s="28">
        <f ca="1">5.2*OFFSET(K$112,MATCH($N$1,$C$112:$C$113,0)-1,0)</f>
        <v>5.2</v>
      </c>
      <c r="L39" s="28"/>
      <c r="M39" s="28"/>
      <c r="N39" s="28"/>
      <c r="O39" s="23" t="str">
        <f t="shared" si="0"/>
        <v/>
      </c>
      <c r="P39" s="23" t="str">
        <f t="shared" si="1"/>
        <v/>
      </c>
    </row>
    <row r="40" spans="1:16" ht="18" customHeight="1" x14ac:dyDescent="0.2">
      <c r="A40" s="231"/>
      <c r="B40" s="33" t="s">
        <v>78</v>
      </c>
      <c r="C40" s="27"/>
      <c r="D40" s="28"/>
      <c r="E40" s="28">
        <f ca="1">1.3*OFFSET(E$112,MATCH($N$1,$C$112:$C$113,0)-1,0)</f>
        <v>1.3</v>
      </c>
      <c r="F40" s="28"/>
      <c r="G40" s="28">
        <f ca="1">5.4*OFFSET(G$112,MATCH($N$1,$C$112:$C$113,0)-1,0)</f>
        <v>5.4</v>
      </c>
      <c r="H40" s="28">
        <f ca="1">2.8*OFFSET(H$112,MATCH($N$1,$C$112:$C$113,0)-1,0)</f>
        <v>2.8</v>
      </c>
      <c r="I40" s="28">
        <f ca="1">1.9*OFFSET(I$112,MATCH($N$1,$C$112:$C$113,0)-1,0)</f>
        <v>1.9</v>
      </c>
      <c r="J40" s="28">
        <f ca="1">2*OFFSET(J$112,MATCH($N$1,$C$112:$C$113,0)-1,0)</f>
        <v>2</v>
      </c>
      <c r="K40" s="28">
        <f ca="1">0.1*OFFSET(K$112,MATCH($N$1,$C$112:$C$113,0)-1,0)</f>
        <v>0.1</v>
      </c>
      <c r="L40" s="28"/>
      <c r="M40" s="28"/>
      <c r="N40" s="28"/>
      <c r="O40" s="23" t="str">
        <f t="shared" si="0"/>
        <v/>
      </c>
      <c r="P40" s="23" t="str">
        <f t="shared" si="1"/>
        <v/>
      </c>
    </row>
    <row r="41" spans="1:16" ht="18" customHeight="1" thickBot="1" x14ac:dyDescent="0.25">
      <c r="A41" s="232"/>
      <c r="B41" s="44" t="s">
        <v>79</v>
      </c>
      <c r="C41" s="45"/>
      <c r="D41" s="46">
        <f ca="1">-32.2*OFFSET(D$112,MATCH($N$1,$C$112:$C$113,0)-1,0)</f>
        <v>-32.200000000000003</v>
      </c>
      <c r="E41" s="46">
        <f ca="1">20.9*OFFSET(E$112,MATCH($N$1,$C$112:$C$113,0)-1,0)</f>
        <v>20.9</v>
      </c>
      <c r="F41" s="46">
        <f ca="1">4.8*OFFSET(F$112,MATCH($N$1,$C$112:$C$113,0)-1,0)</f>
        <v>4.8</v>
      </c>
      <c r="G41" s="46">
        <f ca="1">-4.8*OFFSET(G$112,MATCH($N$1,$C$112:$C$113,0)-1,0)</f>
        <v>-4.8</v>
      </c>
      <c r="H41" s="46">
        <f ca="1">74.4*OFFSET(H$112,MATCH($N$1,$C$112:$C$113,0)-1,0)</f>
        <v>74.400000000000006</v>
      </c>
      <c r="I41" s="46">
        <f ca="1">16.7*OFFSET(I$112,MATCH($N$1,$C$112:$C$113,0)-1,0)</f>
        <v>16.7</v>
      </c>
      <c r="J41" s="46">
        <f ca="1">11.9*OFFSET(J$112,MATCH($N$1,$C$112:$C$113,0)-1,0)</f>
        <v>11.9</v>
      </c>
      <c r="K41" s="46">
        <f ca="1">58.5*OFFSET(K$112,MATCH($N$1,$C$112:$C$113,0)-1,0)</f>
        <v>58.5</v>
      </c>
      <c r="L41" s="46">
        <f ca="1">123.8*OFFSET(L$112,MATCH($N$1,$C$112:$C$113,0)-1,0)</f>
        <v>123.8</v>
      </c>
      <c r="M41" s="46">
        <f ca="1">163.4*OFFSET(M$112,MATCH($N$1,$C$112:$C$113,0)-1,0)</f>
        <v>163.4</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South West beamers under 250kW</v>
      </c>
      <c r="C48" s="97"/>
      <c r="D48" s="97"/>
      <c r="E48" s="97"/>
      <c r="F48" s="97"/>
      <c r="G48" s="97"/>
      <c r="K48" s="97" t="str">
        <f>$B24&amp;CHAR(10)&amp;$A$1</f>
        <v>Operating profit per kW day at sea (£)
South West beamers under 250kW</v>
      </c>
    </row>
    <row r="49" spans="1:11" s="83" customFormat="1" x14ac:dyDescent="0.2">
      <c r="A49" s="97" t="str">
        <f>$B22&amp;CHAR(10)&amp;$A$1</f>
        <v>Fishing income per kW day at sea (£)
South West beamers under 250kW</v>
      </c>
    </row>
    <row r="50" spans="1:11" s="83" customFormat="1" x14ac:dyDescent="0.2">
      <c r="A50" s="97" t="str">
        <f>$B20&amp;CHAR(10)&amp;$A$1</f>
        <v>Average price per tonne landed (£)
South West beamers under 250kW</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South West beamers under 250kW</v>
      </c>
      <c r="F62" s="97" t="str">
        <f>$B20&amp;CHAR(10)&amp;$A$1</f>
        <v>Average price per tonne landed (£)
South West beamers under 250kW</v>
      </c>
      <c r="K62" s="97" t="str">
        <f>"Average annual operating profit per vessel (£'000)"&amp;CHAR(10)&amp;$A$1</f>
        <v>Average annual operating profit per vessel (£'000)
South West beamers under 250kW</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South West beamers under 250kW</v>
      </c>
      <c r="F76" s="97" t="str">
        <f>"Top 5 landed species by value in "&amp;A77&amp;CHAR(10)&amp;A1</f>
        <v>Top 5 landed species by value in 2017
South West beamers under 250kW</v>
      </c>
    </row>
    <row r="77" spans="1:9" s="97" customFormat="1" x14ac:dyDescent="0.2">
      <c r="A77" s="97">
        <v>2017</v>
      </c>
      <c r="B77" s="97" t="s">
        <v>420</v>
      </c>
      <c r="C77" s="98">
        <v>0.31432531048648665</v>
      </c>
      <c r="D77" s="99">
        <v>12153634</v>
      </c>
      <c r="G77" s="97" t="s">
        <v>421</v>
      </c>
      <c r="H77" s="98">
        <v>0.32023519744373052</v>
      </c>
      <c r="I77" s="99">
        <v>12153634</v>
      </c>
    </row>
    <row r="78" spans="1:9" s="97" customFormat="1" x14ac:dyDescent="0.2">
      <c r="B78" s="97" t="s">
        <v>422</v>
      </c>
      <c r="C78" s="98">
        <v>0.16177895388784011</v>
      </c>
      <c r="D78" s="99">
        <v>1692097</v>
      </c>
      <c r="G78" s="97" t="s">
        <v>423</v>
      </c>
      <c r="H78" s="98">
        <v>0.27223885926658448</v>
      </c>
      <c r="I78" s="99">
        <v>553960</v>
      </c>
    </row>
    <row r="79" spans="1:9" s="97" customFormat="1" x14ac:dyDescent="0.2">
      <c r="B79" s="97" t="s">
        <v>424</v>
      </c>
      <c r="C79" s="98">
        <v>0.10732192738776598</v>
      </c>
      <c r="D79" s="99">
        <v>3050596</v>
      </c>
      <c r="G79" s="97" t="s">
        <v>425</v>
      </c>
      <c r="H79" s="98">
        <v>9.2816538249853961E-2</v>
      </c>
      <c r="I79" s="99">
        <v>3050596</v>
      </c>
    </row>
    <row r="80" spans="1:9" s="97" customFormat="1" x14ac:dyDescent="0.2">
      <c r="B80" s="97" t="s">
        <v>426</v>
      </c>
      <c r="C80" s="98">
        <v>9.5294579490367695E-2</v>
      </c>
      <c r="D80" s="99">
        <v>553960</v>
      </c>
      <c r="G80" s="97" t="s">
        <v>427</v>
      </c>
      <c r="H80" s="98">
        <v>7.0313613493307101E-2</v>
      </c>
      <c r="I80" s="99">
        <v>1692097</v>
      </c>
    </row>
    <row r="81" spans="1:18" s="97" customFormat="1" x14ac:dyDescent="0.2">
      <c r="B81" s="97" t="s">
        <v>428</v>
      </c>
      <c r="C81" s="98">
        <v>5.3960336224323217E-2</v>
      </c>
      <c r="D81" s="99">
        <v>11115023</v>
      </c>
      <c r="G81" s="97" t="s">
        <v>429</v>
      </c>
      <c r="H81" s="98">
        <v>4.893626673533865E-2</v>
      </c>
      <c r="I81" s="99">
        <v>3689192</v>
      </c>
    </row>
    <row r="82" spans="1:18" s="97" customFormat="1" x14ac:dyDescent="0.2">
      <c r="B82" s="97" t="s">
        <v>430</v>
      </c>
      <c r="C82" s="98">
        <v>0.26731889252321639</v>
      </c>
      <c r="D82" s="99">
        <v>5920853</v>
      </c>
      <c r="G82" s="97" t="s">
        <v>431</v>
      </c>
      <c r="H82" s="98">
        <v>0.19545952481118523</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96</v>
      </c>
      <c r="D92" s="102">
        <v>8.086246780013949E-2</v>
      </c>
      <c r="E92" s="102">
        <v>0.14007208780597025</v>
      </c>
      <c r="F92" s="102">
        <v>0.18708206644291148</v>
      </c>
      <c r="G92" s="102">
        <v>0.22384681641890572</v>
      </c>
      <c r="H92" s="102">
        <v>0.1766973012290359</v>
      </c>
      <c r="I92" s="102">
        <v>0.13221071188071332</v>
      </c>
      <c r="J92" s="102">
        <v>0.21384471077836212</v>
      </c>
      <c r="K92" s="102">
        <v>0.20228788958969762</v>
      </c>
      <c r="L92" s="102">
        <v>0.32023519744373052</v>
      </c>
      <c r="M92" s="102">
        <v>0.23084533951850805</v>
      </c>
      <c r="O92" s="97">
        <v>12153634</v>
      </c>
    </row>
    <row r="93" spans="1:18" s="97" customFormat="1" hidden="1" x14ac:dyDescent="0.2">
      <c r="B93" s="97">
        <v>2</v>
      </c>
      <c r="C93" s="97" t="s">
        <v>245</v>
      </c>
      <c r="D93" s="102">
        <v>0.45275829143524465</v>
      </c>
      <c r="E93" s="102">
        <v>0.40240199308359392</v>
      </c>
      <c r="F93" s="102">
        <v>0.33156660992514703</v>
      </c>
      <c r="G93" s="102">
        <v>0.29406838089216569</v>
      </c>
      <c r="H93" s="102">
        <v>0.30145441913556698</v>
      </c>
      <c r="I93" s="102">
        <v>0.31327666193874859</v>
      </c>
      <c r="J93" s="102">
        <v>0.249869726285287</v>
      </c>
      <c r="K93" s="102">
        <v>0.30845283126236539</v>
      </c>
      <c r="L93" s="102">
        <v>0.27223885926658448</v>
      </c>
      <c r="M93" s="102">
        <v>0.30769114425855748</v>
      </c>
      <c r="O93" s="97">
        <v>553960</v>
      </c>
    </row>
    <row r="94" spans="1:18" s="97" customFormat="1" hidden="1" x14ac:dyDescent="0.2">
      <c r="B94" s="97">
        <v>3</v>
      </c>
      <c r="C94" s="97" t="s">
        <v>121</v>
      </c>
      <c r="D94" s="102">
        <v>9.5852401431500006E-2</v>
      </c>
      <c r="E94" s="102">
        <v>0.12724607025407647</v>
      </c>
      <c r="F94" s="102">
        <v>0.14822174683036446</v>
      </c>
      <c r="G94" s="102">
        <v>0.14256844405533975</v>
      </c>
      <c r="H94" s="102">
        <v>0.16006378193680476</v>
      </c>
      <c r="I94" s="102">
        <v>0.15584372871393073</v>
      </c>
      <c r="J94" s="102">
        <v>0.13602908656050966</v>
      </c>
      <c r="K94" s="102">
        <v>0.13059844942228363</v>
      </c>
      <c r="L94" s="102">
        <v>9.2816538249853961E-2</v>
      </c>
      <c r="M94" s="102">
        <v>8.0712681003342612E-2</v>
      </c>
      <c r="O94" s="97">
        <v>3050596</v>
      </c>
    </row>
    <row r="95" spans="1:18" s="97" customFormat="1" hidden="1" x14ac:dyDescent="0.2">
      <c r="B95" s="97">
        <v>4</v>
      </c>
      <c r="C95" s="97" t="s">
        <v>170</v>
      </c>
      <c r="D95" s="102">
        <v>8.2830863352137046E-2</v>
      </c>
      <c r="E95" s="102">
        <v>6.6601642060057795E-2</v>
      </c>
      <c r="F95" s="102">
        <v>6.0442343814953545E-2</v>
      </c>
      <c r="G95" s="102">
        <v>5.3407606103133838E-2</v>
      </c>
      <c r="H95" s="102">
        <v>5.2158610912627544E-2</v>
      </c>
      <c r="I95" s="102"/>
      <c r="J95" s="102">
        <v>5.8053617621774058E-2</v>
      </c>
      <c r="K95" s="102">
        <v>6.8758930702755891E-2</v>
      </c>
      <c r="L95" s="102">
        <v>7.0313613493307101E-2</v>
      </c>
      <c r="M95" s="102">
        <v>8.9849243774235685E-2</v>
      </c>
      <c r="O95" s="97">
        <v>1692097</v>
      </c>
    </row>
    <row r="96" spans="1:18" s="97" customFormat="1" hidden="1" x14ac:dyDescent="0.2">
      <c r="B96" s="97">
        <v>5</v>
      </c>
      <c r="C96" s="97" t="s">
        <v>138</v>
      </c>
      <c r="D96" s="102"/>
      <c r="E96" s="102"/>
      <c r="F96" s="102"/>
      <c r="G96" s="102"/>
      <c r="H96" s="102"/>
      <c r="I96" s="102"/>
      <c r="J96" s="102"/>
      <c r="K96" s="102"/>
      <c r="L96" s="102">
        <v>4.893626673533865E-2</v>
      </c>
      <c r="M96" s="102">
        <v>5.0217620401693121E-2</v>
      </c>
      <c r="O96" s="97">
        <v>3689192</v>
      </c>
    </row>
    <row r="97" spans="1:15" s="97" customFormat="1" hidden="1" x14ac:dyDescent="0.2">
      <c r="B97" s="97">
        <v>6</v>
      </c>
      <c r="C97" s="97" t="s">
        <v>94</v>
      </c>
      <c r="D97" s="102">
        <v>5.534881723705834E-2</v>
      </c>
      <c r="E97" s="102">
        <v>7.4243760705418924E-2</v>
      </c>
      <c r="F97" s="102">
        <v>4.7239726205152002E-2</v>
      </c>
      <c r="G97" s="102">
        <v>4.362686323507322E-2</v>
      </c>
      <c r="H97" s="102">
        <v>5.7940910727911209E-2</v>
      </c>
      <c r="I97" s="102">
        <v>7.156080587492529E-2</v>
      </c>
      <c r="J97" s="102">
        <v>8.3039232908570543E-2</v>
      </c>
      <c r="K97" s="102">
        <v>5.9237091732385019E-2</v>
      </c>
      <c r="L97" s="102"/>
      <c r="M97" s="102"/>
      <c r="O97" s="97">
        <v>11115023</v>
      </c>
    </row>
    <row r="98" spans="1:15" s="97" customFormat="1" hidden="1" x14ac:dyDescent="0.2">
      <c r="B98" s="97">
        <v>7</v>
      </c>
      <c r="C98" s="97" t="s">
        <v>187</v>
      </c>
      <c r="D98" s="102"/>
      <c r="E98" s="102"/>
      <c r="F98" s="102"/>
      <c r="G98" s="102"/>
      <c r="H98" s="102"/>
      <c r="I98" s="102">
        <v>6.1823384450716522E-2</v>
      </c>
      <c r="J98" s="102"/>
      <c r="K98" s="102"/>
      <c r="L98" s="102"/>
      <c r="M98" s="102"/>
      <c r="O98" s="97">
        <v>2480382</v>
      </c>
    </row>
    <row r="99" spans="1:15" s="97" customFormat="1" hidden="1" x14ac:dyDescent="0.2">
      <c r="B99" s="97">
        <v>8</v>
      </c>
      <c r="C99" s="97" t="s">
        <v>101</v>
      </c>
      <c r="D99" s="102">
        <v>0.23234715874392045</v>
      </c>
      <c r="E99" s="102">
        <v>0.18943444609088264</v>
      </c>
      <c r="F99" s="102">
        <v>0.22544750678147146</v>
      </c>
      <c r="G99" s="102">
        <v>0.24248188929538181</v>
      </c>
      <c r="H99" s="102">
        <v>0.25168497605805357</v>
      </c>
      <c r="I99" s="102">
        <v>0.26528470714096553</v>
      </c>
      <c r="J99" s="102">
        <v>0.25916362584549663</v>
      </c>
      <c r="K99" s="102">
        <v>0.23066480729051245</v>
      </c>
      <c r="L99" s="102">
        <v>0.19545952481118534</v>
      </c>
      <c r="M99" s="102">
        <v>0.24068397104366304</v>
      </c>
      <c r="O99" s="97">
        <v>5920853</v>
      </c>
    </row>
    <row r="100" spans="1:15" s="97" customFormat="1" hidden="1" x14ac:dyDescent="0.2">
      <c r="B100" s="97">
        <v>9</v>
      </c>
      <c r="D100" s="102"/>
      <c r="E100" s="102"/>
      <c r="F100" s="102"/>
      <c r="G100" s="102"/>
      <c r="H100" s="102"/>
      <c r="I100" s="102"/>
      <c r="J100" s="102"/>
      <c r="K100" s="102"/>
      <c r="L100" s="102"/>
      <c r="M100" s="102"/>
      <c r="O100" s="97">
        <v>8497745</v>
      </c>
    </row>
    <row r="101" spans="1:15" s="97" customFormat="1" hidden="1" x14ac:dyDescent="0.2">
      <c r="B101" s="97">
        <v>10</v>
      </c>
      <c r="D101" s="102"/>
      <c r="E101" s="102"/>
      <c r="F101" s="102"/>
      <c r="G101" s="102"/>
      <c r="H101" s="102"/>
      <c r="I101" s="102"/>
      <c r="J101" s="102"/>
      <c r="K101" s="102"/>
      <c r="L101" s="102"/>
      <c r="M101" s="102"/>
      <c r="O101" s="97">
        <v>14393110</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9</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6</v>
      </c>
      <c r="D120" s="56">
        <v>10</v>
      </c>
      <c r="E120" s="56">
        <v>6</v>
      </c>
      <c r="F120" s="57">
        <v>22</v>
      </c>
    </row>
    <row r="121" spans="1:14" ht="18" customHeight="1" x14ac:dyDescent="0.2">
      <c r="A121" s="225" t="s">
        <v>23</v>
      </c>
      <c r="B121" s="30" t="s">
        <v>58</v>
      </c>
      <c r="C121" s="58">
        <v>22.170000076293945</v>
      </c>
      <c r="D121" s="58">
        <v>21.979000091552734</v>
      </c>
      <c r="E121" s="58">
        <v>20.408332824707031</v>
      </c>
      <c r="F121" s="59">
        <v>21.602727890014648</v>
      </c>
    </row>
    <row r="122" spans="1:14" ht="18" customHeight="1" x14ac:dyDescent="0.2">
      <c r="A122" s="226"/>
      <c r="B122" s="33" t="s">
        <v>51</v>
      </c>
      <c r="C122" s="60">
        <v>220.83332824707031</v>
      </c>
      <c r="D122" s="60">
        <v>220.59999847412109</v>
      </c>
      <c r="E122" s="60">
        <v>213.66667175292969</v>
      </c>
      <c r="F122" s="61">
        <v>218.77272033691406</v>
      </c>
    </row>
    <row r="123" spans="1:14" ht="18" customHeight="1" x14ac:dyDescent="0.2">
      <c r="A123" s="226"/>
      <c r="B123" s="33" t="s">
        <v>52</v>
      </c>
      <c r="C123" s="60">
        <v>124.5</v>
      </c>
      <c r="D123" s="60">
        <v>107.90000152587891</v>
      </c>
      <c r="E123" s="60">
        <v>88.833335876464844</v>
      </c>
      <c r="F123" s="61">
        <v>107.22727203369141</v>
      </c>
    </row>
    <row r="124" spans="1:14" ht="18" customHeight="1" x14ac:dyDescent="0.2">
      <c r="A124" s="226"/>
      <c r="B124" s="33" t="s">
        <v>53</v>
      </c>
      <c r="C124" s="60">
        <v>243.8785400390625</v>
      </c>
      <c r="D124" s="60">
        <v>239.43018341064453</v>
      </c>
      <c r="E124" s="60">
        <v>223.14540100097656</v>
      </c>
      <c r="F124" s="61">
        <v>236.20207214355469</v>
      </c>
    </row>
    <row r="125" spans="1:14" ht="18" customHeight="1" x14ac:dyDescent="0.2">
      <c r="A125" s="226"/>
      <c r="B125" s="33" t="s">
        <v>54</v>
      </c>
      <c r="C125" s="28">
        <v>274.6240234375</v>
      </c>
      <c r="D125" s="28">
        <v>206.2601318359375</v>
      </c>
      <c r="E125" s="28">
        <v>141.34800720214844</v>
      </c>
      <c r="F125" s="62">
        <v>207.20152282714844</v>
      </c>
    </row>
    <row r="126" spans="1:14" ht="18" customHeight="1" x14ac:dyDescent="0.2">
      <c r="A126" s="226"/>
      <c r="B126" s="33" t="s">
        <v>59</v>
      </c>
      <c r="C126" s="28">
        <f ca="1">1038.958875*OFFSET($L$112,MATCH($N$1,$C$112:$C$113,0)-1,0)</f>
        <v>1038.958875</v>
      </c>
      <c r="D126" s="28">
        <f ca="1">741.508*OFFSET($L$112,MATCH($N$1,$C$112:$C$113,0)-1,0)</f>
        <v>741.50800000000004</v>
      </c>
      <c r="E126" s="28">
        <f ca="1">487.17959375*OFFSET($L$112,MATCH($N$1,$C$112:$C$113,0)-1,0)</f>
        <v>487.17959374999998</v>
      </c>
      <c r="F126" s="62">
        <f ca="1">753.2686875*OFFSET($L$112,MATCH($N$1,$C$112:$C$113,0)-1,0)</f>
        <v>753.26868750000006</v>
      </c>
    </row>
    <row r="127" spans="1:14" ht="18" customHeight="1" x14ac:dyDescent="0.2">
      <c r="A127" s="226"/>
      <c r="B127" s="33" t="s">
        <v>56</v>
      </c>
      <c r="C127" s="60">
        <v>256.66665649414062</v>
      </c>
      <c r="D127" s="60">
        <v>223.89999389648437</v>
      </c>
      <c r="E127" s="60">
        <v>204.33332824707031</v>
      </c>
      <c r="F127" s="61">
        <v>227.5</v>
      </c>
    </row>
    <row r="128" spans="1:14" ht="18" customHeight="1" x14ac:dyDescent="0.2">
      <c r="A128" s="226"/>
      <c r="B128" s="33" t="s">
        <v>60</v>
      </c>
      <c r="C128" s="60">
        <v>20.166666030883789</v>
      </c>
      <c r="D128" s="60">
        <v>31.600000381469727</v>
      </c>
      <c r="E128" s="60">
        <v>26.833333969116211</v>
      </c>
      <c r="F128" s="61">
        <v>27.181818008422852</v>
      </c>
    </row>
    <row r="129" spans="1:14" ht="18" customHeight="1" x14ac:dyDescent="0.2">
      <c r="A129" s="226"/>
      <c r="B129" s="33" t="s">
        <v>61</v>
      </c>
      <c r="C129" s="63">
        <v>1.069963812828064</v>
      </c>
      <c r="D129" s="63">
        <v>0.92121544197673222</v>
      </c>
      <c r="E129" s="63">
        <v>0.69175207614898682</v>
      </c>
      <c r="F129" s="64">
        <v>0.91077589988708496</v>
      </c>
    </row>
    <row r="130" spans="1:14" ht="18" customHeight="1" x14ac:dyDescent="0.2">
      <c r="A130" s="227"/>
      <c r="B130" s="35" t="s">
        <v>24</v>
      </c>
      <c r="C130" s="37">
        <f ca="1">3783.2046227975*OFFSET($L$112,MATCH($N$1,$C$112:$C$113,0)-1,0)</f>
        <v>3783.2046227975002</v>
      </c>
      <c r="D130" s="37">
        <f ca="1">3595.01370138659*OFFSET($L$112,MATCH($N$1,$C$112:$C$113,0)-1,0)</f>
        <v>3595.0137013865901</v>
      </c>
      <c r="E130" s="37">
        <f ca="1">3446.66757878844*OFFSET($L$112,MATCH($N$1,$C$112:$C$113,0)-1,0)</f>
        <v>3446.6675787884401</v>
      </c>
      <c r="F130" s="65">
        <f ca="1">3635*OFFSET($L$112,MATCH($N$1,$C$112:$C$113,0)-1,0)</f>
        <v>3635</v>
      </c>
    </row>
    <row r="131" spans="1:14" ht="18" customHeight="1" x14ac:dyDescent="0.2">
      <c r="A131" s="239" t="s">
        <v>25</v>
      </c>
      <c r="B131" s="30" t="s">
        <v>62</v>
      </c>
      <c r="C131" s="66">
        <v>4.8450807755244254</v>
      </c>
      <c r="D131" s="66">
        <v>4.1756021547262963</v>
      </c>
      <c r="E131" s="66">
        <v>3.1894759844337037</v>
      </c>
      <c r="F131" s="67">
        <v>4.1442075566627725</v>
      </c>
    </row>
    <row r="132" spans="1:14" ht="18" customHeight="1" x14ac:dyDescent="0.2">
      <c r="A132" s="228"/>
      <c r="B132" s="33" t="s">
        <v>63</v>
      </c>
      <c r="C132" s="63">
        <f ca="1">18.3299319877913*OFFSET($L$112,MATCH($N$1,$C$112:$C$113,0)-1,0)</f>
        <v>18.329931987791301</v>
      </c>
      <c r="D132" s="63">
        <f ca="1">15.0113469577804*OFFSET($L$112,MATCH($N$1,$C$112:$C$113,0)-1,0)</f>
        <v>15.0113469577804</v>
      </c>
      <c r="E132" s="63">
        <f ca="1">10.993063468872*OFFSET($L$112,MATCH($N$1,$C$112:$C$113,0)-1,0)</f>
        <v>10.993063468872</v>
      </c>
      <c r="F132" s="64">
        <f ca="1">15.0660175868453*OFFSET($L$112,MATCH($N$1,$C$112:$C$113,0)-1,0)</f>
        <v>15.0660175868453</v>
      </c>
    </row>
    <row r="133" spans="1:14" ht="18" customHeight="1" x14ac:dyDescent="0.2">
      <c r="A133" s="228"/>
      <c r="B133" s="33" t="s">
        <v>11</v>
      </c>
      <c r="C133" s="63">
        <f ca="1">13.2720455267197*OFFSET($L$112,MATCH($N$1,$C$112:$C$113,0)-1,0)</f>
        <v>13.272045526719699</v>
      </c>
      <c r="D133" s="63">
        <f ca="1">11.2932764087537*OFFSET($L$112,MATCH($N$1,$C$112:$C$113,0)-1,0)</f>
        <v>11.2932764087537</v>
      </c>
      <c r="E133" s="63">
        <f ca="1">8.78608871877609*OFFSET($L$112,MATCH($N$1,$C$112:$C$113,0)-1,0)</f>
        <v>8.7860887187760905</v>
      </c>
      <c r="F133" s="64">
        <f ca="1">11.2989909803177*OFFSET($L$112,MATCH($N$1,$C$112:$C$113,0)-1,0)</f>
        <v>11.298990980317701</v>
      </c>
    </row>
    <row r="134" spans="1:14" ht="18" customHeight="1" x14ac:dyDescent="0.2">
      <c r="A134" s="229"/>
      <c r="B134" s="35" t="s">
        <v>12</v>
      </c>
      <c r="C134" s="68">
        <f ca="1">5.05788646107161*OFFSET($L$112,MATCH($N$1,$C$112:$C$113,0)-1,0)</f>
        <v>5.0578864610716101</v>
      </c>
      <c r="D134" s="68">
        <f ca="1">3.71807054902675*OFFSET($L$112,MATCH($N$1,$C$112:$C$113,0)-1,0)</f>
        <v>3.7180705490267498</v>
      </c>
      <c r="E134" s="68">
        <f ca="1">2.2069747500959*OFFSET($L$112,MATCH($N$1,$C$112:$C$113,0)-1,0)</f>
        <v>2.2069747500958998</v>
      </c>
      <c r="F134" s="69">
        <f ca="1">3.76702660652764*OFFSET($L$112,MATCH($N$1,$C$112:$C$113,0)-1,0)</f>
        <v>3.7670266065276401</v>
      </c>
    </row>
    <row r="135" spans="1:14" ht="18" customHeight="1" x14ac:dyDescent="0.2">
      <c r="A135" s="240" t="s">
        <v>45</v>
      </c>
      <c r="B135" s="33" t="s">
        <v>102</v>
      </c>
      <c r="C135" s="70">
        <f ca="1">127.7928125*OFFSET($L$112,MATCH($N$1,$C$112:$C$113,0)-1,0)</f>
        <v>127.7928125</v>
      </c>
      <c r="D135" s="70">
        <f ca="1">112.1551171875*OFFSET($L$112,MATCH($N$1,$C$112:$C$113,0)-1,0)</f>
        <v>112.1551171875</v>
      </c>
      <c r="E135" s="70">
        <f ca="1">96.5473515625*OFFSET($L$112,MATCH($N$1,$C$112:$C$113,0)-1,0)</f>
        <v>96.547351562499998</v>
      </c>
      <c r="F135" s="71">
        <f ca="1">112.16328125*OFFSET($L$112,MATCH($N$1,$C$112:$C$113,0)-1,0)</f>
        <v>112.16328125</v>
      </c>
    </row>
    <row r="136" spans="1:14" ht="18" customHeight="1" x14ac:dyDescent="0.2">
      <c r="A136" s="241"/>
      <c r="B136" s="33" t="s">
        <v>103</v>
      </c>
      <c r="C136" s="26">
        <v>299858.3096488528</v>
      </c>
      <c r="D136" s="26">
        <v>263604.99655637518</v>
      </c>
      <c r="E136" s="26">
        <v>227166.65478645079</v>
      </c>
      <c r="F136" s="72">
        <v>263554.54545454547</v>
      </c>
    </row>
    <row r="137" spans="1:14" ht="18" customHeight="1" x14ac:dyDescent="0.2">
      <c r="A137" s="241"/>
      <c r="B137" s="33" t="s">
        <v>104</v>
      </c>
      <c r="C137" s="26">
        <v>1168.2791748046875</v>
      </c>
      <c r="D137" s="26">
        <v>1177.3336477992384</v>
      </c>
      <c r="E137" s="26">
        <v>1111.7454833984375</v>
      </c>
      <c r="F137" s="72">
        <v>1158.4815673828125</v>
      </c>
    </row>
    <row r="138" spans="1:14" ht="18" customHeight="1" x14ac:dyDescent="0.2">
      <c r="A138" s="241"/>
      <c r="B138" s="33" t="s">
        <v>105</v>
      </c>
      <c r="C138" s="26">
        <f ca="1">497.89409440847*OFFSET($L$112,MATCH($N$1,$C$112:$C$113,0)-1,0)</f>
        <v>497.89409440846998</v>
      </c>
      <c r="D138" s="26">
        <f ca="1">500.916124362883*OFFSET($L$112,MATCH($N$1,$C$112:$C$113,0)-1,0)</f>
        <v>500.91612436288301</v>
      </c>
      <c r="E138" s="26">
        <f ca="1">472.499285313649*OFFSET($L$112,MATCH($N$1,$C$112:$C$113,0)-1,0)</f>
        <v>472.49928531364901</v>
      </c>
      <c r="F138" s="72">
        <f ca="1">493.025412087912*OFFSET($L$112,MATCH($N$1,$C$112:$C$113,0)-1,0)</f>
        <v>493.025412087912</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465.337339757837*OFFSET($L$112,MATCH($N$1,$C$112:$C$113,0)-1,0)</f>
        <v>465.33733975783701</v>
      </c>
      <c r="D139" s="26">
        <f ca="1">543.755674881028*OFFSET($L$112,MATCH($N$1,$C$112:$C$113,0)-1,0)</f>
        <v>543.75567488102797</v>
      </c>
      <c r="E139" s="26">
        <f ca="1">683.047136451122*OFFSET($L$112,MATCH($N$1,$C$112:$C$113,0)-1,0)</f>
        <v>683.04713645112201</v>
      </c>
      <c r="F139" s="72">
        <f ca="1">541.324598968169*OFFSET($L$112,MATCH($N$1,$C$112:$C$113,0)-1,0)</f>
        <v>541.32459896816897</v>
      </c>
      <c r="I139" s="49"/>
      <c r="K139" s="73" t="s">
        <v>107</v>
      </c>
      <c r="L139" s="74">
        <f t="shared" ref="L139:M141" ca="1" si="2">C140</f>
        <v>1038.958875</v>
      </c>
      <c r="M139" s="74">
        <f t="shared" ca="1" si="2"/>
        <v>741.50800000000004</v>
      </c>
      <c r="N139" s="74">
        <f ca="1">E140</f>
        <v>487.17959374999998</v>
      </c>
    </row>
    <row r="140" spans="1:14" ht="18" customHeight="1" x14ac:dyDescent="0.2">
      <c r="A140" s="230" t="s">
        <v>46</v>
      </c>
      <c r="B140" s="30" t="s">
        <v>108</v>
      </c>
      <c r="C140" s="75">
        <f ca="1">1038.958875*OFFSET($L$112,MATCH($N$1,$C$112:$C$113,0)-1,0)</f>
        <v>1038.958875</v>
      </c>
      <c r="D140" s="75">
        <f ca="1">741.508*OFFSET($L$112,MATCH($N$1,$C$112:$C$113,0)-1,0)</f>
        <v>741.50800000000004</v>
      </c>
      <c r="E140" s="75">
        <f ca="1">487.17959375*OFFSET($L$112,MATCH($N$1,$C$112:$C$113,0)-1,0)</f>
        <v>487.17959374999998</v>
      </c>
      <c r="F140" s="76">
        <f ca="1">753.2686875*OFFSET($L$112,MATCH($N$1,$C$112:$C$113,0)-1,0)</f>
        <v>753.26868750000006</v>
      </c>
      <c r="I140" s="49"/>
      <c r="K140" s="73" t="s">
        <v>109</v>
      </c>
      <c r="L140" s="74">
        <f t="shared" ca="1" si="2"/>
        <v>752.27281249999999</v>
      </c>
      <c r="M140" s="74">
        <f t="shared" ca="1" si="2"/>
        <v>557.84832812499997</v>
      </c>
      <c r="N140" s="74">
        <f ca="1">E141</f>
        <v>389.37309375000001</v>
      </c>
    </row>
    <row r="141" spans="1:14" ht="18" customHeight="1" x14ac:dyDescent="0.2">
      <c r="A141" s="237"/>
      <c r="B141" s="33" t="s">
        <v>110</v>
      </c>
      <c r="C141" s="26">
        <f ca="1">752.2728125*OFFSET($L$112,MATCH($N$1,$C$112:$C$113,0)-1,0)</f>
        <v>752.27281249999999</v>
      </c>
      <c r="D141" s="26">
        <f ca="1">557.848328125*OFFSET($L$112,MATCH($N$1,$C$112:$C$113,0)-1,0)</f>
        <v>557.84832812499997</v>
      </c>
      <c r="E141" s="26">
        <f ca="1">389.37309375*OFFSET($L$112,MATCH($N$1,$C$112:$C$113,0)-1,0)</f>
        <v>389.37309375000001</v>
      </c>
      <c r="F141" s="72">
        <f ca="1">564.925375*OFFSET($L$112,MATCH($N$1,$C$112:$C$113,0)-1,0)</f>
        <v>564.92537500000003</v>
      </c>
      <c r="I141" s="49"/>
      <c r="K141" s="73" t="s">
        <v>111</v>
      </c>
      <c r="L141" s="74">
        <f t="shared" ca="1" si="2"/>
        <v>286.68606249999999</v>
      </c>
      <c r="M141" s="74">
        <f t="shared" ca="1" si="2"/>
        <v>183.65967187499999</v>
      </c>
      <c r="N141" s="74">
        <f ca="1">E142</f>
        <v>97.8065</v>
      </c>
    </row>
    <row r="142" spans="1:14" ht="18" customHeight="1" x14ac:dyDescent="0.2">
      <c r="A142" s="238"/>
      <c r="B142" s="35" t="s">
        <v>112</v>
      </c>
      <c r="C142" s="37">
        <f ca="1">286.6860625*OFFSET($L$112,MATCH($N$1,$C$112:$C$113,0)-1,0)</f>
        <v>286.68606249999999</v>
      </c>
      <c r="D142" s="37">
        <f ca="1">183.659671875*OFFSET($L$112,MATCH($N$1,$C$112:$C$113,0)-1,0)</f>
        <v>183.65967187499999</v>
      </c>
      <c r="E142" s="37">
        <f ca="1">97.8065*OFFSET($L$112,MATCH($N$1,$C$112:$C$113,0)-1,0)</f>
        <v>97.8065</v>
      </c>
      <c r="F142" s="65">
        <f ca="1">188.34328125*OFFSET($L$112,MATCH($N$1,$C$112:$C$113,0)-1,0)</f>
        <v>188.34328124999999</v>
      </c>
      <c r="I142" s="49"/>
      <c r="K142" s="73" t="s">
        <v>113</v>
      </c>
      <c r="L142" s="77">
        <f ca="1">IFERROR(L140/L$139,"")</f>
        <v>0.72406409012098771</v>
      </c>
      <c r="M142" s="77">
        <f t="shared" ref="M142:N143" ca="1" si="3">IFERROR(M140/M$139,"")</f>
        <v>0.75231599406210037</v>
      </c>
      <c r="N142" s="77">
        <f t="shared" ca="1" si="3"/>
        <v>0.79923933339008013</v>
      </c>
    </row>
    <row r="143" spans="1:14" ht="18" customHeight="1" x14ac:dyDescent="0.2">
      <c r="I143" s="49"/>
      <c r="K143" s="73" t="s">
        <v>114</v>
      </c>
      <c r="L143" s="77">
        <f ca="1">IFERROR(L141/L$139,"")</f>
        <v>0.27593590987901229</v>
      </c>
      <c r="M143" s="77">
        <f t="shared" ca="1" si="3"/>
        <v>0.24768400593789949</v>
      </c>
      <c r="N143" s="77">
        <f t="shared" ca="1" si="3"/>
        <v>0.20076066660991998</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8</v>
      </c>
      <c r="B161" s="53"/>
      <c r="C161" s="79" t="s">
        <v>41</v>
      </c>
      <c r="D161" s="79" t="s">
        <v>115</v>
      </c>
      <c r="E161" s="79" t="s">
        <v>43</v>
      </c>
      <c r="F161" s="79" t="s">
        <v>116</v>
      </c>
      <c r="G161" s="80">
        <v>8</v>
      </c>
      <c r="H161" s="79"/>
      <c r="I161" s="79" t="s">
        <v>41</v>
      </c>
      <c r="J161" s="79" t="s">
        <v>115</v>
      </c>
      <c r="K161" s="79" t="s">
        <v>43</v>
      </c>
      <c r="L161" s="53" t="s">
        <v>116</v>
      </c>
    </row>
    <row r="162" spans="1:14" s="49" customFormat="1" x14ac:dyDescent="0.2">
      <c r="A162" s="50">
        <v>1</v>
      </c>
      <c r="B162" s="53" t="s">
        <v>96</v>
      </c>
      <c r="C162" s="53">
        <v>0.32635951537972757</v>
      </c>
      <c r="D162" s="53">
        <v>0.23483358334685406</v>
      </c>
      <c r="E162" s="53">
        <v>0.36421490090660907</v>
      </c>
      <c r="F162" s="50">
        <v>12153634</v>
      </c>
      <c r="G162" s="50">
        <v>1</v>
      </c>
      <c r="H162" s="53" t="s">
        <v>245</v>
      </c>
      <c r="I162" s="53">
        <v>0.26600743610860422</v>
      </c>
      <c r="J162" s="53">
        <v>0.31127009784647386</v>
      </c>
      <c r="K162" s="53">
        <v>0.23231645224487379</v>
      </c>
      <c r="L162" s="50">
        <v>553960</v>
      </c>
    </row>
    <row r="163" spans="1:14" s="49" customFormat="1" x14ac:dyDescent="0.2">
      <c r="A163" s="50">
        <v>2</v>
      </c>
      <c r="B163" s="53" t="s">
        <v>121</v>
      </c>
      <c r="C163" s="53">
        <v>0.11655255123952082</v>
      </c>
      <c r="D163" s="53">
        <v>0.19099194963284946</v>
      </c>
      <c r="E163" s="53">
        <v>6.447632538696807E-2</v>
      </c>
      <c r="F163" s="50">
        <v>3050596</v>
      </c>
      <c r="G163" s="50">
        <v>2</v>
      </c>
      <c r="H163" s="53" t="s">
        <v>96</v>
      </c>
      <c r="I163" s="53">
        <v>0.33262785856263938</v>
      </c>
      <c r="J163" s="53">
        <v>0.29453768313223738</v>
      </c>
      <c r="K163" s="53">
        <v>0.40233298576357768</v>
      </c>
      <c r="L163" s="50">
        <v>12153634</v>
      </c>
      <c r="N163" s="49" t="s">
        <v>117</v>
      </c>
    </row>
    <row r="164" spans="1:14" s="49" customFormat="1" x14ac:dyDescent="0.2">
      <c r="A164" s="50">
        <v>3</v>
      </c>
      <c r="B164" s="53" t="s">
        <v>170</v>
      </c>
      <c r="C164" s="53">
        <v>0.15128627849345114</v>
      </c>
      <c r="D164" s="53">
        <v>0.16944622212356261</v>
      </c>
      <c r="E164" s="53">
        <v>0.16890381440213992</v>
      </c>
      <c r="F164" s="50">
        <v>1692097</v>
      </c>
      <c r="G164" s="50">
        <v>3</v>
      </c>
      <c r="H164" s="53" t="s">
        <v>121</v>
      </c>
      <c r="I164" s="53">
        <v>9.8179299557847918E-2</v>
      </c>
      <c r="J164" s="53">
        <v>0.10848728195334327</v>
      </c>
      <c r="K164" s="53">
        <v>5.7590255982076205E-2</v>
      </c>
      <c r="L164" s="50">
        <v>3050596</v>
      </c>
      <c r="N164" s="49" t="s">
        <v>118</v>
      </c>
    </row>
    <row r="165" spans="1:14" s="49" customFormat="1" x14ac:dyDescent="0.2">
      <c r="A165" s="50">
        <v>4</v>
      </c>
      <c r="B165" s="53" t="s">
        <v>245</v>
      </c>
      <c r="C165" s="53">
        <v>9.0209265656076787E-2</v>
      </c>
      <c r="D165" s="53">
        <v>0.11430362125505195</v>
      </c>
      <c r="E165" s="53">
        <v>8.0037564031684896E-2</v>
      </c>
      <c r="F165" s="50">
        <v>553960</v>
      </c>
      <c r="G165" s="50">
        <v>4</v>
      </c>
      <c r="H165" s="53" t="s">
        <v>170</v>
      </c>
      <c r="I165" s="53">
        <v>6.844777278237528E-2</v>
      </c>
      <c r="J165" s="53">
        <v>7.4590582657082211E-2</v>
      </c>
      <c r="K165" s="53">
        <v>7.4418479430229514E-2</v>
      </c>
      <c r="L165" s="50">
        <v>1692097</v>
      </c>
    </row>
    <row r="166" spans="1:14" s="49" customFormat="1" x14ac:dyDescent="0.2">
      <c r="A166" s="50">
        <v>5</v>
      </c>
      <c r="B166" s="53" t="s">
        <v>94</v>
      </c>
      <c r="C166" s="53">
        <v>0</v>
      </c>
      <c r="D166" s="53">
        <v>9.3887109090834003E-2</v>
      </c>
      <c r="E166" s="53">
        <v>7.6876812602797218E-2</v>
      </c>
      <c r="F166" s="50">
        <v>11115023</v>
      </c>
      <c r="G166" s="50">
        <v>5</v>
      </c>
      <c r="H166" s="53" t="s">
        <v>187</v>
      </c>
      <c r="I166" s="53">
        <v>0</v>
      </c>
      <c r="J166" s="53">
        <v>5.1706668655320413E-2</v>
      </c>
      <c r="K166" s="53">
        <v>0</v>
      </c>
      <c r="L166" s="50">
        <v>2480382</v>
      </c>
    </row>
    <row r="167" spans="1:14" s="49" customFormat="1" x14ac:dyDescent="0.2">
      <c r="A167" s="50">
        <v>6</v>
      </c>
      <c r="B167" s="53" t="s">
        <v>418</v>
      </c>
      <c r="C167" s="53">
        <v>5.5395065430730236E-2</v>
      </c>
      <c r="D167" s="53">
        <v>0</v>
      </c>
      <c r="E167" s="53">
        <v>0</v>
      </c>
      <c r="F167" s="50">
        <v>7434864</v>
      </c>
      <c r="G167" s="50">
        <v>6</v>
      </c>
      <c r="H167" s="53" t="s">
        <v>138</v>
      </c>
      <c r="I167" s="53">
        <v>4.7960501759238008E-2</v>
      </c>
      <c r="J167" s="53">
        <v>0</v>
      </c>
      <c r="K167" s="53">
        <v>5.9318005419997544E-2</v>
      </c>
      <c r="L167" s="50">
        <v>3689192</v>
      </c>
    </row>
    <row r="168" spans="1:14" s="49" customFormat="1" x14ac:dyDescent="0.2">
      <c r="A168" s="50">
        <v>7</v>
      </c>
      <c r="B168" s="53" t="s">
        <v>101</v>
      </c>
      <c r="C168" s="53">
        <v>0.26019732380049343</v>
      </c>
      <c r="D168" s="53">
        <v>0.19653751455084789</v>
      </c>
      <c r="E168" s="53">
        <v>0.24549058266980084</v>
      </c>
      <c r="F168" s="50">
        <v>5920853</v>
      </c>
      <c r="G168" s="50">
        <v>7</v>
      </c>
      <c r="H168" s="53" t="s">
        <v>101</v>
      </c>
      <c r="I168" s="53">
        <v>0.18677713122929518</v>
      </c>
      <c r="J168" s="53">
        <v>0.15940768575554298</v>
      </c>
      <c r="K168" s="53">
        <v>0.1740238211592452</v>
      </c>
      <c r="L168" s="50">
        <v>5920853</v>
      </c>
    </row>
    <row r="169" spans="1:14" s="49" customFormat="1" x14ac:dyDescent="0.2">
      <c r="A169" s="50">
        <v>8</v>
      </c>
      <c r="B169" s="53"/>
      <c r="C169" s="53">
        <v>0</v>
      </c>
      <c r="D169" s="53">
        <v>0</v>
      </c>
      <c r="E169" s="53">
        <v>0</v>
      </c>
      <c r="F169" s="50"/>
      <c r="G169" s="50">
        <v>8</v>
      </c>
      <c r="H169" s="53"/>
      <c r="I169" s="53">
        <v>0</v>
      </c>
      <c r="J169" s="53">
        <v>0</v>
      </c>
      <c r="K169" s="53">
        <v>0</v>
      </c>
      <c r="L169" s="50"/>
    </row>
    <row r="170" spans="1:14" s="49" customFormat="1" x14ac:dyDescent="0.2">
      <c r="A170" s="50">
        <v>9</v>
      </c>
      <c r="B170" s="53"/>
      <c r="C170" s="53">
        <v>0</v>
      </c>
      <c r="D170" s="53">
        <v>0</v>
      </c>
      <c r="E170" s="53">
        <v>0</v>
      </c>
      <c r="F170" s="50"/>
      <c r="G170" s="50">
        <v>9</v>
      </c>
      <c r="H170" s="53"/>
      <c r="I170" s="53">
        <v>0</v>
      </c>
      <c r="J170" s="53">
        <v>0</v>
      </c>
      <c r="K170" s="53">
        <v>0</v>
      </c>
      <c r="L170" s="50"/>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'South West beamers u250kW'!D3:N3</xm:f>
              <xm:sqref>C3</xm:sqref>
            </x14:sparkline>
            <x14:sparkline>
              <xm:f>'South West beamers u250kW'!D4:N4</xm:f>
              <xm:sqref>C4</xm:sqref>
            </x14:sparkline>
            <x14:sparkline>
              <xm:f>'South West beamers u250kW'!D5:N5</xm:f>
              <xm:sqref>C5</xm:sqref>
            </x14:sparkline>
            <x14:sparkline>
              <xm:f>'South West beamers u250kW'!D6:N6</xm:f>
              <xm:sqref>C6</xm:sqref>
            </x14:sparkline>
            <x14:sparkline>
              <xm:f>'South West beamers u250kW'!D7:N7</xm:f>
              <xm:sqref>C7</xm:sqref>
            </x14:sparkline>
            <x14:sparkline>
              <xm:f>'South West beamers u250kW'!D8:N8</xm:f>
              <xm:sqref>C8</xm:sqref>
            </x14:sparkline>
            <x14:sparkline>
              <xm:f>'South West beamers u250kW'!D9:N9</xm:f>
              <xm:sqref>C9</xm:sqref>
            </x14:sparkline>
            <x14:sparkline>
              <xm:f>'South West beamers u250kW'!F10:M10</xm:f>
              <xm:sqref>C10</xm:sqref>
            </x14:sparkline>
            <x14:sparkline>
              <xm:f>'South West beamers u250kW'!D11:N11</xm:f>
              <xm:sqref>C11</xm:sqref>
            </x14:sparkline>
            <x14:sparkline>
              <xm:f>'South West beamers u250kW'!D12:N12</xm:f>
              <xm:sqref>C12</xm:sqref>
            </x14:sparkline>
            <x14:sparkline>
              <xm:f>'South West beamers u250kW'!D13:N13</xm:f>
              <xm:sqref>C13</xm:sqref>
            </x14:sparkline>
            <x14:sparkline>
              <xm:f>'South West beamers u250kW'!D14:N14</xm:f>
              <xm:sqref>C14</xm:sqref>
            </x14:sparkline>
            <x14:sparkline>
              <xm:f>'South West beamers u250kW'!D15:N15</xm:f>
              <xm:sqref>C15</xm:sqref>
            </x14:sparkline>
            <x14:sparkline>
              <xm:f>'South West beamers u250kW'!D16:N16</xm:f>
              <xm:sqref>C16</xm:sqref>
            </x14:sparkline>
            <x14:sparkline>
              <xm:f>'South West beamers u250kW'!D17:N17</xm:f>
              <xm:sqref>C17</xm:sqref>
            </x14:sparkline>
            <x14:sparkline>
              <xm:f>'South West beamers u250kW'!D18:N18</xm:f>
              <xm:sqref>C18</xm:sqref>
            </x14:sparkline>
            <x14:sparkline>
              <xm:f>'South West beamers u250kW'!D19:N19</xm:f>
              <xm:sqref>C19</xm:sqref>
            </x14:sparkline>
            <x14:sparkline>
              <xm:f>'South West beamers u250kW'!D20:N20</xm:f>
              <xm:sqref>C20</xm:sqref>
            </x14:sparkline>
            <x14:sparkline>
              <xm:f>'South West beamers u250kW'!D21:N21</xm:f>
              <xm:sqref>C21</xm:sqref>
            </x14:sparkline>
            <x14:sparkline>
              <xm:f>'South West beamers u250kW'!D22:N22</xm:f>
              <xm:sqref>C22</xm:sqref>
            </x14:sparkline>
            <x14:sparkline>
              <xm:f>'South West beamers u250kW'!D23:N23</xm:f>
              <xm:sqref>C23</xm:sqref>
            </x14:sparkline>
            <x14:sparkline>
              <xm:f>'South West beamers u250kW'!D24:N24</xm:f>
              <xm:sqref>C24</xm:sqref>
            </x14:sparkline>
            <x14:sparkline>
              <xm:f>'South West beamers u250kW'!F25:M25</xm:f>
              <xm:sqref>C25</xm:sqref>
            </x14:sparkline>
            <x14:sparkline>
              <xm:f>'South West beamers u250kW'!F26:M26</xm:f>
              <xm:sqref>C26</xm:sqref>
            </x14:sparkline>
            <x14:sparkline>
              <xm:f>'South West beamers u250kW'!D27:N27</xm:f>
              <xm:sqref>C27</xm:sqref>
            </x14:sparkline>
            <x14:sparkline>
              <xm:f>'South West beamers u250kW'!D28:N28</xm:f>
              <xm:sqref>C28</xm:sqref>
            </x14:sparkline>
            <x14:sparkline>
              <xm:f>'South West beamers u250kW'!D29:N29</xm:f>
              <xm:sqref>C29</xm:sqref>
            </x14:sparkline>
            <x14:sparkline>
              <xm:f>'South West beamers u250kW'!D30:N30</xm:f>
              <xm:sqref>C30</xm:sqref>
            </x14:sparkline>
            <x14:sparkline>
              <xm:f>'South West beamers u250kW'!D31:N31</xm:f>
              <xm:sqref>C31</xm:sqref>
            </x14:sparkline>
            <x14:sparkline>
              <xm:f>'South West beamers u250kW'!D32:N32</xm:f>
              <xm:sqref>C32</xm:sqref>
            </x14:sparkline>
            <x14:sparkline>
              <xm:f>'South West beamers u250kW'!D33:N33</xm:f>
              <xm:sqref>C33</xm:sqref>
            </x14:sparkline>
            <x14:sparkline>
              <xm:f>'South West beamers u250kW'!D34:N34</xm:f>
              <xm:sqref>C34</xm:sqref>
            </x14:sparkline>
            <x14:sparkline>
              <xm:f>'South West beamers u250kW'!D35:N35</xm:f>
              <xm:sqref>C35</xm:sqref>
            </x14:sparkline>
            <x14:sparkline>
              <xm:f>'South West beamers u250kW'!D36:N36</xm:f>
              <xm:sqref>C36</xm:sqref>
            </x14:sparkline>
            <x14:sparkline>
              <xm:f>'South West beamers u250kW'!D37:N37</xm:f>
              <xm:sqref>C37</xm:sqref>
            </x14:sparkline>
            <x14:sparkline>
              <xm:f>'South West beamers u250kW'!D38:M38</xm:f>
              <xm:sqref>C38</xm:sqref>
            </x14:sparkline>
            <x14:sparkline>
              <xm:f>'South West beamers u250kW'!D39:M39</xm:f>
              <xm:sqref>C39</xm:sqref>
            </x14:sparkline>
            <x14:sparkline>
              <xm:f>'South West beamers u250kW'!D40:M40</xm:f>
              <xm:sqref>C40</xm:sqref>
            </x14:sparkline>
            <x14:sparkline>
              <xm:f>'South West beamers u250kW'!D41:M41</xm:f>
              <xm:sqref>C41</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432</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61</v>
      </c>
      <c r="E3" s="22">
        <v>73</v>
      </c>
      <c r="F3" s="22">
        <v>82</v>
      </c>
      <c r="G3" s="22">
        <v>80</v>
      </c>
      <c r="H3" s="22">
        <v>86</v>
      </c>
      <c r="I3" s="22">
        <v>96</v>
      </c>
      <c r="J3" s="22">
        <v>98</v>
      </c>
      <c r="K3" s="22">
        <v>93</v>
      </c>
      <c r="L3" s="22">
        <v>92</v>
      </c>
      <c r="M3" s="22">
        <v>89</v>
      </c>
      <c r="N3" s="22">
        <v>81</v>
      </c>
      <c r="O3" s="23">
        <f t="shared" ref="O3:O41" si="0">IF(N3=0,"",IFERROR(IF(AND(N3&gt;0,D3&lt;0),"na",IF(AND(N3&lt;0,D3&lt;0),-1,1)*(N3-D3)/D3),""))</f>
        <v>0.32786885245901637</v>
      </c>
      <c r="P3" s="23">
        <f>IF(N3=0,"",IFERROR(IF(AND(N3&gt;0,J3&lt;0),"na",IF(AND(N3&lt;0,J3&lt;0),-1,1)*(N3-J3)/J3),""))</f>
        <v>-0.17346938775510204</v>
      </c>
    </row>
    <row r="4" spans="1:17" ht="18" customHeight="1" x14ac:dyDescent="0.2">
      <c r="A4" s="224"/>
      <c r="B4" s="24" t="s">
        <v>51</v>
      </c>
      <c r="C4" s="25"/>
      <c r="D4" s="26">
        <v>23221</v>
      </c>
      <c r="E4" s="26">
        <v>27541</v>
      </c>
      <c r="F4" s="26">
        <v>33268</v>
      </c>
      <c r="G4" s="26">
        <v>29792</v>
      </c>
      <c r="H4" s="26">
        <v>32647</v>
      </c>
      <c r="I4" s="26">
        <v>36434</v>
      </c>
      <c r="J4" s="26">
        <v>36413</v>
      </c>
      <c r="K4" s="26">
        <v>34914</v>
      </c>
      <c r="L4" s="26">
        <v>34135</v>
      </c>
      <c r="M4" s="26">
        <v>31523</v>
      </c>
      <c r="N4" s="26">
        <v>29504</v>
      </c>
      <c r="O4" s="23">
        <f t="shared" si="0"/>
        <v>0.27057404935187979</v>
      </c>
      <c r="P4" s="23">
        <f t="shared" ref="P4:P41" si="1">IF(N4=0,"",IFERROR(IF(AND(N4&gt;0,J4&lt;0),"na",IF(AND(N4&lt;0,J4&lt;0),-1,1)*(N4-J4)/J4),""))</f>
        <v>-0.18973992804767528</v>
      </c>
    </row>
    <row r="5" spans="1:17" ht="18" customHeight="1" x14ac:dyDescent="0.2">
      <c r="A5" s="224"/>
      <c r="B5" s="24" t="s">
        <v>52</v>
      </c>
      <c r="C5" s="25"/>
      <c r="D5" s="26">
        <v>6926</v>
      </c>
      <c r="E5" s="26">
        <v>7995</v>
      </c>
      <c r="F5" s="26">
        <v>11010</v>
      </c>
      <c r="G5" s="26">
        <v>8978</v>
      </c>
      <c r="H5" s="26">
        <v>9946</v>
      </c>
      <c r="I5" s="26">
        <v>11230</v>
      </c>
      <c r="J5" s="26">
        <v>11466</v>
      </c>
      <c r="K5" s="26">
        <v>10941</v>
      </c>
      <c r="L5" s="26">
        <v>10840</v>
      </c>
      <c r="M5" s="26">
        <v>10273</v>
      </c>
      <c r="N5" s="26">
        <v>9770</v>
      </c>
      <c r="O5" s="23">
        <f t="shared" si="0"/>
        <v>0.41062662431417846</v>
      </c>
      <c r="P5" s="23">
        <f t="shared" si="1"/>
        <v>-0.14791557648700507</v>
      </c>
      <c r="Q5" s="27"/>
    </row>
    <row r="6" spans="1:17" ht="18" customHeight="1" x14ac:dyDescent="0.2">
      <c r="A6" s="224"/>
      <c r="B6" s="24" t="s">
        <v>53</v>
      </c>
      <c r="C6" s="25"/>
      <c r="D6" s="26">
        <v>19202.857421875</v>
      </c>
      <c r="E6" s="26">
        <v>22727.193359375</v>
      </c>
      <c r="F6" s="26">
        <v>27242.703125</v>
      </c>
      <c r="G6" s="26">
        <v>24745.251953125</v>
      </c>
      <c r="H6" s="26">
        <v>27071.1015625</v>
      </c>
      <c r="I6" s="26">
        <v>30247.98046875</v>
      </c>
      <c r="J6" s="26">
        <v>30576.25</v>
      </c>
      <c r="K6" s="26">
        <v>29205.962890625</v>
      </c>
      <c r="L6" s="26">
        <v>28620.40625</v>
      </c>
      <c r="M6" s="26">
        <v>26640.84375</v>
      </c>
      <c r="N6" s="26">
        <v>24852.1328125</v>
      </c>
      <c r="O6" s="23">
        <f t="shared" si="0"/>
        <v>0.29418931081525446</v>
      </c>
      <c r="P6" s="23">
        <f t="shared" si="1"/>
        <v>-0.18720795347696334</v>
      </c>
    </row>
    <row r="7" spans="1:17" ht="18" customHeight="1" x14ac:dyDescent="0.2">
      <c r="A7" s="224"/>
      <c r="B7" s="24" t="s">
        <v>54</v>
      </c>
      <c r="C7" s="25"/>
      <c r="D7" s="26">
        <v>19460.572265625</v>
      </c>
      <c r="E7" s="26">
        <v>26110.0703125</v>
      </c>
      <c r="F7" s="26">
        <v>34139.11328125</v>
      </c>
      <c r="G7" s="26">
        <v>39709.1015625</v>
      </c>
      <c r="H7" s="26">
        <v>40847.65625</v>
      </c>
      <c r="I7" s="26">
        <v>34572.38671875</v>
      </c>
      <c r="J7" s="26">
        <v>27262.19140625</v>
      </c>
      <c r="K7" s="26">
        <v>28291.208984375</v>
      </c>
      <c r="L7" s="26">
        <v>26522.533203125</v>
      </c>
      <c r="M7" s="26">
        <v>20351.591796875</v>
      </c>
      <c r="N7" s="26">
        <v>17342.861328125</v>
      </c>
      <c r="O7" s="23">
        <f t="shared" si="0"/>
        <v>-0.10882058906565187</v>
      </c>
      <c r="P7" s="23">
        <f t="shared" si="1"/>
        <v>-0.36384933002307884</v>
      </c>
    </row>
    <row r="8" spans="1:17" ht="18" customHeight="1" x14ac:dyDescent="0.2">
      <c r="A8" s="224"/>
      <c r="B8" s="24" t="s">
        <v>55</v>
      </c>
      <c r="C8" s="27"/>
      <c r="D8" s="28">
        <f ca="1">34.541628*OFFSET(D$112,MATCH($N$1,$C$112:$C$113,0)-1,0)</f>
        <v>34.541628000000003</v>
      </c>
      <c r="E8" s="28">
        <f ca="1">41.32332*OFFSET(E$112,MATCH($N$1,$C$112:$C$113,0)-1,0)</f>
        <v>41.323320000000002</v>
      </c>
      <c r="F8" s="28">
        <f ca="1">51.863236*OFFSET(F$112,MATCH($N$1,$C$112:$C$113,0)-1,0)</f>
        <v>51.863236000000001</v>
      </c>
      <c r="G8" s="28">
        <f ca="1">50.385716*OFFSET(G$112,MATCH($N$1,$C$112:$C$113,0)-1,0)</f>
        <v>50.385716000000002</v>
      </c>
      <c r="H8" s="28">
        <f ca="1">51.049488*OFFSET(H$112,MATCH($N$1,$C$112:$C$113,0)-1,0)</f>
        <v>51.049487999999997</v>
      </c>
      <c r="I8" s="28">
        <f ca="1">47.223692*OFFSET(I$112,MATCH($N$1,$C$112:$C$113,0)-1,0)</f>
        <v>47.223692</v>
      </c>
      <c r="J8" s="28">
        <f ca="1">42.76606*OFFSET(J$112,MATCH($N$1,$C$112:$C$113,0)-1,0)</f>
        <v>42.766060000000003</v>
      </c>
      <c r="K8" s="28">
        <f ca="1">43.95834*OFFSET(K$112,MATCH($N$1,$C$112:$C$113,0)-1,0)</f>
        <v>43.95834</v>
      </c>
      <c r="L8" s="28">
        <f ca="1">49.622436*OFFSET(L$112,MATCH($N$1,$C$112:$C$113,0)-1,0)</f>
        <v>49.622436</v>
      </c>
      <c r="M8" s="28">
        <f ca="1">44.815068*OFFSET(M$112,MATCH($N$1,$C$112:$C$113,0)-1,0)</f>
        <v>44.815067999999997</v>
      </c>
      <c r="N8" s="28">
        <v>40.294716000000001</v>
      </c>
      <c r="O8" s="23">
        <f t="shared" ca="1" si="0"/>
        <v>0.16655520695202894</v>
      </c>
      <c r="P8" s="23">
        <f t="shared" ca="1" si="1"/>
        <v>-5.7787507196127068E-2</v>
      </c>
    </row>
    <row r="9" spans="1:17" ht="18" customHeight="1" x14ac:dyDescent="0.2">
      <c r="A9" s="224"/>
      <c r="B9" s="24" t="s">
        <v>56</v>
      </c>
      <c r="C9" s="27"/>
      <c r="D9" s="26">
        <v>11681</v>
      </c>
      <c r="E9" s="26">
        <v>13829</v>
      </c>
      <c r="F9" s="26">
        <v>15391</v>
      </c>
      <c r="G9" s="26">
        <v>14101</v>
      </c>
      <c r="H9" s="26">
        <v>15126</v>
      </c>
      <c r="I9" s="26">
        <v>16334</v>
      </c>
      <c r="J9" s="26">
        <v>16794</v>
      </c>
      <c r="K9" s="26">
        <v>16196</v>
      </c>
      <c r="L9" s="26">
        <v>16930</v>
      </c>
      <c r="M9" s="26">
        <v>15331</v>
      </c>
      <c r="N9" s="26">
        <v>13987</v>
      </c>
      <c r="O9" s="23">
        <f t="shared" si="0"/>
        <v>0.19741460491396284</v>
      </c>
      <c r="P9" s="23">
        <f t="shared" si="1"/>
        <v>-0.16714302727164462</v>
      </c>
    </row>
    <row r="10" spans="1:17" ht="18" customHeight="1" x14ac:dyDescent="0.2">
      <c r="A10" s="224"/>
      <c r="B10" s="24" t="s">
        <v>57</v>
      </c>
      <c r="C10" s="27"/>
      <c r="D10" s="26"/>
      <c r="E10" s="26">
        <v>450.3125</v>
      </c>
      <c r="F10" s="26">
        <v>508.27163696289062</v>
      </c>
      <c r="G10" s="26">
        <v>585.9849853515625</v>
      </c>
      <c r="H10" s="26">
        <v>659.52093505859375</v>
      </c>
      <c r="I10" s="26">
        <v>690.7064208984375</v>
      </c>
      <c r="J10" s="26">
        <v>431.93524169921875</v>
      </c>
      <c r="K10" s="26">
        <v>485.00045776367187</v>
      </c>
      <c r="L10" s="26">
        <v>611.94659423828125</v>
      </c>
      <c r="M10" s="26">
        <v>609.2589111328125</v>
      </c>
      <c r="N10" s="26">
        <v>391.171875</v>
      </c>
      <c r="O10" s="29" t="str">
        <f t="shared" si="0"/>
        <v/>
      </c>
      <c r="P10" s="29">
        <f t="shared" si="1"/>
        <v>-9.437379209637313E-2</v>
      </c>
    </row>
    <row r="11" spans="1:17" ht="18" customHeight="1" x14ac:dyDescent="0.2">
      <c r="A11" s="225" t="s">
        <v>23</v>
      </c>
      <c r="B11" s="30" t="s">
        <v>58</v>
      </c>
      <c r="C11" s="31"/>
      <c r="D11" s="32">
        <v>21.835573196411133</v>
      </c>
      <c r="E11" s="32">
        <v>21.748767852783203</v>
      </c>
      <c r="F11" s="32">
        <v>22.23646354675293</v>
      </c>
      <c r="G11" s="32">
        <v>21.768999099731445</v>
      </c>
      <c r="H11" s="32">
        <v>21.972906112670898</v>
      </c>
      <c r="I11" s="32">
        <v>22.063854217529297</v>
      </c>
      <c r="J11" s="32">
        <v>22.112653732299805</v>
      </c>
      <c r="K11" s="32">
        <v>22.110538482666016</v>
      </c>
      <c r="L11" s="32">
        <v>21.986196517944336</v>
      </c>
      <c r="M11" s="32">
        <v>21.409887313842773</v>
      </c>
      <c r="N11" s="32">
        <v>21.623456954956055</v>
      </c>
      <c r="O11" s="23">
        <f t="shared" si="0"/>
        <v>-9.7142511234805263E-3</v>
      </c>
      <c r="P11" s="23">
        <f t="shared" si="1"/>
        <v>-2.2122933921277101E-2</v>
      </c>
    </row>
    <row r="12" spans="1:17" ht="18" customHeight="1" x14ac:dyDescent="0.2">
      <c r="A12" s="226"/>
      <c r="B12" s="33" t="s">
        <v>51</v>
      </c>
      <c r="C12" s="25"/>
      <c r="D12" s="26">
        <v>380.672119140625</v>
      </c>
      <c r="E12" s="26">
        <v>377.27398681640625</v>
      </c>
      <c r="F12" s="26">
        <v>405.70730590820312</v>
      </c>
      <c r="G12" s="26">
        <v>372.39999389648437</v>
      </c>
      <c r="H12" s="26">
        <v>379.61627197265625</v>
      </c>
      <c r="I12" s="26">
        <v>379.52084350585937</v>
      </c>
      <c r="J12" s="26">
        <v>371.56121826171875</v>
      </c>
      <c r="K12" s="26">
        <v>375.41934204101562</v>
      </c>
      <c r="L12" s="26">
        <v>371.03262329101562</v>
      </c>
      <c r="M12" s="26">
        <v>354.19100952148437</v>
      </c>
      <c r="N12" s="26">
        <v>364.24691772460937</v>
      </c>
      <c r="O12" s="23">
        <f t="shared" si="0"/>
        <v>-4.3147897075036253E-2</v>
      </c>
      <c r="P12" s="23">
        <f t="shared" si="1"/>
        <v>-1.9685317459470053E-2</v>
      </c>
    </row>
    <row r="13" spans="1:17" ht="18" customHeight="1" x14ac:dyDescent="0.2">
      <c r="A13" s="226"/>
      <c r="B13" s="33" t="s">
        <v>52</v>
      </c>
      <c r="C13" s="25"/>
      <c r="D13" s="26">
        <v>113.54098510742187</v>
      </c>
      <c r="E13" s="26">
        <v>109.52054595947266</v>
      </c>
      <c r="F13" s="26">
        <v>134.26829528808594</v>
      </c>
      <c r="G13" s="26">
        <v>112.22499847412109</v>
      </c>
      <c r="H13" s="26">
        <v>115.65116119384766</v>
      </c>
      <c r="I13" s="26">
        <v>116.97916412353516</v>
      </c>
      <c r="J13" s="26">
        <v>117</v>
      </c>
      <c r="K13" s="26">
        <v>117.64516448974609</v>
      </c>
      <c r="L13" s="26">
        <v>117.82608795166016</v>
      </c>
      <c r="M13" s="26">
        <v>115.42696380615234</v>
      </c>
      <c r="N13" s="26">
        <v>120.61728668212891</v>
      </c>
      <c r="O13" s="23">
        <f t="shared" si="0"/>
        <v>6.2323764128099611E-2</v>
      </c>
      <c r="P13" s="23">
        <f t="shared" si="1"/>
        <v>3.091698018913595E-2</v>
      </c>
    </row>
    <row r="14" spans="1:17" ht="18" customHeight="1" x14ac:dyDescent="0.2">
      <c r="A14" s="226"/>
      <c r="B14" s="33" t="s">
        <v>53</v>
      </c>
      <c r="C14" s="25"/>
      <c r="D14" s="26">
        <v>314.80093383789062</v>
      </c>
      <c r="E14" s="26">
        <v>311.3314208984375</v>
      </c>
      <c r="F14" s="26">
        <v>332.22808837890625</v>
      </c>
      <c r="G14" s="26">
        <v>309.315673828125</v>
      </c>
      <c r="H14" s="26">
        <v>314.78024291992187</v>
      </c>
      <c r="I14" s="26">
        <v>315.0831298828125</v>
      </c>
      <c r="J14" s="26">
        <v>312.0025634765625</v>
      </c>
      <c r="K14" s="26">
        <v>314.0426025390625</v>
      </c>
      <c r="L14" s="26">
        <v>311.09136962890625</v>
      </c>
      <c r="M14" s="26">
        <v>299.3353271484375</v>
      </c>
      <c r="N14" s="26">
        <v>306.81646728515625</v>
      </c>
      <c r="O14" s="23">
        <f t="shared" si="0"/>
        <v>-2.5363541509842037E-2</v>
      </c>
      <c r="P14" s="23">
        <f t="shared" si="1"/>
        <v>-1.6621966607001378E-2</v>
      </c>
    </row>
    <row r="15" spans="1:17" ht="18" customHeight="1" x14ac:dyDescent="0.2">
      <c r="A15" s="226"/>
      <c r="B15" s="33" t="s">
        <v>54</v>
      </c>
      <c r="C15" s="27"/>
      <c r="D15" s="28">
        <v>319.02578735351562</v>
      </c>
      <c r="E15" s="28">
        <v>357.67221069335937</v>
      </c>
      <c r="F15" s="28">
        <v>416.33062744140625</v>
      </c>
      <c r="G15" s="28">
        <v>496.36376953125</v>
      </c>
      <c r="H15" s="28">
        <v>474.97274780273437</v>
      </c>
      <c r="I15" s="28">
        <v>360.12905883789062</v>
      </c>
      <c r="J15" s="28">
        <v>278.18560791015625</v>
      </c>
      <c r="K15" s="28">
        <v>304.20654296875</v>
      </c>
      <c r="L15" s="28">
        <v>288.28839111328125</v>
      </c>
      <c r="M15" s="28">
        <v>228.66957092285156</v>
      </c>
      <c r="N15" s="28">
        <v>214.10939025878906</v>
      </c>
      <c r="O15" s="23">
        <f t="shared" si="0"/>
        <v>-0.32886494212603468</v>
      </c>
      <c r="P15" s="23">
        <f t="shared" si="1"/>
        <v>-0.23033620658068499</v>
      </c>
    </row>
    <row r="16" spans="1:17" ht="18" customHeight="1" x14ac:dyDescent="0.2">
      <c r="A16" s="226"/>
      <c r="B16" s="33" t="s">
        <v>59</v>
      </c>
      <c r="C16" s="27"/>
      <c r="D16" s="28">
        <f ca="1">566.2561875*OFFSET(D$112,MATCH($N$1,$C$112:$C$113,0)-1,0)</f>
        <v>566.25618750000001</v>
      </c>
      <c r="E16" s="28">
        <f ca="1">566.072875*OFFSET(E$112,MATCH($N$1,$C$112:$C$113,0)-1,0)</f>
        <v>566.07287499999995</v>
      </c>
      <c r="F16" s="28">
        <f ca="1">632.4784375*OFFSET(F$112,MATCH($N$1,$C$112:$C$113,0)-1,0)</f>
        <v>632.47843750000004</v>
      </c>
      <c r="G16" s="28">
        <f ca="1">629.8215*OFFSET(G$112,MATCH($N$1,$C$112:$C$113,0)-1,0)</f>
        <v>629.82150000000001</v>
      </c>
      <c r="H16" s="28">
        <f ca="1">593.5986875*OFFSET(H$112,MATCH($N$1,$C$112:$C$113,0)-1,0)</f>
        <v>593.59868749999998</v>
      </c>
      <c r="I16" s="28">
        <f ca="1">491.91346875*OFFSET(I$112,MATCH($N$1,$C$112:$C$113,0)-1,0)</f>
        <v>491.91346874999999</v>
      </c>
      <c r="J16" s="28">
        <f ca="1">436.388375*OFFSET(J$112,MATCH($N$1,$C$112:$C$113,0)-1,0)</f>
        <v>436.388375</v>
      </c>
      <c r="K16" s="28">
        <f ca="1">472.6703125*OFFSET(K$112,MATCH($N$1,$C$112:$C$113,0)-1,0)</f>
        <v>472.67031250000002</v>
      </c>
      <c r="L16" s="28">
        <f ca="1">539.3743125*OFFSET(L$112,MATCH($N$1,$C$112:$C$113,0)-1,0)</f>
        <v>539.37431249999997</v>
      </c>
      <c r="M16" s="28">
        <f ca="1">503.54009375*OFFSET(M$112,MATCH($N$1,$C$112:$C$113,0)-1,0)</f>
        <v>503.54009374999998</v>
      </c>
      <c r="N16" s="28">
        <v>497.46562499999999</v>
      </c>
      <c r="O16" s="23">
        <f t="shared" ca="1" si="0"/>
        <v>-0.12148310962164986</v>
      </c>
      <c r="P16" s="23">
        <f t="shared" ca="1" si="1"/>
        <v>0.13996076316194259</v>
      </c>
    </row>
    <row r="17" spans="1:16" ht="18" customHeight="1" x14ac:dyDescent="0.2">
      <c r="A17" s="226"/>
      <c r="B17" s="33" t="s">
        <v>56</v>
      </c>
      <c r="C17" s="25"/>
      <c r="D17" s="26">
        <v>191.49180603027344</v>
      </c>
      <c r="E17" s="26">
        <v>189.4383544921875</v>
      </c>
      <c r="F17" s="26">
        <v>187.69512939453125</v>
      </c>
      <c r="G17" s="26">
        <v>176.26249694824219</v>
      </c>
      <c r="H17" s="26">
        <v>175.88372802734375</v>
      </c>
      <c r="I17" s="26">
        <v>170.14582824707031</v>
      </c>
      <c r="J17" s="26">
        <v>171.36734008789063</v>
      </c>
      <c r="K17" s="26">
        <v>174.15054321289062</v>
      </c>
      <c r="L17" s="26">
        <v>184.02174377441406</v>
      </c>
      <c r="M17" s="26">
        <v>172.2584228515625</v>
      </c>
      <c r="N17" s="26">
        <v>172.67901611328125</v>
      </c>
      <c r="O17" s="23">
        <f t="shared" si="0"/>
        <v>-9.8243315507808335E-2</v>
      </c>
      <c r="P17" s="23">
        <f t="shared" si="1"/>
        <v>7.6541774221266113E-3</v>
      </c>
    </row>
    <row r="18" spans="1:16" ht="18" customHeight="1" x14ac:dyDescent="0.2">
      <c r="A18" s="226"/>
      <c r="B18" s="33" t="s">
        <v>60</v>
      </c>
      <c r="C18" s="25"/>
      <c r="D18" s="26">
        <v>27.95081901550293</v>
      </c>
      <c r="E18" s="26">
        <v>30.150684356689453</v>
      </c>
      <c r="F18" s="26">
        <v>31.792682647705078</v>
      </c>
      <c r="G18" s="26">
        <v>33.637500762939453</v>
      </c>
      <c r="H18" s="26">
        <v>34.255813598632812</v>
      </c>
      <c r="I18" s="26">
        <v>34.458332061767578</v>
      </c>
      <c r="J18" s="26">
        <v>35.418365478515625</v>
      </c>
      <c r="K18" s="26">
        <v>35.666667938232422</v>
      </c>
      <c r="L18" s="26">
        <v>36.326087951660156</v>
      </c>
      <c r="M18" s="26">
        <v>36.629215240478516</v>
      </c>
      <c r="N18" s="26">
        <v>35.679012298583984</v>
      </c>
      <c r="O18" s="23">
        <f t="shared" si="0"/>
        <v>0.27649255210713541</v>
      </c>
      <c r="P18" s="23">
        <f t="shared" si="1"/>
        <v>7.3590866361821451E-3</v>
      </c>
    </row>
    <row r="19" spans="1:16" ht="18" customHeight="1" x14ac:dyDescent="0.2">
      <c r="A19" s="226"/>
      <c r="B19" s="33" t="s">
        <v>61</v>
      </c>
      <c r="C19" s="25"/>
      <c r="D19" s="34">
        <v>1.6660022735595703</v>
      </c>
      <c r="E19" s="34">
        <v>1.8880665302276611</v>
      </c>
      <c r="F19" s="34">
        <v>2.2181215286254883</v>
      </c>
      <c r="G19" s="34">
        <v>2.8160486221313477</v>
      </c>
      <c r="H19" s="34">
        <v>2.7004928588867187</v>
      </c>
      <c r="I19" s="34">
        <v>2.1165904998779297</v>
      </c>
      <c r="J19" s="34">
        <v>1.6233291625976563</v>
      </c>
      <c r="K19" s="34">
        <v>1.7468020915985107</v>
      </c>
      <c r="L19" s="34">
        <v>1.5665996074676514</v>
      </c>
      <c r="M19" s="34">
        <v>1.3274797201156616</v>
      </c>
      <c r="N19" s="34">
        <v>1.2399270534515381</v>
      </c>
      <c r="O19" s="23">
        <f t="shared" si="0"/>
        <v>-0.25574708202389335</v>
      </c>
      <c r="P19" s="23">
        <f t="shared" si="1"/>
        <v>-0.23618260423079995</v>
      </c>
    </row>
    <row r="20" spans="1:16" ht="18" customHeight="1" x14ac:dyDescent="0.2">
      <c r="A20" s="227"/>
      <c r="B20" s="35" t="s">
        <v>24</v>
      </c>
      <c r="C20" s="36"/>
      <c r="D20" s="37">
        <f ca="1">1775*OFFSET(D$112,MATCH($N$1,$C$112:$C$113,0)-1,0)</f>
        <v>1775</v>
      </c>
      <c r="E20" s="37">
        <f ca="1">1583*OFFSET(E$112,MATCH($N$1,$C$112:$C$113,0)-1,0)</f>
        <v>1583</v>
      </c>
      <c r="F20" s="37">
        <f ca="1">1519*OFFSET(F$112,MATCH($N$1,$C$112:$C$113,0)-1,0)</f>
        <v>1519</v>
      </c>
      <c r="G20" s="37">
        <f ca="1">1269*OFFSET(G$112,MATCH($N$1,$C$112:$C$113,0)-1,0)</f>
        <v>1269</v>
      </c>
      <c r="H20" s="37">
        <f ca="1">1250*OFFSET(H$112,MATCH($N$1,$C$112:$C$113,0)-1,0)</f>
        <v>1250</v>
      </c>
      <c r="I20" s="37">
        <f ca="1">1366*OFFSET(I$112,MATCH($N$1,$C$112:$C$113,0)-1,0)</f>
        <v>1366</v>
      </c>
      <c r="J20" s="37">
        <f ca="1">1569*OFFSET(J$112,MATCH($N$1,$C$112:$C$113,0)-1,0)</f>
        <v>1569</v>
      </c>
      <c r="K20" s="37">
        <f ca="1">1554*OFFSET(K$112,MATCH($N$1,$C$112:$C$113,0)-1,0)</f>
        <v>1554</v>
      </c>
      <c r="L20" s="37">
        <f ca="1">1871*OFFSET(L$112,MATCH($N$1,$C$112:$C$113,0)-1,0)</f>
        <v>1871</v>
      </c>
      <c r="M20" s="37">
        <f ca="1">2202*OFFSET(M$112,MATCH($N$1,$C$112:$C$113,0)-1,0)</f>
        <v>2202</v>
      </c>
      <c r="N20" s="37">
        <v>2323</v>
      </c>
      <c r="O20" s="29">
        <f t="shared" ca="1" si="0"/>
        <v>0.3087323943661972</v>
      </c>
      <c r="P20" s="29">
        <f t="shared" ca="1" si="1"/>
        <v>0.4805608667941364</v>
      </c>
    </row>
    <row r="21" spans="1:16" ht="18" customHeight="1" x14ac:dyDescent="0.2">
      <c r="A21" s="228" t="s">
        <v>25</v>
      </c>
      <c r="B21" s="30" t="s">
        <v>62</v>
      </c>
      <c r="C21" s="38"/>
      <c r="D21" s="39">
        <v>4.0504854080688926</v>
      </c>
      <c r="E21" s="39">
        <v>4.6061345147319805</v>
      </c>
      <c r="F21" s="39">
        <v>4.9786789111940379</v>
      </c>
      <c r="G21" s="39">
        <v>6.805957843798577</v>
      </c>
      <c r="H21" s="39">
        <v>6.496297028462787</v>
      </c>
      <c r="I21" s="39">
        <v>5.0777762035513634</v>
      </c>
      <c r="J21" s="39">
        <v>4.0604424612985017</v>
      </c>
      <c r="K21" s="39">
        <v>4.1892301372872467</v>
      </c>
      <c r="L21" s="39">
        <v>3.8801635456308552</v>
      </c>
      <c r="M21" s="39">
        <v>3.3474676818724278</v>
      </c>
      <c r="N21" s="39">
        <v>3.0767737227786207</v>
      </c>
      <c r="O21" s="23">
        <f t="shared" si="0"/>
        <v>-0.24039382621908967</v>
      </c>
      <c r="P21" s="23">
        <f t="shared" si="1"/>
        <v>-0.24225653925540677</v>
      </c>
    </row>
    <row r="22" spans="1:16" ht="18" customHeight="1" x14ac:dyDescent="0.2">
      <c r="A22" s="228"/>
      <c r="B22" s="33" t="s">
        <v>63</v>
      </c>
      <c r="C22" s="25"/>
      <c r="D22" s="34">
        <f ca="1">7.18942642136919*OFFSET(D$112,MATCH($N$1,$C$112:$C$113,0)-1,0)</f>
        <v>7.1894264213691903</v>
      </c>
      <c r="E22" s="34">
        <f ca="1">7.28993678971178*OFFSET(E$112,MATCH($N$1,$C$112:$C$113,0)-1,0)</f>
        <v>7.2899367897117804</v>
      </c>
      <c r="F22" s="34">
        <f ca="1">7.56347684031336*OFFSET(F$112,MATCH($N$1,$C$112:$C$113,0)-1,0)</f>
        <v>7.5634768403133599</v>
      </c>
      <c r="G22" s="34">
        <f ca="1">8.63588126539948*OFFSET(G$112,MATCH($N$1,$C$112:$C$113,0)-1,0)</f>
        <v>8.6358812653994796</v>
      </c>
      <c r="H22" s="34">
        <f ca="1">8.11876767150273*OFFSET(H$112,MATCH($N$1,$C$112:$C$113,0)-1,0)</f>
        <v>8.1187676715027308</v>
      </c>
      <c r="I22" s="34">
        <f ca="1">6.93592045553185*OFFSET(I$112,MATCH($N$1,$C$112:$C$113,0)-1,0)</f>
        <v>6.9359204555318499</v>
      </c>
      <c r="J22" s="34">
        <f ca="1">6.36959582768682*OFFSET(J$112,MATCH($N$1,$C$112:$C$113,0)-1,0)</f>
        <v>6.3695958276868199</v>
      </c>
      <c r="K22" s="34">
        <f ca="1">6.50914572317201*OFFSET(K$112,MATCH($N$1,$C$112:$C$113,0)-1,0)</f>
        <v>6.5091457231720096</v>
      </c>
      <c r="L22" s="34">
        <f ca="1">7.25960742550271*OFFSET(L$112,MATCH($N$1,$C$112:$C$113,0)-1,0)</f>
        <v>7.2596074255027103</v>
      </c>
      <c r="M22" s="34">
        <f ca="1">7.37126581185487*OFFSET(M$112,MATCH($N$1,$C$112:$C$113,0)-1,0)</f>
        <v>7.3712658118548697</v>
      </c>
      <c r="N22" s="34">
        <v>7.1486316463544908</v>
      </c>
      <c r="O22" s="23">
        <f t="shared" ca="1" si="0"/>
        <v>-5.6742739439470278E-3</v>
      </c>
      <c r="P22" s="23">
        <f t="shared" ca="1" si="1"/>
        <v>0.12230537694109632</v>
      </c>
    </row>
    <row r="23" spans="1:16" ht="18" customHeight="1" x14ac:dyDescent="0.2">
      <c r="A23" s="228"/>
      <c r="B23" s="33" t="s">
        <v>11</v>
      </c>
      <c r="C23" s="25"/>
      <c r="D23" s="34">
        <f ca="1">5.87051728339858*OFFSET(D$112,MATCH($N$1,$C$112:$C$113,0)-1,0)</f>
        <v>5.8705172833985797</v>
      </c>
      <c r="E23" s="34">
        <f ca="1">5.9523990370409*OFFSET(E$112,MATCH($N$1,$C$112:$C$113,0)-1,0)</f>
        <v>5.9523990370408999</v>
      </c>
      <c r="F23" s="34">
        <f ca="1">5.91137360168771*OFFSET(F$112,MATCH($N$1,$C$112:$C$113,0)-1,0)</f>
        <v>5.9113736016877096</v>
      </c>
      <c r="G23" s="34">
        <f ca="1">6.63000212155384*OFFSET(G$112,MATCH($N$1,$C$112:$C$113,0)-1,0)</f>
        <v>6.6300021215538401</v>
      </c>
      <c r="H23" s="34">
        <f ca="1">6.44684041197862*OFFSET(H$112,MATCH($N$1,$C$112:$C$113,0)-1,0)</f>
        <v>6.44684041197862</v>
      </c>
      <c r="I23" s="34">
        <f ca="1">5.73780889200065*OFFSET(I$112,MATCH($N$1,$C$112:$C$113,0)-1,0)</f>
        <v>5.7378088920006496</v>
      </c>
      <c r="J23" s="34">
        <f ca="1">5.40767306530711*OFFSET(J$112,MATCH($N$1,$C$112:$C$113,0)-1,0)</f>
        <v>5.4076730653071099</v>
      </c>
      <c r="K23" s="34">
        <f ca="1">5.35320545985962*OFFSET(K$112,MATCH($N$1,$C$112:$C$113,0)-1,0)</f>
        <v>5.3532054598596197</v>
      </c>
      <c r="L23" s="34">
        <f ca="1">6.3206438862808*OFFSET(L$112,MATCH($N$1,$C$112:$C$113,0)-1,0)</f>
        <v>6.3206438862808003</v>
      </c>
      <c r="M23" s="34">
        <f ca="1">5.84912209573946*OFFSET(M$112,MATCH($N$1,$C$112:$C$113,0)-1,0)</f>
        <v>5.8491220957394603</v>
      </c>
      <c r="N23" s="34">
        <v>5.8153928109412156</v>
      </c>
      <c r="O23" s="23">
        <f t="shared" ca="1" si="0"/>
        <v>-9.3900536862828593E-3</v>
      </c>
      <c r="P23" s="23">
        <f t="shared" ca="1" si="1"/>
        <v>7.539652281308E-2</v>
      </c>
    </row>
    <row r="24" spans="1:16" ht="18" customHeight="1" x14ac:dyDescent="0.2">
      <c r="A24" s="228"/>
      <c r="B24" s="33" t="s">
        <v>12</v>
      </c>
      <c r="C24" s="25"/>
      <c r="D24" s="34">
        <f ca="1">1.47133326892545*OFFSET(D$112,MATCH($N$1,$C$112:$C$113,0)-1,0)</f>
        <v>1.4713332689254499</v>
      </c>
      <c r="E24" s="34">
        <f ca="1">1.49115058983156*OFFSET(E$112,MATCH($N$1,$C$112:$C$113,0)-1,0)</f>
        <v>1.49115058983156</v>
      </c>
      <c r="F24" s="34">
        <f ca="1">2.0008230793313*OFFSET(F$112,MATCH($N$1,$C$112:$C$113,0)-1,0)</f>
        <v>2.0008230793313002</v>
      </c>
      <c r="G24" s="34">
        <f ca="1">2.09943547707217*OFFSET(G$112,MATCH($N$1,$C$112:$C$113,0)-1,0)</f>
        <v>2.0994354770721699</v>
      </c>
      <c r="H24" s="34">
        <f ca="1">1.80641014010474*OFFSET(H$112,MATCH($N$1,$C$112:$C$113,0)-1,0)</f>
        <v>1.8064101401047401</v>
      </c>
      <c r="I24" s="34">
        <f ca="1">1.2673304037897*OFFSET(I$112,MATCH($N$1,$C$112:$C$113,0)-1,0)</f>
        <v>1.2673304037897</v>
      </c>
      <c r="J24" s="34">
        <f ca="1">1.01970105689904*OFFSET(J$112,MATCH($N$1,$C$112:$C$113,0)-1,0)</f>
        <v>1.0197010568990399</v>
      </c>
      <c r="K24" s="34">
        <f ca="1">1.25950653966787*OFFSET(K$112,MATCH($N$1,$C$112:$C$113,0)-1,0)</f>
        <v>1.25950653966787</v>
      </c>
      <c r="L24" s="34">
        <f ca="1">0.970645765195564*OFFSET(L$112,MATCH($N$1,$C$112:$C$113,0)-1,0)</f>
        <v>0.970645765195564</v>
      </c>
      <c r="M24" s="34">
        <f ca="1">1.55761413613134*OFFSET(M$112,MATCH($N$1,$C$112:$C$113,0)-1,0)</f>
        <v>1.55761413613134</v>
      </c>
      <c r="N24" s="34">
        <v>1.367637947082774</v>
      </c>
      <c r="O24" s="23">
        <f t="shared" ca="1" si="0"/>
        <v>-7.0477113535539856E-2</v>
      </c>
      <c r="P24" s="23">
        <f t="shared" ca="1" si="1"/>
        <v>0.34121460189697844</v>
      </c>
    </row>
    <row r="25" spans="1:16" ht="18" customHeight="1" x14ac:dyDescent="0.2">
      <c r="A25" s="228"/>
      <c r="B25" s="33" t="s">
        <v>64</v>
      </c>
      <c r="C25" s="25"/>
      <c r="D25" s="28"/>
      <c r="E25" s="28">
        <f ca="1">91.77*OFFSET(E$112,MATCH($N$1,$C$112:$C$113,0)-1,0)</f>
        <v>91.77</v>
      </c>
      <c r="F25" s="28">
        <f ca="1">102.04*OFFSET(F$112,MATCH($N$1,$C$112:$C$113,0)-1,0)</f>
        <v>102.04</v>
      </c>
      <c r="G25" s="28">
        <f ca="1">85.98*OFFSET(G$112,MATCH($N$1,$C$112:$C$113,0)-1,0)</f>
        <v>85.98</v>
      </c>
      <c r="H25" s="28">
        <f ca="1">77.4*OFFSET(H$112,MATCH($N$1,$C$112:$C$113,0)-1,0)</f>
        <v>77.400000000000006</v>
      </c>
      <c r="I25" s="28">
        <f ca="1">68.37*OFFSET(I$112,MATCH($N$1,$C$112:$C$113,0)-1,0)</f>
        <v>68.37</v>
      </c>
      <c r="J25" s="28">
        <f ca="1">99.01*OFFSET(J$112,MATCH($N$1,$C$112:$C$113,0)-1,0)</f>
        <v>99.01</v>
      </c>
      <c r="K25" s="28">
        <f ca="1">90.64*OFFSET(K$112,MATCH($N$1,$C$112:$C$113,0)-1,0)</f>
        <v>90.64</v>
      </c>
      <c r="L25" s="28">
        <f ca="1">81.09*OFFSET(L$112,MATCH($N$1,$C$112:$C$113,0)-1,0)</f>
        <v>81.09</v>
      </c>
      <c r="M25" s="28">
        <f ca="1">73.55*OFFSET(M$112,MATCH($N$1,$C$112:$C$113,0)-1,0)</f>
        <v>73.55</v>
      </c>
      <c r="N25" s="28">
        <v>103.02</v>
      </c>
      <c r="O25" s="23" t="str">
        <f t="shared" si="0"/>
        <v/>
      </c>
      <c r="P25" s="23">
        <f t="shared" ca="1" si="1"/>
        <v>4.0500959499040409E-2</v>
      </c>
    </row>
    <row r="26" spans="1:16" ht="18" customHeight="1" x14ac:dyDescent="0.2">
      <c r="A26" s="229"/>
      <c r="B26" s="33" t="s">
        <v>65</v>
      </c>
      <c r="C26" s="40"/>
      <c r="D26" s="28"/>
      <c r="E26" s="28">
        <f ca="1">18.77*OFFSET(E$112,MATCH($N$1,$C$112:$C$113,0)-1,0)</f>
        <v>18.77</v>
      </c>
      <c r="F26" s="28">
        <f ca="1">26.99*OFFSET(F$112,MATCH($N$1,$C$112:$C$113,0)-1,0)</f>
        <v>26.99</v>
      </c>
      <c r="G26" s="28">
        <f ca="1">20.9*OFFSET(G$112,MATCH($N$1,$C$112:$C$113,0)-1,0)</f>
        <v>20.9</v>
      </c>
      <c r="H26" s="28">
        <f ca="1">17.23*OFFSET(H$112,MATCH($N$1,$C$112:$C$113,0)-1,0)</f>
        <v>17.23</v>
      </c>
      <c r="I26" s="28">
        <f ca="1">12.5*OFFSET(I$112,MATCH($N$1,$C$112:$C$113,0)-1,0)</f>
        <v>12.5</v>
      </c>
      <c r="J26" s="28">
        <f ca="1">15.86*OFFSET(J$112,MATCH($N$1,$C$112:$C$113,0)-1,0)</f>
        <v>15.86</v>
      </c>
      <c r="K26" s="28">
        <f ca="1">17.55*OFFSET(K$112,MATCH($N$1,$C$112:$C$113,0)-1,0)</f>
        <v>17.55</v>
      </c>
      <c r="L26" s="28">
        <f ca="1">10.84*OFFSET(L$112,MATCH($N$1,$C$112:$C$113,0)-1,0)</f>
        <v>10.84</v>
      </c>
      <c r="M26" s="28">
        <f ca="1">15.54*OFFSET(M$112,MATCH($N$1,$C$112:$C$113,0)-1,0)</f>
        <v>15.54</v>
      </c>
      <c r="N26" s="28">
        <v>19.71</v>
      </c>
      <c r="O26" s="29" t="str">
        <f t="shared" si="0"/>
        <v/>
      </c>
      <c r="P26" s="29">
        <f t="shared" ca="1" si="1"/>
        <v>0.24274905422446416</v>
      </c>
    </row>
    <row r="27" spans="1:16" ht="18" customHeight="1" x14ac:dyDescent="0.2">
      <c r="A27" s="230" t="s">
        <v>26</v>
      </c>
      <c r="B27" s="30" t="s">
        <v>59</v>
      </c>
      <c r="C27" s="31"/>
      <c r="D27" s="32">
        <f ca="1">566.3*OFFSET(D$112,MATCH($N$1,$C$112:$C$113,0)-1,0)</f>
        <v>566.29999999999995</v>
      </c>
      <c r="E27" s="32">
        <f ca="1">566.1*OFFSET(E$112,MATCH($N$1,$C$112:$C$113,0)-1,0)</f>
        <v>566.1</v>
      </c>
      <c r="F27" s="32">
        <f ca="1">632.5*OFFSET(F$112,MATCH($N$1,$C$112:$C$113,0)-1,0)</f>
        <v>632.5</v>
      </c>
      <c r="G27" s="32">
        <f ca="1">629.8*OFFSET(G$112,MATCH($N$1,$C$112:$C$113,0)-1,0)</f>
        <v>629.79999999999995</v>
      </c>
      <c r="H27" s="32">
        <f ca="1">593.6*OFFSET(H$112,MATCH($N$1,$C$112:$C$113,0)-1,0)</f>
        <v>593.6</v>
      </c>
      <c r="I27" s="32">
        <f ca="1">491.9*OFFSET(I$112,MATCH($N$1,$C$112:$C$113,0)-1,0)</f>
        <v>491.9</v>
      </c>
      <c r="J27" s="32">
        <f ca="1">436.4*OFFSET(J$112,MATCH($N$1,$C$112:$C$113,0)-1,0)</f>
        <v>436.4</v>
      </c>
      <c r="K27" s="32">
        <f ca="1">472.7*OFFSET(K$112,MATCH($N$1,$C$112:$C$113,0)-1,0)</f>
        <v>472.7</v>
      </c>
      <c r="L27" s="32">
        <f ca="1">539.4*OFFSET(L$112,MATCH($N$1,$C$112:$C$113,0)-1,0)</f>
        <v>539.4</v>
      </c>
      <c r="M27" s="32">
        <f ca="1">503.5*OFFSET(M$112,MATCH($N$1,$C$112:$C$113,0)-1,0)</f>
        <v>503.5</v>
      </c>
      <c r="N27" s="32">
        <v>497.5</v>
      </c>
      <c r="O27" s="23">
        <f t="shared" ca="1" si="0"/>
        <v>-0.12149037612572834</v>
      </c>
      <c r="P27" s="23">
        <f t="shared" ca="1" si="1"/>
        <v>0.14000916590284149</v>
      </c>
    </row>
    <row r="28" spans="1:16" ht="18" customHeight="1" x14ac:dyDescent="0.2">
      <c r="A28" s="231"/>
      <c r="B28" s="33" t="s">
        <v>66</v>
      </c>
      <c r="C28" s="27"/>
      <c r="D28" s="28">
        <f ca="1">12*OFFSET(D$112,MATCH($N$1,$C$112:$C$113,0)-1,0)</f>
        <v>12</v>
      </c>
      <c r="E28" s="28">
        <f ca="1">11.9*OFFSET(E$112,MATCH($N$1,$C$112:$C$113,0)-1,0)</f>
        <v>11.9</v>
      </c>
      <c r="F28" s="28">
        <f ca="1">29.2*OFFSET(F$112,MATCH($N$1,$C$112:$C$113,0)-1,0)</f>
        <v>29.2</v>
      </c>
      <c r="G28" s="28">
        <f ca="1">6.8*OFFSET(G$112,MATCH($N$1,$C$112:$C$113,0)-1,0)</f>
        <v>6.8</v>
      </c>
      <c r="H28" s="28">
        <f ca="1">9.8*OFFSET(H$112,MATCH($N$1,$C$112:$C$113,0)-1,0)</f>
        <v>9.8000000000000007</v>
      </c>
      <c r="I28" s="28">
        <f ca="1">4.9*OFFSET(I$112,MATCH($N$1,$C$112:$C$113,0)-1,0)</f>
        <v>4.9000000000000004</v>
      </c>
      <c r="J28" s="28">
        <f ca="1">4*OFFSET(J$112,MATCH($N$1,$C$112:$C$113,0)-1,0)</f>
        <v>4</v>
      </c>
      <c r="K28" s="28">
        <f ca="1">7.5*OFFSET(K$112,MATCH($N$1,$C$112:$C$113,0)-1,0)</f>
        <v>7.5</v>
      </c>
      <c r="L28" s="28">
        <f ca="1">2.4*OFFSET(L$112,MATCH($N$1,$C$112:$C$113,0)-1,0)</f>
        <v>2.4</v>
      </c>
      <c r="M28" s="28">
        <f ca="1">2.4*OFFSET(M$112,MATCH($N$1,$C$112:$C$113,0)-1,0)</f>
        <v>2.4</v>
      </c>
      <c r="N28" s="28">
        <v>2.4</v>
      </c>
      <c r="O28" s="23">
        <f t="shared" ca="1" si="0"/>
        <v>-0.79999999999999993</v>
      </c>
      <c r="P28" s="23">
        <f t="shared" ca="1" si="1"/>
        <v>-0.4</v>
      </c>
    </row>
    <row r="29" spans="1:16" ht="18" customHeight="1" x14ac:dyDescent="0.2">
      <c r="A29" s="231"/>
      <c r="B29" s="41" t="s">
        <v>67</v>
      </c>
      <c r="C29" s="42"/>
      <c r="D29" s="43">
        <f ca="1">578.3*OFFSET(D$112,MATCH($N$1,$C$112:$C$113,0)-1,0)</f>
        <v>578.29999999999995</v>
      </c>
      <c r="E29" s="43">
        <f ca="1">578*OFFSET(E$112,MATCH($N$1,$C$112:$C$113,0)-1,0)</f>
        <v>578</v>
      </c>
      <c r="F29" s="43">
        <f ca="1">661.6*OFFSET(F$112,MATCH($N$1,$C$112:$C$113,0)-1,0)</f>
        <v>661.6</v>
      </c>
      <c r="G29" s="43">
        <f ca="1">636.6*OFFSET(G$112,MATCH($N$1,$C$112:$C$113,0)-1,0)</f>
        <v>636.6</v>
      </c>
      <c r="H29" s="43">
        <f ca="1">603.4*OFFSET(H$112,MATCH($N$1,$C$112:$C$113,0)-1,0)</f>
        <v>603.4</v>
      </c>
      <c r="I29" s="43">
        <f ca="1">496.8*OFFSET(I$112,MATCH($N$1,$C$112:$C$113,0)-1,0)</f>
        <v>496.8</v>
      </c>
      <c r="J29" s="43">
        <f ca="1">440.3*OFFSET(J$112,MATCH($N$1,$C$112:$C$113,0)-1,0)</f>
        <v>440.3</v>
      </c>
      <c r="K29" s="43">
        <f ca="1">480.2*OFFSET(K$112,MATCH($N$1,$C$112:$C$113,0)-1,0)</f>
        <v>480.2</v>
      </c>
      <c r="L29" s="43">
        <f ca="1">541.7*OFFSET(L$112,MATCH($N$1,$C$112:$C$113,0)-1,0)</f>
        <v>541.70000000000005</v>
      </c>
      <c r="M29" s="43">
        <f ca="1">506*OFFSET(M$112,MATCH($N$1,$C$112:$C$113,0)-1,0)</f>
        <v>506</v>
      </c>
      <c r="N29" s="43">
        <v>499.90000000000003</v>
      </c>
      <c r="O29" s="23">
        <f t="shared" ca="1" si="0"/>
        <v>-0.13556977347397531</v>
      </c>
      <c r="P29" s="23">
        <f t="shared" ca="1" si="1"/>
        <v>0.13536225300931187</v>
      </c>
    </row>
    <row r="30" spans="1:16" ht="18" customHeight="1" x14ac:dyDescent="0.2">
      <c r="A30" s="231"/>
      <c r="B30" s="33" t="s">
        <v>68</v>
      </c>
      <c r="C30" s="27"/>
      <c r="D30" s="28">
        <f ca="1">114.5*OFFSET(D$112,MATCH($N$1,$C$112:$C$113,0)-1,0)</f>
        <v>114.5</v>
      </c>
      <c r="E30" s="28">
        <f ca="1">76.6*OFFSET(E$112,MATCH($N$1,$C$112:$C$113,0)-1,0)</f>
        <v>76.599999999999994</v>
      </c>
      <c r="F30" s="28">
        <f ca="1">96.8*OFFSET(F$112,MATCH($N$1,$C$112:$C$113,0)-1,0)</f>
        <v>96.8</v>
      </c>
      <c r="G30" s="28">
        <f ca="1">117.2*OFFSET(G$112,MATCH($N$1,$C$112:$C$113,0)-1,0)</f>
        <v>117.2</v>
      </c>
      <c r="H30" s="28">
        <f ca="1">119.1*OFFSET(H$112,MATCH($N$1,$C$112:$C$113,0)-1,0)</f>
        <v>119.1</v>
      </c>
      <c r="I30" s="28">
        <f ca="1">109.4*OFFSET(I$112,MATCH($N$1,$C$112:$C$113,0)-1,0)</f>
        <v>109.4</v>
      </c>
      <c r="J30" s="28">
        <f ca="1">97.7*OFFSET(J$112,MATCH($N$1,$C$112:$C$113,0)-1,0)</f>
        <v>97.7</v>
      </c>
      <c r="K30" s="28">
        <f ca="1">71.2*OFFSET(K$112,MATCH($N$1,$C$112:$C$113,0)-1,0)</f>
        <v>71.2</v>
      </c>
      <c r="L30" s="28">
        <f ca="1">69.3*OFFSET(L$112,MATCH($N$1,$C$112:$C$113,0)-1,0)</f>
        <v>69.3</v>
      </c>
      <c r="M30" s="28">
        <f ca="1">78*OFFSET(M$112,MATCH($N$1,$C$112:$C$113,0)-1,0)</f>
        <v>78</v>
      </c>
      <c r="N30" s="28">
        <v>93.8</v>
      </c>
      <c r="O30" s="23">
        <f t="shared" ca="1" si="0"/>
        <v>-0.18078602620087339</v>
      </c>
      <c r="P30" s="23">
        <f t="shared" ca="1" si="1"/>
        <v>-3.9918116683725746E-2</v>
      </c>
    </row>
    <row r="31" spans="1:16" ht="18" customHeight="1" x14ac:dyDescent="0.2">
      <c r="A31" s="231"/>
      <c r="B31" s="33" t="s">
        <v>69</v>
      </c>
      <c r="C31" s="27"/>
      <c r="D31" s="28">
        <f ca="1">144.6*OFFSET(D$112,MATCH($N$1,$C$112:$C$113,0)-1,0)</f>
        <v>144.6</v>
      </c>
      <c r="E31" s="28">
        <f ca="1">162.9*OFFSET(E$112,MATCH($N$1,$C$112:$C$113,0)-1,0)</f>
        <v>162.9</v>
      </c>
      <c r="F31" s="28">
        <f ca="1">180.5*OFFSET(F$112,MATCH($N$1,$C$112:$C$113,0)-1,0)</f>
        <v>180.5</v>
      </c>
      <c r="G31" s="28">
        <f ca="1">183.7*OFFSET(G$112,MATCH($N$1,$C$112:$C$113,0)-1,0)</f>
        <v>183.7</v>
      </c>
      <c r="H31" s="28">
        <f ca="1">146.5*OFFSET(H$112,MATCH($N$1,$C$112:$C$113,0)-1,0)</f>
        <v>146.5</v>
      </c>
      <c r="I31" s="28">
        <f ca="1">118.9*OFFSET(I$112,MATCH($N$1,$C$112:$C$113,0)-1,0)</f>
        <v>118.9</v>
      </c>
      <c r="J31" s="28">
        <f ca="1">105.8*OFFSET(J$112,MATCH($N$1,$C$112:$C$113,0)-1,0)</f>
        <v>105.8</v>
      </c>
      <c r="K31" s="28">
        <f ca="1">137.9*OFFSET(K$112,MATCH($N$1,$C$112:$C$113,0)-1,0)</f>
        <v>137.9</v>
      </c>
      <c r="L31" s="28">
        <f ca="1">163.8*OFFSET(L$112,MATCH($N$1,$C$112:$C$113,0)-1,0)</f>
        <v>163.80000000000001</v>
      </c>
      <c r="M31" s="28">
        <f ca="1">157.2*OFFSET(M$112,MATCH($N$1,$C$112:$C$113,0)-1,0)</f>
        <v>157.19999999999999</v>
      </c>
      <c r="N31" s="28">
        <v>148.5</v>
      </c>
      <c r="O31" s="23">
        <f t="shared" ca="1" si="0"/>
        <v>2.6970954356846513E-2</v>
      </c>
      <c r="P31" s="23">
        <f t="shared" ca="1" si="1"/>
        <v>0.40359168241965976</v>
      </c>
    </row>
    <row r="32" spans="1:16" ht="18" customHeight="1" x14ac:dyDescent="0.2">
      <c r="A32" s="231"/>
      <c r="B32" s="33" t="s">
        <v>70</v>
      </c>
      <c r="C32" s="27"/>
      <c r="D32" s="28">
        <f ca="1">50.9*OFFSET(D$112,MATCH($N$1,$C$112:$C$113,0)-1,0)</f>
        <v>50.9</v>
      </c>
      <c r="E32" s="28">
        <f ca="1">43.2*OFFSET(E$112,MATCH($N$1,$C$112:$C$113,0)-1,0)</f>
        <v>43.2</v>
      </c>
      <c r="F32" s="28">
        <f ca="1">49.3*OFFSET(F$112,MATCH($N$1,$C$112:$C$113,0)-1,0)</f>
        <v>49.3</v>
      </c>
      <c r="G32" s="28">
        <f ca="1">48.7*OFFSET(G$112,MATCH($N$1,$C$112:$C$113,0)-1,0)</f>
        <v>48.7</v>
      </c>
      <c r="H32" s="28">
        <f ca="1">48.9*OFFSET(H$112,MATCH($N$1,$C$112:$C$113,0)-1,0)</f>
        <v>48.9</v>
      </c>
      <c r="I32" s="28">
        <f ca="1">44.5*OFFSET(I$112,MATCH($N$1,$C$112:$C$113,0)-1,0)</f>
        <v>44.5</v>
      </c>
      <c r="J32" s="28">
        <f ca="1">44*OFFSET(J$112,MATCH($N$1,$C$112:$C$113,0)-1,0)</f>
        <v>44</v>
      </c>
      <c r="K32" s="28">
        <f ca="1">38.2*OFFSET(K$112,MATCH($N$1,$C$112:$C$113,0)-1,0)</f>
        <v>38.200000000000003</v>
      </c>
      <c r="L32" s="28">
        <f ca="1">60.1*OFFSET(L$112,MATCH($N$1,$C$112:$C$113,0)-1,0)</f>
        <v>60.1</v>
      </c>
      <c r="M32" s="28">
        <f ca="1">38*OFFSET(M$112,MATCH($N$1,$C$112:$C$113,0)-1,0)</f>
        <v>38</v>
      </c>
      <c r="N32" s="28">
        <v>37.5</v>
      </c>
      <c r="O32" s="23">
        <f t="shared" ca="1" si="0"/>
        <v>-0.26326129666011788</v>
      </c>
      <c r="P32" s="23">
        <f t="shared" ca="1" si="1"/>
        <v>-0.14772727272727273</v>
      </c>
    </row>
    <row r="33" spans="1:16" ht="18" customHeight="1" x14ac:dyDescent="0.2">
      <c r="A33" s="231"/>
      <c r="B33" s="33" t="s">
        <v>71</v>
      </c>
      <c r="C33" s="27"/>
      <c r="D33" s="28">
        <f ca="1">310.1*OFFSET(D$112,MATCH($N$1,$C$112:$C$113,0)-1,0)</f>
        <v>310.10000000000002</v>
      </c>
      <c r="E33" s="28">
        <f ca="1">282.6*OFFSET(E$112,MATCH($N$1,$C$112:$C$113,0)-1,0)</f>
        <v>282.60000000000002</v>
      </c>
      <c r="F33" s="28">
        <f ca="1">326.5*OFFSET(F$112,MATCH($N$1,$C$112:$C$113,0)-1,0)</f>
        <v>326.5</v>
      </c>
      <c r="G33" s="28">
        <f ca="1">349.6*OFFSET(G$112,MATCH($N$1,$C$112:$C$113,0)-1,0)</f>
        <v>349.6</v>
      </c>
      <c r="H33" s="28">
        <f ca="1">314.5*OFFSET(H$112,MATCH($N$1,$C$112:$C$113,0)-1,0)</f>
        <v>314.5</v>
      </c>
      <c r="I33" s="28">
        <f ca="1">272.9*OFFSET(I$112,MATCH($N$1,$C$112:$C$113,0)-1,0)</f>
        <v>272.89999999999998</v>
      </c>
      <c r="J33" s="28">
        <f ca="1">247.5*OFFSET(J$112,MATCH($N$1,$C$112:$C$113,0)-1,0)</f>
        <v>247.5</v>
      </c>
      <c r="K33" s="28">
        <f ca="1">247.3*OFFSET(K$112,MATCH($N$1,$C$112:$C$113,0)-1,0)</f>
        <v>247.3</v>
      </c>
      <c r="L33" s="28">
        <f ca="1">293.1*OFFSET(L$112,MATCH($N$1,$C$112:$C$113,0)-1,0)</f>
        <v>293.10000000000002</v>
      </c>
      <c r="M33" s="28">
        <f ca="1">273.1*OFFSET(M$112,MATCH($N$1,$C$112:$C$113,0)-1,0)</f>
        <v>273.10000000000002</v>
      </c>
      <c r="N33" s="28">
        <v>279.8</v>
      </c>
      <c r="O33" s="23">
        <f t="shared" ca="1" si="0"/>
        <v>-9.7710415994840399E-2</v>
      </c>
      <c r="P33" s="23">
        <f t="shared" ca="1" si="1"/>
        <v>0.13050505050505054</v>
      </c>
    </row>
    <row r="34" spans="1:16" ht="18" customHeight="1" x14ac:dyDescent="0.2">
      <c r="A34" s="231"/>
      <c r="B34" s="33" t="s">
        <v>72</v>
      </c>
      <c r="C34" s="27"/>
      <c r="D34" s="28">
        <f ca="1">152.3*OFFSET(D$112,MATCH($N$1,$C$112:$C$113,0)-1,0)</f>
        <v>152.30000000000001</v>
      </c>
      <c r="E34" s="28">
        <f ca="1">179.6*OFFSET(E$112,MATCH($N$1,$C$112:$C$113,0)-1,0)</f>
        <v>179.6</v>
      </c>
      <c r="F34" s="28">
        <f ca="1">167.8*OFFSET(F$112,MATCH($N$1,$C$112:$C$113,0)-1,0)</f>
        <v>167.8</v>
      </c>
      <c r="G34" s="28">
        <f ca="1">133.9*OFFSET(G$112,MATCH($N$1,$C$112:$C$113,0)-1,0)</f>
        <v>133.9</v>
      </c>
      <c r="H34" s="28">
        <f ca="1">156.8*OFFSET(H$112,MATCH($N$1,$C$112:$C$113,0)-1,0)</f>
        <v>156.80000000000001</v>
      </c>
      <c r="I34" s="28">
        <f ca="1">134.1*OFFSET(I$112,MATCH($N$1,$C$112:$C$113,0)-1,0)</f>
        <v>134.1</v>
      </c>
      <c r="J34" s="28">
        <f ca="1">123*OFFSET(J$112,MATCH($N$1,$C$112:$C$113,0)-1,0)</f>
        <v>123</v>
      </c>
      <c r="K34" s="28">
        <f ca="1">141.4*OFFSET(K$112,MATCH($N$1,$C$112:$C$113,0)-1,0)</f>
        <v>141.4</v>
      </c>
      <c r="L34" s="28">
        <f ca="1">176.5*OFFSET(L$112,MATCH($N$1,$C$112:$C$113,0)-1,0)</f>
        <v>176.5</v>
      </c>
      <c r="M34" s="28">
        <f ca="1">126.4*OFFSET(M$112,MATCH($N$1,$C$112:$C$113,0)-1,0)</f>
        <v>126.4</v>
      </c>
      <c r="N34" s="28">
        <v>124.9</v>
      </c>
      <c r="O34" s="23">
        <f t="shared" ca="1" si="0"/>
        <v>-0.17990807616546292</v>
      </c>
      <c r="P34" s="23">
        <f t="shared" ca="1" si="1"/>
        <v>1.5447154471544761E-2</v>
      </c>
    </row>
    <row r="35" spans="1:16" ht="18" customHeight="1" x14ac:dyDescent="0.2">
      <c r="A35" s="231"/>
      <c r="B35" s="33" t="s">
        <v>73</v>
      </c>
      <c r="C35" s="27"/>
      <c r="D35" s="28">
        <f ca="1">462.4*OFFSET(D$112,MATCH($N$1,$C$112:$C$113,0)-1,0)</f>
        <v>462.4</v>
      </c>
      <c r="E35" s="28">
        <f ca="1">462.2*OFFSET(E$112,MATCH($N$1,$C$112:$C$113,0)-1,0)</f>
        <v>462.2</v>
      </c>
      <c r="F35" s="28">
        <f ca="1">494.3*OFFSET(F$112,MATCH($N$1,$C$112:$C$113,0)-1,0)</f>
        <v>494.3</v>
      </c>
      <c r="G35" s="28">
        <f ca="1">483.5*OFFSET(G$112,MATCH($N$1,$C$112:$C$113,0)-1,0)</f>
        <v>483.5</v>
      </c>
      <c r="H35" s="28">
        <f ca="1">471.4*OFFSET(H$112,MATCH($N$1,$C$112:$C$113,0)-1,0)</f>
        <v>471.4</v>
      </c>
      <c r="I35" s="28">
        <f ca="1">406.9*OFFSET(I$112,MATCH($N$1,$C$112:$C$113,0)-1,0)</f>
        <v>406.9</v>
      </c>
      <c r="J35" s="28">
        <f ca="1">370.5*OFFSET(J$112,MATCH($N$1,$C$112:$C$113,0)-1,0)</f>
        <v>370.5</v>
      </c>
      <c r="K35" s="28">
        <f ca="1">388.7*OFFSET(K$112,MATCH($N$1,$C$112:$C$113,0)-1,0)</f>
        <v>388.7</v>
      </c>
      <c r="L35" s="28">
        <f ca="1">469.6*OFFSET(L$112,MATCH($N$1,$C$112:$C$113,0)-1,0)</f>
        <v>469.6</v>
      </c>
      <c r="M35" s="28">
        <f ca="1">399.6*OFFSET(M$112,MATCH($N$1,$C$112:$C$113,0)-1,0)</f>
        <v>399.6</v>
      </c>
      <c r="N35" s="28">
        <v>404.7</v>
      </c>
      <c r="O35" s="23">
        <f t="shared" ca="1" si="0"/>
        <v>-0.12478373702422144</v>
      </c>
      <c r="P35" s="23">
        <f t="shared" ca="1" si="1"/>
        <v>9.2307692307692271E-2</v>
      </c>
    </row>
    <row r="36" spans="1:16" ht="18" customHeight="1" x14ac:dyDescent="0.2">
      <c r="A36" s="231"/>
      <c r="B36" s="41" t="s">
        <v>74</v>
      </c>
      <c r="C36" s="42"/>
      <c r="D36" s="43">
        <f ca="1">260.5*OFFSET(D$112,MATCH($N$1,$C$112:$C$113,0)-1,0)</f>
        <v>260.5</v>
      </c>
      <c r="E36" s="43">
        <f ca="1">278.7*OFFSET(E$112,MATCH($N$1,$C$112:$C$113,0)-1,0)</f>
        <v>278.7</v>
      </c>
      <c r="F36" s="43">
        <f ca="1">347.8*OFFSET(F$112,MATCH($N$1,$C$112:$C$113,0)-1,0)</f>
        <v>347.8</v>
      </c>
      <c r="G36" s="43">
        <f ca="1">336.8*OFFSET(G$112,MATCH($N$1,$C$112:$C$113,0)-1,0)</f>
        <v>336.8</v>
      </c>
      <c r="H36" s="43">
        <f ca="1">278.6*OFFSET(H$112,MATCH($N$1,$C$112:$C$113,0)-1,0)</f>
        <v>278.60000000000002</v>
      </c>
      <c r="I36" s="43">
        <f ca="1">208.8*OFFSET(I$112,MATCH($N$1,$C$112:$C$113,0)-1,0)</f>
        <v>208.8</v>
      </c>
      <c r="J36" s="43">
        <f ca="1">175.7*OFFSET(J$112,MATCH($N$1,$C$112:$C$113,0)-1,0)</f>
        <v>175.7</v>
      </c>
      <c r="K36" s="43">
        <f ca="1">229.4*OFFSET(K$112,MATCH($N$1,$C$112:$C$113,0)-1,0)</f>
        <v>229.4</v>
      </c>
      <c r="L36" s="43">
        <f ca="1">235.9*OFFSET(L$112,MATCH($N$1,$C$112:$C$113,0)-1,0)</f>
        <v>235.9</v>
      </c>
      <c r="M36" s="43">
        <f ca="1">263.6*OFFSET(M$112,MATCH($N$1,$C$112:$C$113,0)-1,0)</f>
        <v>263.60000000000002</v>
      </c>
      <c r="N36" s="43">
        <v>243.7</v>
      </c>
      <c r="O36" s="23">
        <f t="shared" ca="1" si="0"/>
        <v>-6.4491362763915594E-2</v>
      </c>
      <c r="P36" s="23">
        <f t="shared" ca="1" si="1"/>
        <v>0.38702333523050658</v>
      </c>
    </row>
    <row r="37" spans="1:16" ht="18" customHeight="1" x14ac:dyDescent="0.2">
      <c r="A37" s="231"/>
      <c r="B37" s="41" t="s">
        <v>75</v>
      </c>
      <c r="C37" s="42"/>
      <c r="D37" s="43">
        <f ca="1">115.9*OFFSET(D$112,MATCH($N$1,$C$112:$C$113,0)-1,0)</f>
        <v>115.9</v>
      </c>
      <c r="E37" s="43">
        <f ca="1">115.8*OFFSET(E$112,MATCH($N$1,$C$112:$C$113,0)-1,0)</f>
        <v>115.8</v>
      </c>
      <c r="F37" s="43">
        <f ca="1">167.3*OFFSET(F$112,MATCH($N$1,$C$112:$C$113,0)-1,0)</f>
        <v>167.3</v>
      </c>
      <c r="G37" s="43">
        <f ca="1">153.1*OFFSET(G$112,MATCH($N$1,$C$112:$C$113,0)-1,0)</f>
        <v>153.1</v>
      </c>
      <c r="H37" s="43">
        <f ca="1">132.1*OFFSET(H$112,MATCH($N$1,$C$112:$C$113,0)-1,0)</f>
        <v>132.1</v>
      </c>
      <c r="I37" s="43">
        <f ca="1">89.9*OFFSET(I$112,MATCH($N$1,$C$112:$C$113,0)-1,0)</f>
        <v>89.9</v>
      </c>
      <c r="J37" s="43">
        <f ca="1">69.9*OFFSET(J$112,MATCH($N$1,$C$112:$C$113,0)-1,0)</f>
        <v>69.900000000000006</v>
      </c>
      <c r="K37" s="43">
        <f ca="1">91.5*OFFSET(K$112,MATCH($N$1,$C$112:$C$113,0)-1,0)</f>
        <v>91.5</v>
      </c>
      <c r="L37" s="43">
        <f ca="1">72.1*OFFSET(L$112,MATCH($N$1,$C$112:$C$113,0)-1,0)</f>
        <v>72.099999999999994</v>
      </c>
      <c r="M37" s="43">
        <f ca="1">106.4*OFFSET(M$112,MATCH($N$1,$C$112:$C$113,0)-1,0)</f>
        <v>106.4</v>
      </c>
      <c r="N37" s="43">
        <v>95.2</v>
      </c>
      <c r="O37" s="23">
        <f t="shared" ca="1" si="0"/>
        <v>-0.17860224331320104</v>
      </c>
      <c r="P37" s="23">
        <f t="shared" ca="1" si="1"/>
        <v>0.36194563662374812</v>
      </c>
    </row>
    <row r="38" spans="1:16" ht="18" customHeight="1" x14ac:dyDescent="0.2">
      <c r="A38" s="231"/>
      <c r="B38" s="33" t="s">
        <v>76</v>
      </c>
      <c r="C38" s="27"/>
      <c r="D38" s="28">
        <f ca="1">36.1*OFFSET(D$112,MATCH($N$1,$C$112:$C$113,0)-1,0)</f>
        <v>36.1</v>
      </c>
      <c r="E38" s="28">
        <f ca="1">30.6*OFFSET(E$112,MATCH($N$1,$C$112:$C$113,0)-1,0)</f>
        <v>30.6</v>
      </c>
      <c r="F38" s="28">
        <f ca="1">29.5*OFFSET(F$112,MATCH($N$1,$C$112:$C$113,0)-1,0)</f>
        <v>29.5</v>
      </c>
      <c r="G38" s="28">
        <f ca="1">23.4*OFFSET(G$112,MATCH($N$1,$C$112:$C$113,0)-1,0)</f>
        <v>23.4</v>
      </c>
      <c r="H38" s="28">
        <f ca="1">28.2*OFFSET(H$112,MATCH($N$1,$C$112:$C$113,0)-1,0)</f>
        <v>28.2</v>
      </c>
      <c r="I38" s="28">
        <f ca="1">17.4*OFFSET(I$112,MATCH($N$1,$C$112:$C$113,0)-1,0)</f>
        <v>17.399999999999999</v>
      </c>
      <c r="J38" s="28">
        <f ca="1">10.9*OFFSET(J$112,MATCH($N$1,$C$112:$C$113,0)-1,0)</f>
        <v>10.9</v>
      </c>
      <c r="K38" s="28">
        <f ca="1">23.2*OFFSET(K$112,MATCH($N$1,$C$112:$C$113,0)-1,0)</f>
        <v>23.2</v>
      </c>
      <c r="L38" s="28">
        <f ca="1">25.4*OFFSET(L$112,MATCH($N$1,$C$112:$C$113,0)-1,0)</f>
        <v>25.4</v>
      </c>
      <c r="M38" s="28">
        <f ca="1">20.9*OFFSET(M$112,MATCH($N$1,$C$112:$C$113,0)-1,0)</f>
        <v>20.9</v>
      </c>
      <c r="N38" s="28"/>
      <c r="O38" s="23" t="str">
        <f t="shared" si="0"/>
        <v/>
      </c>
      <c r="P38" s="23" t="str">
        <f t="shared" si="1"/>
        <v/>
      </c>
    </row>
    <row r="39" spans="1:16" ht="18" customHeight="1" x14ac:dyDescent="0.2">
      <c r="A39" s="231"/>
      <c r="B39" s="33" t="s">
        <v>77</v>
      </c>
      <c r="C39" s="27"/>
      <c r="D39" s="28">
        <f ca="1">11.6*OFFSET(D$112,MATCH($N$1,$C$112:$C$113,0)-1,0)</f>
        <v>11.6</v>
      </c>
      <c r="E39" s="28">
        <f ca="1">4.3*OFFSET(E$112,MATCH($N$1,$C$112:$C$113,0)-1,0)</f>
        <v>4.3</v>
      </c>
      <c r="F39" s="28">
        <f ca="1">3.4*OFFSET(F$112,MATCH($N$1,$C$112:$C$113,0)-1,0)</f>
        <v>3.4</v>
      </c>
      <c r="G39" s="28">
        <f ca="1">3*OFFSET(G$112,MATCH($N$1,$C$112:$C$113,0)-1,0)</f>
        <v>3</v>
      </c>
      <c r="H39" s="28">
        <f ca="1">5.5*OFFSET(H$112,MATCH($N$1,$C$112:$C$113,0)-1,0)</f>
        <v>5.5</v>
      </c>
      <c r="I39" s="28">
        <f ca="1">2.9*OFFSET(I$112,MATCH($N$1,$C$112:$C$113,0)-1,0)</f>
        <v>2.9</v>
      </c>
      <c r="J39" s="28">
        <f ca="1">2.8*OFFSET(J$112,MATCH($N$1,$C$112:$C$113,0)-1,0)</f>
        <v>2.8</v>
      </c>
      <c r="K39" s="28">
        <f ca="1">2.6*OFFSET(K$112,MATCH($N$1,$C$112:$C$113,0)-1,0)</f>
        <v>2.6</v>
      </c>
      <c r="L39" s="28">
        <f ca="1">1.8*OFFSET(L$112,MATCH($N$1,$C$112:$C$113,0)-1,0)</f>
        <v>1.8</v>
      </c>
      <c r="M39" s="28">
        <f ca="1">0.6*OFFSET(M$112,MATCH($N$1,$C$112:$C$113,0)-1,0)</f>
        <v>0.6</v>
      </c>
      <c r="N39" s="28"/>
      <c r="O39" s="23" t="str">
        <f t="shared" si="0"/>
        <v/>
      </c>
      <c r="P39" s="23" t="str">
        <f t="shared" si="1"/>
        <v/>
      </c>
    </row>
    <row r="40" spans="1:16" ht="18" customHeight="1" x14ac:dyDescent="0.2">
      <c r="A40" s="231"/>
      <c r="B40" s="33" t="s">
        <v>78</v>
      </c>
      <c r="C40" s="27"/>
      <c r="D40" s="28"/>
      <c r="E40" s="28">
        <f ca="1">2.2*OFFSET(E$112,MATCH($N$1,$C$112:$C$113,0)-1,0)</f>
        <v>2.2000000000000002</v>
      </c>
      <c r="F40" s="28">
        <f ca="1">1.7*OFFSET(F$112,MATCH($N$1,$C$112:$C$113,0)-1,0)</f>
        <v>1.7</v>
      </c>
      <c r="G40" s="28">
        <f ca="1">2.2*OFFSET(G$112,MATCH($N$1,$C$112:$C$113,0)-1,0)</f>
        <v>2.2000000000000002</v>
      </c>
      <c r="H40" s="28">
        <f ca="1">1.4*OFFSET(H$112,MATCH($N$1,$C$112:$C$113,0)-1,0)</f>
        <v>1.4</v>
      </c>
      <c r="I40" s="28">
        <f ca="1">1.6*OFFSET(I$112,MATCH($N$1,$C$112:$C$113,0)-1,0)</f>
        <v>1.6</v>
      </c>
      <c r="J40" s="28">
        <f ca="1">3.9*OFFSET(J$112,MATCH($N$1,$C$112:$C$113,0)-1,0)</f>
        <v>3.9</v>
      </c>
      <c r="K40" s="28">
        <f ca="1">1.5*OFFSET(K$112,MATCH($N$1,$C$112:$C$113,0)-1,0)</f>
        <v>1.5</v>
      </c>
      <c r="L40" s="28">
        <f ca="1">0.7*OFFSET(L$112,MATCH($N$1,$C$112:$C$113,0)-1,0)</f>
        <v>0.7</v>
      </c>
      <c r="M40" s="28">
        <f ca="1">1*OFFSET(M$112,MATCH($N$1,$C$112:$C$113,0)-1,0)</f>
        <v>1</v>
      </c>
      <c r="N40" s="28"/>
      <c r="O40" s="23" t="str">
        <f t="shared" si="0"/>
        <v/>
      </c>
      <c r="P40" s="23" t="str">
        <f t="shared" si="1"/>
        <v/>
      </c>
    </row>
    <row r="41" spans="1:16" ht="18" customHeight="1" thickBot="1" x14ac:dyDescent="0.25">
      <c r="A41" s="232"/>
      <c r="B41" s="44" t="s">
        <v>79</v>
      </c>
      <c r="C41" s="45"/>
      <c r="D41" s="46">
        <f ca="1">68.2*OFFSET(D$112,MATCH($N$1,$C$112:$C$113,0)-1,0)</f>
        <v>68.2</v>
      </c>
      <c r="E41" s="46">
        <f ca="1">78.6*OFFSET(E$112,MATCH($N$1,$C$112:$C$113,0)-1,0)</f>
        <v>78.599999999999994</v>
      </c>
      <c r="F41" s="46">
        <f ca="1">132.6*OFFSET(F$112,MATCH($N$1,$C$112:$C$113,0)-1,0)</f>
        <v>132.6</v>
      </c>
      <c r="G41" s="46">
        <f ca="1">124.6*OFFSET(G$112,MATCH($N$1,$C$112:$C$113,0)-1,0)</f>
        <v>124.6</v>
      </c>
      <c r="H41" s="46">
        <f ca="1">97*OFFSET(H$112,MATCH($N$1,$C$112:$C$113,0)-1,0)</f>
        <v>97</v>
      </c>
      <c r="I41" s="46">
        <f ca="1">68*OFFSET(I$112,MATCH($N$1,$C$112:$C$113,0)-1,0)</f>
        <v>68</v>
      </c>
      <c r="J41" s="46">
        <f ca="1">52.3*OFFSET(J$112,MATCH($N$1,$C$112:$C$113,0)-1,0)</f>
        <v>52.3</v>
      </c>
      <c r="K41" s="46">
        <f ca="1">64.2*OFFSET(K$112,MATCH($N$1,$C$112:$C$113,0)-1,0)</f>
        <v>64.2</v>
      </c>
      <c r="L41" s="46">
        <f ca="1">44.3*OFFSET(L$112,MATCH($N$1,$C$112:$C$113,0)-1,0)</f>
        <v>44.3</v>
      </c>
      <c r="M41" s="46">
        <f ca="1">83.8*OFFSET(M$112,MATCH($N$1,$C$112:$C$113,0)-1,0)</f>
        <v>83.8</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17</v>
      </c>
      <c r="F46" s="95" t="s">
        <v>174</v>
      </c>
      <c r="G46" s="95" t="s">
        <v>174</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UK scallop dredge over 15m</v>
      </c>
      <c r="C48" s="97"/>
      <c r="D48" s="97"/>
      <c r="E48" s="97"/>
      <c r="F48" s="97"/>
      <c r="G48" s="97"/>
      <c r="K48" s="97" t="str">
        <f>$B24&amp;CHAR(10)&amp;$A$1</f>
        <v>Operating profit per kW day at sea (£)
UK scallop dredge over 15m</v>
      </c>
    </row>
    <row r="49" spans="1:11" s="83" customFormat="1" x14ac:dyDescent="0.2">
      <c r="A49" s="97" t="str">
        <f>$B22&amp;CHAR(10)&amp;$A$1</f>
        <v>Fishing income per kW day at sea (£)
UK scallop dredge over 15m</v>
      </c>
    </row>
    <row r="50" spans="1:11" s="83" customFormat="1" x14ac:dyDescent="0.2">
      <c r="A50" s="97" t="str">
        <f>$B20&amp;CHAR(10)&amp;$A$1</f>
        <v>Average price per tonne landed (£)
UK scallop dredge over 15m</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UK scallop dredge over 15m</v>
      </c>
      <c r="F62" s="97" t="str">
        <f>$B20&amp;CHAR(10)&amp;$A$1</f>
        <v>Average price per tonne landed (£)
UK scallop dredge over 15m</v>
      </c>
      <c r="K62" s="97" t="str">
        <f>"Average annual operating profit per vessel (£'000)"&amp;CHAR(10)&amp;$A$1</f>
        <v>Average annual operating profit per vessel (£'000)
UK scallop dredge over 15m</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UK scallop dredge over 15m</v>
      </c>
      <c r="F76" s="97" t="str">
        <f>"Top 5 landed species by value in "&amp;A77&amp;CHAR(10)&amp;A1</f>
        <v>Top 5 landed species by value in 2017
UK scallop dredge over 15m</v>
      </c>
    </row>
    <row r="77" spans="1:9" s="97" customFormat="1" x14ac:dyDescent="0.2">
      <c r="A77" s="97">
        <v>2017</v>
      </c>
      <c r="B77" s="97" t="s">
        <v>433</v>
      </c>
      <c r="C77" s="98">
        <v>0.76217025599291366</v>
      </c>
      <c r="D77" s="99">
        <v>12153634</v>
      </c>
      <c r="G77" s="97" t="s">
        <v>434</v>
      </c>
      <c r="H77" s="98">
        <v>0.88552132813226558</v>
      </c>
      <c r="I77" s="99">
        <v>12153634</v>
      </c>
    </row>
    <row r="78" spans="1:9" s="97" customFormat="1" x14ac:dyDescent="0.2">
      <c r="B78" s="97" t="s">
        <v>435</v>
      </c>
      <c r="C78" s="98">
        <v>0.2269194430142375</v>
      </c>
      <c r="D78" s="99">
        <v>553960</v>
      </c>
      <c r="G78" s="97" t="s">
        <v>436</v>
      </c>
      <c r="H78" s="98">
        <v>9.9403102658906339E-2</v>
      </c>
      <c r="I78" s="99">
        <v>553960</v>
      </c>
    </row>
    <row r="79" spans="1:9" s="97" customFormat="1" x14ac:dyDescent="0.2">
      <c r="B79" s="97" t="s">
        <v>437</v>
      </c>
      <c r="C79" s="98">
        <v>4.9165637447498873E-3</v>
      </c>
      <c r="D79" s="99">
        <v>3050596</v>
      </c>
      <c r="G79" s="97" t="s">
        <v>438</v>
      </c>
      <c r="H79" s="98">
        <v>5.758091892931568E-3</v>
      </c>
      <c r="I79" s="99">
        <v>3050596</v>
      </c>
    </row>
    <row r="80" spans="1:9" s="97" customFormat="1" x14ac:dyDescent="0.2">
      <c r="B80" s="97" t="s">
        <v>439</v>
      </c>
      <c r="C80" s="98">
        <v>1.328770786168494E-3</v>
      </c>
      <c r="D80" s="99">
        <v>3689192</v>
      </c>
      <c r="G80" s="97" t="s">
        <v>440</v>
      </c>
      <c r="H80" s="98">
        <v>2.8595211754852182E-3</v>
      </c>
      <c r="I80" s="99">
        <v>1692097</v>
      </c>
    </row>
    <row r="81" spans="1:18" s="97" customFormat="1" x14ac:dyDescent="0.2">
      <c r="B81" s="97" t="s">
        <v>441</v>
      </c>
      <c r="C81" s="98">
        <v>8.5964770609135396E-4</v>
      </c>
      <c r="D81" s="99">
        <v>11115023</v>
      </c>
      <c r="G81" s="97" t="s">
        <v>439</v>
      </c>
      <c r="H81" s="98">
        <v>1.496781862346704E-3</v>
      </c>
      <c r="I81" s="99">
        <v>3689192</v>
      </c>
    </row>
    <row r="82" spans="1:18" s="97" customFormat="1" x14ac:dyDescent="0.2">
      <c r="B82" s="97" t="s">
        <v>403</v>
      </c>
      <c r="C82" s="98">
        <v>3.8053187558391155E-3</v>
      </c>
      <c r="D82" s="99">
        <v>5920853</v>
      </c>
      <c r="G82" s="97" t="s">
        <v>442</v>
      </c>
      <c r="H82" s="98">
        <v>4.9611742780645285E-3</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94</v>
      </c>
      <c r="D92" s="102">
        <v>0.89319005594604417</v>
      </c>
      <c r="E92" s="102">
        <v>0.76457974203651125</v>
      </c>
      <c r="F92" s="102">
        <v>0.78127767980143858</v>
      </c>
      <c r="G92" s="102">
        <v>0.78506069222102459</v>
      </c>
      <c r="H92" s="102">
        <v>0.78869985341617532</v>
      </c>
      <c r="I92" s="102">
        <v>0.83233599956566351</v>
      </c>
      <c r="J92" s="102">
        <v>0.79412217081230241</v>
      </c>
      <c r="K92" s="102">
        <v>0.79717947902495134</v>
      </c>
      <c r="L92" s="102">
        <v>0.88552132813226558</v>
      </c>
      <c r="M92" s="102">
        <v>0.91825419491726901</v>
      </c>
      <c r="O92" s="97">
        <v>12153634</v>
      </c>
    </row>
    <row r="93" spans="1:18" s="97" customFormat="1" hidden="1" x14ac:dyDescent="0.2">
      <c r="B93" s="97">
        <v>2</v>
      </c>
      <c r="C93" s="97" t="s">
        <v>99</v>
      </c>
      <c r="D93" s="102">
        <v>5.7948029471994587E-2</v>
      </c>
      <c r="E93" s="102">
        <v>7.0310979569115875E-2</v>
      </c>
      <c r="F93" s="102">
        <v>0.16755639804807956</v>
      </c>
      <c r="G93" s="102">
        <v>0.16277166224836606</v>
      </c>
      <c r="H93" s="102">
        <v>0.15589857401379975</v>
      </c>
      <c r="I93" s="102">
        <v>9.9047311635007282E-2</v>
      </c>
      <c r="J93" s="102">
        <v>0.14504758078791069</v>
      </c>
      <c r="K93" s="102">
        <v>0.14654967878024686</v>
      </c>
      <c r="L93" s="102">
        <v>9.9403102658906339E-2</v>
      </c>
      <c r="M93" s="102">
        <v>6.4915918504053982E-2</v>
      </c>
      <c r="O93" s="97">
        <v>553960</v>
      </c>
    </row>
    <row r="94" spans="1:18" s="97" customFormat="1" hidden="1" x14ac:dyDescent="0.2">
      <c r="B94" s="97">
        <v>3</v>
      </c>
      <c r="C94" s="97" t="s">
        <v>93</v>
      </c>
      <c r="D94" s="102">
        <v>7.8404588230186756E-3</v>
      </c>
      <c r="E94" s="102"/>
      <c r="F94" s="102"/>
      <c r="G94" s="102"/>
      <c r="H94" s="102"/>
      <c r="I94" s="102"/>
      <c r="J94" s="102">
        <v>9.5724442461884753E-3</v>
      </c>
      <c r="K94" s="102">
        <v>7.0572621641302414E-3</v>
      </c>
      <c r="L94" s="102">
        <v>5.758091892931568E-3</v>
      </c>
      <c r="M94" s="102">
        <v>5.6346853735115042E-3</v>
      </c>
      <c r="O94" s="97">
        <v>3050596</v>
      </c>
    </row>
    <row r="95" spans="1:18" s="97" customFormat="1" hidden="1" x14ac:dyDescent="0.2">
      <c r="B95" s="97">
        <v>4</v>
      </c>
      <c r="C95" s="97" t="s">
        <v>138</v>
      </c>
      <c r="D95" s="102"/>
      <c r="E95" s="102"/>
      <c r="F95" s="102"/>
      <c r="G95" s="102"/>
      <c r="H95" s="102">
        <v>8.6140915077909143E-3</v>
      </c>
      <c r="I95" s="102">
        <v>1.1086003339410583E-2</v>
      </c>
      <c r="J95" s="102">
        <v>8.3988152632261254E-3</v>
      </c>
      <c r="K95" s="102">
        <v>5.8537278133234142E-3</v>
      </c>
      <c r="L95" s="102">
        <v>2.8595211754852182E-3</v>
      </c>
      <c r="M95" s="102">
        <v>3.4197334335350571E-3</v>
      </c>
      <c r="O95" s="97">
        <v>1692097</v>
      </c>
    </row>
    <row r="96" spans="1:18" s="97" customFormat="1" hidden="1" x14ac:dyDescent="0.2">
      <c r="B96" s="97">
        <v>5</v>
      </c>
      <c r="C96" s="97" t="s">
        <v>121</v>
      </c>
      <c r="D96" s="102"/>
      <c r="E96" s="102">
        <v>9.3372604920736024E-3</v>
      </c>
      <c r="F96" s="102">
        <v>1.0238016069382402E-2</v>
      </c>
      <c r="G96" s="102">
        <v>7.0503740085245108E-3</v>
      </c>
      <c r="H96" s="102">
        <v>8.5902849949920645E-3</v>
      </c>
      <c r="I96" s="102"/>
      <c r="J96" s="102"/>
      <c r="K96" s="102"/>
      <c r="L96" s="102">
        <v>1.496781862346704E-3</v>
      </c>
      <c r="M96" s="102">
        <v>2.01584259056448E-3</v>
      </c>
      <c r="O96" s="97">
        <v>3689192</v>
      </c>
    </row>
    <row r="97" spans="1:15" s="97" customFormat="1" hidden="1" x14ac:dyDescent="0.2">
      <c r="B97" s="97">
        <v>6</v>
      </c>
      <c r="C97" s="97" t="s">
        <v>96</v>
      </c>
      <c r="D97" s="102">
        <v>7.7595987788345267E-3</v>
      </c>
      <c r="E97" s="102"/>
      <c r="F97" s="102">
        <v>1.0084013921628139E-2</v>
      </c>
      <c r="G97" s="102">
        <v>1.1622841649619782E-2</v>
      </c>
      <c r="H97" s="102">
        <v>9.7609819507461799E-3</v>
      </c>
      <c r="I97" s="102">
        <v>1.1803281933609598E-2</v>
      </c>
      <c r="J97" s="102">
        <v>1.9170735072322934E-2</v>
      </c>
      <c r="K97" s="102">
        <v>2.1970218742508221E-2</v>
      </c>
      <c r="L97" s="102"/>
      <c r="M97" s="102"/>
      <c r="O97" s="97">
        <v>11115023</v>
      </c>
    </row>
    <row r="98" spans="1:15" s="97" customFormat="1" hidden="1" x14ac:dyDescent="0.2">
      <c r="B98" s="97">
        <v>7</v>
      </c>
      <c r="C98" s="97" t="s">
        <v>245</v>
      </c>
      <c r="D98" s="102">
        <v>9.5500740727806933E-3</v>
      </c>
      <c r="E98" s="102">
        <v>1.5094683361145795E-2</v>
      </c>
      <c r="F98" s="102">
        <v>9.2908435985647169E-3</v>
      </c>
      <c r="G98" s="102">
        <v>1.2679003654302181E-2</v>
      </c>
      <c r="H98" s="102"/>
      <c r="I98" s="102">
        <v>8.992923394706644E-3</v>
      </c>
      <c r="J98" s="102"/>
      <c r="K98" s="102"/>
      <c r="L98" s="102"/>
      <c r="M98" s="102"/>
      <c r="O98" s="97">
        <v>2480382</v>
      </c>
    </row>
    <row r="99" spans="1:15" s="97" customFormat="1" hidden="1" x14ac:dyDescent="0.2">
      <c r="B99" s="97">
        <v>8</v>
      </c>
      <c r="C99" s="97" t="s">
        <v>287</v>
      </c>
      <c r="D99" s="102"/>
      <c r="E99" s="102">
        <v>0.11293140023263792</v>
      </c>
      <c r="F99" s="102"/>
      <c r="G99" s="102"/>
      <c r="H99" s="102"/>
      <c r="I99" s="102"/>
      <c r="J99" s="102"/>
      <c r="K99" s="102"/>
      <c r="L99" s="102"/>
      <c r="M99" s="102"/>
      <c r="O99" s="97">
        <v>7434864</v>
      </c>
    </row>
    <row r="100" spans="1:15" s="97" customFormat="1" hidden="1" x14ac:dyDescent="0.2">
      <c r="B100" s="97">
        <v>9</v>
      </c>
      <c r="C100" s="97" t="s">
        <v>101</v>
      </c>
      <c r="D100" s="102">
        <v>2.3711782907327329E-2</v>
      </c>
      <c r="E100" s="102">
        <v>2.7745934308515591E-2</v>
      </c>
      <c r="F100" s="102">
        <v>2.1553048560906594E-2</v>
      </c>
      <c r="G100" s="102">
        <v>2.0815426218162812E-2</v>
      </c>
      <c r="H100" s="102">
        <v>2.8436214116495759E-2</v>
      </c>
      <c r="I100" s="102">
        <v>3.6734480131602347E-2</v>
      </c>
      <c r="J100" s="102">
        <v>2.3688253818049357E-2</v>
      </c>
      <c r="K100" s="102">
        <v>2.1389633474839919E-2</v>
      </c>
      <c r="L100" s="102">
        <v>4.9611742780645797E-3</v>
      </c>
      <c r="M100" s="102">
        <v>5.7596251810659244E-3</v>
      </c>
      <c r="O100" s="97">
        <v>5920853</v>
      </c>
    </row>
    <row r="101" spans="1:15" s="97" customFormat="1" hidden="1" x14ac:dyDescent="0.2">
      <c r="B101" s="97">
        <v>10</v>
      </c>
      <c r="D101" s="102"/>
      <c r="E101" s="102"/>
      <c r="F101" s="102"/>
      <c r="G101" s="102"/>
      <c r="H101" s="102"/>
      <c r="I101" s="102"/>
      <c r="J101" s="102"/>
      <c r="K101" s="102"/>
      <c r="L101" s="102"/>
      <c r="M101" s="102"/>
      <c r="O101" s="97">
        <v>14393110</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10</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22</v>
      </c>
      <c r="D120" s="56">
        <v>45</v>
      </c>
      <c r="E120" s="56">
        <v>22</v>
      </c>
      <c r="F120" s="57">
        <v>89</v>
      </c>
    </row>
    <row r="121" spans="1:14" ht="18" customHeight="1" x14ac:dyDescent="0.2">
      <c r="A121" s="225" t="s">
        <v>23</v>
      </c>
      <c r="B121" s="30" t="s">
        <v>58</v>
      </c>
      <c r="C121" s="58">
        <v>27.025909423828125</v>
      </c>
      <c r="D121" s="58">
        <v>20.364667002360026</v>
      </c>
      <c r="E121" s="58">
        <v>17.931818008422852</v>
      </c>
      <c r="F121" s="59">
        <v>21.409887313842773</v>
      </c>
    </row>
    <row r="122" spans="1:14" ht="18" customHeight="1" x14ac:dyDescent="0.2">
      <c r="A122" s="226"/>
      <c r="B122" s="33" t="s">
        <v>51</v>
      </c>
      <c r="C122" s="60">
        <v>538.8636474609375</v>
      </c>
      <c r="D122" s="60">
        <v>309.06666937934028</v>
      </c>
      <c r="E122" s="60">
        <v>261.81817626953125</v>
      </c>
      <c r="F122" s="61">
        <v>354.19100952148437</v>
      </c>
    </row>
    <row r="123" spans="1:14" ht="18" customHeight="1" x14ac:dyDescent="0.2">
      <c r="A123" s="226"/>
      <c r="B123" s="33" t="s">
        <v>52</v>
      </c>
      <c r="C123" s="60">
        <v>198.04545593261719</v>
      </c>
      <c r="D123" s="60">
        <v>99.422221544053826</v>
      </c>
      <c r="E123" s="60">
        <v>65.545455932617188</v>
      </c>
      <c r="F123" s="61">
        <v>115.42696380615234</v>
      </c>
    </row>
    <row r="124" spans="1:14" ht="18" customHeight="1" x14ac:dyDescent="0.2">
      <c r="A124" s="226"/>
      <c r="B124" s="33" t="s">
        <v>53</v>
      </c>
      <c r="C124" s="60">
        <v>439.2279052734375</v>
      </c>
      <c r="D124" s="60">
        <v>267.85136990017361</v>
      </c>
      <c r="E124" s="60">
        <v>223.84172058105469</v>
      </c>
      <c r="F124" s="61">
        <v>299.3353271484375</v>
      </c>
    </row>
    <row r="125" spans="1:14" ht="18" customHeight="1" x14ac:dyDescent="0.2">
      <c r="A125" s="226"/>
      <c r="B125" s="33" t="s">
        <v>54</v>
      </c>
      <c r="C125" s="28">
        <v>411.74822998046875</v>
      </c>
      <c r="D125" s="28">
        <v>219.24487813313803</v>
      </c>
      <c r="E125" s="28">
        <v>64.868675231933594</v>
      </c>
      <c r="F125" s="62">
        <v>228.66957092285156</v>
      </c>
    </row>
    <row r="126" spans="1:14" ht="18" customHeight="1" x14ac:dyDescent="0.2">
      <c r="A126" s="226"/>
      <c r="B126" s="33" t="s">
        <v>59</v>
      </c>
      <c r="C126" s="28">
        <f ca="1">930.4548125*OFFSET($L$112,MATCH($N$1,$C$112:$C$113,0)-1,0)</f>
        <v>930.4548125</v>
      </c>
      <c r="D126" s="28">
        <f ca="1">466.283659027778*OFFSET($L$112,MATCH($N$1,$C$112:$C$113,0)-1,0)</f>
        <v>466.28365902777801</v>
      </c>
      <c r="E126" s="28">
        <f ca="1">152.8316875*OFFSET($L$112,MATCH($N$1,$C$112:$C$113,0)-1,0)</f>
        <v>152.83168749999999</v>
      </c>
      <c r="F126" s="62">
        <f ca="1">503.54009375*OFFSET($L$112,MATCH($N$1,$C$112:$C$113,0)-1,0)</f>
        <v>503.54009374999998</v>
      </c>
    </row>
    <row r="127" spans="1:14" ht="18" customHeight="1" x14ac:dyDescent="0.2">
      <c r="A127" s="226"/>
      <c r="B127" s="33" t="s">
        <v>56</v>
      </c>
      <c r="C127" s="60">
        <v>201.04545593261719</v>
      </c>
      <c r="D127" s="60">
        <v>181.08888346354166</v>
      </c>
      <c r="E127" s="60">
        <v>125.40908813476563</v>
      </c>
      <c r="F127" s="61">
        <v>172.2584228515625</v>
      </c>
    </row>
    <row r="128" spans="1:14" ht="18" customHeight="1" x14ac:dyDescent="0.2">
      <c r="A128" s="226"/>
      <c r="B128" s="33" t="s">
        <v>60</v>
      </c>
      <c r="C128" s="60">
        <v>32.363636016845703</v>
      </c>
      <c r="D128" s="60">
        <v>36.422222561306427</v>
      </c>
      <c r="E128" s="60">
        <v>41.318180084228516</v>
      </c>
      <c r="F128" s="61">
        <v>36.629215240478516</v>
      </c>
    </row>
    <row r="129" spans="1:14" ht="18" customHeight="1" x14ac:dyDescent="0.2">
      <c r="A129" s="226"/>
      <c r="B129" s="33" t="s">
        <v>61</v>
      </c>
      <c r="C129" s="63">
        <v>2.0480353832244873</v>
      </c>
      <c r="D129" s="63">
        <v>1.210703130638487</v>
      </c>
      <c r="E129" s="63">
        <v>0.51725655794143677</v>
      </c>
      <c r="F129" s="64">
        <v>1.3274797201156616</v>
      </c>
    </row>
    <row r="130" spans="1:14" ht="18" customHeight="1" x14ac:dyDescent="0.2">
      <c r="A130" s="227"/>
      <c r="B130" s="35" t="s">
        <v>24</v>
      </c>
      <c r="C130" s="37">
        <f ca="1">2259.76639303133*OFFSET($L$112,MATCH($N$1,$C$112:$C$113,0)-1,0)</f>
        <v>2259.7663930313302</v>
      </c>
      <c r="D130" s="37">
        <f ca="1">2126.77104705098*OFFSET($L$112,MATCH($N$1,$C$112:$C$113,0)-1,0)</f>
        <v>2126.7710470509801</v>
      </c>
      <c r="E130" s="37">
        <f ca="1">2356.01678242327*OFFSET($L$112,MATCH($N$1,$C$112:$C$113,0)-1,0)</f>
        <v>2356.0167824232699</v>
      </c>
      <c r="F130" s="65">
        <f ca="1">2202*OFFSET($L$112,MATCH($N$1,$C$112:$C$113,0)-1,0)</f>
        <v>2202</v>
      </c>
    </row>
    <row r="131" spans="1:14" ht="18" customHeight="1" x14ac:dyDescent="0.2">
      <c r="A131" s="239" t="s">
        <v>25</v>
      </c>
      <c r="B131" s="30" t="s">
        <v>62</v>
      </c>
      <c r="C131" s="66">
        <v>3.5290912522502205</v>
      </c>
      <c r="D131" s="66">
        <v>3.5637624754019424</v>
      </c>
      <c r="E131" s="66">
        <v>1.9169409504737354</v>
      </c>
      <c r="F131" s="67">
        <v>3.3474676818724278</v>
      </c>
    </row>
    <row r="132" spans="1:14" ht="18" customHeight="1" x14ac:dyDescent="0.2">
      <c r="A132" s="228"/>
      <c r="B132" s="33" t="s">
        <v>63</v>
      </c>
      <c r="C132" s="63">
        <f ca="1">7.97492180977591*OFFSET($L$112,MATCH($N$1,$C$112:$C$113,0)-1,0)</f>
        <v>7.9749218097759096</v>
      </c>
      <c r="D132" s="63">
        <f ca="1">7.57930685125157*OFFSET($L$112,MATCH($N$1,$C$112:$C$113,0)-1,0)</f>
        <v>7.5793068512515704</v>
      </c>
      <c r="E132" s="63">
        <f ca="1">4.51634505023053*OFFSET($L$112,MATCH($N$1,$C$112:$C$113,0)-1,0)</f>
        <v>4.5163450502305302</v>
      </c>
      <c r="F132" s="64">
        <f ca="1">7.37126581185487*OFFSET($L$112,MATCH($N$1,$C$112:$C$113,0)-1,0)</f>
        <v>7.3712658118548697</v>
      </c>
    </row>
    <row r="133" spans="1:14" ht="18" customHeight="1" x14ac:dyDescent="0.2">
      <c r="A133" s="228"/>
      <c r="B133" s="33" t="s">
        <v>11</v>
      </c>
      <c r="C133" s="63">
        <f ca="1">5.97690626253006*OFFSET($L$112,MATCH($N$1,$C$112:$C$113,0)-1,0)</f>
        <v>5.9769062625300604</v>
      </c>
      <c r="D133" s="63">
        <f ca="1">6.08102943171665*OFFSET($L$112,MATCH($N$1,$C$112:$C$113,0)-1,0)</f>
        <v>6.08102943171665</v>
      </c>
      <c r="E133" s="63">
        <f ca="1">4.25649752007368*OFFSET($L$112,MATCH($N$1,$C$112:$C$113,0)-1,0)</f>
        <v>4.2564975200736797</v>
      </c>
      <c r="F133" s="64">
        <f ca="1">5.81365167572352*OFFSET($L$112,MATCH($N$1,$C$112:$C$113,0)-1,0)</f>
        <v>5.8136516757235199</v>
      </c>
    </row>
    <row r="134" spans="1:14" ht="18" customHeight="1" x14ac:dyDescent="0.2">
      <c r="A134" s="229"/>
      <c r="B134" s="35" t="s">
        <v>12</v>
      </c>
      <c r="C134" s="68">
        <f ca="1">1.99801554724586*OFFSET($L$112,MATCH($N$1,$C$112:$C$113,0)-1,0)</f>
        <v>1.9980155472458601</v>
      </c>
      <c r="D134" s="68">
        <f ca="1">1.49827741953492*OFFSET($L$112,MATCH($N$1,$C$112:$C$113,0)-1,0)</f>
        <v>1.49827741953492</v>
      </c>
      <c r="E134" s="68">
        <f ca="1">0.259847530156844*OFFSET($L$112,MATCH($N$1,$C$112:$C$113,0)-1,0)</f>
        <v>0.25984753015684398</v>
      </c>
      <c r="F134" s="69">
        <f ca="1">1.55761413613134*OFFSET($L$112,MATCH($N$1,$C$112:$C$113,0)-1,0)</f>
        <v>1.55761413613134</v>
      </c>
    </row>
    <row r="135" spans="1:14" ht="18" customHeight="1" x14ac:dyDescent="0.2">
      <c r="A135" s="240" t="s">
        <v>45</v>
      </c>
      <c r="B135" s="33" t="s">
        <v>102</v>
      </c>
      <c r="C135" s="70">
        <f ca="1">107.5770234375*OFFSET($L$112,MATCH($N$1,$C$112:$C$113,0)-1,0)</f>
        <v>107.5770234375</v>
      </c>
      <c r="D135" s="70">
        <f ca="1">78.5571288194445*OFFSET($L$112,MATCH($N$1,$C$112:$C$113,0)-1,0)</f>
        <v>78.5571288194445</v>
      </c>
      <c r="E135" s="70">
        <f ca="1">47.1669296875*OFFSET($L$112,MATCH($N$1,$C$112:$C$113,0)-1,0)</f>
        <v>47.166929687500001</v>
      </c>
      <c r="F135" s="71">
        <f ca="1">77.9712109375*OFFSET($L$112,MATCH($N$1,$C$112:$C$113,0)-1,0)</f>
        <v>77.971210937500004</v>
      </c>
    </row>
    <row r="136" spans="1:14" ht="18" customHeight="1" x14ac:dyDescent="0.2">
      <c r="A136" s="241"/>
      <c r="B136" s="33" t="s">
        <v>103</v>
      </c>
      <c r="C136" s="26">
        <v>253636.36541968209</v>
      </c>
      <c r="D136" s="26">
        <v>185241.10698543684</v>
      </c>
      <c r="E136" s="26">
        <v>111184.08927342854</v>
      </c>
      <c r="F136" s="72">
        <v>183841.57303370786</v>
      </c>
    </row>
    <row r="137" spans="1:14" ht="18" customHeight="1" x14ac:dyDescent="0.2">
      <c r="A137" s="241"/>
      <c r="B137" s="33" t="s">
        <v>104</v>
      </c>
      <c r="C137" s="26">
        <v>1261.587158203125</v>
      </c>
      <c r="D137" s="26">
        <v>1022.9292016300444</v>
      </c>
      <c r="E137" s="26">
        <v>886.57122802734375</v>
      </c>
      <c r="F137" s="72">
        <v>1067.2427978515625</v>
      </c>
    </row>
    <row r="138" spans="1:14" ht="18" customHeight="1" x14ac:dyDescent="0.2">
      <c r="A138" s="241"/>
      <c r="B138" s="33" t="s">
        <v>105</v>
      </c>
      <c r="C138" s="26">
        <f ca="1">535.088062241784*OFFSET($L$112,MATCH($N$1,$C$112:$C$113,0)-1,0)</f>
        <v>535.08806224178397</v>
      </c>
      <c r="D138" s="26">
        <f ca="1">433.804258532856*OFFSET($L$112,MATCH($N$1,$C$112:$C$113,0)-1,0)</f>
        <v>433.80425853285601</v>
      </c>
      <c r="E138" s="26">
        <f ca="1">376.104558202465*OFFSET($L$112,MATCH($N$1,$C$112:$C$113,0)-1,0)</f>
        <v>376.104558202465</v>
      </c>
      <c r="F138" s="72">
        <f ca="1">452.640919652962*OFFSET($L$112,MATCH($N$1,$C$112:$C$113,0)-1,0)</f>
        <v>452.640919652962</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261.268939620221*OFFSET($L$112,MATCH($N$1,$C$112:$C$113,0)-1,0)</f>
        <v>261.26893962022098</v>
      </c>
      <c r="D139" s="26">
        <f ca="1">358.307703643321*OFFSET($L$112,MATCH($N$1,$C$112:$C$113,0)-1,0)</f>
        <v>358.30770364332102</v>
      </c>
      <c r="E139" s="26">
        <f ca="1">727.114119701964*OFFSET($L$112,MATCH($N$1,$C$112:$C$113,0)-1,0)</f>
        <v>727.114119701964</v>
      </c>
      <c r="F139" s="72">
        <f ca="1">340.977641331237*OFFSET($L$112,MATCH($N$1,$C$112:$C$113,0)-1,0)</f>
        <v>340.97764133123701</v>
      </c>
      <c r="I139" s="49"/>
      <c r="K139" s="73" t="s">
        <v>107</v>
      </c>
      <c r="L139" s="74">
        <f t="shared" ref="L139:M141" ca="1" si="2">C140</f>
        <v>934.93212500000004</v>
      </c>
      <c r="M139" s="74">
        <f t="shared" ca="1" si="2"/>
        <v>468.52739374999999</v>
      </c>
      <c r="N139" s="74">
        <f ca="1">E140</f>
        <v>153.567125</v>
      </c>
    </row>
    <row r="140" spans="1:14" ht="18" customHeight="1" x14ac:dyDescent="0.2">
      <c r="A140" s="230" t="s">
        <v>46</v>
      </c>
      <c r="B140" s="30" t="s">
        <v>108</v>
      </c>
      <c r="C140" s="75">
        <f ca="1">934.932125*OFFSET($L$112,MATCH($N$1,$C$112:$C$113,0)-1,0)</f>
        <v>934.93212500000004</v>
      </c>
      <c r="D140" s="75">
        <f ca="1">468.52739375*OFFSET($L$112,MATCH($N$1,$C$112:$C$113,0)-1,0)</f>
        <v>468.52739374999999</v>
      </c>
      <c r="E140" s="75">
        <f ca="1">153.567125*OFFSET($L$112,MATCH($N$1,$C$112:$C$113,0)-1,0)</f>
        <v>153.567125</v>
      </c>
      <c r="F140" s="76">
        <f ca="1">505.96309375*OFFSET($L$112,MATCH($N$1,$C$112:$C$113,0)-1,0)</f>
        <v>505.96309374999998</v>
      </c>
      <c r="I140" s="49"/>
      <c r="K140" s="73" t="s">
        <v>109</v>
      </c>
      <c r="L140" s="74">
        <f t="shared" ca="1" si="2"/>
        <v>701.81849999999997</v>
      </c>
      <c r="M140" s="74">
        <f t="shared" ca="1" si="2"/>
        <v>376.35243750000001</v>
      </c>
      <c r="N140" s="74">
        <f ca="1">E141</f>
        <v>144.77395312499999</v>
      </c>
    </row>
    <row r="141" spans="1:14" ht="18" customHeight="1" x14ac:dyDescent="0.2">
      <c r="A141" s="237"/>
      <c r="B141" s="33" t="s">
        <v>110</v>
      </c>
      <c r="C141" s="26">
        <f ca="1">701.8185*OFFSET($L$112,MATCH($N$1,$C$112:$C$113,0)-1,0)</f>
        <v>701.81849999999997</v>
      </c>
      <c r="D141" s="26">
        <f ca="1">376.3524375*OFFSET($L$112,MATCH($N$1,$C$112:$C$113,0)-1,0)</f>
        <v>376.35243750000001</v>
      </c>
      <c r="E141" s="26">
        <f ca="1">144.773953125*OFFSET($L$112,MATCH($N$1,$C$112:$C$113,0)-1,0)</f>
        <v>144.77395312499999</v>
      </c>
      <c r="F141" s="72">
        <f ca="1">399.56059375*OFFSET($L$112,MATCH($N$1,$C$112:$C$113,0)-1,0)</f>
        <v>399.56059375000001</v>
      </c>
      <c r="I141" s="49"/>
      <c r="K141" s="73" t="s">
        <v>111</v>
      </c>
      <c r="L141" s="74">
        <f t="shared" ca="1" si="2"/>
        <v>233.11362500000001</v>
      </c>
      <c r="M141" s="74">
        <f t="shared" ca="1" si="2"/>
        <v>92.174956249999994</v>
      </c>
      <c r="N141" s="74">
        <f ca="1">E142</f>
        <v>8.7931718750000005</v>
      </c>
    </row>
    <row r="142" spans="1:14" ht="18" customHeight="1" x14ac:dyDescent="0.2">
      <c r="A142" s="238"/>
      <c r="B142" s="35" t="s">
        <v>112</v>
      </c>
      <c r="C142" s="37">
        <f ca="1">233.113625*OFFSET($L$112,MATCH($N$1,$C$112:$C$113,0)-1,0)</f>
        <v>233.11362500000001</v>
      </c>
      <c r="D142" s="37">
        <f ca="1">92.17495625*OFFSET($L$112,MATCH($N$1,$C$112:$C$113,0)-1,0)</f>
        <v>92.174956249999994</v>
      </c>
      <c r="E142" s="37">
        <f ca="1">8.793171875*OFFSET($L$112,MATCH($N$1,$C$112:$C$113,0)-1,0)</f>
        <v>8.7931718750000005</v>
      </c>
      <c r="F142" s="65">
        <f ca="1">106.4025078125*OFFSET($L$112,MATCH($N$1,$C$112:$C$113,0)-1,0)</f>
        <v>106.40250781250001</v>
      </c>
      <c r="I142" s="49"/>
      <c r="K142" s="73" t="s">
        <v>113</v>
      </c>
      <c r="L142" s="77">
        <f ca="1">IFERROR(L140/L$139,"")</f>
        <v>0.75066251467185374</v>
      </c>
      <c r="M142" s="77">
        <f t="shared" ref="M142:N143" ca="1" si="3">IFERROR(M140/M$139,"")</f>
        <v>0.80326666598456498</v>
      </c>
      <c r="N142" s="77">
        <f t="shared" ca="1" si="3"/>
        <v>0.94274053203118824</v>
      </c>
    </row>
    <row r="143" spans="1:14" ht="18" customHeight="1" x14ac:dyDescent="0.2">
      <c r="I143" s="49"/>
      <c r="K143" s="73" t="s">
        <v>114</v>
      </c>
      <c r="L143" s="77">
        <f ca="1">IFERROR(L141/L$139,"")</f>
        <v>0.24933748532814615</v>
      </c>
      <c r="M143" s="77">
        <f t="shared" ca="1" si="3"/>
        <v>0.19673333401543502</v>
      </c>
      <c r="N143" s="77">
        <f t="shared" ca="1" si="3"/>
        <v>5.7259467968811685E-2</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11</v>
      </c>
      <c r="B161" s="53"/>
      <c r="C161" s="79" t="s">
        <v>41</v>
      </c>
      <c r="D161" s="79" t="s">
        <v>115</v>
      </c>
      <c r="E161" s="79" t="s">
        <v>43</v>
      </c>
      <c r="F161" s="79" t="s">
        <v>116</v>
      </c>
      <c r="G161" s="80">
        <v>11</v>
      </c>
      <c r="H161" s="79"/>
      <c r="I161" s="79" t="s">
        <v>41</v>
      </c>
      <c r="J161" s="79" t="s">
        <v>115</v>
      </c>
      <c r="K161" s="79" t="s">
        <v>43</v>
      </c>
      <c r="L161" s="53" t="s">
        <v>116</v>
      </c>
    </row>
    <row r="162" spans="1:14" s="49" customFormat="1" x14ac:dyDescent="0.2">
      <c r="A162" s="50">
        <v>1</v>
      </c>
      <c r="B162" s="53" t="s">
        <v>94</v>
      </c>
      <c r="C162" s="53">
        <v>0.81164266746472347</v>
      </c>
      <c r="D162" s="53">
        <v>0.74613480384408215</v>
      </c>
      <c r="E162" s="53">
        <v>0.86336491689427974</v>
      </c>
      <c r="F162" s="50">
        <v>12153634</v>
      </c>
      <c r="G162" s="50">
        <v>1</v>
      </c>
      <c r="H162" s="53" t="s">
        <v>94</v>
      </c>
      <c r="I162" s="53">
        <v>0.90997203674033977</v>
      </c>
      <c r="J162" s="53">
        <v>0.85333108721436368</v>
      </c>
      <c r="K162" s="53">
        <v>0.93923741766283619</v>
      </c>
      <c r="L162" s="50">
        <v>12153634</v>
      </c>
    </row>
    <row r="163" spans="1:14" s="49" customFormat="1" x14ac:dyDescent="0.2">
      <c r="A163" s="50">
        <v>2</v>
      </c>
      <c r="B163" s="53" t="s">
        <v>99</v>
      </c>
      <c r="C163" s="53">
        <v>0.18256730585959433</v>
      </c>
      <c r="D163" s="53">
        <v>0.20013380751257454</v>
      </c>
      <c r="E163" s="53">
        <v>0.11698860317929548</v>
      </c>
      <c r="F163" s="50">
        <v>553960</v>
      </c>
      <c r="G163" s="50">
        <v>2</v>
      </c>
      <c r="H163" s="53" t="s">
        <v>99</v>
      </c>
      <c r="I163" s="53">
        <v>7.7455187881260629E-2</v>
      </c>
      <c r="J163" s="53">
        <v>0.13113267470000686</v>
      </c>
      <c r="K163" s="53">
        <v>3.5271915697139729E-2</v>
      </c>
      <c r="L163" s="50">
        <v>553960</v>
      </c>
      <c r="N163" s="49" t="s">
        <v>117</v>
      </c>
    </row>
    <row r="164" spans="1:14" s="49" customFormat="1" x14ac:dyDescent="0.2">
      <c r="A164" s="50">
        <v>3</v>
      </c>
      <c r="B164" s="53" t="s">
        <v>96</v>
      </c>
      <c r="C164" s="53">
        <v>7.5537111438487019E-4</v>
      </c>
      <c r="D164" s="53">
        <v>3.0262412526051389E-2</v>
      </c>
      <c r="E164" s="53">
        <v>0</v>
      </c>
      <c r="F164" s="50">
        <v>2480382</v>
      </c>
      <c r="G164" s="50">
        <v>3</v>
      </c>
      <c r="H164" s="53" t="s">
        <v>93</v>
      </c>
      <c r="I164" s="53">
        <v>0</v>
      </c>
      <c r="J164" s="53">
        <v>1.1016980386335086E-2</v>
      </c>
      <c r="K164" s="53">
        <v>8.0170917279747001E-3</v>
      </c>
      <c r="L164" s="50">
        <v>3050596</v>
      </c>
      <c r="N164" s="49" t="s">
        <v>118</v>
      </c>
    </row>
    <row r="165" spans="1:14" s="49" customFormat="1" x14ac:dyDescent="0.2">
      <c r="A165" s="50">
        <v>4</v>
      </c>
      <c r="B165" s="53" t="s">
        <v>121</v>
      </c>
      <c r="C165" s="53">
        <v>2.4122089614104949E-3</v>
      </c>
      <c r="D165" s="53">
        <v>5.1767775001223251E-3</v>
      </c>
      <c r="E165" s="53">
        <v>0</v>
      </c>
      <c r="F165" s="50">
        <v>3689192</v>
      </c>
      <c r="G165" s="50">
        <v>4</v>
      </c>
      <c r="H165" s="53" t="s">
        <v>97</v>
      </c>
      <c r="I165" s="53">
        <v>0</v>
      </c>
      <c r="J165" s="53">
        <v>1.8381495853341588E-3</v>
      </c>
      <c r="K165" s="53">
        <v>0</v>
      </c>
      <c r="L165" s="50">
        <v>11115023</v>
      </c>
    </row>
    <row r="166" spans="1:14" s="49" customFormat="1" x14ac:dyDescent="0.2">
      <c r="A166" s="50">
        <v>5</v>
      </c>
      <c r="B166" s="53" t="s">
        <v>170</v>
      </c>
      <c r="C166" s="53">
        <v>0</v>
      </c>
      <c r="D166" s="53">
        <v>4.1018529235137607E-3</v>
      </c>
      <c r="E166" s="53">
        <v>0</v>
      </c>
      <c r="F166" s="50">
        <v>7434864</v>
      </c>
      <c r="G166" s="50">
        <v>5</v>
      </c>
      <c r="H166" s="53" t="s">
        <v>16</v>
      </c>
      <c r="I166" s="53">
        <v>0</v>
      </c>
      <c r="J166" s="53">
        <v>7.0169057330801731E-4</v>
      </c>
      <c r="K166" s="53">
        <v>0</v>
      </c>
      <c r="L166" s="50">
        <v>8497745</v>
      </c>
    </row>
    <row r="167" spans="1:14" s="49" customFormat="1" x14ac:dyDescent="0.2">
      <c r="A167" s="50">
        <v>6</v>
      </c>
      <c r="B167" s="53" t="s">
        <v>137</v>
      </c>
      <c r="C167" s="53">
        <v>0</v>
      </c>
      <c r="D167" s="53">
        <v>0</v>
      </c>
      <c r="E167" s="53">
        <v>7.4598276215792599E-3</v>
      </c>
      <c r="F167" s="50">
        <v>14393110</v>
      </c>
      <c r="G167" s="50">
        <v>6</v>
      </c>
      <c r="H167" s="53" t="s">
        <v>137</v>
      </c>
      <c r="I167" s="53">
        <v>1.1670023429181304E-3</v>
      </c>
      <c r="J167" s="53">
        <v>0</v>
      </c>
      <c r="K167" s="53">
        <v>9.8259860909523881E-3</v>
      </c>
      <c r="L167" s="50">
        <v>14393110</v>
      </c>
    </row>
    <row r="168" spans="1:14" s="49" customFormat="1" x14ac:dyDescent="0.2">
      <c r="A168" s="50">
        <v>7</v>
      </c>
      <c r="B168" s="53" t="s">
        <v>93</v>
      </c>
      <c r="C168" s="53">
        <v>0</v>
      </c>
      <c r="D168" s="53">
        <v>0</v>
      </c>
      <c r="E168" s="53">
        <v>7.0580364772422841E-3</v>
      </c>
      <c r="F168" s="50">
        <v>3050596</v>
      </c>
      <c r="G168" s="50">
        <v>7</v>
      </c>
      <c r="H168" s="53" t="s">
        <v>244</v>
      </c>
      <c r="I168" s="53">
        <v>0</v>
      </c>
      <c r="J168" s="53">
        <v>0</v>
      </c>
      <c r="K168" s="53">
        <v>7.1873989682626014E-3</v>
      </c>
      <c r="L168" s="50">
        <v>2887140</v>
      </c>
    </row>
    <row r="169" spans="1:14" s="49" customFormat="1" x14ac:dyDescent="0.2">
      <c r="A169" s="50">
        <v>8</v>
      </c>
      <c r="B169" s="53" t="s">
        <v>244</v>
      </c>
      <c r="C169" s="53">
        <v>0</v>
      </c>
      <c r="D169" s="53">
        <v>0</v>
      </c>
      <c r="E169" s="53">
        <v>3.5345537310155634E-3</v>
      </c>
      <c r="F169" s="50">
        <v>2887140</v>
      </c>
      <c r="G169" s="50">
        <v>8</v>
      </c>
      <c r="H169" s="53" t="s">
        <v>138</v>
      </c>
      <c r="I169" s="53">
        <v>5.6903954506214612E-3</v>
      </c>
      <c r="J169" s="53">
        <v>0</v>
      </c>
      <c r="K169" s="53">
        <v>0</v>
      </c>
      <c r="L169" s="50">
        <v>1692097</v>
      </c>
    </row>
    <row r="170" spans="1:14" s="49" customFormat="1" x14ac:dyDescent="0.2">
      <c r="A170" s="50">
        <v>9</v>
      </c>
      <c r="B170" s="53" t="s">
        <v>138</v>
      </c>
      <c r="C170" s="53">
        <v>1.3667774767059436E-3</v>
      </c>
      <c r="D170" s="53">
        <v>0</v>
      </c>
      <c r="E170" s="53">
        <v>0</v>
      </c>
      <c r="F170" s="50">
        <v>1692097</v>
      </c>
      <c r="G170" s="50">
        <v>9</v>
      </c>
      <c r="H170" s="53" t="s">
        <v>121</v>
      </c>
      <c r="I170" s="53">
        <v>2.6490164268601537E-3</v>
      </c>
      <c r="J170" s="53">
        <v>0</v>
      </c>
      <c r="K170" s="53">
        <v>0</v>
      </c>
      <c r="L170" s="50">
        <v>3689192</v>
      </c>
    </row>
    <row r="171" spans="1:14" s="49" customFormat="1" x14ac:dyDescent="0.2">
      <c r="A171" s="50">
        <v>10</v>
      </c>
      <c r="B171" s="53" t="s">
        <v>101</v>
      </c>
      <c r="C171" s="53">
        <v>1.2556691231808692E-3</v>
      </c>
      <c r="D171" s="53">
        <v>1.4190345693655737E-2</v>
      </c>
      <c r="E171" s="53">
        <v>1.594062096587745E-3</v>
      </c>
      <c r="F171" s="50">
        <v>5920853</v>
      </c>
      <c r="G171" s="50">
        <v>10</v>
      </c>
      <c r="H171" s="53" t="s">
        <v>101</v>
      </c>
      <c r="I171" s="53">
        <v>3.0663611579999639E-3</v>
      </c>
      <c r="J171" s="53">
        <v>1.9794175406521175E-3</v>
      </c>
      <c r="K171" s="53">
        <v>4.6018985283435843E-4</v>
      </c>
      <c r="L171" s="50">
        <v>5920853</v>
      </c>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'UK scallop dredge over 15m'!D3:N3</xm:f>
              <xm:sqref>C3</xm:sqref>
            </x14:sparkline>
            <x14:sparkline>
              <xm:f>'UK scallop dredge over 15m'!D4:N4</xm:f>
              <xm:sqref>C4</xm:sqref>
            </x14:sparkline>
            <x14:sparkline>
              <xm:f>'UK scallop dredge over 15m'!D5:N5</xm:f>
              <xm:sqref>C5</xm:sqref>
            </x14:sparkline>
            <x14:sparkline>
              <xm:f>'UK scallop dredge over 15m'!D6:N6</xm:f>
              <xm:sqref>C6</xm:sqref>
            </x14:sparkline>
            <x14:sparkline>
              <xm:f>'UK scallop dredge over 15m'!D7:N7</xm:f>
              <xm:sqref>C7</xm:sqref>
            </x14:sparkline>
            <x14:sparkline>
              <xm:f>'UK scallop dredge over 15m'!D8:N8</xm:f>
              <xm:sqref>C8</xm:sqref>
            </x14:sparkline>
            <x14:sparkline>
              <xm:f>'UK scallop dredge over 15m'!D9:N9</xm:f>
              <xm:sqref>C9</xm:sqref>
            </x14:sparkline>
            <x14:sparkline>
              <xm:f>'UK scallop dredge over 15m'!F10:M10</xm:f>
              <xm:sqref>C10</xm:sqref>
            </x14:sparkline>
            <x14:sparkline>
              <xm:f>'UK scallop dredge over 15m'!D11:N11</xm:f>
              <xm:sqref>C11</xm:sqref>
            </x14:sparkline>
            <x14:sparkline>
              <xm:f>'UK scallop dredge over 15m'!D12:N12</xm:f>
              <xm:sqref>C12</xm:sqref>
            </x14:sparkline>
            <x14:sparkline>
              <xm:f>'UK scallop dredge over 15m'!D13:N13</xm:f>
              <xm:sqref>C13</xm:sqref>
            </x14:sparkline>
            <x14:sparkline>
              <xm:f>'UK scallop dredge over 15m'!D14:N14</xm:f>
              <xm:sqref>C14</xm:sqref>
            </x14:sparkline>
            <x14:sparkline>
              <xm:f>'UK scallop dredge over 15m'!D15:N15</xm:f>
              <xm:sqref>C15</xm:sqref>
            </x14:sparkline>
            <x14:sparkline>
              <xm:f>'UK scallop dredge over 15m'!D16:N16</xm:f>
              <xm:sqref>C16</xm:sqref>
            </x14:sparkline>
            <x14:sparkline>
              <xm:f>'UK scallop dredge over 15m'!D17:N17</xm:f>
              <xm:sqref>C17</xm:sqref>
            </x14:sparkline>
            <x14:sparkline>
              <xm:f>'UK scallop dredge over 15m'!D18:N18</xm:f>
              <xm:sqref>C18</xm:sqref>
            </x14:sparkline>
            <x14:sparkline>
              <xm:f>'UK scallop dredge over 15m'!D19:N19</xm:f>
              <xm:sqref>C19</xm:sqref>
            </x14:sparkline>
            <x14:sparkline>
              <xm:f>'UK scallop dredge over 15m'!D20:N20</xm:f>
              <xm:sqref>C20</xm:sqref>
            </x14:sparkline>
            <x14:sparkline>
              <xm:f>'UK scallop dredge over 15m'!D21:N21</xm:f>
              <xm:sqref>C21</xm:sqref>
            </x14:sparkline>
            <x14:sparkline>
              <xm:f>'UK scallop dredge over 15m'!D22:N22</xm:f>
              <xm:sqref>C22</xm:sqref>
            </x14:sparkline>
            <x14:sparkline>
              <xm:f>'UK scallop dredge over 15m'!D23:N23</xm:f>
              <xm:sqref>C23</xm:sqref>
            </x14:sparkline>
            <x14:sparkline>
              <xm:f>'UK scallop dredge over 15m'!D24:N24</xm:f>
              <xm:sqref>C24</xm:sqref>
            </x14:sparkline>
            <x14:sparkline>
              <xm:f>'UK scallop dredge over 15m'!F25:M25</xm:f>
              <xm:sqref>C25</xm:sqref>
            </x14:sparkline>
            <x14:sparkline>
              <xm:f>'UK scallop dredge over 15m'!F26:M26</xm:f>
              <xm:sqref>C26</xm:sqref>
            </x14:sparkline>
            <x14:sparkline>
              <xm:f>'UK scallop dredge over 15m'!D27:N27</xm:f>
              <xm:sqref>C27</xm:sqref>
            </x14:sparkline>
            <x14:sparkline>
              <xm:f>'UK scallop dredge over 15m'!D28:N28</xm:f>
              <xm:sqref>C28</xm:sqref>
            </x14:sparkline>
            <x14:sparkline>
              <xm:f>'UK scallop dredge over 15m'!D29:N29</xm:f>
              <xm:sqref>C29</xm:sqref>
            </x14:sparkline>
            <x14:sparkline>
              <xm:f>'UK scallop dredge over 15m'!D30:N30</xm:f>
              <xm:sqref>C30</xm:sqref>
            </x14:sparkline>
            <x14:sparkline>
              <xm:f>'UK scallop dredge over 15m'!D31:N31</xm:f>
              <xm:sqref>C31</xm:sqref>
            </x14:sparkline>
            <x14:sparkline>
              <xm:f>'UK scallop dredge over 15m'!D32:N32</xm:f>
              <xm:sqref>C32</xm:sqref>
            </x14:sparkline>
            <x14:sparkline>
              <xm:f>'UK scallop dredge over 15m'!D33:N33</xm:f>
              <xm:sqref>C33</xm:sqref>
            </x14:sparkline>
            <x14:sparkline>
              <xm:f>'UK scallop dredge over 15m'!D34:N34</xm:f>
              <xm:sqref>C34</xm:sqref>
            </x14:sparkline>
            <x14:sparkline>
              <xm:f>'UK scallop dredge over 15m'!D35:N35</xm:f>
              <xm:sqref>C35</xm:sqref>
            </x14:sparkline>
            <x14:sparkline>
              <xm:f>'UK scallop dredge over 15m'!D36:N36</xm:f>
              <xm:sqref>C36</xm:sqref>
            </x14:sparkline>
            <x14:sparkline>
              <xm:f>'UK scallop dredge over 15m'!D37:N37</xm:f>
              <xm:sqref>C37</xm:sqref>
            </x14:sparkline>
            <x14:sparkline>
              <xm:f>'UK scallop dredge over 15m'!D38:M38</xm:f>
              <xm:sqref>C38</xm:sqref>
            </x14:sparkline>
            <x14:sparkline>
              <xm:f>'UK scallop dredge over 15m'!D39:M39</xm:f>
              <xm:sqref>C39</xm:sqref>
            </x14:sparkline>
            <x14:sparkline>
              <xm:f>'UK scallop dredge over 15m'!D40:M40</xm:f>
              <xm:sqref>C40</xm:sqref>
            </x14:sparkline>
            <x14:sparkline>
              <xm:f>'UK scallop dredge over 15m'!D41:M41</xm:f>
              <xm:sqref>C41</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0"/>
  <sheetViews>
    <sheetView workbookViewId="0">
      <selection activeCell="C1" sqref="C1"/>
    </sheetView>
  </sheetViews>
  <sheetFormatPr defaultColWidth="8.875" defaultRowHeight="15" x14ac:dyDescent="0.25"/>
  <cols>
    <col min="1" max="1" width="8.875" style="157"/>
    <col min="2" max="2" width="72.125" style="158" customWidth="1"/>
    <col min="3" max="16384" width="8.875" style="157"/>
  </cols>
  <sheetData>
    <row r="1" spans="1:3" ht="27" customHeight="1" thickBot="1" x14ac:dyDescent="0.3">
      <c r="B1" s="153" t="s">
        <v>646</v>
      </c>
      <c r="C1" s="152" t="s">
        <v>3</v>
      </c>
    </row>
    <row r="2" spans="1:3" x14ac:dyDescent="0.25">
      <c r="A2" s="214"/>
      <c r="B2" s="214"/>
      <c r="C2" s="214"/>
    </row>
    <row r="3" spans="1:3" ht="30.75" customHeight="1" x14ac:dyDescent="0.25">
      <c r="A3" s="213" t="s">
        <v>647</v>
      </c>
      <c r="B3" s="213"/>
      <c r="C3" s="213"/>
    </row>
    <row r="4" spans="1:3" x14ac:dyDescent="0.25">
      <c r="A4" s="158"/>
      <c r="C4" s="158"/>
    </row>
    <row r="5" spans="1:3" ht="30" customHeight="1" x14ac:dyDescent="0.25">
      <c r="A5" s="158"/>
      <c r="C5" s="158"/>
    </row>
    <row r="6" spans="1:3" x14ac:dyDescent="0.25">
      <c r="A6" s="213"/>
      <c r="B6" s="213"/>
      <c r="C6" s="213"/>
    </row>
    <row r="7" spans="1:3" ht="15" customHeight="1" x14ac:dyDescent="0.25">
      <c r="A7" s="215"/>
      <c r="B7" s="215"/>
      <c r="C7" s="215"/>
    </row>
    <row r="8" spans="1:3" x14ac:dyDescent="0.25">
      <c r="B8" s="157"/>
    </row>
    <row r="9" spans="1:3" ht="66.75" customHeight="1" x14ac:dyDescent="0.25">
      <c r="B9" s="157"/>
    </row>
    <row r="10" spans="1:3" x14ac:dyDescent="0.25">
      <c r="A10" s="213"/>
      <c r="B10" s="213"/>
      <c r="C10" s="213"/>
    </row>
    <row r="11" spans="1:3" ht="48.75" customHeight="1" x14ac:dyDescent="0.25">
      <c r="A11" s="213"/>
      <c r="B11" s="213"/>
      <c r="C11" s="213"/>
    </row>
    <row r="12" spans="1:3" x14ac:dyDescent="0.25">
      <c r="A12" s="213"/>
      <c r="B12" s="213"/>
      <c r="C12" s="213"/>
    </row>
    <row r="13" spans="1:3" ht="33" customHeight="1" x14ac:dyDescent="0.25">
      <c r="A13" s="213"/>
      <c r="B13" s="213"/>
      <c r="C13" s="213"/>
    </row>
    <row r="14" spans="1:3" x14ac:dyDescent="0.25">
      <c r="A14" s="214"/>
      <c r="B14" s="214"/>
      <c r="C14" s="214"/>
    </row>
    <row r="15" spans="1:3" ht="15" customHeight="1" x14ac:dyDescent="0.25">
      <c r="A15" s="213"/>
      <c r="B15" s="213"/>
      <c r="C15" s="213"/>
    </row>
    <row r="16" spans="1:3" x14ac:dyDescent="0.25">
      <c r="A16" s="158"/>
      <c r="C16" s="158"/>
    </row>
    <row r="17" spans="1:3" ht="60" customHeight="1" x14ac:dyDescent="0.25">
      <c r="A17" s="214"/>
      <c r="B17" s="214"/>
      <c r="C17" s="214"/>
    </row>
    <row r="18" spans="1:3" x14ac:dyDescent="0.25">
      <c r="A18" s="214"/>
      <c r="B18" s="214"/>
      <c r="C18" s="214"/>
    </row>
    <row r="19" spans="1:3" ht="30" customHeight="1" x14ac:dyDescent="0.25">
      <c r="A19" s="213"/>
      <c r="B19" s="213"/>
      <c r="C19" s="213"/>
    </row>
    <row r="20" spans="1:3" x14ac:dyDescent="0.25">
      <c r="B20" s="157"/>
    </row>
    <row r="21" spans="1:3" ht="42.95" customHeight="1" x14ac:dyDescent="0.25">
      <c r="B21" s="157"/>
    </row>
    <row r="22" spans="1:3" x14ac:dyDescent="0.25">
      <c r="B22" s="157"/>
    </row>
    <row r="23" spans="1:3" ht="60" customHeight="1" x14ac:dyDescent="0.25">
      <c r="B23" s="157"/>
    </row>
    <row r="24" spans="1:3" x14ac:dyDescent="0.25">
      <c r="B24" s="157"/>
    </row>
    <row r="25" spans="1:3" ht="45" customHeight="1" x14ac:dyDescent="0.25">
      <c r="B25" s="157"/>
    </row>
    <row r="26" spans="1:3" x14ac:dyDescent="0.25">
      <c r="A26" s="214"/>
      <c r="B26" s="214"/>
      <c r="C26" s="214"/>
    </row>
    <row r="28" spans="1:3" ht="18" customHeight="1" x14ac:dyDescent="0.25">
      <c r="A28" s="157" t="s">
        <v>613</v>
      </c>
    </row>
    <row r="30" spans="1:3" ht="48.75" customHeight="1" x14ac:dyDescent="0.25"/>
  </sheetData>
  <mergeCells count="14">
    <mergeCell ref="A11:C11"/>
    <mergeCell ref="A2:C2"/>
    <mergeCell ref="A3:C3"/>
    <mergeCell ref="A6:C6"/>
    <mergeCell ref="A7:C7"/>
    <mergeCell ref="A10:C10"/>
    <mergeCell ref="A19:C19"/>
    <mergeCell ref="A26:C26"/>
    <mergeCell ref="A12:C12"/>
    <mergeCell ref="A13:C13"/>
    <mergeCell ref="A14:C14"/>
    <mergeCell ref="A15:C15"/>
    <mergeCell ref="A17:C17"/>
    <mergeCell ref="A18:C18"/>
  </mergeCells>
  <hyperlinks>
    <hyperlink ref="C1" location="Home_page" display="Back to_x000a_home page"/>
  </hyperlinks>
  <printOptions horizontalCentered="1"/>
  <pageMargins left="0.70866141732283472" right="0.70866141732283472" top="0.74803149606299213" bottom="0.74803149606299213" header="0.31496062992125984" footer="0.31496062992125984"/>
  <pageSetup paperSize="9" scale="86"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443</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125</v>
      </c>
      <c r="E3" s="22">
        <v>143</v>
      </c>
      <c r="F3" s="22">
        <v>134</v>
      </c>
      <c r="G3" s="22">
        <v>180</v>
      </c>
      <c r="H3" s="22">
        <v>159</v>
      </c>
      <c r="I3" s="22">
        <v>196</v>
      </c>
      <c r="J3" s="22">
        <v>191</v>
      </c>
      <c r="K3" s="22">
        <v>225</v>
      </c>
      <c r="L3" s="22">
        <v>180</v>
      </c>
      <c r="M3" s="22">
        <v>208</v>
      </c>
      <c r="N3" s="22">
        <v>204</v>
      </c>
      <c r="O3" s="23">
        <f t="shared" ref="O3:O41" si="0">IF(N3=0,"",IFERROR(IF(AND(N3&gt;0,D3&lt;0),"na",IF(AND(N3&lt;0,D3&lt;0),-1,1)*(N3-D3)/D3),""))</f>
        <v>0.63200000000000001</v>
      </c>
      <c r="P3" s="23">
        <f>IF(N3=0,"",IFERROR(IF(AND(N3&gt;0,J3&lt;0),"na",IF(AND(N3&lt;0,J3&lt;0),-1,1)*(N3-J3)/J3),""))</f>
        <v>6.8062827225130892E-2</v>
      </c>
    </row>
    <row r="4" spans="1:17" ht="18" customHeight="1" x14ac:dyDescent="0.2">
      <c r="A4" s="224"/>
      <c r="B4" s="24" t="s">
        <v>51</v>
      </c>
      <c r="C4" s="25"/>
      <c r="D4" s="26">
        <v>15382</v>
      </c>
      <c r="E4" s="26">
        <v>16863</v>
      </c>
      <c r="F4" s="26">
        <v>17705</v>
      </c>
      <c r="G4" s="26">
        <v>23600</v>
      </c>
      <c r="H4" s="26">
        <v>22101</v>
      </c>
      <c r="I4" s="26">
        <v>27477</v>
      </c>
      <c r="J4" s="26">
        <v>27064</v>
      </c>
      <c r="K4" s="26">
        <v>31414</v>
      </c>
      <c r="L4" s="26">
        <v>25789</v>
      </c>
      <c r="M4" s="26">
        <v>28556</v>
      </c>
      <c r="N4" s="26">
        <v>28292</v>
      </c>
      <c r="O4" s="23">
        <f t="shared" si="0"/>
        <v>0.83929267975555844</v>
      </c>
      <c r="P4" s="23">
        <f t="shared" ref="P4:P41" si="1">IF(N4=0,"",IFERROR(IF(AND(N4&gt;0,J4&lt;0),"na",IF(AND(N4&lt;0,J4&lt;0),-1,1)*(N4-J4)/J4),""))</f>
        <v>4.5373928465858707E-2</v>
      </c>
    </row>
    <row r="5" spans="1:17" ht="18" customHeight="1" x14ac:dyDescent="0.2">
      <c r="A5" s="224"/>
      <c r="B5" s="24" t="s">
        <v>52</v>
      </c>
      <c r="C5" s="25"/>
      <c r="D5" s="26">
        <v>1913.4100341796875</v>
      </c>
      <c r="E5" s="26">
        <v>2129.469970703125</v>
      </c>
      <c r="F5" s="26">
        <v>2221.469970703125</v>
      </c>
      <c r="G5" s="26">
        <v>3016.469970703125</v>
      </c>
      <c r="H5" s="26">
        <v>2986</v>
      </c>
      <c r="I5" s="26">
        <v>3615</v>
      </c>
      <c r="J5" s="26">
        <v>3617</v>
      </c>
      <c r="K5" s="26">
        <v>4197</v>
      </c>
      <c r="L5" s="26">
        <v>3587</v>
      </c>
      <c r="M5" s="26">
        <v>3852.409912109375</v>
      </c>
      <c r="N5" s="26">
        <v>3924</v>
      </c>
      <c r="O5" s="23">
        <f t="shared" si="0"/>
        <v>1.0507888690373091</v>
      </c>
      <c r="P5" s="23">
        <f t="shared" si="1"/>
        <v>8.4876969864528612E-2</v>
      </c>
      <c r="Q5" s="27"/>
    </row>
    <row r="6" spans="1:17" ht="18" customHeight="1" x14ac:dyDescent="0.2">
      <c r="A6" s="224"/>
      <c r="B6" s="24" t="s">
        <v>53</v>
      </c>
      <c r="C6" s="25"/>
      <c r="D6" s="26">
        <v>12499.6357421875</v>
      </c>
      <c r="E6" s="26">
        <v>13701.27734375</v>
      </c>
      <c r="F6" s="26">
        <v>14262.87890625</v>
      </c>
      <c r="G6" s="26">
        <v>19152.150390625</v>
      </c>
      <c r="H6" s="26">
        <v>18143.828125</v>
      </c>
      <c r="I6" s="26">
        <v>22646.8671875</v>
      </c>
      <c r="J6" s="26">
        <v>22248.08203125</v>
      </c>
      <c r="K6" s="26">
        <v>25715.693359375</v>
      </c>
      <c r="L6" s="26">
        <v>21011.396484375</v>
      </c>
      <c r="M6" s="26">
        <v>23233.001953125</v>
      </c>
      <c r="N6" s="26">
        <v>23088.833984375</v>
      </c>
      <c r="O6" s="23">
        <f t="shared" si="0"/>
        <v>0.84716054616279057</v>
      </c>
      <c r="P6" s="23">
        <f t="shared" si="1"/>
        <v>3.7789862152794423E-2</v>
      </c>
    </row>
    <row r="7" spans="1:17" ht="18" customHeight="1" x14ac:dyDescent="0.2">
      <c r="A7" s="224"/>
      <c r="B7" s="24" t="s">
        <v>54</v>
      </c>
      <c r="C7" s="25"/>
      <c r="D7" s="26">
        <v>11529.3681640625</v>
      </c>
      <c r="E7" s="26">
        <v>10554.5302734375</v>
      </c>
      <c r="F7" s="26">
        <v>12620.2939453125</v>
      </c>
      <c r="G7" s="26">
        <v>16473.04296875</v>
      </c>
      <c r="H7" s="26">
        <v>16817.009765625</v>
      </c>
      <c r="I7" s="26">
        <v>22153.34765625</v>
      </c>
      <c r="J7" s="26">
        <v>19307.7734375</v>
      </c>
      <c r="K7" s="26">
        <v>23132.80078125</v>
      </c>
      <c r="L7" s="26">
        <v>16271.2685546875</v>
      </c>
      <c r="M7" s="26">
        <v>16693.98046875</v>
      </c>
      <c r="N7" s="26">
        <v>18547.3515625</v>
      </c>
      <c r="O7" s="23">
        <f t="shared" si="0"/>
        <v>0.60870494363367056</v>
      </c>
      <c r="P7" s="23">
        <f t="shared" si="1"/>
        <v>-3.9384234410120601E-2</v>
      </c>
    </row>
    <row r="8" spans="1:17" ht="18" customHeight="1" x14ac:dyDescent="0.2">
      <c r="A8" s="224"/>
      <c r="B8" s="24" t="s">
        <v>55</v>
      </c>
      <c r="C8" s="27"/>
      <c r="D8" s="28">
        <f ca="1">14.589071*OFFSET(D$112,MATCH($N$1,$C$112:$C$113,0)-1,0)</f>
        <v>14.589071000000001</v>
      </c>
      <c r="E8" s="28">
        <f ca="1">22.039586*OFFSET(E$112,MATCH($N$1,$C$112:$C$113,0)-1,0)</f>
        <v>22.039586</v>
      </c>
      <c r="F8" s="28">
        <f ca="1">18.498472*OFFSET(F$112,MATCH($N$1,$C$112:$C$113,0)-1,0)</f>
        <v>18.498472</v>
      </c>
      <c r="G8" s="28">
        <f ca="1">22.89338*OFFSET(G$112,MATCH($N$1,$C$112:$C$113,0)-1,0)</f>
        <v>22.893380000000001</v>
      </c>
      <c r="H8" s="28">
        <f ca="1">25.074202*OFFSET(H$112,MATCH($N$1,$C$112:$C$113,0)-1,0)</f>
        <v>25.074202</v>
      </c>
      <c r="I8" s="28">
        <f ca="1">24.727598*OFFSET(I$112,MATCH($N$1,$C$112:$C$113,0)-1,0)</f>
        <v>24.727598</v>
      </c>
      <c r="J8" s="28">
        <f ca="1">26.73549*OFFSET(J$112,MATCH($N$1,$C$112:$C$113,0)-1,0)</f>
        <v>26.735489999999999</v>
      </c>
      <c r="K8" s="28">
        <f ca="1">29.071326*OFFSET(K$112,MATCH($N$1,$C$112:$C$113,0)-1,0)</f>
        <v>29.071325999999999</v>
      </c>
      <c r="L8" s="28">
        <f ca="1">29.334752*OFFSET(L$112,MATCH($N$1,$C$112:$C$113,0)-1,0)</f>
        <v>29.334752000000002</v>
      </c>
      <c r="M8" s="28">
        <f ca="1">30.133824*OFFSET(M$112,MATCH($N$1,$C$112:$C$113,0)-1,0)</f>
        <v>30.133824000000001</v>
      </c>
      <c r="N8" s="28">
        <v>28.788535999999997</v>
      </c>
      <c r="O8" s="23">
        <f t="shared" ca="1" si="0"/>
        <v>0.97329466694623634</v>
      </c>
      <c r="P8" s="23">
        <f t="shared" ca="1" si="1"/>
        <v>7.6791036932556636E-2</v>
      </c>
    </row>
    <row r="9" spans="1:17" ht="18" customHeight="1" x14ac:dyDescent="0.2">
      <c r="A9" s="224"/>
      <c r="B9" s="24" t="s">
        <v>56</v>
      </c>
      <c r="C9" s="27"/>
      <c r="D9" s="26">
        <v>13022</v>
      </c>
      <c r="E9" s="26">
        <v>14289</v>
      </c>
      <c r="F9" s="26">
        <v>14215</v>
      </c>
      <c r="G9" s="26">
        <v>16710</v>
      </c>
      <c r="H9" s="26">
        <v>16904</v>
      </c>
      <c r="I9" s="26">
        <v>18612</v>
      </c>
      <c r="J9" s="26">
        <v>17330</v>
      </c>
      <c r="K9" s="26">
        <v>21840</v>
      </c>
      <c r="L9" s="26">
        <v>20201</v>
      </c>
      <c r="M9" s="26">
        <v>19487</v>
      </c>
      <c r="N9" s="26">
        <v>19187</v>
      </c>
      <c r="O9" s="23">
        <f t="shared" si="0"/>
        <v>0.47342958070956842</v>
      </c>
      <c r="P9" s="23">
        <f t="shared" si="1"/>
        <v>0.10715522215810733</v>
      </c>
    </row>
    <row r="10" spans="1:17" ht="18" customHeight="1" x14ac:dyDescent="0.2">
      <c r="A10" s="224"/>
      <c r="B10" s="24" t="s">
        <v>57</v>
      </c>
      <c r="C10" s="27"/>
      <c r="D10" s="26"/>
      <c r="E10" s="26">
        <v>142.24615478515625</v>
      </c>
      <c r="F10" s="26">
        <v>240.92208862304687</v>
      </c>
      <c r="G10" s="26">
        <v>261.91641235351562</v>
      </c>
      <c r="H10" s="26">
        <v>267.49288940429687</v>
      </c>
      <c r="I10" s="26">
        <v>331.85653686523437</v>
      </c>
      <c r="J10" s="26">
        <v>291.68423461914062</v>
      </c>
      <c r="K10" s="26">
        <v>260.59027099609375</v>
      </c>
      <c r="L10" s="26">
        <v>339.206787109375</v>
      </c>
      <c r="M10" s="26">
        <v>462.22433471679687</v>
      </c>
      <c r="N10" s="26">
        <v>279.45693969726562</v>
      </c>
      <c r="O10" s="29" t="str">
        <f t="shared" si="0"/>
        <v/>
      </c>
      <c r="P10" s="29">
        <f t="shared" si="1"/>
        <v>-4.1919629073681283E-2</v>
      </c>
    </row>
    <row r="11" spans="1:17" ht="18" customHeight="1" x14ac:dyDescent="0.2">
      <c r="A11" s="225" t="s">
        <v>23</v>
      </c>
      <c r="B11" s="30" t="s">
        <v>58</v>
      </c>
      <c r="C11" s="31"/>
      <c r="D11" s="32">
        <v>10.457839965820312</v>
      </c>
      <c r="E11" s="32">
        <v>10.183286666870117</v>
      </c>
      <c r="F11" s="32">
        <v>10.709627151489258</v>
      </c>
      <c r="G11" s="32">
        <v>10.792666435241699</v>
      </c>
      <c r="H11" s="32">
        <v>11.197484016418457</v>
      </c>
      <c r="I11" s="32">
        <v>11.394132614135742</v>
      </c>
      <c r="J11" s="32">
        <v>11.426544189453125</v>
      </c>
      <c r="K11" s="32">
        <v>11.264044761657715</v>
      </c>
      <c r="L11" s="32">
        <v>11.302666664123535</v>
      </c>
      <c r="M11" s="32">
        <v>10.995624542236328</v>
      </c>
      <c r="N11" s="32">
        <v>11.047646522521973</v>
      </c>
      <c r="O11" s="23">
        <f t="shared" si="0"/>
        <v>5.6398506635150614E-2</v>
      </c>
      <c r="P11" s="23">
        <f t="shared" si="1"/>
        <v>-3.3159427789276892E-2</v>
      </c>
    </row>
    <row r="12" spans="1:17" ht="18" customHeight="1" x14ac:dyDescent="0.2">
      <c r="A12" s="226"/>
      <c r="B12" s="33" t="s">
        <v>51</v>
      </c>
      <c r="C12" s="25"/>
      <c r="D12" s="26">
        <v>123.05599975585937</v>
      </c>
      <c r="E12" s="26">
        <v>117.92308044433594</v>
      </c>
      <c r="F12" s="26">
        <v>132.12686157226562</v>
      </c>
      <c r="G12" s="26">
        <v>131.11111450195312</v>
      </c>
      <c r="H12" s="26">
        <v>139</v>
      </c>
      <c r="I12" s="26">
        <v>140.18878173828125</v>
      </c>
      <c r="J12" s="26">
        <v>141.69633483886719</v>
      </c>
      <c r="K12" s="26">
        <v>139.61778259277344</v>
      </c>
      <c r="L12" s="26">
        <v>143.272216796875</v>
      </c>
      <c r="M12" s="26">
        <v>137.28846740722656</v>
      </c>
      <c r="N12" s="26">
        <v>138.686279296875</v>
      </c>
      <c r="O12" s="23">
        <f t="shared" si="0"/>
        <v>0.12701761451717741</v>
      </c>
      <c r="P12" s="23">
        <f t="shared" si="1"/>
        <v>-2.1243002124332517E-2</v>
      </c>
    </row>
    <row r="13" spans="1:17" ht="18" customHeight="1" x14ac:dyDescent="0.2">
      <c r="A13" s="226"/>
      <c r="B13" s="33" t="s">
        <v>52</v>
      </c>
      <c r="C13" s="25"/>
      <c r="D13" s="26">
        <v>15.307279586791992</v>
      </c>
      <c r="E13" s="26">
        <v>14.891398429870605</v>
      </c>
      <c r="F13" s="26">
        <v>16.578134536743164</v>
      </c>
      <c r="G13" s="26">
        <v>16.758167266845703</v>
      </c>
      <c r="H13" s="26">
        <v>18.779874801635742</v>
      </c>
      <c r="I13" s="26">
        <v>18.443878173828125</v>
      </c>
      <c r="J13" s="26">
        <v>18.937171936035156</v>
      </c>
      <c r="K13" s="26">
        <v>18.65333366394043</v>
      </c>
      <c r="L13" s="26">
        <v>19.927778244018555</v>
      </c>
      <c r="M13" s="26">
        <v>18.521202087402344</v>
      </c>
      <c r="N13" s="26">
        <v>19.235294342041016</v>
      </c>
      <c r="O13" s="23">
        <f t="shared" si="0"/>
        <v>0.25661089764365069</v>
      </c>
      <c r="P13" s="23">
        <f t="shared" si="1"/>
        <v>1.5742709999826764E-2</v>
      </c>
    </row>
    <row r="14" spans="1:17" ht="18" customHeight="1" x14ac:dyDescent="0.2">
      <c r="A14" s="226"/>
      <c r="B14" s="33" t="s">
        <v>53</v>
      </c>
      <c r="C14" s="25"/>
      <c r="D14" s="26">
        <v>99.997085571289063</v>
      </c>
      <c r="E14" s="26">
        <v>95.813125610351563</v>
      </c>
      <c r="F14" s="26">
        <v>106.43939208984375</v>
      </c>
      <c r="G14" s="26">
        <v>106.40084075927734</v>
      </c>
      <c r="H14" s="26">
        <v>114.11212158203125</v>
      </c>
      <c r="I14" s="26">
        <v>115.54524230957031</v>
      </c>
      <c r="J14" s="26">
        <v>116.48210144042969</v>
      </c>
      <c r="K14" s="26">
        <v>114.29196929931641</v>
      </c>
      <c r="L14" s="26">
        <v>116.72998046875</v>
      </c>
      <c r="M14" s="26">
        <v>111.69712829589844</v>
      </c>
      <c r="N14" s="26">
        <v>113.18055725097656</v>
      </c>
      <c r="O14" s="23">
        <f t="shared" si="0"/>
        <v>0.1318385591376946</v>
      </c>
      <c r="P14" s="23">
        <f t="shared" si="1"/>
        <v>-2.8343789720702912E-2</v>
      </c>
    </row>
    <row r="15" spans="1:17" ht="18" customHeight="1" x14ac:dyDescent="0.2">
      <c r="A15" s="226"/>
      <c r="B15" s="33" t="s">
        <v>54</v>
      </c>
      <c r="C15" s="27"/>
      <c r="D15" s="28">
        <v>92.234947204589844</v>
      </c>
      <c r="E15" s="28">
        <v>73.807899475097656</v>
      </c>
      <c r="F15" s="28">
        <v>94.181297302246094</v>
      </c>
      <c r="G15" s="28">
        <v>91.51690673828125</v>
      </c>
      <c r="H15" s="28">
        <v>105.76735687255859</v>
      </c>
      <c r="I15" s="28">
        <v>113.02729034423828</v>
      </c>
      <c r="J15" s="28">
        <v>101.08782196044922</v>
      </c>
      <c r="K15" s="28">
        <v>102.81244659423828</v>
      </c>
      <c r="L15" s="28">
        <v>90.39593505859375</v>
      </c>
      <c r="M15" s="28">
        <v>80.259521484375</v>
      </c>
      <c r="N15" s="28">
        <v>90.918388366699219</v>
      </c>
      <c r="O15" s="23">
        <f t="shared" si="0"/>
        <v>-1.4273969658922402E-2</v>
      </c>
      <c r="P15" s="23">
        <f t="shared" si="1"/>
        <v>-0.10059998718469577</v>
      </c>
    </row>
    <row r="16" spans="1:17" ht="18" customHeight="1" x14ac:dyDescent="0.2">
      <c r="A16" s="226"/>
      <c r="B16" s="33" t="s">
        <v>59</v>
      </c>
      <c r="C16" s="27"/>
      <c r="D16" s="28">
        <f ca="1">116.7125703125*OFFSET(D$112,MATCH($N$1,$C$112:$C$113,0)-1,0)</f>
        <v>116.71257031250001</v>
      </c>
      <c r="E16" s="28">
        <f ca="1">154.122984375*OFFSET(E$112,MATCH($N$1,$C$112:$C$113,0)-1,0)</f>
        <v>154.12298437499999</v>
      </c>
      <c r="F16" s="28">
        <f ca="1">138.048296875*OFFSET(F$112,MATCH($N$1,$C$112:$C$113,0)-1,0)</f>
        <v>138.04829687500001</v>
      </c>
      <c r="G16" s="28">
        <f ca="1">127.1854453125*OFFSET(G$112,MATCH($N$1,$C$112:$C$113,0)-1,0)</f>
        <v>127.18544531249999</v>
      </c>
      <c r="H16" s="28">
        <f ca="1">157.699390625*OFFSET(H$112,MATCH($N$1,$C$112:$C$113,0)-1,0)</f>
        <v>157.69939062500001</v>
      </c>
      <c r="I16" s="28">
        <f ca="1">126.1612109375*OFFSET(I$112,MATCH($N$1,$C$112:$C$113,0)-1,0)</f>
        <v>126.1612109375</v>
      </c>
      <c r="J16" s="28">
        <f ca="1">139.976375*OFFSET(J$112,MATCH($N$1,$C$112:$C$113,0)-1,0)</f>
        <v>139.97637499999999</v>
      </c>
      <c r="K16" s="28">
        <f ca="1">129.205890625*OFFSET(K$112,MATCH($N$1,$C$112:$C$113,0)-1,0)</f>
        <v>129.20589062499999</v>
      </c>
      <c r="L16" s="28">
        <f ca="1">162.97084375*OFFSET(L$112,MATCH($N$1,$C$112:$C$113,0)-1,0)</f>
        <v>162.97084375</v>
      </c>
      <c r="M16" s="28">
        <f ca="1">144.87415625*OFFSET(M$112,MATCH($N$1,$C$112:$C$113,0)-1,0)</f>
        <v>144.87415625</v>
      </c>
      <c r="N16" s="28">
        <v>141.120265625</v>
      </c>
      <c r="O16" s="23">
        <f t="shared" ca="1" si="0"/>
        <v>0.20912653407553233</v>
      </c>
      <c r="P16" s="23">
        <f t="shared" ca="1" si="1"/>
        <v>8.1720263508753659E-3</v>
      </c>
    </row>
    <row r="17" spans="1:16" ht="18" customHeight="1" x14ac:dyDescent="0.2">
      <c r="A17" s="226"/>
      <c r="B17" s="33" t="s">
        <v>56</v>
      </c>
      <c r="C17" s="25"/>
      <c r="D17" s="26">
        <v>104.17600250244141</v>
      </c>
      <c r="E17" s="26">
        <v>99.923080444335938</v>
      </c>
      <c r="F17" s="26">
        <v>106.08209228515625</v>
      </c>
      <c r="G17" s="26">
        <v>92.833335876464844</v>
      </c>
      <c r="H17" s="26">
        <v>106.31446838378906</v>
      </c>
      <c r="I17" s="26">
        <v>94.959182739257813</v>
      </c>
      <c r="J17" s="26">
        <v>90.732986450195313</v>
      </c>
      <c r="K17" s="26">
        <v>97.066665649414063</v>
      </c>
      <c r="L17" s="26">
        <v>112.22777557373047</v>
      </c>
      <c r="M17" s="26">
        <v>93.6875</v>
      </c>
      <c r="N17" s="26">
        <v>94.053924560546875</v>
      </c>
      <c r="O17" s="23">
        <f t="shared" si="0"/>
        <v>-9.716324008168116E-2</v>
      </c>
      <c r="P17" s="23">
        <f t="shared" si="1"/>
        <v>3.6601221234732251E-2</v>
      </c>
    </row>
    <row r="18" spans="1:16" ht="18" customHeight="1" x14ac:dyDescent="0.2">
      <c r="A18" s="226"/>
      <c r="B18" s="33" t="s">
        <v>60</v>
      </c>
      <c r="C18" s="25"/>
      <c r="D18" s="26">
        <v>19.072000503540039</v>
      </c>
      <c r="E18" s="26">
        <v>18.958042144775391</v>
      </c>
      <c r="F18" s="26">
        <v>20.268655776977539</v>
      </c>
      <c r="G18" s="26">
        <v>20.950000762939453</v>
      </c>
      <c r="H18" s="26">
        <v>22.150943756103516</v>
      </c>
      <c r="I18" s="26">
        <v>21.903060913085938</v>
      </c>
      <c r="J18" s="26">
        <v>22.827224731445313</v>
      </c>
      <c r="K18" s="26">
        <v>22.777778625488281</v>
      </c>
      <c r="L18" s="26">
        <v>24.716667175292969</v>
      </c>
      <c r="M18" s="26">
        <v>24.427885055541992</v>
      </c>
      <c r="N18" s="26">
        <v>25.102941513061523</v>
      </c>
      <c r="O18" s="23">
        <f t="shared" si="0"/>
        <v>0.31621963350945037</v>
      </c>
      <c r="P18" s="23">
        <f t="shared" si="1"/>
        <v>9.969309928776976E-2</v>
      </c>
    </row>
    <row r="19" spans="1:16" ht="18" customHeight="1" x14ac:dyDescent="0.2">
      <c r="A19" s="226"/>
      <c r="B19" s="33" t="s">
        <v>61</v>
      </c>
      <c r="C19" s="25"/>
      <c r="D19" s="34">
        <v>0.88537615537643433</v>
      </c>
      <c r="E19" s="34">
        <v>0.73864716291427612</v>
      </c>
      <c r="F19" s="34">
        <v>0.88781523704528809</v>
      </c>
      <c r="G19" s="34">
        <v>0.98581945896148682</v>
      </c>
      <c r="H19" s="34">
        <v>0.99485385417938232</v>
      </c>
      <c r="I19" s="34">
        <v>1.190272331237793</v>
      </c>
      <c r="J19" s="34">
        <v>1.1141242980957031</v>
      </c>
      <c r="K19" s="34">
        <v>1.0591942071914673</v>
      </c>
      <c r="L19" s="34">
        <v>0.80546849966049194</v>
      </c>
      <c r="M19" s="34">
        <v>0.85667270421981812</v>
      </c>
      <c r="N19" s="34">
        <v>0.96666234731674194</v>
      </c>
      <c r="O19" s="23">
        <f t="shared" si="0"/>
        <v>9.1809782143666682E-2</v>
      </c>
      <c r="P19" s="23">
        <f t="shared" si="1"/>
        <v>-0.13235682143456332</v>
      </c>
    </row>
    <row r="20" spans="1:16" ht="18" customHeight="1" x14ac:dyDescent="0.2">
      <c r="A20" s="227"/>
      <c r="B20" s="35" t="s">
        <v>24</v>
      </c>
      <c r="C20" s="36"/>
      <c r="D20" s="37">
        <f ca="1">1265*OFFSET(D$112,MATCH($N$1,$C$112:$C$113,0)-1,0)</f>
        <v>1265</v>
      </c>
      <c r="E20" s="37">
        <f ca="1">2088*OFFSET(E$112,MATCH($N$1,$C$112:$C$113,0)-1,0)</f>
        <v>2088</v>
      </c>
      <c r="F20" s="37">
        <f ca="1">1466*OFFSET(F$112,MATCH($N$1,$C$112:$C$113,0)-1,0)</f>
        <v>1466</v>
      </c>
      <c r="G20" s="37">
        <f ca="1">1390*OFFSET(G$112,MATCH($N$1,$C$112:$C$113,0)-1,0)</f>
        <v>1390</v>
      </c>
      <c r="H20" s="37">
        <f ca="1">1491*OFFSET(H$112,MATCH($N$1,$C$112:$C$113,0)-1,0)</f>
        <v>1491</v>
      </c>
      <c r="I20" s="37">
        <f ca="1">1116*OFFSET(I$112,MATCH($N$1,$C$112:$C$113,0)-1,0)</f>
        <v>1116</v>
      </c>
      <c r="J20" s="37">
        <f ca="1">1385*OFFSET(J$112,MATCH($N$1,$C$112:$C$113,0)-1,0)</f>
        <v>1385</v>
      </c>
      <c r="K20" s="37">
        <f ca="1">1257*OFFSET(K$112,MATCH($N$1,$C$112:$C$113,0)-1,0)</f>
        <v>1257</v>
      </c>
      <c r="L20" s="37">
        <f ca="1">1803*OFFSET(L$112,MATCH($N$1,$C$112:$C$113,0)-1,0)</f>
        <v>1803</v>
      </c>
      <c r="M20" s="37">
        <f ca="1">1805*OFFSET(M$112,MATCH($N$1,$C$112:$C$113,0)-1,0)</f>
        <v>1805</v>
      </c>
      <c r="N20" s="37">
        <v>1552</v>
      </c>
      <c r="O20" s="29">
        <f t="shared" ca="1" si="0"/>
        <v>0.22687747035573122</v>
      </c>
      <c r="P20" s="29">
        <f t="shared" ca="1" si="1"/>
        <v>0.12057761732851986</v>
      </c>
    </row>
    <row r="21" spans="1:16" ht="18" customHeight="1" x14ac:dyDescent="0.2">
      <c r="A21" s="228" t="s">
        <v>25</v>
      </c>
      <c r="B21" s="30" t="s">
        <v>62</v>
      </c>
      <c r="C21" s="38"/>
      <c r="D21" s="39">
        <v>6.6862113630129105</v>
      </c>
      <c r="E21" s="39">
        <v>5.4131427057287533</v>
      </c>
      <c r="F21" s="39">
        <v>6.1469397149701805</v>
      </c>
      <c r="G21" s="39">
        <v>6.768409444612808</v>
      </c>
      <c r="H21" s="39">
        <v>6.5639086954729926</v>
      </c>
      <c r="I21" s="39">
        <v>7.845917955717792</v>
      </c>
      <c r="J21" s="39">
        <v>7.1606303887733658</v>
      </c>
      <c r="K21" s="39">
        <v>7.0259076684271706</v>
      </c>
      <c r="L21" s="39">
        <v>5.1429345974489964</v>
      </c>
      <c r="M21" s="39">
        <v>5.5323475296309592</v>
      </c>
      <c r="N21" s="39">
        <v>6.1961750334498733</v>
      </c>
      <c r="O21" s="23">
        <f t="shared" si="0"/>
        <v>-7.3290583105679638E-2</v>
      </c>
      <c r="P21" s="23">
        <f t="shared" si="1"/>
        <v>-0.13468861021448505</v>
      </c>
    </row>
    <row r="22" spans="1:16" ht="18" customHeight="1" x14ac:dyDescent="0.2">
      <c r="A22" s="228"/>
      <c r="B22" s="33" t="s">
        <v>63</v>
      </c>
      <c r="C22" s="25"/>
      <c r="D22" s="34">
        <f ca="1">8.4606208111002*OFFSET(D$112,MATCH($N$1,$C$112:$C$113,0)-1,0)</f>
        <v>8.4606208111002008</v>
      </c>
      <c r="E22" s="34">
        <f ca="1">11.3035286817255*OFFSET(E$112,MATCH($N$1,$C$112:$C$113,0)-1,0)</f>
        <v>11.303528681725499</v>
      </c>
      <c r="F22" s="34">
        <f ca="1">9.01001136055379*OFFSET(F$112,MATCH($N$1,$C$112:$C$113,0)-1,0)</f>
        <v>9.0100113605537899</v>
      </c>
      <c r="G22" s="34">
        <f ca="1">9.40638402183148*OFFSET(G$112,MATCH($N$1,$C$112:$C$113,0)-1,0)</f>
        <v>9.4063840218314798</v>
      </c>
      <c r="H22" s="34">
        <f ca="1">9.78680409534554*OFFSET(H$112,MATCH($N$1,$C$112:$C$113,0)-1,0)</f>
        <v>9.7868040953455395</v>
      </c>
      <c r="I22" s="34">
        <f ca="1">8.7576239967792*OFFSET(I$112,MATCH($N$1,$C$112:$C$113,0)-1,0)</f>
        <v>8.7576239967792002</v>
      </c>
      <c r="J22" s="34">
        <f ca="1">9.91532971130287*OFFSET(J$112,MATCH($N$1,$C$112:$C$113,0)-1,0)</f>
        <v>9.9153297113028707</v>
      </c>
      <c r="K22" s="34">
        <f ca="1">8.82955992021907*OFFSET(K$112,MATCH($N$1,$C$112:$C$113,0)-1,0)</f>
        <v>8.8295599202190704</v>
      </c>
      <c r="L22" s="34">
        <f ca="1">9.27196991937801*OFFSET(L$112,MATCH($N$1,$C$112:$C$113,0)-1,0)</f>
        <v>9.2719699193780105</v>
      </c>
      <c r="M22" s="34">
        <f ca="1">9.98628157274888*OFFSET(M$112,MATCH($N$1,$C$112:$C$113,0)-1,0)</f>
        <v>9.9862815727488794</v>
      </c>
      <c r="N22" s="34">
        <v>9.6174809330398237</v>
      </c>
      <c r="O22" s="23">
        <f t="shared" ca="1" si="0"/>
        <v>0.13673466141182461</v>
      </c>
      <c r="P22" s="23">
        <f t="shared" ca="1" si="1"/>
        <v>-3.0039220775837396E-2</v>
      </c>
    </row>
    <row r="23" spans="1:16" ht="18" customHeight="1" x14ac:dyDescent="0.2">
      <c r="A23" s="228"/>
      <c r="B23" s="33" t="s">
        <v>11</v>
      </c>
      <c r="C23" s="25"/>
      <c r="D23" s="34">
        <f ca="1">7.19551687948534*OFFSET(D$112,MATCH($N$1,$C$112:$C$113,0)-1,0)</f>
        <v>7.1955168794853401</v>
      </c>
      <c r="E23" s="34">
        <f ca="1">7.79711476708191*OFFSET(E$112,MATCH($N$1,$C$112:$C$113,0)-1,0)</f>
        <v>7.7971147670819096</v>
      </c>
      <c r="F23" s="34">
        <f ca="1">7.57719529444638*OFFSET(F$112,MATCH($N$1,$C$112:$C$113,0)-1,0)</f>
        <v>7.5771952944463798</v>
      </c>
      <c r="G23" s="34">
        <f ca="1">8.29007177376905*OFFSET(G$112,MATCH($N$1,$C$112:$C$113,0)-1,0)</f>
        <v>8.2900717737690499</v>
      </c>
      <c r="H23" s="34">
        <f ca="1">7.85631672837806*OFFSET(H$112,MATCH($N$1,$C$112:$C$113,0)-1,0)</f>
        <v>7.8563167283780597</v>
      </c>
      <c r="I23" s="34">
        <f ca="1">7.59668257972874*OFFSET(I$112,MATCH($N$1,$C$112:$C$113,0)-1,0)</f>
        <v>7.5966825797287401</v>
      </c>
      <c r="J23" s="34">
        <f ca="1">8.18620868318855*OFFSET(J$112,MATCH($N$1,$C$112:$C$113,0)-1,0)</f>
        <v>8.1862086831885499</v>
      </c>
      <c r="K23" s="34">
        <f ca="1">7.34744582964314*OFFSET(K$112,MATCH($N$1,$C$112:$C$113,0)-1,0)</f>
        <v>7.3474458296431404</v>
      </c>
      <c r="L23" s="34">
        <f ca="1">7.95247551415769*OFFSET(L$112,MATCH($N$1,$C$112:$C$113,0)-1,0)</f>
        <v>7.9524755141576904</v>
      </c>
      <c r="M23" s="34">
        <f ca="1">9.19507006600185*OFFSET(M$112,MATCH($N$1,$C$112:$C$113,0)-1,0)</f>
        <v>9.1950700660018505</v>
      </c>
      <c r="N23" s="34">
        <v>9.0487848032420697</v>
      </c>
      <c r="O23" s="23">
        <f t="shared" ca="1" si="0"/>
        <v>0.25755869311354945</v>
      </c>
      <c r="P23" s="23">
        <f t="shared" ca="1" si="1"/>
        <v>0.10536942722031173</v>
      </c>
    </row>
    <row r="24" spans="1:16" ht="18" customHeight="1" x14ac:dyDescent="0.2">
      <c r="A24" s="228"/>
      <c r="B24" s="33" t="s">
        <v>12</v>
      </c>
      <c r="C24" s="25"/>
      <c r="D24" s="34">
        <f ca="1">1.3474407780049*OFFSET(D$112,MATCH($N$1,$C$112:$C$113,0)-1,0)</f>
        <v>1.3474407780049</v>
      </c>
      <c r="E24" s="34">
        <f ca="1">3.77954278353177*OFFSET(E$112,MATCH($N$1,$C$112:$C$113,0)-1,0)</f>
        <v>3.7795427835317699</v>
      </c>
      <c r="F24" s="34">
        <f ca="1">1.57123482794982*OFFSET(F$112,MATCH($N$1,$C$112:$C$113,0)-1,0)</f>
        <v>1.5712348279498201</v>
      </c>
      <c r="G24" s="34">
        <f ca="1">1.18144127429673*OFFSET(G$112,MATCH($N$1,$C$112:$C$113,0)-1,0)</f>
        <v>1.18144127429673</v>
      </c>
      <c r="H24" s="34">
        <f ca="1">2.29864095545538*OFFSET(H$112,MATCH($N$1,$C$112:$C$113,0)-1,0)</f>
        <v>2.2986409554553799</v>
      </c>
      <c r="I24" s="34">
        <f ca="1">1.44793765942748*OFFSET(I$112,MATCH($N$1,$C$112:$C$113,0)-1,0)</f>
        <v>1.44793765942748</v>
      </c>
      <c r="J24" s="34">
        <f ca="1">1.85317536410537*OFFSET(J$112,MATCH($N$1,$C$112:$C$113,0)-1,0)</f>
        <v>1.8531753641053701</v>
      </c>
      <c r="K24" s="34">
        <f ca="1">1.96751477006324*OFFSET(K$112,MATCH($N$1,$C$112:$C$113,0)-1,0)</f>
        <v>1.96751477006324</v>
      </c>
      <c r="L24" s="34">
        <f ca="1">1.70626534427969*OFFSET(L$112,MATCH($N$1,$C$112:$C$113,0)-1,0)</f>
        <v>1.70626534427969</v>
      </c>
      <c r="M24" s="34">
        <f ca="1">1.08846067915753*OFFSET(M$112,MATCH($N$1,$C$112:$C$113,0)-1,0)</f>
        <v>1.08846067915753</v>
      </c>
      <c r="N24" s="34">
        <v>0.85496771215379119</v>
      </c>
      <c r="O24" s="23">
        <f t="shared" ca="1" si="0"/>
        <v>-0.36548772598398971</v>
      </c>
      <c r="P24" s="23">
        <f t="shared" ca="1" si="1"/>
        <v>-0.53864716274893321</v>
      </c>
    </row>
    <row r="25" spans="1:16" ht="18" customHeight="1" x14ac:dyDescent="0.2">
      <c r="A25" s="228"/>
      <c r="B25" s="33" t="s">
        <v>64</v>
      </c>
      <c r="C25" s="25"/>
      <c r="D25" s="28"/>
      <c r="E25" s="28">
        <f ca="1">154.92*OFFSET(E$112,MATCH($N$1,$C$112:$C$113,0)-1,0)</f>
        <v>154.91999999999999</v>
      </c>
      <c r="F25" s="28">
        <f ca="1">76.76*OFFSET(F$112,MATCH($N$1,$C$112:$C$113,0)-1,0)</f>
        <v>76.760000000000005</v>
      </c>
      <c r="G25" s="28">
        <f ca="1">87.42*OFFSET(G$112,MATCH($N$1,$C$112:$C$113,0)-1,0)</f>
        <v>87.42</v>
      </c>
      <c r="H25" s="28">
        <f ca="1">93.74*OFFSET(H$112,MATCH($N$1,$C$112:$C$113,0)-1,0)</f>
        <v>93.74</v>
      </c>
      <c r="I25" s="28">
        <f ca="1">74.54*OFFSET(I$112,MATCH($N$1,$C$112:$C$113,0)-1,0)</f>
        <v>74.540000000000006</v>
      </c>
      <c r="J25" s="28">
        <f ca="1">91.67*OFFSET(J$112,MATCH($N$1,$C$112:$C$113,0)-1,0)</f>
        <v>91.67</v>
      </c>
      <c r="K25" s="28">
        <f ca="1">111.55*OFFSET(K$112,MATCH($N$1,$C$112:$C$113,0)-1,0)</f>
        <v>111.55</v>
      </c>
      <c r="L25" s="28">
        <f ca="1">86.5*OFFSET(L$112,MATCH($N$1,$C$112:$C$113,0)-1,0)</f>
        <v>86.5</v>
      </c>
      <c r="M25" s="28">
        <f ca="1">65.2*OFFSET(M$112,MATCH($N$1,$C$112:$C$113,0)-1,0)</f>
        <v>65.2</v>
      </c>
      <c r="N25" s="28">
        <v>103</v>
      </c>
      <c r="O25" s="23" t="str">
        <f t="shared" si="0"/>
        <v/>
      </c>
      <c r="P25" s="23">
        <f t="shared" ca="1" si="1"/>
        <v>0.12359550561797751</v>
      </c>
    </row>
    <row r="26" spans="1:16" ht="18" customHeight="1" x14ac:dyDescent="0.2">
      <c r="A26" s="229"/>
      <c r="B26" s="33" t="s">
        <v>65</v>
      </c>
      <c r="C26" s="40"/>
      <c r="D26" s="28"/>
      <c r="E26" s="28">
        <f ca="1">51.77*OFFSET(E$112,MATCH($N$1,$C$112:$C$113,0)-1,0)</f>
        <v>51.77</v>
      </c>
      <c r="F26" s="28">
        <f ca="1">13.4*OFFSET(F$112,MATCH($N$1,$C$112:$C$113,0)-1,0)</f>
        <v>13.4</v>
      </c>
      <c r="G26" s="28">
        <f ca="1">11*OFFSET(G$112,MATCH($N$1,$C$112:$C$113,0)-1,0)</f>
        <v>11</v>
      </c>
      <c r="H26" s="28">
        <f ca="1">21.99*OFFSET(H$112,MATCH($N$1,$C$112:$C$113,0)-1,0)</f>
        <v>21.99</v>
      </c>
      <c r="I26" s="28">
        <f ca="1">12.34*OFFSET(I$112,MATCH($N$1,$C$112:$C$113,0)-1,0)</f>
        <v>12.34</v>
      </c>
      <c r="J26" s="28">
        <f ca="1">17.16*OFFSET(J$112,MATCH($N$1,$C$112:$C$113,0)-1,0)</f>
        <v>17.16</v>
      </c>
      <c r="K26" s="28">
        <f ca="1">24.87*OFFSET(K$112,MATCH($N$1,$C$112:$C$113,0)-1,0)</f>
        <v>24.87</v>
      </c>
      <c r="L26" s="28">
        <f ca="1">15.92*OFFSET(L$112,MATCH($N$1,$C$112:$C$113,0)-1,0)</f>
        <v>15.92</v>
      </c>
      <c r="M26" s="28">
        <f ca="1">7.11*OFFSET(M$112,MATCH($N$1,$C$112:$C$113,0)-1,0)</f>
        <v>7.11</v>
      </c>
      <c r="N26" s="28">
        <v>9.1199999999999992</v>
      </c>
      <c r="O26" s="29" t="str">
        <f t="shared" si="0"/>
        <v/>
      </c>
      <c r="P26" s="29">
        <f t="shared" ca="1" si="1"/>
        <v>-0.4685314685314686</v>
      </c>
    </row>
    <row r="27" spans="1:16" ht="18" customHeight="1" x14ac:dyDescent="0.2">
      <c r="A27" s="230" t="s">
        <v>26</v>
      </c>
      <c r="B27" s="30" t="s">
        <v>59</v>
      </c>
      <c r="C27" s="31"/>
      <c r="D27" s="32">
        <f ca="1">116.7*OFFSET(D$112,MATCH($N$1,$C$112:$C$113,0)-1,0)</f>
        <v>116.7</v>
      </c>
      <c r="E27" s="32">
        <f ca="1">154.1*OFFSET(E$112,MATCH($N$1,$C$112:$C$113,0)-1,0)</f>
        <v>154.1</v>
      </c>
      <c r="F27" s="32">
        <f ca="1">138*OFFSET(F$112,MATCH($N$1,$C$112:$C$113,0)-1,0)</f>
        <v>138</v>
      </c>
      <c r="G27" s="32">
        <f ca="1">127.2*OFFSET(G$112,MATCH($N$1,$C$112:$C$113,0)-1,0)</f>
        <v>127.2</v>
      </c>
      <c r="H27" s="32">
        <f ca="1">157.7*OFFSET(H$112,MATCH($N$1,$C$112:$C$113,0)-1,0)</f>
        <v>157.69999999999999</v>
      </c>
      <c r="I27" s="32">
        <f ca="1">126.2*OFFSET(I$112,MATCH($N$1,$C$112:$C$113,0)-1,0)</f>
        <v>126.2</v>
      </c>
      <c r="J27" s="32">
        <f ca="1">140*OFFSET(J$112,MATCH($N$1,$C$112:$C$113,0)-1,0)</f>
        <v>140</v>
      </c>
      <c r="K27" s="32">
        <f ca="1">129.2*OFFSET(K$112,MATCH($N$1,$C$112:$C$113,0)-1,0)</f>
        <v>129.19999999999999</v>
      </c>
      <c r="L27" s="32">
        <f ca="1">163*OFFSET(L$112,MATCH($N$1,$C$112:$C$113,0)-1,0)</f>
        <v>163</v>
      </c>
      <c r="M27" s="32">
        <f ca="1">144.9*OFFSET(M$112,MATCH($N$1,$C$112:$C$113,0)-1,0)</f>
        <v>144.9</v>
      </c>
      <c r="N27" s="32">
        <v>141.1</v>
      </c>
      <c r="O27" s="23">
        <f t="shared" ca="1" si="0"/>
        <v>0.20908311910882596</v>
      </c>
      <c r="P27" s="23">
        <f t="shared" ca="1" si="1"/>
        <v>7.857142857142816E-3</v>
      </c>
    </row>
    <row r="28" spans="1:16" ht="18" customHeight="1" x14ac:dyDescent="0.2">
      <c r="A28" s="231"/>
      <c r="B28" s="33" t="s">
        <v>66</v>
      </c>
      <c r="C28" s="27"/>
      <c r="D28" s="28">
        <f ca="1">1.1*OFFSET(D$112,MATCH($N$1,$C$112:$C$113,0)-1,0)</f>
        <v>1.1000000000000001</v>
      </c>
      <c r="E28" s="28">
        <f ca="1">3.7*OFFSET(E$112,MATCH($N$1,$C$112:$C$113,0)-1,0)</f>
        <v>3.7</v>
      </c>
      <c r="F28" s="28">
        <f ca="1">2.1*OFFSET(F$112,MATCH($N$1,$C$112:$C$113,0)-1,0)</f>
        <v>2.1</v>
      </c>
      <c r="G28" s="28">
        <f ca="1">0.9*OFFSET(G$112,MATCH($N$1,$C$112:$C$113,0)-1,0)</f>
        <v>0.9</v>
      </c>
      <c r="H28" s="28">
        <f ca="1">5.9*OFFSET(H$112,MATCH($N$1,$C$112:$C$113,0)-1,0)</f>
        <v>5.9</v>
      </c>
      <c r="I28" s="28">
        <f ca="1">4.1*OFFSET(I$112,MATCH($N$1,$C$112:$C$113,0)-1,0)</f>
        <v>4.0999999999999996</v>
      </c>
      <c r="J28" s="28">
        <f ca="1">1.8*OFFSET(J$112,MATCH($N$1,$C$112:$C$113,0)-1,0)</f>
        <v>1.8</v>
      </c>
      <c r="K28" s="28">
        <f ca="1">7.1*OFFSET(K$112,MATCH($N$1,$C$112:$C$113,0)-1,0)</f>
        <v>7.1</v>
      </c>
      <c r="L28" s="28">
        <f ca="1">6.8*OFFSET(L$112,MATCH($N$1,$C$112:$C$113,0)-1,0)</f>
        <v>6.8</v>
      </c>
      <c r="M28" s="28">
        <f ca="1">4.3*OFFSET(M$112,MATCH($N$1,$C$112:$C$113,0)-1,0)</f>
        <v>4.3</v>
      </c>
      <c r="N28" s="28">
        <v>4.2</v>
      </c>
      <c r="O28" s="23">
        <f t="shared" ca="1" si="0"/>
        <v>2.8181818181818179</v>
      </c>
      <c r="P28" s="23">
        <f t="shared" ca="1" si="1"/>
        <v>1.3333333333333335</v>
      </c>
    </row>
    <row r="29" spans="1:16" ht="18" customHeight="1" x14ac:dyDescent="0.2">
      <c r="A29" s="231"/>
      <c r="B29" s="41" t="s">
        <v>67</v>
      </c>
      <c r="C29" s="42"/>
      <c r="D29" s="43">
        <f ca="1">117.8*OFFSET(D$112,MATCH($N$1,$C$112:$C$113,0)-1,0)</f>
        <v>117.8</v>
      </c>
      <c r="E29" s="43">
        <f ca="1">157.8*OFFSET(E$112,MATCH($N$1,$C$112:$C$113,0)-1,0)</f>
        <v>157.80000000000001</v>
      </c>
      <c r="F29" s="43">
        <f ca="1">140.2*OFFSET(F$112,MATCH($N$1,$C$112:$C$113,0)-1,0)</f>
        <v>140.19999999999999</v>
      </c>
      <c r="G29" s="43">
        <f ca="1">128.1*OFFSET(G$112,MATCH($N$1,$C$112:$C$113,0)-1,0)</f>
        <v>128.1</v>
      </c>
      <c r="H29" s="43">
        <f ca="1">163.6*OFFSET(H$112,MATCH($N$1,$C$112:$C$113,0)-1,0)</f>
        <v>163.6</v>
      </c>
      <c r="I29" s="43">
        <f ca="1">130.3*OFFSET(I$112,MATCH($N$1,$C$112:$C$113,0)-1,0)</f>
        <v>130.30000000000001</v>
      </c>
      <c r="J29" s="43">
        <f ca="1">141.7*OFFSET(J$112,MATCH($N$1,$C$112:$C$113,0)-1,0)</f>
        <v>141.69999999999999</v>
      </c>
      <c r="K29" s="43">
        <f ca="1">136.3*OFFSET(K$112,MATCH($N$1,$C$112:$C$113,0)-1,0)</f>
        <v>136.30000000000001</v>
      </c>
      <c r="L29" s="43">
        <f ca="1">169.8*OFFSET(L$112,MATCH($N$1,$C$112:$C$113,0)-1,0)</f>
        <v>169.8</v>
      </c>
      <c r="M29" s="43">
        <f ca="1">149.2*OFFSET(M$112,MATCH($N$1,$C$112:$C$113,0)-1,0)</f>
        <v>149.19999999999999</v>
      </c>
      <c r="N29" s="43">
        <v>145.30000000000001</v>
      </c>
      <c r="O29" s="23">
        <f t="shared" ca="1" si="0"/>
        <v>0.23344651952461812</v>
      </c>
      <c r="P29" s="23">
        <f t="shared" ca="1" si="1"/>
        <v>2.5405786873676943E-2</v>
      </c>
    </row>
    <row r="30" spans="1:16" ht="18" customHeight="1" x14ac:dyDescent="0.2">
      <c r="A30" s="231"/>
      <c r="B30" s="33" t="s">
        <v>68</v>
      </c>
      <c r="C30" s="27"/>
      <c r="D30" s="28">
        <f ca="1">26.9*OFFSET(D$112,MATCH($N$1,$C$112:$C$113,0)-1,0)</f>
        <v>26.9</v>
      </c>
      <c r="E30" s="28">
        <f ca="1">17.8*OFFSET(E$112,MATCH($N$1,$C$112:$C$113,0)-1,0)</f>
        <v>17.8</v>
      </c>
      <c r="F30" s="28">
        <f ca="1">25.2*OFFSET(F$112,MATCH($N$1,$C$112:$C$113,0)-1,0)</f>
        <v>25.2</v>
      </c>
      <c r="G30" s="28">
        <f ca="1">28.9*OFFSET(G$112,MATCH($N$1,$C$112:$C$113,0)-1,0)</f>
        <v>28.9</v>
      </c>
      <c r="H30" s="28">
        <f ca="1">34.5*OFFSET(H$112,MATCH($N$1,$C$112:$C$113,0)-1,0)</f>
        <v>34.5</v>
      </c>
      <c r="I30" s="28">
        <f ca="1">30.2*OFFSET(I$112,MATCH($N$1,$C$112:$C$113,0)-1,0)</f>
        <v>30.2</v>
      </c>
      <c r="J30" s="28">
        <f ca="1">26.3*OFFSET(J$112,MATCH($N$1,$C$112:$C$113,0)-1,0)</f>
        <v>26.3</v>
      </c>
      <c r="K30" s="28">
        <f ca="1">18.7*OFFSET(K$112,MATCH($N$1,$C$112:$C$113,0)-1,0)</f>
        <v>18.7</v>
      </c>
      <c r="L30" s="28">
        <f ca="1">21.1*OFFSET(L$112,MATCH($N$1,$C$112:$C$113,0)-1,0)</f>
        <v>21.1</v>
      </c>
      <c r="M30" s="28">
        <f ca="1">21*OFFSET(M$112,MATCH($N$1,$C$112:$C$113,0)-1,0)</f>
        <v>21</v>
      </c>
      <c r="N30" s="28">
        <v>25</v>
      </c>
      <c r="O30" s="23">
        <f t="shared" ca="1" si="0"/>
        <v>-7.0631970260222998E-2</v>
      </c>
      <c r="P30" s="23">
        <f t="shared" ca="1" si="1"/>
        <v>-4.9429657794676833E-2</v>
      </c>
    </row>
    <row r="31" spans="1:16" ht="18" customHeight="1" x14ac:dyDescent="0.2">
      <c r="A31" s="231"/>
      <c r="B31" s="33" t="s">
        <v>69</v>
      </c>
      <c r="C31" s="27"/>
      <c r="D31" s="28">
        <f ca="1">37.5*OFFSET(D$112,MATCH($N$1,$C$112:$C$113,0)-1,0)</f>
        <v>37.5</v>
      </c>
      <c r="E31" s="28">
        <f ca="1">33*OFFSET(E$112,MATCH($N$1,$C$112:$C$113,0)-1,0)</f>
        <v>33</v>
      </c>
      <c r="F31" s="28">
        <f ca="1">40.2*OFFSET(F$112,MATCH($N$1,$C$112:$C$113,0)-1,0)</f>
        <v>40.200000000000003</v>
      </c>
      <c r="G31" s="28">
        <f ca="1">38.1*OFFSET(G$112,MATCH($N$1,$C$112:$C$113,0)-1,0)</f>
        <v>38.1</v>
      </c>
      <c r="H31" s="28">
        <f ca="1">47.5*OFFSET(H$112,MATCH($N$1,$C$112:$C$113,0)-1,0)</f>
        <v>47.5</v>
      </c>
      <c r="I31" s="28">
        <f ca="1">30*OFFSET(I$112,MATCH($N$1,$C$112:$C$113,0)-1,0)</f>
        <v>30</v>
      </c>
      <c r="J31" s="28">
        <f ca="1">36*OFFSET(J$112,MATCH($N$1,$C$112:$C$113,0)-1,0)</f>
        <v>36</v>
      </c>
      <c r="K31" s="28">
        <f ca="1">26.2*OFFSET(K$112,MATCH($N$1,$C$112:$C$113,0)-1,0)</f>
        <v>26.2</v>
      </c>
      <c r="L31" s="28">
        <f ca="1">41.7*OFFSET(L$112,MATCH($N$1,$C$112:$C$113,0)-1,0)</f>
        <v>41.7</v>
      </c>
      <c r="M31" s="28">
        <f ca="1">33.8*OFFSET(M$112,MATCH($N$1,$C$112:$C$113,0)-1,0)</f>
        <v>33.799999999999997</v>
      </c>
      <c r="N31" s="28">
        <v>31.2</v>
      </c>
      <c r="O31" s="23">
        <f t="shared" ca="1" si="0"/>
        <v>-0.16800000000000001</v>
      </c>
      <c r="P31" s="23">
        <f t="shared" ca="1" si="1"/>
        <v>-0.13333333333333336</v>
      </c>
    </row>
    <row r="32" spans="1:16" ht="18" customHeight="1" x14ac:dyDescent="0.2">
      <c r="A32" s="231"/>
      <c r="B32" s="33" t="s">
        <v>70</v>
      </c>
      <c r="C32" s="27"/>
      <c r="D32" s="28">
        <f ca="1">6.9*OFFSET(D$112,MATCH($N$1,$C$112:$C$113,0)-1,0)</f>
        <v>6.9</v>
      </c>
      <c r="E32" s="28">
        <f ca="1">23.7*OFFSET(E$112,MATCH($N$1,$C$112:$C$113,0)-1,0)</f>
        <v>23.7</v>
      </c>
      <c r="F32" s="28">
        <f ca="1">13.2*OFFSET(F$112,MATCH($N$1,$C$112:$C$113,0)-1,0)</f>
        <v>13.2</v>
      </c>
      <c r="G32" s="28">
        <f ca="1">13.4*OFFSET(G$112,MATCH($N$1,$C$112:$C$113,0)-1,0)</f>
        <v>13.4</v>
      </c>
      <c r="H32" s="28">
        <f ca="1">15.5*OFFSET(H$112,MATCH($N$1,$C$112:$C$113,0)-1,0)</f>
        <v>15.5</v>
      </c>
      <c r="I32" s="28">
        <f ca="1">15.8*OFFSET(I$112,MATCH($N$1,$C$112:$C$113,0)-1,0)</f>
        <v>15.8</v>
      </c>
      <c r="J32" s="28">
        <f ca="1">13.4*OFFSET(J$112,MATCH($N$1,$C$112:$C$113,0)-1,0)</f>
        <v>13.4</v>
      </c>
      <c r="K32" s="28">
        <f ca="1">32.9*OFFSET(K$112,MATCH($N$1,$C$112:$C$113,0)-1,0)</f>
        <v>32.9</v>
      </c>
      <c r="L32" s="28">
        <f ca="1">32.8*OFFSET(L$112,MATCH($N$1,$C$112:$C$113,0)-1,0)</f>
        <v>32.799999999999997</v>
      </c>
      <c r="M32" s="28">
        <f ca="1">34.7*OFFSET(M$112,MATCH($N$1,$C$112:$C$113,0)-1,0)</f>
        <v>34.700000000000003</v>
      </c>
      <c r="N32" s="28">
        <v>33.799999999999997</v>
      </c>
      <c r="O32" s="23">
        <f t="shared" ca="1" si="0"/>
        <v>3.8985507246376807</v>
      </c>
      <c r="P32" s="23">
        <f t="shared" ca="1" si="1"/>
        <v>1.5223880597014925</v>
      </c>
    </row>
    <row r="33" spans="1:16" ht="18" customHeight="1" x14ac:dyDescent="0.2">
      <c r="A33" s="231"/>
      <c r="B33" s="33" t="s">
        <v>71</v>
      </c>
      <c r="C33" s="27"/>
      <c r="D33" s="28">
        <f ca="1">71.3*OFFSET(D$112,MATCH($N$1,$C$112:$C$113,0)-1,0)</f>
        <v>71.3</v>
      </c>
      <c r="E33" s="28">
        <f ca="1">74.4*OFFSET(E$112,MATCH($N$1,$C$112:$C$113,0)-1,0)</f>
        <v>74.400000000000006</v>
      </c>
      <c r="F33" s="28">
        <f ca="1">78.6*OFFSET(F$112,MATCH($N$1,$C$112:$C$113,0)-1,0)</f>
        <v>78.599999999999994</v>
      </c>
      <c r="G33" s="28">
        <f ca="1">80.3*OFFSET(G$112,MATCH($N$1,$C$112:$C$113,0)-1,0)</f>
        <v>80.3</v>
      </c>
      <c r="H33" s="28">
        <f ca="1">97.5*OFFSET(H$112,MATCH($N$1,$C$112:$C$113,0)-1,0)</f>
        <v>97.5</v>
      </c>
      <c r="I33" s="28">
        <f ca="1">75.9*OFFSET(I$112,MATCH($N$1,$C$112:$C$113,0)-1,0)</f>
        <v>75.900000000000006</v>
      </c>
      <c r="J33" s="28">
        <f ca="1">75.7*OFFSET(J$112,MATCH($N$1,$C$112:$C$113,0)-1,0)</f>
        <v>75.7</v>
      </c>
      <c r="K33" s="28">
        <f ca="1">77.9*OFFSET(K$112,MATCH($N$1,$C$112:$C$113,0)-1,0)</f>
        <v>77.900000000000006</v>
      </c>
      <c r="L33" s="28">
        <f ca="1">95.6*OFFSET(L$112,MATCH($N$1,$C$112:$C$113,0)-1,0)</f>
        <v>95.6</v>
      </c>
      <c r="M33" s="28">
        <f ca="1">89.5*OFFSET(M$112,MATCH($N$1,$C$112:$C$113,0)-1,0)</f>
        <v>89.5</v>
      </c>
      <c r="N33" s="28">
        <v>90</v>
      </c>
      <c r="O33" s="23">
        <f t="shared" ca="1" si="0"/>
        <v>0.2622720897615709</v>
      </c>
      <c r="P33" s="23">
        <f t="shared" ca="1" si="1"/>
        <v>0.18890356671070008</v>
      </c>
    </row>
    <row r="34" spans="1:16" ht="18" customHeight="1" x14ac:dyDescent="0.2">
      <c r="A34" s="231"/>
      <c r="B34" s="33" t="s">
        <v>72</v>
      </c>
      <c r="C34" s="27"/>
      <c r="D34" s="28">
        <f ca="1">27.9*OFFSET(D$112,MATCH($N$1,$C$112:$C$113,0)-1,0)</f>
        <v>27.9</v>
      </c>
      <c r="E34" s="28">
        <f ca="1">31.9*OFFSET(E$112,MATCH($N$1,$C$112:$C$113,0)-1,0)</f>
        <v>31.9</v>
      </c>
      <c r="F34" s="28">
        <f ca="1">37.5*OFFSET(F$112,MATCH($N$1,$C$112:$C$113,0)-1,0)</f>
        <v>37.5</v>
      </c>
      <c r="G34" s="28">
        <f ca="1">31.8*OFFSET(G$112,MATCH($N$1,$C$112:$C$113,0)-1,0)</f>
        <v>31.8</v>
      </c>
      <c r="H34" s="28">
        <f ca="1">29.1*OFFSET(H$112,MATCH($N$1,$C$112:$C$113,0)-1,0)</f>
        <v>29.1</v>
      </c>
      <c r="I34" s="28">
        <f ca="1">33.5*OFFSET(I$112,MATCH($N$1,$C$112:$C$113,0)-1,0)</f>
        <v>33.5</v>
      </c>
      <c r="J34" s="28">
        <f ca="1">39.9*OFFSET(J$112,MATCH($N$1,$C$112:$C$113,0)-1,0)</f>
        <v>39.9</v>
      </c>
      <c r="K34" s="28">
        <f ca="1">29.7*OFFSET(K$112,MATCH($N$1,$C$112:$C$113,0)-1,0)</f>
        <v>29.7</v>
      </c>
      <c r="L34" s="28">
        <f ca="1">44.2*OFFSET(L$112,MATCH($N$1,$C$112:$C$113,0)-1,0)</f>
        <v>44.2</v>
      </c>
      <c r="M34" s="28">
        <f ca="1">43.9*OFFSET(M$112,MATCH($N$1,$C$112:$C$113,0)-1,0)</f>
        <v>43.9</v>
      </c>
      <c r="N34" s="28">
        <v>42.7</v>
      </c>
      <c r="O34" s="23">
        <f t="shared" ca="1" si="0"/>
        <v>0.53046594982078876</v>
      </c>
      <c r="P34" s="23">
        <f t="shared" ca="1" si="1"/>
        <v>7.0175438596491335E-2</v>
      </c>
    </row>
    <row r="35" spans="1:16" ht="18" customHeight="1" x14ac:dyDescent="0.2">
      <c r="A35" s="231"/>
      <c r="B35" s="33" t="s">
        <v>73</v>
      </c>
      <c r="C35" s="27"/>
      <c r="D35" s="28">
        <f ca="1">99.3*OFFSET(D$112,MATCH($N$1,$C$112:$C$113,0)-1,0)</f>
        <v>99.3</v>
      </c>
      <c r="E35" s="28">
        <f ca="1">106.3*OFFSET(E$112,MATCH($N$1,$C$112:$C$113,0)-1,0)</f>
        <v>106.3</v>
      </c>
      <c r="F35" s="28">
        <f ca="1">116.1*OFFSET(F$112,MATCH($N$1,$C$112:$C$113,0)-1,0)</f>
        <v>116.1</v>
      </c>
      <c r="G35" s="28">
        <f ca="1">112.1*OFFSET(G$112,MATCH($N$1,$C$112:$C$113,0)-1,0)</f>
        <v>112.1</v>
      </c>
      <c r="H35" s="28">
        <f ca="1">126.6*OFFSET(H$112,MATCH($N$1,$C$112:$C$113,0)-1,0)</f>
        <v>126.6</v>
      </c>
      <c r="I35" s="28">
        <f ca="1">109.4*OFFSET(I$112,MATCH($N$1,$C$112:$C$113,0)-1,0)</f>
        <v>109.4</v>
      </c>
      <c r="J35" s="28">
        <f ca="1">115.6*OFFSET(J$112,MATCH($N$1,$C$112:$C$113,0)-1,0)</f>
        <v>115.6</v>
      </c>
      <c r="K35" s="28">
        <f ca="1">107.5*OFFSET(K$112,MATCH($N$1,$C$112:$C$113,0)-1,0)</f>
        <v>107.5</v>
      </c>
      <c r="L35" s="28">
        <f ca="1">139.8*OFFSET(L$112,MATCH($N$1,$C$112:$C$113,0)-1,0)</f>
        <v>139.80000000000001</v>
      </c>
      <c r="M35" s="28">
        <f ca="1">133.4*OFFSET(M$112,MATCH($N$1,$C$112:$C$113,0)-1,0)</f>
        <v>133.4</v>
      </c>
      <c r="N35" s="28">
        <v>132.80000000000001</v>
      </c>
      <c r="O35" s="23">
        <f t="shared" ca="1" si="0"/>
        <v>0.33736153071500519</v>
      </c>
      <c r="P35" s="23">
        <f t="shared" ca="1" si="1"/>
        <v>0.14878892733564028</v>
      </c>
    </row>
    <row r="36" spans="1:16" ht="18" customHeight="1" x14ac:dyDescent="0.2">
      <c r="A36" s="231"/>
      <c r="B36" s="41" t="s">
        <v>74</v>
      </c>
      <c r="C36" s="42"/>
      <c r="D36" s="43">
        <f ca="1">56.1*OFFSET(D$112,MATCH($N$1,$C$112:$C$113,0)-1,0)</f>
        <v>56.1</v>
      </c>
      <c r="E36" s="43">
        <f ca="1">84.5*OFFSET(E$112,MATCH($N$1,$C$112:$C$113,0)-1,0)</f>
        <v>84.5</v>
      </c>
      <c r="F36" s="43">
        <f ca="1">64.3*OFFSET(F$112,MATCH($N$1,$C$112:$C$113,0)-1,0)</f>
        <v>64.3</v>
      </c>
      <c r="G36" s="43">
        <f ca="1">54.1*OFFSET(G$112,MATCH($N$1,$C$112:$C$113,0)-1,0)</f>
        <v>54.1</v>
      </c>
      <c r="H36" s="43">
        <f ca="1">84.5*OFFSET(H$112,MATCH($N$1,$C$112:$C$113,0)-1,0)</f>
        <v>84.5</v>
      </c>
      <c r="I36" s="43">
        <f ca="1">50.9*OFFSET(I$112,MATCH($N$1,$C$112:$C$113,0)-1,0)</f>
        <v>50.9</v>
      </c>
      <c r="J36" s="43">
        <f ca="1">62.2*OFFSET(J$112,MATCH($N$1,$C$112:$C$113,0)-1,0)</f>
        <v>62.2</v>
      </c>
      <c r="K36" s="43">
        <f ca="1">55*OFFSET(K$112,MATCH($N$1,$C$112:$C$113,0)-1,0)</f>
        <v>55</v>
      </c>
      <c r="L36" s="43">
        <f ca="1">71.7*OFFSET(L$112,MATCH($N$1,$C$112:$C$113,0)-1,0)</f>
        <v>71.7</v>
      </c>
      <c r="M36" s="43">
        <f ca="1">49.6*OFFSET(M$112,MATCH($N$1,$C$112:$C$113,0)-1,0)</f>
        <v>49.6</v>
      </c>
      <c r="N36" s="43">
        <v>43.7</v>
      </c>
      <c r="O36" s="23">
        <f t="shared" ca="1" si="0"/>
        <v>-0.2210338680926916</v>
      </c>
      <c r="P36" s="23">
        <f t="shared" ca="1" si="1"/>
        <v>-0.29742765273311894</v>
      </c>
    </row>
    <row r="37" spans="1:16" ht="18" customHeight="1" x14ac:dyDescent="0.2">
      <c r="A37" s="231"/>
      <c r="B37" s="41" t="s">
        <v>75</v>
      </c>
      <c r="C37" s="42"/>
      <c r="D37" s="43">
        <f ca="1">18.6*OFFSET(D$112,MATCH($N$1,$C$112:$C$113,0)-1,0)</f>
        <v>18.600000000000001</v>
      </c>
      <c r="E37" s="43">
        <f ca="1">51.5*OFFSET(E$112,MATCH($N$1,$C$112:$C$113,0)-1,0)</f>
        <v>51.5</v>
      </c>
      <c r="F37" s="43">
        <f ca="1">24.1*OFFSET(F$112,MATCH($N$1,$C$112:$C$113,0)-1,0)</f>
        <v>24.1</v>
      </c>
      <c r="G37" s="43">
        <f ca="1">16*OFFSET(G$112,MATCH($N$1,$C$112:$C$113,0)-1,0)</f>
        <v>16</v>
      </c>
      <c r="H37" s="43">
        <f ca="1">37*OFFSET(H$112,MATCH($N$1,$C$112:$C$113,0)-1,0)</f>
        <v>37</v>
      </c>
      <c r="I37" s="43">
        <f ca="1">20.9*OFFSET(I$112,MATCH($N$1,$C$112:$C$113,0)-1,0)</f>
        <v>20.9</v>
      </c>
      <c r="J37" s="43">
        <f ca="1">26.2*OFFSET(J$112,MATCH($N$1,$C$112:$C$113,0)-1,0)</f>
        <v>26.2</v>
      </c>
      <c r="K37" s="43">
        <f ca="1">28.8*OFFSET(K$112,MATCH($N$1,$C$112:$C$113,0)-1,0)</f>
        <v>28.8</v>
      </c>
      <c r="L37" s="43">
        <f ca="1">30*OFFSET(L$112,MATCH($N$1,$C$112:$C$113,0)-1,0)</f>
        <v>30</v>
      </c>
      <c r="M37" s="43">
        <f ca="1">15.8*OFFSET(M$112,MATCH($N$1,$C$112:$C$113,0)-1,0)</f>
        <v>15.8</v>
      </c>
      <c r="N37" s="43">
        <v>12.5</v>
      </c>
      <c r="O37" s="23">
        <f t="shared" ca="1" si="0"/>
        <v>-0.32795698924731187</v>
      </c>
      <c r="P37" s="23">
        <f t="shared" ca="1" si="1"/>
        <v>-0.52290076335877866</v>
      </c>
    </row>
    <row r="38" spans="1:16" ht="18" customHeight="1" x14ac:dyDescent="0.2">
      <c r="A38" s="231"/>
      <c r="B38" s="33" t="s">
        <v>76</v>
      </c>
      <c r="C38" s="27"/>
      <c r="D38" s="28">
        <f ca="1">6.5*OFFSET(D$112,MATCH($N$1,$C$112:$C$113,0)-1,0)</f>
        <v>6.5</v>
      </c>
      <c r="E38" s="28">
        <f ca="1">12.7*OFFSET(E$112,MATCH($N$1,$C$112:$C$113,0)-1,0)</f>
        <v>12.7</v>
      </c>
      <c r="F38" s="28">
        <f ca="1">6.9*OFFSET(F$112,MATCH($N$1,$C$112:$C$113,0)-1,0)</f>
        <v>6.9</v>
      </c>
      <c r="G38" s="28">
        <f ca="1">8.7*OFFSET(G$112,MATCH($N$1,$C$112:$C$113,0)-1,0)</f>
        <v>8.6999999999999993</v>
      </c>
      <c r="H38" s="28">
        <f ca="1">7.4*OFFSET(H$112,MATCH($N$1,$C$112:$C$113,0)-1,0)</f>
        <v>7.4</v>
      </c>
      <c r="I38" s="28">
        <f ca="1">10*OFFSET(I$112,MATCH($N$1,$C$112:$C$113,0)-1,0)</f>
        <v>10</v>
      </c>
      <c r="J38" s="28">
        <f ca="1">7.7*OFFSET(J$112,MATCH($N$1,$C$112:$C$113,0)-1,0)</f>
        <v>7.7</v>
      </c>
      <c r="K38" s="28">
        <f ca="1">9.1*OFFSET(K$112,MATCH($N$1,$C$112:$C$113,0)-1,0)</f>
        <v>9.1</v>
      </c>
      <c r="L38" s="28">
        <f ca="1">6.3*OFFSET(L$112,MATCH($N$1,$C$112:$C$113,0)-1,0)</f>
        <v>6.3</v>
      </c>
      <c r="M38" s="28">
        <f ca="1">7.2*OFFSET(M$112,MATCH($N$1,$C$112:$C$113,0)-1,0)</f>
        <v>7.2</v>
      </c>
      <c r="N38" s="28"/>
      <c r="O38" s="23" t="str">
        <f t="shared" si="0"/>
        <v/>
      </c>
      <c r="P38" s="23" t="str">
        <f t="shared" si="1"/>
        <v/>
      </c>
    </row>
    <row r="39" spans="1:16" ht="18" customHeight="1" x14ac:dyDescent="0.2">
      <c r="A39" s="231"/>
      <c r="B39" s="33" t="s">
        <v>77</v>
      </c>
      <c r="C39" s="27"/>
      <c r="D39" s="28">
        <f ca="1">1.5*OFFSET(D$112,MATCH($N$1,$C$112:$C$113,0)-1,0)</f>
        <v>1.5</v>
      </c>
      <c r="E39" s="28">
        <f ca="1">2*OFFSET(E$112,MATCH($N$1,$C$112:$C$113,0)-1,0)</f>
        <v>2</v>
      </c>
      <c r="F39" s="28">
        <f ca="1">2.2*OFFSET(F$112,MATCH($N$1,$C$112:$C$113,0)-1,0)</f>
        <v>2.2000000000000002</v>
      </c>
      <c r="G39" s="28">
        <f ca="1">1.1*OFFSET(G$112,MATCH($N$1,$C$112:$C$113,0)-1,0)</f>
        <v>1.1000000000000001</v>
      </c>
      <c r="H39" s="28">
        <f ca="1">1.2*OFFSET(H$112,MATCH($N$1,$C$112:$C$113,0)-1,0)</f>
        <v>1.2</v>
      </c>
      <c r="I39" s="28">
        <f ca="1">2.4*OFFSET(I$112,MATCH($N$1,$C$112:$C$113,0)-1,0)</f>
        <v>2.4</v>
      </c>
      <c r="J39" s="28">
        <f ca="1">1.7*OFFSET(J$112,MATCH($N$1,$C$112:$C$113,0)-1,0)</f>
        <v>1.7</v>
      </c>
      <c r="K39" s="28">
        <f ca="1">1.8*OFFSET(K$112,MATCH($N$1,$C$112:$C$113,0)-1,0)</f>
        <v>1.8</v>
      </c>
      <c r="L39" s="28">
        <f ca="1">2*OFFSET(L$112,MATCH($N$1,$C$112:$C$113,0)-1,0)</f>
        <v>2</v>
      </c>
      <c r="M39" s="28">
        <f ca="1">1.3*OFFSET(M$112,MATCH($N$1,$C$112:$C$113,0)-1,0)</f>
        <v>1.3</v>
      </c>
      <c r="N39" s="28"/>
      <c r="O39" s="23" t="str">
        <f t="shared" si="0"/>
        <v/>
      </c>
      <c r="P39" s="23" t="str">
        <f t="shared" si="1"/>
        <v/>
      </c>
    </row>
    <row r="40" spans="1:16" ht="18" customHeight="1" x14ac:dyDescent="0.2">
      <c r="A40" s="231"/>
      <c r="B40" s="33" t="s">
        <v>78</v>
      </c>
      <c r="C40" s="27"/>
      <c r="D40" s="28"/>
      <c r="E40" s="28"/>
      <c r="F40" s="28">
        <f ca="1">0.6*OFFSET(F$112,MATCH($N$1,$C$112:$C$113,0)-1,0)</f>
        <v>0.6</v>
      </c>
      <c r="G40" s="28">
        <f ca="1">1.5*OFFSET(G$112,MATCH($N$1,$C$112:$C$113,0)-1,0)</f>
        <v>1.5</v>
      </c>
      <c r="H40" s="28">
        <f ca="1">0.4*OFFSET(H$112,MATCH($N$1,$C$112:$C$113,0)-1,0)</f>
        <v>0.4</v>
      </c>
      <c r="I40" s="28">
        <f ca="1">0.3*OFFSET(I$112,MATCH($N$1,$C$112:$C$113,0)-1,0)</f>
        <v>0.3</v>
      </c>
      <c r="J40" s="28">
        <f ca="1">0.3*OFFSET(J$112,MATCH($N$1,$C$112:$C$113,0)-1,0)</f>
        <v>0.3</v>
      </c>
      <c r="K40" s="28">
        <f ca="1">1.2*OFFSET(K$112,MATCH($N$1,$C$112:$C$113,0)-1,0)</f>
        <v>1.2</v>
      </c>
      <c r="L40" s="28">
        <f ca="1">0.9*OFFSET(L$112,MATCH($N$1,$C$112:$C$113,0)-1,0)</f>
        <v>0.9</v>
      </c>
      <c r="M40" s="28">
        <f ca="1">0.9*OFFSET(M$112,MATCH($N$1,$C$112:$C$113,0)-1,0)</f>
        <v>0.9</v>
      </c>
      <c r="N40" s="28"/>
      <c r="O40" s="23" t="str">
        <f t="shared" si="0"/>
        <v/>
      </c>
      <c r="P40" s="23" t="str">
        <f t="shared" si="1"/>
        <v/>
      </c>
    </row>
    <row r="41" spans="1:16" ht="18" customHeight="1" thickBot="1" x14ac:dyDescent="0.25">
      <c r="A41" s="232"/>
      <c r="B41" s="44" t="s">
        <v>79</v>
      </c>
      <c r="C41" s="45"/>
      <c r="D41" s="46">
        <f ca="1">10.5*OFFSET(D$112,MATCH($N$1,$C$112:$C$113,0)-1,0)</f>
        <v>10.5</v>
      </c>
      <c r="E41" s="46">
        <f ca="1">36.8*OFFSET(E$112,MATCH($N$1,$C$112:$C$113,0)-1,0)</f>
        <v>36.799999999999997</v>
      </c>
      <c r="F41" s="46">
        <f ca="1">14.4*OFFSET(F$112,MATCH($N$1,$C$112:$C$113,0)-1,0)</f>
        <v>14.4</v>
      </c>
      <c r="G41" s="46">
        <f ca="1">4.6*OFFSET(G$112,MATCH($N$1,$C$112:$C$113,0)-1,0)</f>
        <v>4.5999999999999996</v>
      </c>
      <c r="H41" s="46">
        <f ca="1">28*OFFSET(H$112,MATCH($N$1,$C$112:$C$113,0)-1,0)</f>
        <v>28</v>
      </c>
      <c r="I41" s="46">
        <f ca="1">8.1*OFFSET(I$112,MATCH($N$1,$C$112:$C$113,0)-1,0)</f>
        <v>8.1</v>
      </c>
      <c r="J41" s="46">
        <f ca="1">16.5*OFFSET(J$112,MATCH($N$1,$C$112:$C$113,0)-1,0)</f>
        <v>16.5</v>
      </c>
      <c r="K41" s="46">
        <f ca="1">16.7*OFFSET(K$112,MATCH($N$1,$C$112:$C$113,0)-1,0)</f>
        <v>16.7</v>
      </c>
      <c r="L41" s="46">
        <f ca="1">20.7*OFFSET(L$112,MATCH($N$1,$C$112:$C$113,0)-1,0)</f>
        <v>20.7</v>
      </c>
      <c r="M41" s="46">
        <f ca="1">6.5*OFFSET(M$112,MATCH($N$1,$C$112:$C$113,0)-1,0)</f>
        <v>6.5</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174</v>
      </c>
      <c r="F46" s="95" t="s">
        <v>174</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UK scallop dredge under 15m</v>
      </c>
      <c r="C48" s="97"/>
      <c r="D48" s="97"/>
      <c r="E48" s="97"/>
      <c r="F48" s="97"/>
      <c r="G48" s="97"/>
      <c r="K48" s="97" t="str">
        <f>$B24&amp;CHAR(10)&amp;$A$1</f>
        <v>Operating profit per kW day at sea (£)
UK scallop dredge under 15m</v>
      </c>
    </row>
    <row r="49" spans="1:11" s="83" customFormat="1" x14ac:dyDescent="0.2">
      <c r="A49" s="97" t="str">
        <f>$B22&amp;CHAR(10)&amp;$A$1</f>
        <v>Fishing income per kW day at sea (£)
UK scallop dredge under 15m</v>
      </c>
    </row>
    <row r="50" spans="1:11" s="83" customFormat="1" x14ac:dyDescent="0.2">
      <c r="A50" s="97" t="str">
        <f>$B20&amp;CHAR(10)&amp;$A$1</f>
        <v>Average price per tonne landed (£)
UK scallop dredge under 15m</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UK scallop dredge under 15m</v>
      </c>
      <c r="F62" s="97" t="str">
        <f>$B20&amp;CHAR(10)&amp;$A$1</f>
        <v>Average price per tonne landed (£)
UK scallop dredge under 15m</v>
      </c>
      <c r="K62" s="97" t="str">
        <f>"Average annual operating profit per vessel (£'000)"&amp;CHAR(10)&amp;$A$1</f>
        <v>Average annual operating profit per vessel (£'000)
UK scallop dredge under 15m</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UK scallop dredge under 15m</v>
      </c>
      <c r="F76" s="97" t="str">
        <f>"Top 5 landed species by value in "&amp;A77&amp;CHAR(10)&amp;A1</f>
        <v>Top 5 landed species by value in 2017
UK scallop dredge under 15m</v>
      </c>
    </row>
    <row r="77" spans="1:9" s="97" customFormat="1" x14ac:dyDescent="0.2">
      <c r="A77" s="97">
        <v>2017</v>
      </c>
      <c r="B77" s="97" t="s">
        <v>444</v>
      </c>
      <c r="C77" s="98">
        <v>0.50652836363406628</v>
      </c>
      <c r="D77" s="99">
        <v>12153634</v>
      </c>
      <c r="G77" s="97" t="s">
        <v>445</v>
      </c>
      <c r="H77" s="98">
        <v>0.70865321539608861</v>
      </c>
      <c r="I77" s="99">
        <v>12153634</v>
      </c>
    </row>
    <row r="78" spans="1:9" s="97" customFormat="1" x14ac:dyDescent="0.2">
      <c r="B78" s="97" t="s">
        <v>446</v>
      </c>
      <c r="C78" s="98">
        <v>0.33965397098832639</v>
      </c>
      <c r="D78" s="99">
        <v>553960</v>
      </c>
      <c r="G78" s="97" t="s">
        <v>447</v>
      </c>
      <c r="H78" s="98">
        <v>0.13992871402543589</v>
      </c>
      <c r="I78" s="99">
        <v>553960</v>
      </c>
    </row>
    <row r="79" spans="1:9" s="97" customFormat="1" x14ac:dyDescent="0.2">
      <c r="B79" s="97" t="s">
        <v>448</v>
      </c>
      <c r="C79" s="98">
        <v>6.4607459322327782E-2</v>
      </c>
      <c r="D79" s="99">
        <v>3050596</v>
      </c>
      <c r="G79" s="97" t="s">
        <v>449</v>
      </c>
      <c r="H79" s="98">
        <v>3.3870838457395115E-2</v>
      </c>
      <c r="I79" s="99">
        <v>3050596</v>
      </c>
    </row>
    <row r="80" spans="1:9" s="97" customFormat="1" x14ac:dyDescent="0.2">
      <c r="B80" s="97" t="s">
        <v>450</v>
      </c>
      <c r="C80" s="98">
        <v>3.339718669645847E-2</v>
      </c>
      <c r="D80" s="99">
        <v>3689192</v>
      </c>
      <c r="G80" s="97" t="s">
        <v>451</v>
      </c>
      <c r="H80" s="98">
        <v>1.7663762276792352E-2</v>
      </c>
      <c r="I80" s="99">
        <v>1692097</v>
      </c>
    </row>
    <row r="81" spans="1:18" s="97" customFormat="1" x14ac:dyDescent="0.2">
      <c r="B81" s="97" t="s">
        <v>452</v>
      </c>
      <c r="C81" s="98">
        <v>7.5299835647275552E-3</v>
      </c>
      <c r="D81" s="99">
        <v>1692097</v>
      </c>
      <c r="G81" s="97" t="s">
        <v>453</v>
      </c>
      <c r="H81" s="98">
        <v>1.5367783970704428E-2</v>
      </c>
      <c r="I81" s="99">
        <v>3689192</v>
      </c>
    </row>
    <row r="82" spans="1:18" s="97" customFormat="1" x14ac:dyDescent="0.2">
      <c r="B82" s="97" t="s">
        <v>276</v>
      </c>
      <c r="C82" s="98">
        <v>4.8283035794093543E-2</v>
      </c>
      <c r="D82" s="99">
        <v>5920853</v>
      </c>
      <c r="G82" s="97" t="s">
        <v>454</v>
      </c>
      <c r="H82" s="98">
        <v>8.4515685873583712E-2</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94</v>
      </c>
      <c r="D92" s="102">
        <v>0.45632704169892579</v>
      </c>
      <c r="E92" s="102">
        <v>0.68919412151896231</v>
      </c>
      <c r="F92" s="102">
        <v>0.67251749633241087</v>
      </c>
      <c r="G92" s="102">
        <v>0.77621829831757705</v>
      </c>
      <c r="H92" s="102">
        <v>0.62367885739055517</v>
      </c>
      <c r="I92" s="102">
        <v>0.58298891131245045</v>
      </c>
      <c r="J92" s="102">
        <v>0.63753154445188576</v>
      </c>
      <c r="K92" s="102">
        <v>0.74209190276450099</v>
      </c>
      <c r="L92" s="102">
        <v>0.70865321539608861</v>
      </c>
      <c r="M92" s="102">
        <v>0.67243864015870758</v>
      </c>
      <c r="O92" s="97">
        <v>12153634</v>
      </c>
    </row>
    <row r="93" spans="1:18" s="97" customFormat="1" hidden="1" x14ac:dyDescent="0.2">
      <c r="B93" s="97">
        <v>2</v>
      </c>
      <c r="C93" s="97" t="s">
        <v>243</v>
      </c>
      <c r="D93" s="102">
        <v>0.35149756025504214</v>
      </c>
      <c r="E93" s="102">
        <v>9.1626966009927799E-2</v>
      </c>
      <c r="F93" s="102">
        <v>0.11835473855651384</v>
      </c>
      <c r="G93" s="102">
        <v>4.8287125894904671E-2</v>
      </c>
      <c r="H93" s="102">
        <v>0.21083922231783722</v>
      </c>
      <c r="I93" s="102">
        <v>0.30363688341779882</v>
      </c>
      <c r="J93" s="102">
        <v>0.19905377790469339</v>
      </c>
      <c r="K93" s="102">
        <v>0.1237205248390751</v>
      </c>
      <c r="L93" s="102">
        <v>0.13992871402543589</v>
      </c>
      <c r="M93" s="102">
        <v>0.21401538098359707</v>
      </c>
      <c r="O93" s="97">
        <v>553960</v>
      </c>
    </row>
    <row r="94" spans="1:18" s="97" customFormat="1" hidden="1" x14ac:dyDescent="0.2">
      <c r="B94" s="97">
        <v>3</v>
      </c>
      <c r="C94" s="97" t="s">
        <v>99</v>
      </c>
      <c r="D94" s="102"/>
      <c r="E94" s="102">
        <v>4.2370471774333236E-2</v>
      </c>
      <c r="F94" s="102">
        <v>5.6842211665110956E-2</v>
      </c>
      <c r="G94" s="102">
        <v>5.3221833182758749E-2</v>
      </c>
      <c r="H94" s="102">
        <v>6.7588271563918764E-2</v>
      </c>
      <c r="I94" s="102">
        <v>3.5708438095391655E-2</v>
      </c>
      <c r="J94" s="102">
        <v>4.1710089356852414E-2</v>
      </c>
      <c r="K94" s="102">
        <v>4.241452351486949E-2</v>
      </c>
      <c r="L94" s="102">
        <v>3.3870838457395115E-2</v>
      </c>
      <c r="M94" s="102">
        <v>2.5104691412581731E-2</v>
      </c>
      <c r="O94" s="97">
        <v>3050596</v>
      </c>
    </row>
    <row r="95" spans="1:18" s="97" customFormat="1" hidden="1" x14ac:dyDescent="0.2">
      <c r="B95" s="97">
        <v>4</v>
      </c>
      <c r="C95" s="97" t="s">
        <v>455</v>
      </c>
      <c r="D95" s="102">
        <v>2.6648051567454027E-2</v>
      </c>
      <c r="E95" s="102">
        <v>3.6362375902582907E-2</v>
      </c>
      <c r="F95" s="102">
        <v>2.783643974893641E-2</v>
      </c>
      <c r="G95" s="102">
        <v>2.1178759260998447E-2</v>
      </c>
      <c r="H95" s="102">
        <v>1.2247720093288571E-2</v>
      </c>
      <c r="I95" s="102">
        <v>1.0451859936783171E-2</v>
      </c>
      <c r="J95" s="102">
        <v>2.6072521413901872E-2</v>
      </c>
      <c r="K95" s="102">
        <v>1.7989654129178675E-2</v>
      </c>
      <c r="L95" s="102">
        <v>1.7663762276792352E-2</v>
      </c>
      <c r="M95" s="102">
        <v>2.2673278696770129E-2</v>
      </c>
      <c r="O95" s="97">
        <v>1692097</v>
      </c>
    </row>
    <row r="96" spans="1:18" s="97" customFormat="1" hidden="1" x14ac:dyDescent="0.2">
      <c r="B96" s="97">
        <v>5</v>
      </c>
      <c r="C96" s="97" t="s">
        <v>153</v>
      </c>
      <c r="D96" s="102"/>
      <c r="E96" s="102"/>
      <c r="F96" s="102"/>
      <c r="G96" s="102"/>
      <c r="H96" s="102"/>
      <c r="I96" s="102"/>
      <c r="J96" s="102">
        <v>2.8069836494728103E-2</v>
      </c>
      <c r="K96" s="102"/>
      <c r="L96" s="102">
        <v>1.5367783970704428E-2</v>
      </c>
      <c r="M96" s="102"/>
      <c r="O96" s="97">
        <v>3689192</v>
      </c>
    </row>
    <row r="97" spans="1:15" s="97" customFormat="1" hidden="1" x14ac:dyDescent="0.2">
      <c r="B97" s="97">
        <v>6</v>
      </c>
      <c r="C97" s="97" t="s">
        <v>245</v>
      </c>
      <c r="D97" s="102"/>
      <c r="E97" s="102">
        <v>1.9509874359098085E-2</v>
      </c>
      <c r="F97" s="102">
        <v>1.9354577455774114E-2</v>
      </c>
      <c r="G97" s="102"/>
      <c r="H97" s="102">
        <v>1.1043376657965339E-2</v>
      </c>
      <c r="I97" s="102"/>
      <c r="J97" s="102"/>
      <c r="K97" s="102"/>
      <c r="L97" s="102"/>
      <c r="M97" s="102">
        <v>8.8915259749575322E-3</v>
      </c>
      <c r="O97" s="97">
        <v>11115023</v>
      </c>
    </row>
    <row r="98" spans="1:15" s="97" customFormat="1" hidden="1" x14ac:dyDescent="0.2">
      <c r="B98" s="97">
        <v>7</v>
      </c>
      <c r="C98" s="97" t="s">
        <v>93</v>
      </c>
      <c r="D98" s="102"/>
      <c r="E98" s="102"/>
      <c r="F98" s="102"/>
      <c r="G98" s="102">
        <v>2.2517072192908313E-2</v>
      </c>
      <c r="H98" s="102"/>
      <c r="I98" s="102">
        <v>7.6967579473823143E-3</v>
      </c>
      <c r="J98" s="102"/>
      <c r="K98" s="102">
        <v>1.3566371689423892E-2</v>
      </c>
      <c r="L98" s="102"/>
      <c r="M98" s="102"/>
      <c r="O98" s="97">
        <v>2480382</v>
      </c>
    </row>
    <row r="99" spans="1:15" s="97" customFormat="1" hidden="1" x14ac:dyDescent="0.2">
      <c r="B99" s="97">
        <v>8</v>
      </c>
      <c r="C99" s="97" t="s">
        <v>154</v>
      </c>
      <c r="D99" s="102">
        <v>2.3269301801918163E-2</v>
      </c>
      <c r="E99" s="102"/>
      <c r="F99" s="102"/>
      <c r="G99" s="102"/>
      <c r="H99" s="102"/>
      <c r="I99" s="102"/>
      <c r="J99" s="102"/>
      <c r="K99" s="102"/>
      <c r="L99" s="102"/>
      <c r="M99" s="102"/>
      <c r="O99" s="97">
        <v>7434864</v>
      </c>
    </row>
    <row r="100" spans="1:15" s="97" customFormat="1" hidden="1" x14ac:dyDescent="0.2">
      <c r="B100" s="97">
        <v>9</v>
      </c>
      <c r="C100" s="97" t="s">
        <v>456</v>
      </c>
      <c r="D100" s="102">
        <v>1.7868539399411222E-2</v>
      </c>
      <c r="E100" s="102"/>
      <c r="F100" s="102"/>
      <c r="G100" s="102"/>
      <c r="H100" s="102"/>
      <c r="I100" s="102"/>
      <c r="J100" s="102"/>
      <c r="K100" s="102"/>
      <c r="L100" s="102"/>
      <c r="M100" s="102"/>
      <c r="O100" s="97">
        <v>8497745</v>
      </c>
    </row>
    <row r="101" spans="1:15" s="97" customFormat="1" hidden="1" x14ac:dyDescent="0.2">
      <c r="B101" s="97">
        <v>10</v>
      </c>
      <c r="C101" s="97" t="s">
        <v>101</v>
      </c>
      <c r="D101" s="102">
        <v>0.12438950527724864</v>
      </c>
      <c r="E101" s="102">
        <v>0.12093619043509569</v>
      </c>
      <c r="F101" s="102">
        <v>0.1050945362412538</v>
      </c>
      <c r="G101" s="102">
        <v>7.8576911150852802E-2</v>
      </c>
      <c r="H101" s="102">
        <v>7.460255197643488E-2</v>
      </c>
      <c r="I101" s="102">
        <v>5.9517149290193569E-2</v>
      </c>
      <c r="J101" s="102">
        <v>6.7562230377938473E-2</v>
      </c>
      <c r="K101" s="102">
        <v>6.021702306295186E-2</v>
      </c>
      <c r="L101" s="102">
        <v>8.4515685873583588E-2</v>
      </c>
      <c r="M101" s="102">
        <v>5.6876482773385903E-2</v>
      </c>
      <c r="O101" s="97">
        <v>5920853</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11</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52</v>
      </c>
      <c r="D120" s="56">
        <v>104</v>
      </c>
      <c r="E120" s="56">
        <v>52</v>
      </c>
      <c r="F120" s="57">
        <v>208</v>
      </c>
    </row>
    <row r="121" spans="1:14" ht="18" customHeight="1" x14ac:dyDescent="0.2">
      <c r="A121" s="225" t="s">
        <v>23</v>
      </c>
      <c r="B121" s="30" t="s">
        <v>58</v>
      </c>
      <c r="C121" s="58">
        <v>10.8265380859375</v>
      </c>
      <c r="D121" s="58">
        <v>11.337884902954102</v>
      </c>
      <c r="E121" s="58">
        <v>10.480192184448242</v>
      </c>
      <c r="F121" s="59">
        <v>10.995624542236328</v>
      </c>
    </row>
    <row r="122" spans="1:14" ht="18" customHeight="1" x14ac:dyDescent="0.2">
      <c r="A122" s="226"/>
      <c r="B122" s="33" t="s">
        <v>51</v>
      </c>
      <c r="C122" s="60">
        <v>128.23077392578125</v>
      </c>
      <c r="D122" s="60">
        <v>149.03845977783203</v>
      </c>
      <c r="E122" s="60">
        <v>122.84615325927734</v>
      </c>
      <c r="F122" s="61">
        <v>137.28846740722656</v>
      </c>
    </row>
    <row r="123" spans="1:14" ht="18" customHeight="1" x14ac:dyDescent="0.2">
      <c r="A123" s="226"/>
      <c r="B123" s="33" t="s">
        <v>52</v>
      </c>
      <c r="C123" s="60">
        <v>16.884614944458008</v>
      </c>
      <c r="D123" s="60">
        <v>20.65384578704834</v>
      </c>
      <c r="E123" s="60">
        <v>15.892499923706055</v>
      </c>
      <c r="F123" s="61">
        <v>18.521202087402344</v>
      </c>
    </row>
    <row r="124" spans="1:14" ht="18" customHeight="1" x14ac:dyDescent="0.2">
      <c r="A124" s="226"/>
      <c r="B124" s="33" t="s">
        <v>53</v>
      </c>
      <c r="C124" s="60">
        <v>106.17261505126953</v>
      </c>
      <c r="D124" s="60">
        <v>120.01029968261719</v>
      </c>
      <c r="E124" s="60">
        <v>100.59529876708984</v>
      </c>
      <c r="F124" s="61">
        <v>111.69712829589844</v>
      </c>
    </row>
    <row r="125" spans="1:14" ht="18" customHeight="1" x14ac:dyDescent="0.2">
      <c r="A125" s="226"/>
      <c r="B125" s="33" t="s">
        <v>54</v>
      </c>
      <c r="C125" s="28">
        <v>147.0836181640625</v>
      </c>
      <c r="D125" s="28">
        <v>72.790065765380859</v>
      </c>
      <c r="E125" s="28">
        <v>28.374338150024414</v>
      </c>
      <c r="F125" s="62">
        <v>80.259521484375</v>
      </c>
    </row>
    <row r="126" spans="1:14" ht="18" customHeight="1" x14ac:dyDescent="0.2">
      <c r="A126" s="226"/>
      <c r="B126" s="33" t="s">
        <v>59</v>
      </c>
      <c r="C126" s="28">
        <f ca="1">195.901015625*OFFSET($L$112,MATCH($N$1,$C$112:$C$113,0)-1,0)</f>
        <v>195.90101562500001</v>
      </c>
      <c r="D126" s="28">
        <f ca="1">166.091734375*OFFSET($L$112,MATCH($N$1,$C$112:$C$113,0)-1,0)</f>
        <v>166.09173437499999</v>
      </c>
      <c r="E126" s="28">
        <f ca="1">51.4121328125*OFFSET($L$112,MATCH($N$1,$C$112:$C$113,0)-1,0)</f>
        <v>51.412132812499998</v>
      </c>
      <c r="F126" s="62">
        <f ca="1">144.87415625*OFFSET($L$112,MATCH($N$1,$C$112:$C$113,0)-1,0)</f>
        <v>144.87415625</v>
      </c>
    </row>
    <row r="127" spans="1:14" ht="18" customHeight="1" x14ac:dyDescent="0.2">
      <c r="A127" s="226"/>
      <c r="B127" s="33" t="s">
        <v>56</v>
      </c>
      <c r="C127" s="60">
        <v>60.153846740722656</v>
      </c>
      <c r="D127" s="60">
        <v>114.50961685180664</v>
      </c>
      <c r="E127" s="60">
        <v>85.576919555664062</v>
      </c>
      <c r="F127" s="61">
        <v>93.6875</v>
      </c>
    </row>
    <row r="128" spans="1:14" ht="18" customHeight="1" x14ac:dyDescent="0.2">
      <c r="A128" s="226"/>
      <c r="B128" s="33" t="s">
        <v>60</v>
      </c>
      <c r="C128" s="60">
        <v>18.846153259277344</v>
      </c>
      <c r="D128" s="60">
        <v>26.048076629638672</v>
      </c>
      <c r="E128" s="60">
        <v>26.769229888916016</v>
      </c>
      <c r="F128" s="61">
        <v>24.427885055541992</v>
      </c>
    </row>
    <row r="129" spans="1:14" ht="18" customHeight="1" x14ac:dyDescent="0.2">
      <c r="A129" s="226"/>
      <c r="B129" s="33" t="s">
        <v>61</v>
      </c>
      <c r="C129" s="63">
        <v>2.4451241493225098</v>
      </c>
      <c r="D129" s="63">
        <v>0.63566770867448275</v>
      </c>
      <c r="E129" s="63">
        <v>0.33156532049179077</v>
      </c>
      <c r="F129" s="64">
        <v>0.85667270421981812</v>
      </c>
    </row>
    <row r="130" spans="1:14" ht="18" customHeight="1" x14ac:dyDescent="0.2">
      <c r="A130" s="227"/>
      <c r="B130" s="35" t="s">
        <v>24</v>
      </c>
      <c r="C130" s="37">
        <f ca="1">1331.90234283253*OFFSET($L$112,MATCH($N$1,$C$112:$C$113,0)-1,0)</f>
        <v>1331.9023428325299</v>
      </c>
      <c r="D130" s="37">
        <f ca="1">2281.79123934785*OFFSET($L$112,MATCH($N$1,$C$112:$C$113,0)-1,0)</f>
        <v>2281.79123934785</v>
      </c>
      <c r="E130" s="37">
        <f ca="1">1811.92359591499*OFFSET($L$112,MATCH($N$1,$C$112:$C$113,0)-1,0)</f>
        <v>1811.9235959149901</v>
      </c>
      <c r="F130" s="65">
        <f ca="1">1805*OFFSET($L$112,MATCH($N$1,$C$112:$C$113,0)-1,0)</f>
        <v>1805</v>
      </c>
    </row>
    <row r="131" spans="1:14" ht="18" customHeight="1" x14ac:dyDescent="0.2">
      <c r="A131" s="239" t="s">
        <v>25</v>
      </c>
      <c r="B131" s="30" t="s">
        <v>62</v>
      </c>
      <c r="C131" s="66">
        <v>15.637275539481326</v>
      </c>
      <c r="D131" s="66">
        <v>3.8510243747816149</v>
      </c>
      <c r="E131" s="66">
        <v>2.622313457307532</v>
      </c>
      <c r="F131" s="67">
        <v>5.5323475296309592</v>
      </c>
    </row>
    <row r="132" spans="1:14" ht="18" customHeight="1" x14ac:dyDescent="0.2">
      <c r="A132" s="228"/>
      <c r="B132" s="33" t="s">
        <v>63</v>
      </c>
      <c r="C132" s="63">
        <f ca="1">20.827323926553*OFFSET($L$112,MATCH($N$1,$C$112:$C$113,0)-1,0)</f>
        <v>20.827323926552999</v>
      </c>
      <c r="D132" s="63">
        <f ca="1">8.78723368089173*OFFSET($L$112,MATCH($N$1,$C$112:$C$113,0)-1,0)</f>
        <v>8.7872336808917293</v>
      </c>
      <c r="E132" s="63">
        <f ca="1">4.75143162918092*OFFSET($L$112,MATCH($N$1,$C$112:$C$113,0)-1,0)</f>
        <v>4.75143162918092</v>
      </c>
      <c r="F132" s="64">
        <f ca="1">9.98628157274888*OFFSET($L$112,MATCH($N$1,$C$112:$C$113,0)-1,0)</f>
        <v>9.9862815727488794</v>
      </c>
    </row>
    <row r="133" spans="1:14" ht="18" customHeight="1" x14ac:dyDescent="0.2">
      <c r="A133" s="228"/>
      <c r="B133" s="33" t="s">
        <v>11</v>
      </c>
      <c r="C133" s="63">
        <f ca="1">16.9015616653542*OFFSET($L$112,MATCH($N$1,$C$112:$C$113,0)-1,0)</f>
        <v>16.901561665354201</v>
      </c>
      <c r="D133" s="63">
        <f ca="1">7.98591772914625*OFFSET($L$112,MATCH($N$1,$C$112:$C$113,0)-1,0)</f>
        <v>7.9859177291462498</v>
      </c>
      <c r="E133" s="63">
        <f ca="1">5.12619875534678*OFFSET($L$112,MATCH($N$1,$C$112:$C$113,0)-1,0)</f>
        <v>5.1261987553467803</v>
      </c>
      <c r="F133" s="64">
        <f ca="1">8.89782089359135*OFFSET($L$112,MATCH($N$1,$C$112:$C$113,0)-1,0)</f>
        <v>8.8978208935913496</v>
      </c>
    </row>
    <row r="134" spans="1:14" ht="18" customHeight="1" x14ac:dyDescent="0.2">
      <c r="A134" s="229"/>
      <c r="B134" s="35" t="s">
        <v>12</v>
      </c>
      <c r="C134" s="68">
        <f ca="1">3.92576226119882*OFFSET($L$112,MATCH($N$1,$C$112:$C$113,0)-1,0)</f>
        <v>3.9257622611988201</v>
      </c>
      <c r="D134" s="68">
        <f ca="1">0.801315951745474*OFFSET($L$112,MATCH($N$1,$C$112:$C$113,0)-1,0)</f>
        <v>0.80131595174547399</v>
      </c>
      <c r="E134" s="68">
        <f ca="1">-0.374767126165858*OFFSET($L$112,MATCH($N$1,$C$112:$C$113,0)-1,0)</f>
        <v>-0.374767126165858</v>
      </c>
      <c r="F134" s="69">
        <f ca="1">1.08846067915753*OFFSET($L$112,MATCH($N$1,$C$112:$C$113,0)-1,0)</f>
        <v>1.08846067915753</v>
      </c>
    </row>
    <row r="135" spans="1:14" ht="18" customHeight="1" x14ac:dyDescent="0.2">
      <c r="A135" s="240" t="s">
        <v>45</v>
      </c>
      <c r="B135" s="33" t="s">
        <v>102</v>
      </c>
      <c r="C135" s="70">
        <f ca="1">12.8173515625*OFFSET($L$112,MATCH($N$1,$C$112:$C$113,0)-1,0)</f>
        <v>12.817351562500001</v>
      </c>
      <c r="D135" s="70">
        <f ca="1">27.0277294921875*OFFSET($L$112,MATCH($N$1,$C$112:$C$113,0)-1,0)</f>
        <v>27.0277294921875</v>
      </c>
      <c r="E135" s="70">
        <f ca="1">17.109609375*OFFSET($L$112,MATCH($N$1,$C$112:$C$113,0)-1,0)</f>
        <v>17.109609375000002</v>
      </c>
      <c r="F135" s="71">
        <f ca="1">20.99560546875*OFFSET($L$112,MATCH($N$1,$C$112:$C$113,0)-1,0)</f>
        <v>20.99560546875</v>
      </c>
    </row>
    <row r="136" spans="1:14" ht="18" customHeight="1" x14ac:dyDescent="0.2">
      <c r="A136" s="241"/>
      <c r="B136" s="33" t="s">
        <v>103</v>
      </c>
      <c r="C136" s="26">
        <v>30325.001079925569</v>
      </c>
      <c r="D136" s="26">
        <v>63652.885945664493</v>
      </c>
      <c r="E136" s="26">
        <v>40359.614017364569</v>
      </c>
      <c r="F136" s="72">
        <v>49497.596153846156</v>
      </c>
    </row>
    <row r="137" spans="1:14" ht="18" customHeight="1" x14ac:dyDescent="0.2">
      <c r="A137" s="241"/>
      <c r="B137" s="33" t="s">
        <v>104</v>
      </c>
      <c r="C137" s="26">
        <v>504.12405395507812</v>
      </c>
      <c r="D137" s="26">
        <v>555.87371345448901</v>
      </c>
      <c r="E137" s="26">
        <v>471.61798095703125</v>
      </c>
      <c r="F137" s="72">
        <v>528.32659912109375</v>
      </c>
    </row>
    <row r="138" spans="1:14" ht="18" customHeight="1" x14ac:dyDescent="0.2">
      <c r="A138" s="241"/>
      <c r="B138" s="33" t="s">
        <v>105</v>
      </c>
      <c r="C138" s="26">
        <f ca="1">213.076174791378*OFFSET($L$112,MATCH($N$1,$C$112:$C$113,0)-1,0)</f>
        <v>213.07617479137801</v>
      </c>
      <c r="D138" s="26">
        <f ca="1">236.030215061898*OFFSET($L$112,MATCH($N$1,$C$112:$C$113,0)-1,0)</f>
        <v>236.03021506189799</v>
      </c>
      <c r="E138" s="26">
        <f ca="1">199.932522271627*OFFSET($L$112,MATCH($N$1,$C$112:$C$113,0)-1,0)</f>
        <v>199.93252227162699</v>
      </c>
      <c r="F138" s="72">
        <f ca="1">224.102526684456*OFFSET($L$112,MATCH($N$1,$C$112:$C$113,0)-1,0)</f>
        <v>224.102526684456</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87.143297958601*OFFSET($L$112,MATCH($N$1,$C$112:$C$113,0)-1,0)</f>
        <v>87.143297958600996</v>
      </c>
      <c r="D139" s="26">
        <f ca="1">371.310689281476*OFFSET($L$112,MATCH($N$1,$C$112:$C$113,0)-1,0)</f>
        <v>371.31068928147602</v>
      </c>
      <c r="E139" s="26">
        <f ca="1">602.99589313893*OFFSET($L$112,MATCH($N$1,$C$112:$C$113,0)-1,0)</f>
        <v>602.99589313893</v>
      </c>
      <c r="F139" s="72">
        <f ca="1">261.596444639125*OFFSET($L$112,MATCH($N$1,$C$112:$C$113,0)-1,0)</f>
        <v>261.59644463912502</v>
      </c>
      <c r="I139" s="49"/>
      <c r="K139" s="73" t="s">
        <v>107</v>
      </c>
      <c r="L139" s="74">
        <f t="shared" ref="L139:M141" ca="1" si="2">C140</f>
        <v>201.73217187500001</v>
      </c>
      <c r="M139" s="74">
        <f t="shared" ca="1" si="2"/>
        <v>171.03558203124999</v>
      </c>
      <c r="N139" s="74">
        <f ca="1">E140</f>
        <v>52.942457031250001</v>
      </c>
    </row>
    <row r="140" spans="1:14" ht="18" customHeight="1" x14ac:dyDescent="0.2">
      <c r="A140" s="230" t="s">
        <v>46</v>
      </c>
      <c r="B140" s="30" t="s">
        <v>108</v>
      </c>
      <c r="C140" s="75">
        <f ca="1">201.732171875*OFFSET($L$112,MATCH($N$1,$C$112:$C$113,0)-1,0)</f>
        <v>201.73217187500001</v>
      </c>
      <c r="D140" s="75">
        <f ca="1">171.03558203125*OFFSET($L$112,MATCH($N$1,$C$112:$C$113,0)-1,0)</f>
        <v>171.03558203124999</v>
      </c>
      <c r="E140" s="75">
        <f ca="1">52.94245703125*OFFSET($L$112,MATCH($N$1,$C$112:$C$113,0)-1,0)</f>
        <v>52.942457031250001</v>
      </c>
      <c r="F140" s="76">
        <f ca="1">149.186453125*OFFSET($L$112,MATCH($N$1,$C$112:$C$113,0)-1,0)</f>
        <v>149.18645312500001</v>
      </c>
      <c r="I140" s="49"/>
      <c r="K140" s="73" t="s">
        <v>109</v>
      </c>
      <c r="L140" s="74">
        <f t="shared" ca="1" si="2"/>
        <v>164.80659374999999</v>
      </c>
      <c r="M140" s="74">
        <f t="shared" ca="1" si="2"/>
        <v>155.8895234375</v>
      </c>
      <c r="N140" s="74">
        <f ca="1">E141</f>
        <v>56.997566406250002</v>
      </c>
    </row>
    <row r="141" spans="1:14" ht="18" customHeight="1" x14ac:dyDescent="0.2">
      <c r="A141" s="237"/>
      <c r="B141" s="33" t="s">
        <v>110</v>
      </c>
      <c r="C141" s="26">
        <f ca="1">164.80659375*OFFSET($L$112,MATCH($N$1,$C$112:$C$113,0)-1,0)</f>
        <v>164.80659374999999</v>
      </c>
      <c r="D141" s="26">
        <f ca="1">155.8895234375*OFFSET($L$112,MATCH($N$1,$C$112:$C$113,0)-1,0)</f>
        <v>155.8895234375</v>
      </c>
      <c r="E141" s="26">
        <f ca="1">56.99756640625*OFFSET($L$112,MATCH($N$1,$C$112:$C$113,0)-1,0)</f>
        <v>56.997566406250002</v>
      </c>
      <c r="F141" s="72">
        <f ca="1">133.395796875*OFFSET($L$112,MATCH($N$1,$C$112:$C$113,0)-1,0)</f>
        <v>133.395796875</v>
      </c>
      <c r="I141" s="49"/>
      <c r="K141" s="73" t="s">
        <v>111</v>
      </c>
      <c r="L141" s="74">
        <f t="shared" ca="1" si="2"/>
        <v>36.925578125000001</v>
      </c>
      <c r="M141" s="74">
        <f t="shared" ca="1" si="2"/>
        <v>15.14605859375</v>
      </c>
      <c r="N141" s="74">
        <f ca="1">E142</f>
        <v>-4.0551093749999998</v>
      </c>
    </row>
    <row r="142" spans="1:14" ht="18" customHeight="1" x14ac:dyDescent="0.2">
      <c r="A142" s="238"/>
      <c r="B142" s="35" t="s">
        <v>112</v>
      </c>
      <c r="C142" s="37">
        <f ca="1">36.925578125*OFFSET($L$112,MATCH($N$1,$C$112:$C$113,0)-1,0)</f>
        <v>36.925578125000001</v>
      </c>
      <c r="D142" s="37">
        <f ca="1">15.14605859375*OFFSET($L$112,MATCH($N$1,$C$112:$C$113,0)-1,0)</f>
        <v>15.14605859375</v>
      </c>
      <c r="E142" s="37">
        <f ca="1">-4.055109375*OFFSET($L$112,MATCH($N$1,$C$112:$C$113,0)-1,0)</f>
        <v>-4.0551093749999998</v>
      </c>
      <c r="F142" s="65">
        <f ca="1">15.79064453125*OFFSET($L$112,MATCH($N$1,$C$112:$C$113,0)-1,0)</f>
        <v>15.790644531250001</v>
      </c>
      <c r="I142" s="49"/>
      <c r="K142" s="73" t="s">
        <v>113</v>
      </c>
      <c r="L142" s="77">
        <f ca="1">IFERROR(L140/L$139,"")</f>
        <v>0.81695741545934308</v>
      </c>
      <c r="M142" s="77">
        <f t="shared" ref="M142:N143" ca="1" si="3">IFERROR(M140/M$139,"")</f>
        <v>0.91144498464078283</v>
      </c>
      <c r="N142" s="77">
        <f t="shared" ca="1" si="3"/>
        <v>1.0765946577168948</v>
      </c>
    </row>
    <row r="143" spans="1:14" ht="18" customHeight="1" x14ac:dyDescent="0.2">
      <c r="I143" s="49"/>
      <c r="K143" s="73" t="s">
        <v>114</v>
      </c>
      <c r="L143" s="77">
        <f ca="1">IFERROR(L141/L$139,"")</f>
        <v>0.18304258454065683</v>
      </c>
      <c r="M143" s="77">
        <f t="shared" ca="1" si="3"/>
        <v>8.8555015359217226E-2</v>
      </c>
      <c r="N143" s="77">
        <f t="shared" ca="1" si="3"/>
        <v>-7.6594657716894721E-2</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10</v>
      </c>
      <c r="B161" s="53"/>
      <c r="C161" s="79" t="s">
        <v>41</v>
      </c>
      <c r="D161" s="79" t="s">
        <v>115</v>
      </c>
      <c r="E161" s="79" t="s">
        <v>43</v>
      </c>
      <c r="F161" s="79" t="s">
        <v>116</v>
      </c>
      <c r="G161" s="80">
        <v>10</v>
      </c>
      <c r="H161" s="79"/>
      <c r="I161" s="79" t="s">
        <v>41</v>
      </c>
      <c r="J161" s="79" t="s">
        <v>115</v>
      </c>
      <c r="K161" s="79" t="s">
        <v>43</v>
      </c>
      <c r="L161" s="53" t="s">
        <v>116</v>
      </c>
    </row>
    <row r="162" spans="1:14" s="49" customFormat="1" x14ac:dyDescent="0.2">
      <c r="A162" s="50">
        <v>1</v>
      </c>
      <c r="B162" s="53" t="s">
        <v>94</v>
      </c>
      <c r="C162" s="53">
        <v>0.24405084341830602</v>
      </c>
      <c r="D162" s="53">
        <v>0.82103625220872678</v>
      </c>
      <c r="E162" s="53">
        <v>0.59293006527501335</v>
      </c>
      <c r="F162" s="50">
        <v>12153634</v>
      </c>
      <c r="G162" s="50">
        <v>1</v>
      </c>
      <c r="H162" s="53" t="s">
        <v>94</v>
      </c>
      <c r="I162" s="53">
        <v>0.47009091321751084</v>
      </c>
      <c r="J162" s="53">
        <v>0.86754346095970014</v>
      </c>
      <c r="K162" s="53">
        <v>0.74566891770969845</v>
      </c>
      <c r="L162" s="50">
        <v>12153634</v>
      </c>
    </row>
    <row r="163" spans="1:14" s="49" customFormat="1" x14ac:dyDescent="0.2">
      <c r="A163" s="50">
        <v>2</v>
      </c>
      <c r="B163" s="53" t="s">
        <v>99</v>
      </c>
      <c r="C163" s="53">
        <v>2.7279368192950671E-2</v>
      </c>
      <c r="D163" s="53">
        <v>0.1179833608176792</v>
      </c>
      <c r="E163" s="53">
        <v>2.3320707558541754E-2</v>
      </c>
      <c r="F163" s="50">
        <v>3050596</v>
      </c>
      <c r="G163" s="50">
        <v>2</v>
      </c>
      <c r="H163" s="53" t="s">
        <v>99</v>
      </c>
      <c r="I163" s="53">
        <v>2.2178434411564679E-2</v>
      </c>
      <c r="J163" s="53">
        <v>4.4934922359134086E-2</v>
      </c>
      <c r="K163" s="53">
        <v>0</v>
      </c>
      <c r="L163" s="50">
        <v>3050596</v>
      </c>
      <c r="N163" s="49" t="s">
        <v>117</v>
      </c>
    </row>
    <row r="164" spans="1:14" s="49" customFormat="1" x14ac:dyDescent="0.2">
      <c r="A164" s="50">
        <v>3</v>
      </c>
      <c r="B164" s="53" t="s">
        <v>93</v>
      </c>
      <c r="C164" s="53">
        <v>0</v>
      </c>
      <c r="D164" s="53">
        <v>1.6531988459303981E-2</v>
      </c>
      <c r="E164" s="53">
        <v>0</v>
      </c>
      <c r="F164" s="50">
        <v>11115023</v>
      </c>
      <c r="G164" s="50">
        <v>3</v>
      </c>
      <c r="H164" s="53" t="s">
        <v>455</v>
      </c>
      <c r="I164" s="53">
        <v>0</v>
      </c>
      <c r="J164" s="53">
        <v>1.4432318683940517E-2</v>
      </c>
      <c r="K164" s="53">
        <v>6.6272663099501763E-2</v>
      </c>
      <c r="L164" s="50">
        <v>1692097</v>
      </c>
      <c r="N164" s="49" t="s">
        <v>118</v>
      </c>
    </row>
    <row r="165" spans="1:14" s="49" customFormat="1" x14ac:dyDescent="0.2">
      <c r="A165" s="50">
        <v>4</v>
      </c>
      <c r="B165" s="53" t="s">
        <v>243</v>
      </c>
      <c r="C165" s="53">
        <v>0.63257748733913322</v>
      </c>
      <c r="D165" s="53">
        <v>1.0889521247327583E-2</v>
      </c>
      <c r="E165" s="53">
        <v>0.27401608453502246</v>
      </c>
      <c r="F165" s="50">
        <v>553960</v>
      </c>
      <c r="G165" s="50">
        <v>4</v>
      </c>
      <c r="H165" s="53" t="s">
        <v>243</v>
      </c>
      <c r="I165" s="53">
        <v>0.37652362725820782</v>
      </c>
      <c r="J165" s="53">
        <v>1.3362425706792136E-2</v>
      </c>
      <c r="K165" s="53">
        <v>5.8556581160176591E-2</v>
      </c>
      <c r="L165" s="50">
        <v>553960</v>
      </c>
    </row>
    <row r="166" spans="1:14" s="49" customFormat="1" x14ac:dyDescent="0.2">
      <c r="A166" s="50">
        <v>5</v>
      </c>
      <c r="B166" s="53" t="s">
        <v>455</v>
      </c>
      <c r="C166" s="53">
        <v>0</v>
      </c>
      <c r="D166" s="53">
        <v>1.0281688868540575E-2</v>
      </c>
      <c r="E166" s="53">
        <v>2.7236149370721337E-2</v>
      </c>
      <c r="F166" s="50">
        <v>1692097</v>
      </c>
      <c r="G166" s="50">
        <v>5</v>
      </c>
      <c r="H166" s="53" t="s">
        <v>244</v>
      </c>
      <c r="I166" s="53">
        <v>0</v>
      </c>
      <c r="J166" s="53">
        <v>1.1314997785724189E-2</v>
      </c>
      <c r="K166" s="53">
        <v>2.0386081973137019E-2</v>
      </c>
      <c r="L166" s="50">
        <v>2480382</v>
      </c>
    </row>
    <row r="167" spans="1:14" s="49" customFormat="1" x14ac:dyDescent="0.2">
      <c r="A167" s="50">
        <v>6</v>
      </c>
      <c r="B167" s="53" t="s">
        <v>188</v>
      </c>
      <c r="C167" s="53">
        <v>0</v>
      </c>
      <c r="D167" s="53">
        <v>0</v>
      </c>
      <c r="E167" s="53">
        <v>1.5586809477923994E-2</v>
      </c>
      <c r="F167" s="50">
        <v>7434864</v>
      </c>
      <c r="G167" s="50">
        <v>6</v>
      </c>
      <c r="H167" s="53" t="s">
        <v>93</v>
      </c>
      <c r="I167" s="53">
        <v>0</v>
      </c>
      <c r="J167" s="53">
        <v>0</v>
      </c>
      <c r="K167" s="53">
        <v>1.5735111706696867E-2</v>
      </c>
      <c r="L167" s="50">
        <v>11115023</v>
      </c>
    </row>
    <row r="168" spans="1:14" s="49" customFormat="1" x14ac:dyDescent="0.2">
      <c r="A168" s="50">
        <v>7</v>
      </c>
      <c r="B168" s="53" t="s">
        <v>153</v>
      </c>
      <c r="C168" s="53">
        <v>6.1598531507358646E-2</v>
      </c>
      <c r="D168" s="53">
        <v>0</v>
      </c>
      <c r="E168" s="53">
        <v>0</v>
      </c>
      <c r="F168" s="50">
        <v>3689192</v>
      </c>
      <c r="G168" s="50">
        <v>7</v>
      </c>
      <c r="H168" s="53" t="s">
        <v>153</v>
      </c>
      <c r="I168" s="53">
        <v>3.9904233446641575E-2</v>
      </c>
      <c r="J168" s="53">
        <v>0</v>
      </c>
      <c r="K168" s="53">
        <v>0</v>
      </c>
      <c r="L168" s="50">
        <v>3689192</v>
      </c>
    </row>
    <row r="169" spans="1:14" s="49" customFormat="1" x14ac:dyDescent="0.2">
      <c r="A169" s="50">
        <v>8</v>
      </c>
      <c r="B169" s="53" t="s">
        <v>456</v>
      </c>
      <c r="C169" s="53">
        <v>5.2982810439818088E-3</v>
      </c>
      <c r="D169" s="53">
        <v>0</v>
      </c>
      <c r="E169" s="53">
        <v>0</v>
      </c>
      <c r="F169" s="50">
        <v>8497745</v>
      </c>
      <c r="G169" s="50">
        <v>8</v>
      </c>
      <c r="H169" s="53" t="s">
        <v>154</v>
      </c>
      <c r="I169" s="53">
        <v>2.1820481677179291E-2</v>
      </c>
      <c r="J169" s="53">
        <v>0</v>
      </c>
      <c r="K169" s="53">
        <v>0</v>
      </c>
      <c r="L169" s="50">
        <v>14393110</v>
      </c>
    </row>
    <row r="170" spans="1:14" s="49" customFormat="1" x14ac:dyDescent="0.2">
      <c r="A170" s="50">
        <v>9</v>
      </c>
      <c r="B170" s="53" t="s">
        <v>101</v>
      </c>
      <c r="C170" s="53">
        <v>2.9195488498269806E-2</v>
      </c>
      <c r="D170" s="53">
        <v>2.3277188398421966E-2</v>
      </c>
      <c r="E170" s="53">
        <v>6.6910183782777022E-2</v>
      </c>
      <c r="F170" s="50">
        <v>5920853</v>
      </c>
      <c r="G170" s="50">
        <v>9</v>
      </c>
      <c r="H170" s="53" t="s">
        <v>101</v>
      </c>
      <c r="I170" s="53">
        <v>6.9482309988895818E-2</v>
      </c>
      <c r="J170" s="53">
        <v>4.8411874504708852E-2</v>
      </c>
      <c r="K170" s="53">
        <v>9.3380644350789299E-2</v>
      </c>
      <c r="L170" s="50">
        <v>5920853</v>
      </c>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'UK scallop dredge under 15m'!D3:N3</xm:f>
              <xm:sqref>C3</xm:sqref>
            </x14:sparkline>
            <x14:sparkline>
              <xm:f>'UK scallop dredge under 15m'!D4:N4</xm:f>
              <xm:sqref>C4</xm:sqref>
            </x14:sparkline>
            <x14:sparkline>
              <xm:f>'UK scallop dredge under 15m'!D5:N5</xm:f>
              <xm:sqref>C5</xm:sqref>
            </x14:sparkline>
            <x14:sparkline>
              <xm:f>'UK scallop dredge under 15m'!D6:N6</xm:f>
              <xm:sqref>C6</xm:sqref>
            </x14:sparkline>
            <x14:sparkline>
              <xm:f>'UK scallop dredge under 15m'!D7:N7</xm:f>
              <xm:sqref>C7</xm:sqref>
            </x14:sparkline>
            <x14:sparkline>
              <xm:f>'UK scallop dredge under 15m'!D8:N8</xm:f>
              <xm:sqref>C8</xm:sqref>
            </x14:sparkline>
            <x14:sparkline>
              <xm:f>'UK scallop dredge under 15m'!D9:N9</xm:f>
              <xm:sqref>C9</xm:sqref>
            </x14:sparkline>
            <x14:sparkline>
              <xm:f>'UK scallop dredge under 15m'!F10:M10</xm:f>
              <xm:sqref>C10</xm:sqref>
            </x14:sparkline>
            <x14:sparkline>
              <xm:f>'UK scallop dredge under 15m'!D11:N11</xm:f>
              <xm:sqref>C11</xm:sqref>
            </x14:sparkline>
            <x14:sparkline>
              <xm:f>'UK scallop dredge under 15m'!D12:N12</xm:f>
              <xm:sqref>C12</xm:sqref>
            </x14:sparkline>
            <x14:sparkline>
              <xm:f>'UK scallop dredge under 15m'!D13:N13</xm:f>
              <xm:sqref>C13</xm:sqref>
            </x14:sparkline>
            <x14:sparkline>
              <xm:f>'UK scallop dredge under 15m'!D14:N14</xm:f>
              <xm:sqref>C14</xm:sqref>
            </x14:sparkline>
            <x14:sparkline>
              <xm:f>'UK scallop dredge under 15m'!D15:N15</xm:f>
              <xm:sqref>C15</xm:sqref>
            </x14:sparkline>
            <x14:sparkline>
              <xm:f>'UK scallop dredge under 15m'!D16:N16</xm:f>
              <xm:sqref>C16</xm:sqref>
            </x14:sparkline>
            <x14:sparkline>
              <xm:f>'UK scallop dredge under 15m'!D17:N17</xm:f>
              <xm:sqref>C17</xm:sqref>
            </x14:sparkline>
            <x14:sparkline>
              <xm:f>'UK scallop dredge under 15m'!D18:N18</xm:f>
              <xm:sqref>C18</xm:sqref>
            </x14:sparkline>
            <x14:sparkline>
              <xm:f>'UK scallop dredge under 15m'!D19:N19</xm:f>
              <xm:sqref>C19</xm:sqref>
            </x14:sparkline>
            <x14:sparkline>
              <xm:f>'UK scallop dredge under 15m'!D20:N20</xm:f>
              <xm:sqref>C20</xm:sqref>
            </x14:sparkline>
            <x14:sparkline>
              <xm:f>'UK scallop dredge under 15m'!D21:N21</xm:f>
              <xm:sqref>C21</xm:sqref>
            </x14:sparkline>
            <x14:sparkline>
              <xm:f>'UK scallop dredge under 15m'!D22:N22</xm:f>
              <xm:sqref>C22</xm:sqref>
            </x14:sparkline>
            <x14:sparkline>
              <xm:f>'UK scallop dredge under 15m'!D23:N23</xm:f>
              <xm:sqref>C23</xm:sqref>
            </x14:sparkline>
            <x14:sparkline>
              <xm:f>'UK scallop dredge under 15m'!D24:N24</xm:f>
              <xm:sqref>C24</xm:sqref>
            </x14:sparkline>
            <x14:sparkline>
              <xm:f>'UK scallop dredge under 15m'!F25:M25</xm:f>
              <xm:sqref>C25</xm:sqref>
            </x14:sparkline>
            <x14:sparkline>
              <xm:f>'UK scallop dredge under 15m'!F26:M26</xm:f>
              <xm:sqref>C26</xm:sqref>
            </x14:sparkline>
            <x14:sparkline>
              <xm:f>'UK scallop dredge under 15m'!D27:N27</xm:f>
              <xm:sqref>C27</xm:sqref>
            </x14:sparkline>
            <x14:sparkline>
              <xm:f>'UK scallop dredge under 15m'!D28:N28</xm:f>
              <xm:sqref>C28</xm:sqref>
            </x14:sparkline>
            <x14:sparkline>
              <xm:f>'UK scallop dredge under 15m'!D29:N29</xm:f>
              <xm:sqref>C29</xm:sqref>
            </x14:sparkline>
            <x14:sparkline>
              <xm:f>'UK scallop dredge under 15m'!D30:N30</xm:f>
              <xm:sqref>C30</xm:sqref>
            </x14:sparkline>
            <x14:sparkline>
              <xm:f>'UK scallop dredge under 15m'!D31:N31</xm:f>
              <xm:sqref>C31</xm:sqref>
            </x14:sparkline>
            <x14:sparkline>
              <xm:f>'UK scallop dredge under 15m'!D32:N32</xm:f>
              <xm:sqref>C32</xm:sqref>
            </x14:sparkline>
            <x14:sparkline>
              <xm:f>'UK scallop dredge under 15m'!D33:N33</xm:f>
              <xm:sqref>C33</xm:sqref>
            </x14:sparkline>
            <x14:sparkline>
              <xm:f>'UK scallop dredge under 15m'!D34:N34</xm:f>
              <xm:sqref>C34</xm:sqref>
            </x14:sparkline>
            <x14:sparkline>
              <xm:f>'UK scallop dredge under 15m'!D35:N35</xm:f>
              <xm:sqref>C35</xm:sqref>
            </x14:sparkline>
            <x14:sparkline>
              <xm:f>'UK scallop dredge under 15m'!D36:N36</xm:f>
              <xm:sqref>C36</xm:sqref>
            </x14:sparkline>
            <x14:sparkline>
              <xm:f>'UK scallop dredge under 15m'!D37:N37</xm:f>
              <xm:sqref>C37</xm:sqref>
            </x14:sparkline>
            <x14:sparkline>
              <xm:f>'UK scallop dredge under 15m'!D38:M38</xm:f>
              <xm:sqref>C38</xm:sqref>
            </x14:sparkline>
            <x14:sparkline>
              <xm:f>'UK scallop dredge under 15m'!D39:M39</xm:f>
              <xm:sqref>C39</xm:sqref>
            </x14:sparkline>
            <x14:sparkline>
              <xm:f>'UK scallop dredge under 15m'!D40:M40</xm:f>
              <xm:sqref>C40</xm:sqref>
            </x14:sparkline>
            <x14:sparkline>
              <xm:f>'UK scallop dredge under 15m'!D41:M41</xm:f>
              <xm:sqref>C41</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457</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255</v>
      </c>
      <c r="E3" s="22">
        <v>231</v>
      </c>
      <c r="F3" s="22">
        <v>216</v>
      </c>
      <c r="G3" s="22">
        <v>214</v>
      </c>
      <c r="H3" s="22">
        <v>221</v>
      </c>
      <c r="I3" s="22">
        <v>200</v>
      </c>
      <c r="J3" s="22">
        <v>201</v>
      </c>
      <c r="K3" s="22">
        <v>191</v>
      </c>
      <c r="L3" s="22">
        <v>188</v>
      </c>
      <c r="M3" s="22">
        <v>174</v>
      </c>
      <c r="N3" s="22">
        <v>153</v>
      </c>
      <c r="O3" s="23">
        <f t="shared" ref="O3:O41" si="0">IF(N3=0,"",IFERROR(IF(AND(N3&gt;0,D3&lt;0),"na",IF(AND(N3&lt;0,D3&lt;0),-1,1)*(N3-D3)/D3),""))</f>
        <v>-0.4</v>
      </c>
      <c r="P3" s="23">
        <f>IF(N3=0,"",IFERROR(IF(AND(N3&gt;0,J3&lt;0),"na",IF(AND(N3&lt;0,J3&lt;0),-1,1)*(N3-J3)/J3),""))</f>
        <v>-0.23880597014925373</v>
      </c>
    </row>
    <row r="4" spans="1:17" ht="18" customHeight="1" x14ac:dyDescent="0.2">
      <c r="A4" s="224"/>
      <c r="B4" s="24" t="s">
        <v>51</v>
      </c>
      <c r="C4" s="25"/>
      <c r="D4" s="26">
        <v>28665</v>
      </c>
      <c r="E4" s="26">
        <v>25990</v>
      </c>
      <c r="F4" s="26">
        <v>24243</v>
      </c>
      <c r="G4" s="26">
        <v>24459</v>
      </c>
      <c r="H4" s="26">
        <v>24733</v>
      </c>
      <c r="I4" s="26">
        <v>22693</v>
      </c>
      <c r="J4" s="26">
        <v>22541</v>
      </c>
      <c r="K4" s="26">
        <v>21230</v>
      </c>
      <c r="L4" s="26">
        <v>20918</v>
      </c>
      <c r="M4" s="26">
        <v>19452</v>
      </c>
      <c r="N4" s="26">
        <v>17923</v>
      </c>
      <c r="O4" s="23">
        <f t="shared" si="0"/>
        <v>-0.37474271759986044</v>
      </c>
      <c r="P4" s="23">
        <f t="shared" ref="P4:P41" si="1">IF(N4=0,"",IFERROR(IF(AND(N4&gt;0,J4&lt;0),"na",IF(AND(N4&lt;0,J4&lt;0),-1,1)*(N4-J4)/J4),""))</f>
        <v>-0.20487112373009184</v>
      </c>
    </row>
    <row r="5" spans="1:17" ht="18" customHeight="1" x14ac:dyDescent="0.2">
      <c r="A5" s="224"/>
      <c r="B5" s="24" t="s">
        <v>52</v>
      </c>
      <c r="C5" s="25"/>
      <c r="D5" s="26">
        <v>2694</v>
      </c>
      <c r="E5" s="26">
        <v>2442</v>
      </c>
      <c r="F5" s="26">
        <v>2295</v>
      </c>
      <c r="G5" s="26">
        <v>2225</v>
      </c>
      <c r="H5" s="26">
        <v>2314</v>
      </c>
      <c r="I5" s="26">
        <v>2105</v>
      </c>
      <c r="J5" s="26">
        <v>2122</v>
      </c>
      <c r="K5" s="26">
        <v>2009</v>
      </c>
      <c r="L5" s="26">
        <v>2003</v>
      </c>
      <c r="M5" s="26">
        <v>1887</v>
      </c>
      <c r="N5" s="26">
        <v>1737</v>
      </c>
      <c r="O5" s="23">
        <f t="shared" si="0"/>
        <v>-0.35523385300668153</v>
      </c>
      <c r="P5" s="23">
        <f t="shared" si="1"/>
        <v>-0.18143261074458059</v>
      </c>
      <c r="Q5" s="27"/>
    </row>
    <row r="6" spans="1:17" ht="18" customHeight="1" x14ac:dyDescent="0.2">
      <c r="A6" s="224"/>
      <c r="B6" s="24" t="s">
        <v>53</v>
      </c>
      <c r="C6" s="25"/>
      <c r="D6" s="26">
        <v>23006.58203125</v>
      </c>
      <c r="E6" s="26">
        <v>20871.95703125</v>
      </c>
      <c r="F6" s="26">
        <v>19463.158203125</v>
      </c>
      <c r="G6" s="26">
        <v>19429.85546875</v>
      </c>
      <c r="H6" s="26">
        <v>19836.75</v>
      </c>
      <c r="I6" s="26">
        <v>18087.951171875</v>
      </c>
      <c r="J6" s="26">
        <v>18071.861328125</v>
      </c>
      <c r="K6" s="26">
        <v>17020.431640625</v>
      </c>
      <c r="L6" s="26">
        <v>16888.61328125</v>
      </c>
      <c r="M6" s="26">
        <v>15708.712890625</v>
      </c>
      <c r="N6" s="26">
        <v>14288.37109375</v>
      </c>
      <c r="O6" s="23">
        <f t="shared" si="0"/>
        <v>-0.37894420499568315</v>
      </c>
      <c r="P6" s="23">
        <f t="shared" si="1"/>
        <v>-0.20935808247304355</v>
      </c>
    </row>
    <row r="7" spans="1:17" ht="18" customHeight="1" x14ac:dyDescent="0.2">
      <c r="A7" s="224"/>
      <c r="B7" s="24" t="s">
        <v>54</v>
      </c>
      <c r="C7" s="25"/>
      <c r="D7" s="26">
        <v>6334.2578125</v>
      </c>
      <c r="E7" s="26">
        <v>6350.62890625</v>
      </c>
      <c r="F7" s="26">
        <v>5535.99951171875</v>
      </c>
      <c r="G7" s="26">
        <v>5837.34326171875</v>
      </c>
      <c r="H7" s="26">
        <v>6446.95849609375</v>
      </c>
      <c r="I7" s="26">
        <v>5883.85986328125</v>
      </c>
      <c r="J7" s="26">
        <v>5577.005859375</v>
      </c>
      <c r="K7" s="26">
        <v>4903.86962890625</v>
      </c>
      <c r="L7" s="26">
        <v>5507.0546875</v>
      </c>
      <c r="M7" s="26">
        <v>5086.595703125</v>
      </c>
      <c r="N7" s="26">
        <v>4190.61328125</v>
      </c>
      <c r="O7" s="23">
        <f t="shared" si="0"/>
        <v>-0.338420789728473</v>
      </c>
      <c r="P7" s="23">
        <f t="shared" si="1"/>
        <v>-0.24859084122970049</v>
      </c>
    </row>
    <row r="8" spans="1:17" ht="18" customHeight="1" x14ac:dyDescent="0.2">
      <c r="A8" s="224"/>
      <c r="B8" s="24" t="s">
        <v>55</v>
      </c>
      <c r="C8" s="27"/>
      <c r="D8" s="28">
        <f ca="1">16.626004*OFFSET(D$112,MATCH($N$1,$C$112:$C$113,0)-1,0)</f>
        <v>16.626003999999998</v>
      </c>
      <c r="E8" s="28">
        <f ca="1">14.888355*OFFSET(E$112,MATCH($N$1,$C$112:$C$113,0)-1,0)</f>
        <v>14.888355000000001</v>
      </c>
      <c r="F8" s="28">
        <f ca="1">14.129545*OFFSET(F$112,MATCH($N$1,$C$112:$C$113,0)-1,0)</f>
        <v>14.129545</v>
      </c>
      <c r="G8" s="28">
        <f ca="1">16.002698*OFFSET(G$112,MATCH($N$1,$C$112:$C$113,0)-1,0)</f>
        <v>16.002697999999999</v>
      </c>
      <c r="H8" s="28">
        <f ca="1">16.473012*OFFSET(H$112,MATCH($N$1,$C$112:$C$113,0)-1,0)</f>
        <v>16.473012000000001</v>
      </c>
      <c r="I8" s="28">
        <f ca="1">13.468737*OFFSET(I$112,MATCH($N$1,$C$112:$C$113,0)-1,0)</f>
        <v>13.468737000000001</v>
      </c>
      <c r="J8" s="28">
        <f ca="1">14.04195*OFFSET(J$112,MATCH($N$1,$C$112:$C$113,0)-1,0)</f>
        <v>14.04195</v>
      </c>
      <c r="K8" s="28">
        <f ca="1">11.749881*OFFSET(K$112,MATCH($N$1,$C$112:$C$113,0)-1,0)</f>
        <v>11.749881</v>
      </c>
      <c r="L8" s="28">
        <f ca="1">14.213601*OFFSET(L$112,MATCH($N$1,$C$112:$C$113,0)-1,0)</f>
        <v>14.213601000000001</v>
      </c>
      <c r="M8" s="28">
        <f ca="1">13.641577*OFFSET(M$112,MATCH($N$1,$C$112:$C$113,0)-1,0)</f>
        <v>13.641577</v>
      </c>
      <c r="N8" s="28">
        <v>11.450255</v>
      </c>
      <c r="O8" s="23">
        <f t="shared" ca="1" si="0"/>
        <v>-0.31130444814039493</v>
      </c>
      <c r="P8" s="23">
        <f t="shared" ca="1" si="1"/>
        <v>-0.18456802652053308</v>
      </c>
    </row>
    <row r="9" spans="1:17" ht="18" customHeight="1" x14ac:dyDescent="0.2">
      <c r="A9" s="224"/>
      <c r="B9" s="24" t="s">
        <v>56</v>
      </c>
      <c r="C9" s="27"/>
      <c r="D9" s="26">
        <v>25094</v>
      </c>
      <c r="E9" s="26">
        <v>22366</v>
      </c>
      <c r="F9" s="26">
        <v>21207</v>
      </c>
      <c r="G9" s="26">
        <v>22035</v>
      </c>
      <c r="H9" s="26">
        <v>22164</v>
      </c>
      <c r="I9" s="26">
        <v>19446</v>
      </c>
      <c r="J9" s="26">
        <v>21556</v>
      </c>
      <c r="K9" s="26">
        <v>20268</v>
      </c>
      <c r="L9" s="26">
        <v>20727</v>
      </c>
      <c r="M9" s="26">
        <v>15398</v>
      </c>
      <c r="N9" s="26">
        <v>13405</v>
      </c>
      <c r="O9" s="23">
        <f t="shared" si="0"/>
        <v>-0.46580855981509522</v>
      </c>
      <c r="P9" s="23">
        <f t="shared" si="1"/>
        <v>-0.37813137873445907</v>
      </c>
    </row>
    <row r="10" spans="1:17" ht="18" customHeight="1" x14ac:dyDescent="0.2">
      <c r="A10" s="224"/>
      <c r="B10" s="24" t="s">
        <v>57</v>
      </c>
      <c r="C10" s="27"/>
      <c r="D10" s="26"/>
      <c r="E10" s="26">
        <v>349.85311889648438</v>
      </c>
      <c r="F10" s="26">
        <v>361.83526611328125</v>
      </c>
      <c r="G10" s="26">
        <v>331.22402954101562</v>
      </c>
      <c r="H10" s="26">
        <v>343.33554077148437</v>
      </c>
      <c r="I10" s="26">
        <v>259.86614990234375</v>
      </c>
      <c r="J10" s="26">
        <v>230.23272705078125</v>
      </c>
      <c r="K10" s="26">
        <v>261.35357666015625</v>
      </c>
      <c r="L10" s="26">
        <v>280.76885986328125</v>
      </c>
      <c r="M10" s="26">
        <v>330.59930419921875</v>
      </c>
      <c r="N10" s="26">
        <v>194.98495483398437</v>
      </c>
      <c r="O10" s="29" t="str">
        <f t="shared" si="0"/>
        <v/>
      </c>
      <c r="P10" s="29">
        <f t="shared" si="1"/>
        <v>-0.15309627205615498</v>
      </c>
    </row>
    <row r="11" spans="1:17" ht="18" customHeight="1" x14ac:dyDescent="0.2">
      <c r="A11" s="225" t="s">
        <v>23</v>
      </c>
      <c r="B11" s="30" t="s">
        <v>58</v>
      </c>
      <c r="C11" s="31"/>
      <c r="D11" s="32">
        <v>9.6710586547851562</v>
      </c>
      <c r="E11" s="32">
        <v>9.6504325866699219</v>
      </c>
      <c r="F11" s="32">
        <v>9.6529626846313477</v>
      </c>
      <c r="G11" s="32">
        <v>9.6517753601074219</v>
      </c>
      <c r="H11" s="32">
        <v>9.6274204254150391</v>
      </c>
      <c r="I11" s="32">
        <v>9.6243495941162109</v>
      </c>
      <c r="J11" s="32">
        <v>9.6474132537841797</v>
      </c>
      <c r="K11" s="32">
        <v>9.6736125946044922</v>
      </c>
      <c r="L11" s="32">
        <v>9.6811704635620117</v>
      </c>
      <c r="M11" s="32">
        <v>9.6972990036010742</v>
      </c>
      <c r="N11" s="32">
        <v>9.741241455078125</v>
      </c>
      <c r="O11" s="23">
        <f t="shared" si="0"/>
        <v>7.2569925173851472E-3</v>
      </c>
      <c r="P11" s="23">
        <f t="shared" si="1"/>
        <v>9.725736715708885E-3</v>
      </c>
    </row>
    <row r="12" spans="1:17" ht="18" customHeight="1" x14ac:dyDescent="0.2">
      <c r="A12" s="226"/>
      <c r="B12" s="33" t="s">
        <v>51</v>
      </c>
      <c r="C12" s="25"/>
      <c r="D12" s="26">
        <v>112.41176605224609</v>
      </c>
      <c r="E12" s="26">
        <v>112.51082611083984</v>
      </c>
      <c r="F12" s="26">
        <v>112.23611450195312</v>
      </c>
      <c r="G12" s="26">
        <v>114.29439544677734</v>
      </c>
      <c r="H12" s="26">
        <v>111.91402435302734</v>
      </c>
      <c r="I12" s="26">
        <v>113.46499633789063</v>
      </c>
      <c r="J12" s="26">
        <v>112.14427947998047</v>
      </c>
      <c r="K12" s="26">
        <v>111.15183258056641</v>
      </c>
      <c r="L12" s="26">
        <v>111.26596069335937</v>
      </c>
      <c r="M12" s="26">
        <v>111.79310607910156</v>
      </c>
      <c r="N12" s="26">
        <v>117.14379119873047</v>
      </c>
      <c r="O12" s="23">
        <f t="shared" si="0"/>
        <v>4.2095461290814089E-2</v>
      </c>
      <c r="P12" s="23">
        <f t="shared" si="1"/>
        <v>4.4581067727511615E-2</v>
      </c>
    </row>
    <row r="13" spans="1:17" ht="18" customHeight="1" x14ac:dyDescent="0.2">
      <c r="A13" s="226"/>
      <c r="B13" s="33" t="s">
        <v>52</v>
      </c>
      <c r="C13" s="25"/>
      <c r="D13" s="26">
        <v>10.564705848693848</v>
      </c>
      <c r="E13" s="26">
        <v>10.571428298950195</v>
      </c>
      <c r="F13" s="26">
        <v>10.625</v>
      </c>
      <c r="G13" s="26">
        <v>10.397195816040039</v>
      </c>
      <c r="H13" s="26">
        <v>10.470588684082031</v>
      </c>
      <c r="I13" s="26">
        <v>10.524999618530273</v>
      </c>
      <c r="J13" s="26">
        <v>10.55721378326416</v>
      </c>
      <c r="K13" s="26">
        <v>10.518324851989746</v>
      </c>
      <c r="L13" s="26">
        <v>10.654254913330078</v>
      </c>
      <c r="M13" s="26">
        <v>10.844827651977539</v>
      </c>
      <c r="N13" s="26">
        <v>11.352941513061523</v>
      </c>
      <c r="O13" s="23">
        <f t="shared" si="0"/>
        <v>7.461028027251021E-2</v>
      </c>
      <c r="P13" s="23">
        <f t="shared" si="1"/>
        <v>7.537289157284964E-2</v>
      </c>
    </row>
    <row r="14" spans="1:17" ht="18" customHeight="1" x14ac:dyDescent="0.2">
      <c r="A14" s="226"/>
      <c r="B14" s="33" t="s">
        <v>53</v>
      </c>
      <c r="C14" s="25"/>
      <c r="D14" s="26">
        <v>90.221893310546875</v>
      </c>
      <c r="E14" s="26">
        <v>90.354789733886719</v>
      </c>
      <c r="F14" s="26">
        <v>90.107208251953125</v>
      </c>
      <c r="G14" s="26">
        <v>90.793716430664062</v>
      </c>
      <c r="H14" s="26">
        <v>89.759048461914063</v>
      </c>
      <c r="I14" s="26">
        <v>90.439750671386719</v>
      </c>
      <c r="J14" s="26">
        <v>89.909759521484375</v>
      </c>
      <c r="K14" s="26">
        <v>89.112205505371094</v>
      </c>
      <c r="L14" s="26">
        <v>89.833045959472656</v>
      </c>
      <c r="M14" s="26">
        <v>90.279960632324219</v>
      </c>
      <c r="N14" s="26">
        <v>93.388046264648438</v>
      </c>
      <c r="O14" s="23">
        <f t="shared" si="0"/>
        <v>3.5092956242932682E-2</v>
      </c>
      <c r="P14" s="23">
        <f t="shared" si="1"/>
        <v>3.8686420269346947E-2</v>
      </c>
    </row>
    <row r="15" spans="1:17" ht="18" customHeight="1" x14ac:dyDescent="0.2">
      <c r="A15" s="226"/>
      <c r="B15" s="33" t="s">
        <v>54</v>
      </c>
      <c r="C15" s="27"/>
      <c r="D15" s="28">
        <v>24.840227127075195</v>
      </c>
      <c r="E15" s="28">
        <v>27.491899490356445</v>
      </c>
      <c r="F15" s="28">
        <v>25.629627227783203</v>
      </c>
      <c r="G15" s="28">
        <v>27.277305603027344</v>
      </c>
      <c r="H15" s="28">
        <v>29.171758651733398</v>
      </c>
      <c r="I15" s="28">
        <v>29.419300079345703</v>
      </c>
      <c r="J15" s="28">
        <v>27.746297836303711</v>
      </c>
      <c r="K15" s="28">
        <v>25.674709320068359</v>
      </c>
      <c r="L15" s="28">
        <v>29.292844772338867</v>
      </c>
      <c r="M15" s="28">
        <v>29.233306884765625</v>
      </c>
      <c r="N15" s="28">
        <v>27.389629364013672</v>
      </c>
      <c r="O15" s="23">
        <f t="shared" si="0"/>
        <v>0.102632001869246</v>
      </c>
      <c r="P15" s="23">
        <f t="shared" si="1"/>
        <v>-1.2854632873700656E-2</v>
      </c>
    </row>
    <row r="16" spans="1:17" ht="18" customHeight="1" x14ac:dyDescent="0.2">
      <c r="A16" s="226"/>
      <c r="B16" s="33" t="s">
        <v>59</v>
      </c>
      <c r="C16" s="27"/>
      <c r="D16" s="28">
        <f ca="1">65.200015625*OFFSET(D$112,MATCH($N$1,$C$112:$C$113,0)-1,0)</f>
        <v>65.200015625000006</v>
      </c>
      <c r="E16" s="28">
        <f ca="1">64.45175390625*OFFSET(E$112,MATCH($N$1,$C$112:$C$113,0)-1,0)</f>
        <v>64.451753906250005</v>
      </c>
      <c r="F16" s="28">
        <f ca="1">65.4145625*OFFSET(F$112,MATCH($N$1,$C$112:$C$113,0)-1,0)</f>
        <v>65.414562500000002</v>
      </c>
      <c r="G16" s="28">
        <f ca="1">74.7789609375*OFFSET(G$112,MATCH($N$1,$C$112:$C$113,0)-1,0)</f>
        <v>74.778960937500003</v>
      </c>
      <c r="H16" s="28">
        <f ca="1">74.538515625*OFFSET(H$112,MATCH($N$1,$C$112:$C$113,0)-1,0)</f>
        <v>74.538515625000002</v>
      </c>
      <c r="I16" s="28">
        <f ca="1">67.3436875*OFFSET(I$112,MATCH($N$1,$C$112:$C$113,0)-1,0)</f>
        <v>67.343687500000001</v>
      </c>
      <c r="J16" s="28">
        <f ca="1">69.8604453125*OFFSET(J$112,MATCH($N$1,$C$112:$C$113,0)-1,0)</f>
        <v>69.860445312500005</v>
      </c>
      <c r="K16" s="28">
        <f ca="1">61.517703125*OFFSET(K$112,MATCH($N$1,$C$112:$C$113,0)-1,0)</f>
        <v>61.517703124999997</v>
      </c>
      <c r="L16" s="28">
        <f ca="1">75.6042578125*OFFSET(L$112,MATCH($N$1,$C$112:$C$113,0)-1,0)</f>
        <v>75.604257812499995</v>
      </c>
      <c r="M16" s="28">
        <f ca="1">78.3998671875*OFFSET(M$112,MATCH($N$1,$C$112:$C$113,0)-1,0)</f>
        <v>78.399867187500007</v>
      </c>
      <c r="N16" s="28">
        <v>74.838265625000005</v>
      </c>
      <c r="O16" s="23">
        <f t="shared" ca="1" si="0"/>
        <v>0.14782588481933356</v>
      </c>
      <c r="P16" s="23">
        <f t="shared" ca="1" si="1"/>
        <v>7.1253773007503685E-2</v>
      </c>
    </row>
    <row r="17" spans="1:16" ht="18" customHeight="1" x14ac:dyDescent="0.2">
      <c r="A17" s="226"/>
      <c r="B17" s="33" t="s">
        <v>56</v>
      </c>
      <c r="C17" s="25"/>
      <c r="D17" s="26">
        <v>98.407844543457031</v>
      </c>
      <c r="E17" s="26">
        <v>96.822509765625</v>
      </c>
      <c r="F17" s="26">
        <v>98.180557250976563</v>
      </c>
      <c r="G17" s="26">
        <v>102.96729278564453</v>
      </c>
      <c r="H17" s="26">
        <v>100.28959655761719</v>
      </c>
      <c r="I17" s="26">
        <v>97.230003356933594</v>
      </c>
      <c r="J17" s="26">
        <v>107.24378204345703</v>
      </c>
      <c r="K17" s="26">
        <v>106.11518096923828</v>
      </c>
      <c r="L17" s="26">
        <v>110.25</v>
      </c>
      <c r="M17" s="26">
        <v>88.494255065917969</v>
      </c>
      <c r="N17" s="26">
        <v>87.6143798828125</v>
      </c>
      <c r="O17" s="23">
        <f t="shared" si="0"/>
        <v>-0.10968093763986593</v>
      </c>
      <c r="P17" s="23">
        <f t="shared" si="1"/>
        <v>-0.18303534047960338</v>
      </c>
    </row>
    <row r="18" spans="1:16" ht="18" customHeight="1" x14ac:dyDescent="0.2">
      <c r="A18" s="226"/>
      <c r="B18" s="33" t="s">
        <v>60</v>
      </c>
      <c r="C18" s="25"/>
      <c r="D18" s="26">
        <v>17.125490188598633</v>
      </c>
      <c r="E18" s="26">
        <v>17.190475463867188</v>
      </c>
      <c r="F18" s="26">
        <v>18.023147583007813</v>
      </c>
      <c r="G18" s="26">
        <v>19.009346008300781</v>
      </c>
      <c r="H18" s="26">
        <v>19.796380996704102</v>
      </c>
      <c r="I18" s="26">
        <v>20.555000305175781</v>
      </c>
      <c r="J18" s="26">
        <v>22.776119232177734</v>
      </c>
      <c r="K18" s="26">
        <v>24.214658737182617</v>
      </c>
      <c r="L18" s="26">
        <v>24.32978630065918</v>
      </c>
      <c r="M18" s="26">
        <v>25.298851013183594</v>
      </c>
      <c r="N18" s="26">
        <v>24.758169174194336</v>
      </c>
      <c r="O18" s="23">
        <f t="shared" si="0"/>
        <v>0.44569112484016321</v>
      </c>
      <c r="P18" s="23">
        <f t="shared" si="1"/>
        <v>8.702316324443865E-2</v>
      </c>
    </row>
    <row r="19" spans="1:16" ht="18" customHeight="1" x14ac:dyDescent="0.2">
      <c r="A19" s="226"/>
      <c r="B19" s="33" t="s">
        <v>61</v>
      </c>
      <c r="C19" s="25"/>
      <c r="D19" s="34">
        <v>0.25242120027542114</v>
      </c>
      <c r="E19" s="34">
        <v>0.28394120931625366</v>
      </c>
      <c r="F19" s="34">
        <v>0.26104584336280823</v>
      </c>
      <c r="G19" s="34">
        <v>0.26491233706474304</v>
      </c>
      <c r="H19" s="34">
        <v>0.29087522625923157</v>
      </c>
      <c r="I19" s="34">
        <v>0.30257430672645569</v>
      </c>
      <c r="J19" s="34">
        <v>0.2587217390537262</v>
      </c>
      <c r="K19" s="34">
        <v>0.24195133149623871</v>
      </c>
      <c r="L19" s="34">
        <v>0.26569473743438721</v>
      </c>
      <c r="M19" s="34">
        <v>0.33034130930900574</v>
      </c>
      <c r="N19" s="34">
        <v>0.31261569261550903</v>
      </c>
      <c r="O19" s="23">
        <f t="shared" si="0"/>
        <v>0.23846844985448384</v>
      </c>
      <c r="P19" s="23">
        <f t="shared" si="1"/>
        <v>0.20830856254638583</v>
      </c>
    </row>
    <row r="20" spans="1:16" ht="18" customHeight="1" x14ac:dyDescent="0.2">
      <c r="A20" s="227"/>
      <c r="B20" s="35" t="s">
        <v>24</v>
      </c>
      <c r="C20" s="36"/>
      <c r="D20" s="37">
        <f ca="1">2625*OFFSET(D$112,MATCH($N$1,$C$112:$C$113,0)-1,0)</f>
        <v>2625</v>
      </c>
      <c r="E20" s="37">
        <f ca="1">2344*OFFSET(E$112,MATCH($N$1,$C$112:$C$113,0)-1,0)</f>
        <v>2344</v>
      </c>
      <c r="F20" s="37">
        <f ca="1">2552*OFFSET(F$112,MATCH($N$1,$C$112:$C$113,0)-1,0)</f>
        <v>2552</v>
      </c>
      <c r="G20" s="37">
        <f ca="1">2741*OFFSET(G$112,MATCH($N$1,$C$112:$C$113,0)-1,0)</f>
        <v>2741</v>
      </c>
      <c r="H20" s="37">
        <f ca="1">2555*OFFSET(H$112,MATCH($N$1,$C$112:$C$113,0)-1,0)</f>
        <v>2555</v>
      </c>
      <c r="I20" s="37">
        <f ca="1">2289*OFFSET(I$112,MATCH($N$1,$C$112:$C$113,0)-1,0)</f>
        <v>2289</v>
      </c>
      <c r="J20" s="37">
        <f ca="1">2518*OFFSET(J$112,MATCH($N$1,$C$112:$C$113,0)-1,0)</f>
        <v>2518</v>
      </c>
      <c r="K20" s="37">
        <f ca="1">2396*OFFSET(K$112,MATCH($N$1,$C$112:$C$113,0)-1,0)</f>
        <v>2396</v>
      </c>
      <c r="L20" s="37">
        <f ca="1">2581*OFFSET(L$112,MATCH($N$1,$C$112:$C$113,0)-1,0)</f>
        <v>2581</v>
      </c>
      <c r="M20" s="37">
        <f ca="1">2682*OFFSET(M$112,MATCH($N$1,$C$112:$C$113,0)-1,0)</f>
        <v>2682</v>
      </c>
      <c r="N20" s="37">
        <v>2732</v>
      </c>
      <c r="O20" s="29">
        <f t="shared" ca="1" si="0"/>
        <v>4.0761904761904763E-2</v>
      </c>
      <c r="P20" s="29">
        <f t="shared" ca="1" si="1"/>
        <v>8.4988085782366954E-2</v>
      </c>
    </row>
    <row r="21" spans="1:16" ht="18" customHeight="1" x14ac:dyDescent="0.2">
      <c r="A21" s="228" t="s">
        <v>25</v>
      </c>
      <c r="B21" s="30" t="s">
        <v>62</v>
      </c>
      <c r="C21" s="38"/>
      <c r="D21" s="39">
        <v>2.1872746861194043</v>
      </c>
      <c r="E21" s="39">
        <v>2.4396126353469705</v>
      </c>
      <c r="F21" s="39">
        <v>2.2521540299285032</v>
      </c>
      <c r="G21" s="39">
        <v>2.2699444002216964</v>
      </c>
      <c r="H21" s="39">
        <v>2.559687069413537</v>
      </c>
      <c r="I21" s="39">
        <v>2.6370264050695074</v>
      </c>
      <c r="J21" s="39">
        <v>2.3145780182182474</v>
      </c>
      <c r="K21" s="39">
        <v>2.1875096854720315</v>
      </c>
      <c r="L21" s="39">
        <v>2.3679788980005902</v>
      </c>
      <c r="M21" s="39">
        <v>2.8714224372030848</v>
      </c>
      <c r="N21" s="39">
        <v>2.6015500292740672</v>
      </c>
      <c r="O21" s="23">
        <f t="shared" si="0"/>
        <v>0.18940252259292475</v>
      </c>
      <c r="P21" s="23">
        <f t="shared" si="1"/>
        <v>0.12398459192001214</v>
      </c>
    </row>
    <row r="22" spans="1:16" ht="18" customHeight="1" x14ac:dyDescent="0.2">
      <c r="A22" s="228"/>
      <c r="B22" s="33" t="s">
        <v>63</v>
      </c>
      <c r="C22" s="25"/>
      <c r="D22" s="34">
        <f ca="1">5.74110465985678*OFFSET(D$112,MATCH($N$1,$C$112:$C$113,0)-1,0)</f>
        <v>5.7411046598567799</v>
      </c>
      <c r="E22" s="34">
        <f ca="1">5.71940521080096*OFFSET(E$112,MATCH($N$1,$C$112:$C$113,0)-1,0)</f>
        <v>5.7194052108009599</v>
      </c>
      <c r="F22" s="34">
        <f ca="1">5.74817843587995*OFFSET(F$112,MATCH($N$1,$C$112:$C$113,0)-1,0)</f>
        <v>5.7481784358799501</v>
      </c>
      <c r="G22" s="34">
        <f ca="1">6.22290508105156*OFFSET(G$112,MATCH($N$1,$C$112:$C$113,0)-1,0)</f>
        <v>6.22290508105156</v>
      </c>
      <c r="H22" s="34">
        <f ca="1">6.54041043244591*OFFSET(H$112,MATCH($N$1,$C$112:$C$113,0)-1,0)</f>
        <v>6.5404104324459098</v>
      </c>
      <c r="I22" s="34">
        <f ca="1">6.03641424756149*OFFSET(I$112,MATCH($N$1,$C$112:$C$113,0)-1,0)</f>
        <v>6.0364142475614901</v>
      </c>
      <c r="J22" s="34">
        <f ca="1">5.82771265619743*OFFSET(J$112,MATCH($N$1,$C$112:$C$113,0)-1,0)</f>
        <v>5.8277126561974297</v>
      </c>
      <c r="K22" s="34">
        <f ca="1">5.24136689285689*OFFSET(K$112,MATCH($N$1,$C$112:$C$113,0)-1,0)</f>
        <v>5.2413668928568899</v>
      </c>
      <c r="L22" s="34">
        <f ca="1">6.11170709060163*OFFSET(L$112,MATCH($N$1,$C$112:$C$113,0)-1,0)</f>
        <v>6.1117070906016302</v>
      </c>
      <c r="M22" s="34">
        <f ca="1">7.70077564619437*OFFSET(M$112,MATCH($N$1,$C$112:$C$113,0)-1,0)</f>
        <v>7.7007756461943702</v>
      </c>
      <c r="N22" s="34">
        <v>7.1083653429550653</v>
      </c>
      <c r="O22" s="23">
        <f t="shared" ca="1" si="0"/>
        <v>0.23815289288462366</v>
      </c>
      <c r="P22" s="23">
        <f t="shared" ca="1" si="1"/>
        <v>0.2197522016456554</v>
      </c>
    </row>
    <row r="23" spans="1:16" ht="18" customHeight="1" x14ac:dyDescent="0.2">
      <c r="A23" s="228"/>
      <c r="B23" s="33" t="s">
        <v>11</v>
      </c>
      <c r="C23" s="25"/>
      <c r="D23" s="34">
        <f ca="1">5.19051230933551*OFFSET(D$112,MATCH($N$1,$C$112:$C$113,0)-1,0)</f>
        <v>5.1905123093355101</v>
      </c>
      <c r="E23" s="34">
        <f ca="1">4.3056851241432*OFFSET(E$112,MATCH($N$1,$C$112:$C$113,0)-1,0)</f>
        <v>4.3056851241432001</v>
      </c>
      <c r="F23" s="34">
        <f ca="1">4.67966535206037*OFFSET(F$112,MATCH($N$1,$C$112:$C$113,0)-1,0)</f>
        <v>4.6796653520603702</v>
      </c>
      <c r="G23" s="34">
        <f ca="1">5.08633012207104*OFFSET(G$112,MATCH($N$1,$C$112:$C$113,0)-1,0)</f>
        <v>5.0863301220710397</v>
      </c>
      <c r="H23" s="34">
        <f ca="1">5.51025547701697*OFFSET(H$112,MATCH($N$1,$C$112:$C$113,0)-1,0)</f>
        <v>5.5102554770169698</v>
      </c>
      <c r="I23" s="34">
        <f ca="1">5.01350872155875*OFFSET(I$112,MATCH($N$1,$C$112:$C$113,0)-1,0)</f>
        <v>5.0135087215587504</v>
      </c>
      <c r="J23" s="34">
        <f ca="1">4.9755281528073*OFFSET(J$112,MATCH($N$1,$C$112:$C$113,0)-1,0)</f>
        <v>4.9755281528072999</v>
      </c>
      <c r="K23" s="34">
        <f ca="1">4.27887169269082*OFFSET(K$112,MATCH($N$1,$C$112:$C$113,0)-1,0)</f>
        <v>4.2788716926908199</v>
      </c>
      <c r="L23" s="34">
        <f ca="1">4.43659373367103*OFFSET(L$112,MATCH($N$1,$C$112:$C$113,0)-1,0)</f>
        <v>4.4365937336710299</v>
      </c>
      <c r="M23" s="34">
        <f ca="1">5.44984186743665*OFFSET(M$112,MATCH($N$1,$C$112:$C$113,0)-1,0)</f>
        <v>5.4498418674366498</v>
      </c>
      <c r="N23" s="34">
        <v>5.1426415908062371</v>
      </c>
      <c r="O23" s="23">
        <f t="shared" ca="1" si="0"/>
        <v>-9.2227348046500374E-3</v>
      </c>
      <c r="P23" s="23">
        <f t="shared" ca="1" si="1"/>
        <v>3.3587075153950881E-2</v>
      </c>
    </row>
    <row r="24" spans="1:16" ht="18" customHeight="1" x14ac:dyDescent="0.2">
      <c r="A24" s="228"/>
      <c r="B24" s="33" t="s">
        <v>12</v>
      </c>
      <c r="C24" s="25"/>
      <c r="D24" s="34">
        <f ca="1">0.700617098435215*OFFSET(D$112,MATCH($N$1,$C$112:$C$113,0)-1,0)</f>
        <v>0.70061709843521502</v>
      </c>
      <c r="E24" s="34">
        <f ca="1">1.49216476813038*OFFSET(E$112,MATCH($N$1,$C$112:$C$113,0)-1,0)</f>
        <v>1.49216476813038</v>
      </c>
      <c r="F24" s="34">
        <f ca="1">1.16692107522312*OFFSET(F$112,MATCH($N$1,$C$112:$C$113,0)-1,0)</f>
        <v>1.1669210752231201</v>
      </c>
      <c r="G24" s="34">
        <f ca="1">1.30684503129995*OFFSET(G$112,MATCH($N$1,$C$112:$C$113,0)-1,0)</f>
        <v>1.30684503129995</v>
      </c>
      <c r="H24" s="34">
        <f ca="1">1.35006722290154*OFFSET(H$112,MATCH($N$1,$C$112:$C$113,0)-1,0)</f>
        <v>1.35006722290154</v>
      </c>
      <c r="I24" s="34">
        <f ca="1">1.47793266625759*OFFSET(I$112,MATCH($N$1,$C$112:$C$113,0)-1,0)</f>
        <v>1.47793266625759</v>
      </c>
      <c r="J24" s="34">
        <f ca="1">1.32856754156507*OFFSET(J$112,MATCH($N$1,$C$112:$C$113,0)-1,0)</f>
        <v>1.32856754156507</v>
      </c>
      <c r="K24" s="34">
        <f ca="1">1.03517875767193*OFFSET(K$112,MATCH($N$1,$C$112:$C$113,0)-1,0)</f>
        <v>1.03517875767193</v>
      </c>
      <c r="L24" s="34">
        <f ca="1">1.84078361202622*OFFSET(L$112,MATCH($N$1,$C$112:$C$113,0)-1,0)</f>
        <v>1.84078361202622</v>
      </c>
      <c r="M24" s="34">
        <f ca="1">2.44671722534641*OFFSET(M$112,MATCH($N$1,$C$112:$C$113,0)-1,0)</f>
        <v>2.44671722534641</v>
      </c>
      <c r="N24" s="34">
        <v>2.146445839775684</v>
      </c>
      <c r="O24" s="23">
        <f t="shared" ca="1" si="0"/>
        <v>2.0636503798860151</v>
      </c>
      <c r="P24" s="23">
        <f t="shared" ca="1" si="1"/>
        <v>0.61560912232368914</v>
      </c>
    </row>
    <row r="25" spans="1:16" ht="18" customHeight="1" x14ac:dyDescent="0.2">
      <c r="A25" s="228"/>
      <c r="B25" s="33" t="s">
        <v>64</v>
      </c>
      <c r="C25" s="25"/>
      <c r="D25" s="28"/>
      <c r="E25" s="28">
        <f ca="1">42.59*OFFSET(E$112,MATCH($N$1,$C$112:$C$113,0)-1,0)</f>
        <v>42.59</v>
      </c>
      <c r="F25" s="28">
        <f ca="1">39.04*OFFSET(F$112,MATCH($N$1,$C$112:$C$113,0)-1,0)</f>
        <v>39.04</v>
      </c>
      <c r="G25" s="28">
        <f ca="1">48.33*OFFSET(G$112,MATCH($N$1,$C$112:$C$113,0)-1,0)</f>
        <v>48.33</v>
      </c>
      <c r="H25" s="28">
        <f ca="1">47.95*OFFSET(H$112,MATCH($N$1,$C$112:$C$113,0)-1,0)</f>
        <v>47.95</v>
      </c>
      <c r="I25" s="28">
        <f ca="1">51.8*OFFSET(I$112,MATCH($N$1,$C$112:$C$113,0)-1,0)</f>
        <v>51.8</v>
      </c>
      <c r="J25" s="28">
        <f ca="1">61.02*OFFSET(J$112,MATCH($N$1,$C$112:$C$113,0)-1,0)</f>
        <v>61.02</v>
      </c>
      <c r="K25" s="28">
        <f ca="1">44.94*OFFSET(K$112,MATCH($N$1,$C$112:$C$113,0)-1,0)</f>
        <v>44.94</v>
      </c>
      <c r="L25" s="28">
        <f ca="1">50.62*OFFSET(L$112,MATCH($N$1,$C$112:$C$113,0)-1,0)</f>
        <v>50.62</v>
      </c>
      <c r="M25" s="28">
        <f ca="1">41.26*OFFSET(M$112,MATCH($N$1,$C$112:$C$113,0)-1,0)</f>
        <v>41.26</v>
      </c>
      <c r="N25" s="28">
        <v>58.69</v>
      </c>
      <c r="O25" s="23" t="str">
        <f t="shared" si="0"/>
        <v/>
      </c>
      <c r="P25" s="23">
        <f t="shared" ca="1" si="1"/>
        <v>-3.8184201901016145E-2</v>
      </c>
    </row>
    <row r="26" spans="1:16" ht="18" customHeight="1" x14ac:dyDescent="0.2">
      <c r="A26" s="229"/>
      <c r="B26" s="33" t="s">
        <v>65</v>
      </c>
      <c r="C26" s="40"/>
      <c r="D26" s="28"/>
      <c r="E26" s="28">
        <f ca="1">11.09*OFFSET(E$112,MATCH($N$1,$C$112:$C$113,0)-1,0)</f>
        <v>11.09</v>
      </c>
      <c r="F26" s="28">
        <f ca="1">7.94*OFFSET(F$112,MATCH($N$1,$C$112:$C$113,0)-1,0)</f>
        <v>7.94</v>
      </c>
      <c r="G26" s="28">
        <f ca="1">10.14*OFFSET(G$112,MATCH($N$1,$C$112:$C$113,0)-1,0)</f>
        <v>10.14</v>
      </c>
      <c r="H26" s="28">
        <f ca="1">9.91*OFFSET(H$112,MATCH($N$1,$C$112:$C$113,0)-1,0)</f>
        <v>9.91</v>
      </c>
      <c r="I26" s="28">
        <f ca="1">12.7*OFFSET(I$112,MATCH($N$1,$C$112:$C$113,0)-1,0)</f>
        <v>12.7</v>
      </c>
      <c r="J26" s="28">
        <f ca="1">13.88*OFFSET(J$112,MATCH($N$1,$C$112:$C$113,0)-1,0)</f>
        <v>13.88</v>
      </c>
      <c r="K26" s="28">
        <f ca="1">8.84*OFFSET(K$112,MATCH($N$1,$C$112:$C$113,0)-1,0)</f>
        <v>8.84</v>
      </c>
      <c r="L26" s="28">
        <f ca="1">15.27*OFFSET(L$112,MATCH($N$1,$C$112:$C$113,0)-1,0)</f>
        <v>15.27</v>
      </c>
      <c r="M26" s="28">
        <f ca="1">13.11*OFFSET(M$112,MATCH($N$1,$C$112:$C$113,0)-1,0)</f>
        <v>13.11</v>
      </c>
      <c r="N26" s="28">
        <v>17.73</v>
      </c>
      <c r="O26" s="29" t="str">
        <f t="shared" si="0"/>
        <v/>
      </c>
      <c r="P26" s="29">
        <f t="shared" ca="1" si="1"/>
        <v>0.27737752161383283</v>
      </c>
    </row>
    <row r="27" spans="1:16" ht="18" customHeight="1" x14ac:dyDescent="0.2">
      <c r="A27" s="230" t="s">
        <v>26</v>
      </c>
      <c r="B27" s="30" t="s">
        <v>59</v>
      </c>
      <c r="C27" s="31"/>
      <c r="D27" s="32">
        <f ca="1">65.2*OFFSET(D$112,MATCH($N$1,$C$112:$C$113,0)-1,0)</f>
        <v>65.2</v>
      </c>
      <c r="E27" s="32">
        <f ca="1">64.5*OFFSET(E$112,MATCH($N$1,$C$112:$C$113,0)-1,0)</f>
        <v>64.5</v>
      </c>
      <c r="F27" s="32">
        <f ca="1">65.4*OFFSET(F$112,MATCH($N$1,$C$112:$C$113,0)-1,0)</f>
        <v>65.400000000000006</v>
      </c>
      <c r="G27" s="32">
        <f ca="1">74.8*OFFSET(G$112,MATCH($N$1,$C$112:$C$113,0)-1,0)</f>
        <v>74.8</v>
      </c>
      <c r="H27" s="32">
        <f ca="1">74.5*OFFSET(H$112,MATCH($N$1,$C$112:$C$113,0)-1,0)</f>
        <v>74.5</v>
      </c>
      <c r="I27" s="32">
        <f ca="1">67.3*OFFSET(I$112,MATCH($N$1,$C$112:$C$113,0)-1,0)</f>
        <v>67.3</v>
      </c>
      <c r="J27" s="32">
        <f ca="1">69.9*OFFSET(J$112,MATCH($N$1,$C$112:$C$113,0)-1,0)</f>
        <v>69.900000000000006</v>
      </c>
      <c r="K27" s="32">
        <f ca="1">61.5*OFFSET(K$112,MATCH($N$1,$C$112:$C$113,0)-1,0)</f>
        <v>61.5</v>
      </c>
      <c r="L27" s="32">
        <f ca="1">75.6*OFFSET(L$112,MATCH($N$1,$C$112:$C$113,0)-1,0)</f>
        <v>75.599999999999994</v>
      </c>
      <c r="M27" s="32">
        <f ca="1">78.4*OFFSET(M$112,MATCH($N$1,$C$112:$C$113,0)-1,0)</f>
        <v>78.400000000000006</v>
      </c>
      <c r="N27" s="32">
        <v>74.8</v>
      </c>
      <c r="O27" s="23">
        <f t="shared" ca="1" si="0"/>
        <v>0.14723926380368088</v>
      </c>
      <c r="P27" s="23">
        <f t="shared" ca="1" si="1"/>
        <v>7.0100143061516323E-2</v>
      </c>
    </row>
    <row r="28" spans="1:16" ht="18" customHeight="1" x14ac:dyDescent="0.2">
      <c r="A28" s="231"/>
      <c r="B28" s="33" t="s">
        <v>66</v>
      </c>
      <c r="C28" s="27"/>
      <c r="D28" s="28">
        <f ca="1">1.7*OFFSET(D$112,MATCH($N$1,$C$112:$C$113,0)-1,0)</f>
        <v>1.7</v>
      </c>
      <c r="E28" s="28">
        <f ca="1">0.9*OFFSET(E$112,MATCH($N$1,$C$112:$C$113,0)-1,0)</f>
        <v>0.9</v>
      </c>
      <c r="F28" s="28">
        <f ca="1">1.1*OFFSET(F$112,MATCH($N$1,$C$112:$C$113,0)-1,0)</f>
        <v>1.1000000000000001</v>
      </c>
      <c r="G28" s="28">
        <f ca="1">2*OFFSET(G$112,MATCH($N$1,$C$112:$C$113,0)-1,0)</f>
        <v>2</v>
      </c>
      <c r="H28" s="28">
        <f ca="1">3.6*OFFSET(H$112,MATCH($N$1,$C$112:$C$113,0)-1,0)</f>
        <v>3.6</v>
      </c>
      <c r="I28" s="28">
        <f ca="1">5.1*OFFSET(I$112,MATCH($N$1,$C$112:$C$113,0)-1,0)</f>
        <v>5.0999999999999996</v>
      </c>
      <c r="J28" s="28">
        <f ca="1">5.7*OFFSET(J$112,MATCH($N$1,$C$112:$C$113,0)-1,0)</f>
        <v>5.7</v>
      </c>
      <c r="K28" s="28">
        <f ca="1">0.9*OFFSET(K$112,MATCH($N$1,$C$112:$C$113,0)-1,0)</f>
        <v>0.9</v>
      </c>
      <c r="L28" s="28">
        <f ca="1">2*OFFSET(L$112,MATCH($N$1,$C$112:$C$113,0)-1,0)</f>
        <v>2</v>
      </c>
      <c r="M28" s="28">
        <f ca="1">2*OFFSET(M$112,MATCH($N$1,$C$112:$C$113,0)-1,0)</f>
        <v>2</v>
      </c>
      <c r="N28" s="28">
        <v>1.9000000000000001</v>
      </c>
      <c r="O28" s="23">
        <f t="shared" ca="1" si="0"/>
        <v>0.11764705882352952</v>
      </c>
      <c r="P28" s="23">
        <f t="shared" ca="1" si="1"/>
        <v>-0.66666666666666663</v>
      </c>
    </row>
    <row r="29" spans="1:16" ht="18" customHeight="1" x14ac:dyDescent="0.2">
      <c r="A29" s="231"/>
      <c r="B29" s="41" t="s">
        <v>67</v>
      </c>
      <c r="C29" s="42"/>
      <c r="D29" s="43">
        <f ca="1">66.9*OFFSET(D$112,MATCH($N$1,$C$112:$C$113,0)-1,0)</f>
        <v>66.900000000000006</v>
      </c>
      <c r="E29" s="43">
        <f ca="1">65.3*OFFSET(E$112,MATCH($N$1,$C$112:$C$113,0)-1,0)</f>
        <v>65.3</v>
      </c>
      <c r="F29" s="43">
        <f ca="1">66.5*OFFSET(F$112,MATCH($N$1,$C$112:$C$113,0)-1,0)</f>
        <v>66.5</v>
      </c>
      <c r="G29" s="43">
        <f ca="1">76.8*OFFSET(G$112,MATCH($N$1,$C$112:$C$113,0)-1,0)</f>
        <v>76.8</v>
      </c>
      <c r="H29" s="43">
        <f ca="1">78.2*OFFSET(H$112,MATCH($N$1,$C$112:$C$113,0)-1,0)</f>
        <v>78.2</v>
      </c>
      <c r="I29" s="43">
        <f ca="1">72.4*OFFSET(I$112,MATCH($N$1,$C$112:$C$113,0)-1,0)</f>
        <v>72.400000000000006</v>
      </c>
      <c r="J29" s="43">
        <f ca="1">75.6*OFFSET(J$112,MATCH($N$1,$C$112:$C$113,0)-1,0)</f>
        <v>75.599999999999994</v>
      </c>
      <c r="K29" s="43">
        <f ca="1">62.4*OFFSET(K$112,MATCH($N$1,$C$112:$C$113,0)-1,0)</f>
        <v>62.4</v>
      </c>
      <c r="L29" s="43">
        <f ca="1">77.7*OFFSET(L$112,MATCH($N$1,$C$112:$C$113,0)-1,0)</f>
        <v>77.7</v>
      </c>
      <c r="M29" s="43">
        <f ca="1">80.4*OFFSET(M$112,MATCH($N$1,$C$112:$C$113,0)-1,0)</f>
        <v>80.400000000000006</v>
      </c>
      <c r="N29" s="43">
        <v>76.7</v>
      </c>
      <c r="O29" s="23">
        <f t="shared" ca="1" si="0"/>
        <v>0.14648729446935718</v>
      </c>
      <c r="P29" s="23">
        <f t="shared" ca="1" si="1"/>
        <v>1.4550264550264664E-2</v>
      </c>
    </row>
    <row r="30" spans="1:16" ht="18" customHeight="1" x14ac:dyDescent="0.2">
      <c r="A30" s="231"/>
      <c r="B30" s="33" t="s">
        <v>68</v>
      </c>
      <c r="C30" s="27"/>
      <c r="D30" s="28">
        <f ca="1">10.7*OFFSET(D$112,MATCH($N$1,$C$112:$C$113,0)-1,0)</f>
        <v>10.7</v>
      </c>
      <c r="E30" s="28">
        <f ca="1">7.1*OFFSET(E$112,MATCH($N$1,$C$112:$C$113,0)-1,0)</f>
        <v>7.1</v>
      </c>
      <c r="F30" s="28">
        <f ca="1">9.2*OFFSET(F$112,MATCH($N$1,$C$112:$C$113,0)-1,0)</f>
        <v>9.1999999999999993</v>
      </c>
      <c r="G30" s="28">
        <f ca="1">12.6*OFFSET(G$112,MATCH($N$1,$C$112:$C$113,0)-1,0)</f>
        <v>12.6</v>
      </c>
      <c r="H30" s="28">
        <f ca="1">12.4*OFFSET(H$112,MATCH($N$1,$C$112:$C$113,0)-1,0)</f>
        <v>12.4</v>
      </c>
      <c r="I30" s="28">
        <f ca="1">11.4*OFFSET(I$112,MATCH($N$1,$C$112:$C$113,0)-1,0)</f>
        <v>11.4</v>
      </c>
      <c r="J30" s="28">
        <f ca="1">11.3*OFFSET(J$112,MATCH($N$1,$C$112:$C$113,0)-1,0)</f>
        <v>11.3</v>
      </c>
      <c r="K30" s="28">
        <f ca="1">7.8*OFFSET(K$112,MATCH($N$1,$C$112:$C$113,0)-1,0)</f>
        <v>7.8</v>
      </c>
      <c r="L30" s="28">
        <f ca="1">7.6*OFFSET(L$112,MATCH($N$1,$C$112:$C$113,0)-1,0)</f>
        <v>7.6</v>
      </c>
      <c r="M30" s="28">
        <f ca="1">7.4*OFFSET(M$112,MATCH($N$1,$C$112:$C$113,0)-1,0)</f>
        <v>7.4</v>
      </c>
      <c r="N30" s="28">
        <v>8.8000000000000007</v>
      </c>
      <c r="O30" s="23">
        <f t="shared" ca="1" si="0"/>
        <v>-0.17757009345794381</v>
      </c>
      <c r="P30" s="23">
        <f t="shared" ca="1" si="1"/>
        <v>-0.22123893805309733</v>
      </c>
    </row>
    <row r="31" spans="1:16" ht="18" customHeight="1" x14ac:dyDescent="0.2">
      <c r="A31" s="231"/>
      <c r="B31" s="33" t="s">
        <v>69</v>
      </c>
      <c r="C31" s="27"/>
      <c r="D31" s="28">
        <f ca="1">18*OFFSET(D$112,MATCH($N$1,$C$112:$C$113,0)-1,0)</f>
        <v>18</v>
      </c>
      <c r="E31" s="28">
        <f ca="1">17.9*OFFSET(E$112,MATCH($N$1,$C$112:$C$113,0)-1,0)</f>
        <v>17.899999999999999</v>
      </c>
      <c r="F31" s="28">
        <f ca="1">14.4*OFFSET(F$112,MATCH($N$1,$C$112:$C$113,0)-1,0)</f>
        <v>14.4</v>
      </c>
      <c r="G31" s="28">
        <f ca="1">21.8*OFFSET(G$112,MATCH($N$1,$C$112:$C$113,0)-1,0)</f>
        <v>21.8</v>
      </c>
      <c r="H31" s="28">
        <f ca="1">22.1*OFFSET(H$112,MATCH($N$1,$C$112:$C$113,0)-1,0)</f>
        <v>22.1</v>
      </c>
      <c r="I31" s="28">
        <f ca="1">17.6*OFFSET(I$112,MATCH($N$1,$C$112:$C$113,0)-1,0)</f>
        <v>17.600000000000001</v>
      </c>
      <c r="J31" s="28">
        <f ca="1">18.3*OFFSET(J$112,MATCH($N$1,$C$112:$C$113,0)-1,0)</f>
        <v>18.3</v>
      </c>
      <c r="K31" s="28">
        <f ca="1">15.7*OFFSET(K$112,MATCH($N$1,$C$112:$C$113,0)-1,0)</f>
        <v>15.7</v>
      </c>
      <c r="L31" s="28">
        <f ca="1">15.7*OFFSET(L$112,MATCH($N$1,$C$112:$C$113,0)-1,0)</f>
        <v>15.7</v>
      </c>
      <c r="M31" s="28">
        <f ca="1">19.2*OFFSET(M$112,MATCH($N$1,$C$112:$C$113,0)-1,0)</f>
        <v>19.2</v>
      </c>
      <c r="N31" s="28">
        <v>17.8</v>
      </c>
      <c r="O31" s="23">
        <f t="shared" ca="1" si="0"/>
        <v>-1.1111111111111072E-2</v>
      </c>
      <c r="P31" s="23">
        <f t="shared" ca="1" si="1"/>
        <v>-2.7322404371584699E-2</v>
      </c>
    </row>
    <row r="32" spans="1:16" ht="18" customHeight="1" x14ac:dyDescent="0.2">
      <c r="A32" s="231"/>
      <c r="B32" s="33" t="s">
        <v>70</v>
      </c>
      <c r="C32" s="27"/>
      <c r="D32" s="28">
        <f ca="1">10.7*OFFSET(D$112,MATCH($N$1,$C$112:$C$113,0)-1,0)</f>
        <v>10.7</v>
      </c>
      <c r="E32" s="28">
        <f ca="1">8.4*OFFSET(E$112,MATCH($N$1,$C$112:$C$113,0)-1,0)</f>
        <v>8.4</v>
      </c>
      <c r="F32" s="28">
        <f ca="1">13.9*OFFSET(F$112,MATCH($N$1,$C$112:$C$113,0)-1,0)</f>
        <v>13.9</v>
      </c>
      <c r="G32" s="28">
        <f ca="1">10.3*OFFSET(G$112,MATCH($N$1,$C$112:$C$113,0)-1,0)</f>
        <v>10.3</v>
      </c>
      <c r="H32" s="28">
        <f ca="1">9.4*OFFSET(H$112,MATCH($N$1,$C$112:$C$113,0)-1,0)</f>
        <v>9.4</v>
      </c>
      <c r="I32" s="28">
        <f ca="1">11*OFFSET(I$112,MATCH($N$1,$C$112:$C$113,0)-1,0)</f>
        <v>11</v>
      </c>
      <c r="J32" s="28">
        <f ca="1">11.2*OFFSET(J$112,MATCH($N$1,$C$112:$C$113,0)-1,0)</f>
        <v>11.2</v>
      </c>
      <c r="K32" s="28">
        <f ca="1">8.9*OFFSET(K$112,MATCH($N$1,$C$112:$C$113,0)-1,0)</f>
        <v>8.9</v>
      </c>
      <c r="L32" s="28">
        <f ca="1">13.7*OFFSET(L$112,MATCH($N$1,$C$112:$C$113,0)-1,0)</f>
        <v>13.7</v>
      </c>
      <c r="M32" s="28">
        <f ca="1">12.1*OFFSET(M$112,MATCH($N$1,$C$112:$C$113,0)-1,0)</f>
        <v>12.1</v>
      </c>
      <c r="N32" s="28">
        <v>11.5</v>
      </c>
      <c r="O32" s="23">
        <f t="shared" ca="1" si="0"/>
        <v>7.4766355140186994E-2</v>
      </c>
      <c r="P32" s="23">
        <f t="shared" ca="1" si="1"/>
        <v>2.678571428571435E-2</v>
      </c>
    </row>
    <row r="33" spans="1:16" ht="18" customHeight="1" x14ac:dyDescent="0.2">
      <c r="A33" s="231"/>
      <c r="B33" s="33" t="s">
        <v>71</v>
      </c>
      <c r="C33" s="27"/>
      <c r="D33" s="28">
        <f ca="1">39.4*OFFSET(D$112,MATCH($N$1,$C$112:$C$113,0)-1,0)</f>
        <v>39.4</v>
      </c>
      <c r="E33" s="28">
        <f ca="1">33.4*OFFSET(E$112,MATCH($N$1,$C$112:$C$113,0)-1,0)</f>
        <v>33.4</v>
      </c>
      <c r="F33" s="28">
        <f ca="1">37.4*OFFSET(F$112,MATCH($N$1,$C$112:$C$113,0)-1,0)</f>
        <v>37.4</v>
      </c>
      <c r="G33" s="28">
        <f ca="1">44.6*OFFSET(G$112,MATCH($N$1,$C$112:$C$113,0)-1,0)</f>
        <v>44.6</v>
      </c>
      <c r="H33" s="28">
        <f ca="1">43.9*OFFSET(H$112,MATCH($N$1,$C$112:$C$113,0)-1,0)</f>
        <v>43.9</v>
      </c>
      <c r="I33" s="28">
        <f ca="1">40*OFFSET(I$112,MATCH($N$1,$C$112:$C$113,0)-1,0)</f>
        <v>40</v>
      </c>
      <c r="J33" s="28">
        <f ca="1">40.8*OFFSET(J$112,MATCH($N$1,$C$112:$C$113,0)-1,0)</f>
        <v>40.799999999999997</v>
      </c>
      <c r="K33" s="28">
        <f ca="1">32.3*OFFSET(K$112,MATCH($N$1,$C$112:$C$113,0)-1,0)</f>
        <v>32.299999999999997</v>
      </c>
      <c r="L33" s="28">
        <f ca="1">37*OFFSET(L$112,MATCH($N$1,$C$112:$C$113,0)-1,0)</f>
        <v>37</v>
      </c>
      <c r="M33" s="28">
        <f ca="1">38.7*OFFSET(M$112,MATCH($N$1,$C$112:$C$113,0)-1,0)</f>
        <v>38.700000000000003</v>
      </c>
      <c r="N33" s="28">
        <v>38.1</v>
      </c>
      <c r="O33" s="23">
        <f t="shared" ca="1" si="0"/>
        <v>-3.2994923857867953E-2</v>
      </c>
      <c r="P33" s="23">
        <f t="shared" ca="1" si="1"/>
        <v>-6.6176470588235198E-2</v>
      </c>
    </row>
    <row r="34" spans="1:16" ht="18" customHeight="1" x14ac:dyDescent="0.2">
      <c r="A34" s="231"/>
      <c r="B34" s="33" t="s">
        <v>72</v>
      </c>
      <c r="C34" s="27"/>
      <c r="D34" s="28">
        <f ca="1">19.5*OFFSET(D$112,MATCH($N$1,$C$112:$C$113,0)-1,0)</f>
        <v>19.5</v>
      </c>
      <c r="E34" s="28">
        <f ca="1">15.1*OFFSET(E$112,MATCH($N$1,$C$112:$C$113,0)-1,0)</f>
        <v>15.1</v>
      </c>
      <c r="F34" s="28">
        <f ca="1">15.8*OFFSET(F$112,MATCH($N$1,$C$112:$C$113,0)-1,0)</f>
        <v>15.8</v>
      </c>
      <c r="G34" s="28">
        <f ca="1">16.5*OFFSET(G$112,MATCH($N$1,$C$112:$C$113,0)-1,0)</f>
        <v>16.5</v>
      </c>
      <c r="H34" s="28">
        <f ca="1">18.9*OFFSET(H$112,MATCH($N$1,$C$112:$C$113,0)-1,0)</f>
        <v>18.899999999999999</v>
      </c>
      <c r="I34" s="28">
        <f ca="1">15.9*OFFSET(I$112,MATCH($N$1,$C$112:$C$113,0)-1,0)</f>
        <v>15.9</v>
      </c>
      <c r="J34" s="28">
        <f ca="1">18.9*OFFSET(J$112,MATCH($N$1,$C$112:$C$113,0)-1,0)</f>
        <v>18.899999999999999</v>
      </c>
      <c r="K34" s="28">
        <f ca="1">17.9*OFFSET(K$112,MATCH($N$1,$C$112:$C$113,0)-1,0)</f>
        <v>17.899999999999999</v>
      </c>
      <c r="L34" s="28">
        <f ca="1">17.9*OFFSET(L$112,MATCH($N$1,$C$112:$C$113,0)-1,0)</f>
        <v>17.899999999999999</v>
      </c>
      <c r="M34" s="28">
        <f ca="1">16.8*OFFSET(M$112,MATCH($N$1,$C$112:$C$113,0)-1,0)</f>
        <v>16.8</v>
      </c>
      <c r="N34" s="28">
        <v>16</v>
      </c>
      <c r="O34" s="23">
        <f t="shared" ca="1" si="0"/>
        <v>-0.17948717948717949</v>
      </c>
      <c r="P34" s="23">
        <f t="shared" ca="1" si="1"/>
        <v>-0.15343915343915338</v>
      </c>
    </row>
    <row r="35" spans="1:16" ht="18" customHeight="1" x14ac:dyDescent="0.2">
      <c r="A35" s="231"/>
      <c r="B35" s="33" t="s">
        <v>73</v>
      </c>
      <c r="C35" s="27"/>
      <c r="D35" s="28">
        <f ca="1">58.9*OFFSET(D$112,MATCH($N$1,$C$112:$C$113,0)-1,0)</f>
        <v>58.9</v>
      </c>
      <c r="E35" s="28">
        <f ca="1">48.5*OFFSET(E$112,MATCH($N$1,$C$112:$C$113,0)-1,0)</f>
        <v>48.5</v>
      </c>
      <c r="F35" s="28">
        <f ca="1">53.3*OFFSET(F$112,MATCH($N$1,$C$112:$C$113,0)-1,0)</f>
        <v>53.3</v>
      </c>
      <c r="G35" s="28">
        <f ca="1">61.1*OFFSET(G$112,MATCH($N$1,$C$112:$C$113,0)-1,0)</f>
        <v>61.1</v>
      </c>
      <c r="H35" s="28">
        <f ca="1">62.8*OFFSET(H$112,MATCH($N$1,$C$112:$C$113,0)-1,0)</f>
        <v>62.8</v>
      </c>
      <c r="I35" s="28">
        <f ca="1">55.9*OFFSET(I$112,MATCH($N$1,$C$112:$C$113,0)-1,0)</f>
        <v>55.9</v>
      </c>
      <c r="J35" s="28">
        <f ca="1">59.6*OFFSET(J$112,MATCH($N$1,$C$112:$C$113,0)-1,0)</f>
        <v>59.6</v>
      </c>
      <c r="K35" s="28">
        <f ca="1">50.2*OFFSET(K$112,MATCH($N$1,$C$112:$C$113,0)-1,0)</f>
        <v>50.2</v>
      </c>
      <c r="L35" s="28">
        <f ca="1">54.9*OFFSET(L$112,MATCH($N$1,$C$112:$C$113,0)-1,0)</f>
        <v>54.9</v>
      </c>
      <c r="M35" s="28">
        <f ca="1">55.5*OFFSET(M$112,MATCH($N$1,$C$112:$C$113,0)-1,0)</f>
        <v>55.5</v>
      </c>
      <c r="N35" s="28">
        <v>54.1</v>
      </c>
      <c r="O35" s="23">
        <f t="shared" ca="1" si="0"/>
        <v>-8.1494057724957505E-2</v>
      </c>
      <c r="P35" s="23">
        <f t="shared" ca="1" si="1"/>
        <v>-9.2281879194630864E-2</v>
      </c>
    </row>
    <row r="36" spans="1:16" ht="18" customHeight="1" x14ac:dyDescent="0.2">
      <c r="A36" s="231"/>
      <c r="B36" s="41" t="s">
        <v>74</v>
      </c>
      <c r="C36" s="42"/>
      <c r="D36" s="43">
        <f ca="1">26*OFFSET(D$112,MATCH($N$1,$C$112:$C$113,0)-1,0)</f>
        <v>26</v>
      </c>
      <c r="E36" s="43">
        <f ca="1">34.7*OFFSET(E$112,MATCH($N$1,$C$112:$C$113,0)-1,0)</f>
        <v>34.700000000000003</v>
      </c>
      <c r="F36" s="43">
        <f ca="1">27.7*OFFSET(F$112,MATCH($N$1,$C$112:$C$113,0)-1,0)</f>
        <v>27.7</v>
      </c>
      <c r="G36" s="43">
        <f ca="1">37.5*OFFSET(G$112,MATCH($N$1,$C$112:$C$113,0)-1,0)</f>
        <v>37.5</v>
      </c>
      <c r="H36" s="43">
        <f ca="1">37.5*OFFSET(H$112,MATCH($N$1,$C$112:$C$113,0)-1,0)</f>
        <v>37.5</v>
      </c>
      <c r="I36" s="43">
        <f ca="1">34.1*OFFSET(I$112,MATCH($N$1,$C$112:$C$113,0)-1,0)</f>
        <v>34.1</v>
      </c>
      <c r="J36" s="43">
        <f ca="1">34.2*OFFSET(J$112,MATCH($N$1,$C$112:$C$113,0)-1,0)</f>
        <v>34.200000000000003</v>
      </c>
      <c r="K36" s="43">
        <f ca="1">27.8*OFFSET(K$112,MATCH($N$1,$C$112:$C$113,0)-1,0)</f>
        <v>27.8</v>
      </c>
      <c r="L36" s="43">
        <f ca="1">38.5*OFFSET(L$112,MATCH($N$1,$C$112:$C$113,0)-1,0)</f>
        <v>38.5</v>
      </c>
      <c r="M36" s="43">
        <f ca="1">44.1*OFFSET(M$112,MATCH($N$1,$C$112:$C$113,0)-1,0)</f>
        <v>44.1</v>
      </c>
      <c r="N36" s="43">
        <v>40.400000000000006</v>
      </c>
      <c r="O36" s="23">
        <f t="shared" ca="1" si="0"/>
        <v>0.5538461538461541</v>
      </c>
      <c r="P36" s="23">
        <f t="shared" ca="1" si="1"/>
        <v>0.18128654970760241</v>
      </c>
    </row>
    <row r="37" spans="1:16" ht="18" customHeight="1" x14ac:dyDescent="0.2">
      <c r="A37" s="231"/>
      <c r="B37" s="41" t="s">
        <v>75</v>
      </c>
      <c r="C37" s="42"/>
      <c r="D37" s="43">
        <f ca="1">8*OFFSET(D$112,MATCH($N$1,$C$112:$C$113,0)-1,0)</f>
        <v>8</v>
      </c>
      <c r="E37" s="43">
        <f ca="1">16.8*OFFSET(E$112,MATCH($N$1,$C$112:$C$113,0)-1,0)</f>
        <v>16.8</v>
      </c>
      <c r="F37" s="43">
        <f ca="1">13.3*OFFSET(F$112,MATCH($N$1,$C$112:$C$113,0)-1,0)</f>
        <v>13.3</v>
      </c>
      <c r="G37" s="43">
        <f ca="1">15.7*OFFSET(G$112,MATCH($N$1,$C$112:$C$113,0)-1,0)</f>
        <v>15.7</v>
      </c>
      <c r="H37" s="43">
        <f ca="1">15.4*OFFSET(H$112,MATCH($N$1,$C$112:$C$113,0)-1,0)</f>
        <v>15.4</v>
      </c>
      <c r="I37" s="43">
        <f ca="1">16.5*OFFSET(I$112,MATCH($N$1,$C$112:$C$113,0)-1,0)</f>
        <v>16.5</v>
      </c>
      <c r="J37" s="43">
        <f ca="1">15.9*OFFSET(J$112,MATCH($N$1,$C$112:$C$113,0)-1,0)</f>
        <v>15.9</v>
      </c>
      <c r="K37" s="43">
        <f ca="1">12.1*OFFSET(K$112,MATCH($N$1,$C$112:$C$113,0)-1,0)</f>
        <v>12.1</v>
      </c>
      <c r="L37" s="43">
        <f ca="1">22.8*OFFSET(L$112,MATCH($N$1,$C$112:$C$113,0)-1,0)</f>
        <v>22.8</v>
      </c>
      <c r="M37" s="43">
        <f ca="1">24.9*OFFSET(M$112,MATCH($N$1,$C$112:$C$113,0)-1,0)</f>
        <v>24.9</v>
      </c>
      <c r="N37" s="43">
        <v>22.6</v>
      </c>
      <c r="O37" s="23">
        <f t="shared" ca="1" si="0"/>
        <v>1.8250000000000002</v>
      </c>
      <c r="P37" s="23">
        <f t="shared" ca="1" si="1"/>
        <v>0.42138364779874221</v>
      </c>
    </row>
    <row r="38" spans="1:16" ht="18" customHeight="1" x14ac:dyDescent="0.2">
      <c r="A38" s="231"/>
      <c r="B38" s="33" t="s">
        <v>76</v>
      </c>
      <c r="C38" s="27"/>
      <c r="D38" s="28">
        <f ca="1">3.9*OFFSET(D$112,MATCH($N$1,$C$112:$C$113,0)-1,0)</f>
        <v>3.9</v>
      </c>
      <c r="E38" s="28">
        <f ca="1">6.6*OFFSET(E$112,MATCH($N$1,$C$112:$C$113,0)-1,0)</f>
        <v>6.6</v>
      </c>
      <c r="F38" s="28">
        <f ca="1">3.6*OFFSET(F$112,MATCH($N$1,$C$112:$C$113,0)-1,0)</f>
        <v>3.6</v>
      </c>
      <c r="G38" s="28">
        <f ca="1">4.2*OFFSET(G$112,MATCH($N$1,$C$112:$C$113,0)-1,0)</f>
        <v>4.2</v>
      </c>
      <c r="H38" s="28">
        <f ca="1">4.5*OFFSET(H$112,MATCH($N$1,$C$112:$C$113,0)-1,0)</f>
        <v>4.5</v>
      </c>
      <c r="I38" s="28">
        <f ca="1">3*OFFSET(I$112,MATCH($N$1,$C$112:$C$113,0)-1,0)</f>
        <v>3</v>
      </c>
      <c r="J38" s="28">
        <f ca="1">3.3*OFFSET(J$112,MATCH($N$1,$C$112:$C$113,0)-1,0)</f>
        <v>3.3</v>
      </c>
      <c r="K38" s="28">
        <f ca="1">2.5*OFFSET(K$112,MATCH($N$1,$C$112:$C$113,0)-1,0)</f>
        <v>2.5</v>
      </c>
      <c r="L38" s="28">
        <f ca="1">5.1*OFFSET(L$112,MATCH($N$1,$C$112:$C$113,0)-1,0)</f>
        <v>5.0999999999999996</v>
      </c>
      <c r="M38" s="28">
        <f ca="1">4.6*OFFSET(M$112,MATCH($N$1,$C$112:$C$113,0)-1,0)</f>
        <v>4.5999999999999996</v>
      </c>
      <c r="N38" s="28"/>
      <c r="O38" s="23" t="str">
        <f t="shared" si="0"/>
        <v/>
      </c>
      <c r="P38" s="23" t="str">
        <f t="shared" si="1"/>
        <v/>
      </c>
    </row>
    <row r="39" spans="1:16" ht="18" customHeight="1" x14ac:dyDescent="0.2">
      <c r="A39" s="231"/>
      <c r="B39" s="33" t="s">
        <v>77</v>
      </c>
      <c r="C39" s="27"/>
      <c r="D39" s="28">
        <f ca="1">2.2*OFFSET(D$112,MATCH($N$1,$C$112:$C$113,0)-1,0)</f>
        <v>2.2000000000000002</v>
      </c>
      <c r="E39" s="28">
        <f ca="1">0.8*OFFSET(E$112,MATCH($N$1,$C$112:$C$113,0)-1,0)</f>
        <v>0.8</v>
      </c>
      <c r="F39" s="28">
        <f ca="1">0.9*OFFSET(F$112,MATCH($N$1,$C$112:$C$113,0)-1,0)</f>
        <v>0.9</v>
      </c>
      <c r="G39" s="28">
        <f ca="1">0.8*OFFSET(G$112,MATCH($N$1,$C$112:$C$113,0)-1,0)</f>
        <v>0.8</v>
      </c>
      <c r="H39" s="28">
        <f ca="1">0.6*OFFSET(H$112,MATCH($N$1,$C$112:$C$113,0)-1,0)</f>
        <v>0.6</v>
      </c>
      <c r="I39" s="28">
        <f ca="1">1.5*OFFSET(I$112,MATCH($N$1,$C$112:$C$113,0)-1,0)</f>
        <v>1.5</v>
      </c>
      <c r="J39" s="28">
        <f ca="1">1.8*OFFSET(J$112,MATCH($N$1,$C$112:$C$113,0)-1,0)</f>
        <v>1.8</v>
      </c>
      <c r="K39" s="28">
        <f ca="1">0.4*OFFSET(K$112,MATCH($N$1,$C$112:$C$113,0)-1,0)</f>
        <v>0.4</v>
      </c>
      <c r="L39" s="28">
        <f ca="1">0.3*OFFSET(L$112,MATCH($N$1,$C$112:$C$113,0)-1,0)</f>
        <v>0.3</v>
      </c>
      <c r="M39" s="28">
        <f ca="1">0.4*OFFSET(M$112,MATCH($N$1,$C$112:$C$113,0)-1,0)</f>
        <v>0.4</v>
      </c>
      <c r="N39" s="28"/>
      <c r="O39" s="23" t="str">
        <f t="shared" si="0"/>
        <v/>
      </c>
      <c r="P39" s="23" t="str">
        <f t="shared" si="1"/>
        <v/>
      </c>
    </row>
    <row r="40" spans="1:16" ht="18" customHeight="1" x14ac:dyDescent="0.2">
      <c r="A40" s="231"/>
      <c r="B40" s="33" t="s">
        <v>78</v>
      </c>
      <c r="C40" s="27"/>
      <c r="D40" s="28"/>
      <c r="E40" s="28"/>
      <c r="F40" s="28"/>
      <c r="G40" s="28">
        <f ca="1">0.2*OFFSET(G$112,MATCH($N$1,$C$112:$C$113,0)-1,0)</f>
        <v>0.2</v>
      </c>
      <c r="H40" s="28">
        <f ca="1">0.2*OFFSET(H$112,MATCH($N$1,$C$112:$C$113,0)-1,0)</f>
        <v>0.2</v>
      </c>
      <c r="I40" s="28">
        <f ca="1">0.3*OFFSET(I$112,MATCH($N$1,$C$112:$C$113,0)-1,0)</f>
        <v>0.3</v>
      </c>
      <c r="J40" s="28">
        <f ca="1">0.3*OFFSET(J$112,MATCH($N$1,$C$112:$C$113,0)-1,0)</f>
        <v>0.3</v>
      </c>
      <c r="K40" s="28">
        <f ca="1">0.7*OFFSET(K$112,MATCH($N$1,$C$112:$C$113,0)-1,0)</f>
        <v>0.7</v>
      </c>
      <c r="L40" s="28">
        <f ca="1">0.6*OFFSET(L$112,MATCH($N$1,$C$112:$C$113,0)-1,0)</f>
        <v>0.6</v>
      </c>
      <c r="M40" s="28">
        <f ca="1">1.1*OFFSET(M$112,MATCH($N$1,$C$112:$C$113,0)-1,0)</f>
        <v>1.1000000000000001</v>
      </c>
      <c r="N40" s="28"/>
      <c r="O40" s="23" t="str">
        <f t="shared" si="0"/>
        <v/>
      </c>
      <c r="P40" s="23" t="str">
        <f t="shared" si="1"/>
        <v/>
      </c>
    </row>
    <row r="41" spans="1:16" ht="18" customHeight="1" thickBot="1" x14ac:dyDescent="0.25">
      <c r="A41" s="232"/>
      <c r="B41" s="44" t="s">
        <v>79</v>
      </c>
      <c r="C41" s="45"/>
      <c r="D41" s="46">
        <f ca="1">1.8*OFFSET(D$112,MATCH($N$1,$C$112:$C$113,0)-1,0)</f>
        <v>1.8</v>
      </c>
      <c r="E41" s="46">
        <f ca="1">9.4*OFFSET(E$112,MATCH($N$1,$C$112:$C$113,0)-1,0)</f>
        <v>9.4</v>
      </c>
      <c r="F41" s="46">
        <f ca="1">8.7*OFFSET(F$112,MATCH($N$1,$C$112:$C$113,0)-1,0)</f>
        <v>8.6999999999999993</v>
      </c>
      <c r="G41" s="46">
        <f ca="1">10.5*OFFSET(G$112,MATCH($N$1,$C$112:$C$113,0)-1,0)</f>
        <v>10.5</v>
      </c>
      <c r="H41" s="46">
        <f ca="1">10.1*OFFSET(H$112,MATCH($N$1,$C$112:$C$113,0)-1,0)</f>
        <v>10.1</v>
      </c>
      <c r="I41" s="46">
        <f ca="1">11.6*OFFSET(I$112,MATCH($N$1,$C$112:$C$113,0)-1,0)</f>
        <v>11.6</v>
      </c>
      <c r="J41" s="46">
        <f ca="1">10.5*OFFSET(J$112,MATCH($N$1,$C$112:$C$113,0)-1,0)</f>
        <v>10.5</v>
      </c>
      <c r="K41" s="46">
        <f ca="1">8.5*OFFSET(K$112,MATCH($N$1,$C$112:$C$113,0)-1,0)</f>
        <v>8.5</v>
      </c>
      <c r="L41" s="46">
        <f ca="1">16.8*OFFSET(L$112,MATCH($N$1,$C$112:$C$113,0)-1,0)</f>
        <v>16.8</v>
      </c>
      <c r="M41" s="46">
        <f ca="1">18.8*OFFSET(M$112,MATCH($N$1,$C$112:$C$113,0)-1,0)</f>
        <v>18.8</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Under 10m demersal trawl/seine</v>
      </c>
      <c r="C48" s="97"/>
      <c r="D48" s="97"/>
      <c r="E48" s="97"/>
      <c r="F48" s="97"/>
      <c r="G48" s="97"/>
      <c r="K48" s="97" t="str">
        <f>$B24&amp;CHAR(10)&amp;$A$1</f>
        <v>Operating profit per kW day at sea (£)
Under 10m demersal trawl/seine</v>
      </c>
    </row>
    <row r="49" spans="1:11" s="83" customFormat="1" x14ac:dyDescent="0.2">
      <c r="A49" s="97" t="str">
        <f>$B22&amp;CHAR(10)&amp;$A$1</f>
        <v>Fishing income per kW day at sea (£)
Under 10m demersal trawl/seine</v>
      </c>
    </row>
    <row r="50" spans="1:11" s="83" customFormat="1" x14ac:dyDescent="0.2">
      <c r="A50" s="97" t="str">
        <f>$B20&amp;CHAR(10)&amp;$A$1</f>
        <v>Average price per tonne landed (£)
Under 10m demersal trawl/seine</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Under 10m demersal trawl/seine</v>
      </c>
      <c r="F62" s="97" t="str">
        <f>$B20&amp;CHAR(10)&amp;$A$1</f>
        <v>Average price per tonne landed (£)
Under 10m demersal trawl/seine</v>
      </c>
      <c r="K62" s="97" t="str">
        <f>"Average annual operating profit per vessel (£'000)"&amp;CHAR(10)&amp;$A$1</f>
        <v>Average annual operating profit per vessel (£'000)
Under 10m demersal trawl/seine</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Under 10m demersal trawl/seine</v>
      </c>
      <c r="F76" s="97" t="str">
        <f>"Top 5 landed species by value in "&amp;A77&amp;CHAR(10)&amp;A1</f>
        <v>Top 5 landed species by value in 2017
Under 10m demersal trawl/seine</v>
      </c>
    </row>
    <row r="77" spans="1:9" s="97" customFormat="1" x14ac:dyDescent="0.2">
      <c r="A77" s="97">
        <v>2017</v>
      </c>
      <c r="B77" s="97" t="s">
        <v>458</v>
      </c>
      <c r="C77" s="98">
        <v>0.36972797683249137</v>
      </c>
      <c r="D77" s="99">
        <v>12153634</v>
      </c>
      <c r="G77" s="97" t="s">
        <v>459</v>
      </c>
      <c r="H77" s="98">
        <v>0.47289303725910109</v>
      </c>
      <c r="I77" s="99">
        <v>12153634</v>
      </c>
    </row>
    <row r="78" spans="1:9" s="97" customFormat="1" x14ac:dyDescent="0.2">
      <c r="B78" s="97" t="s">
        <v>460</v>
      </c>
      <c r="C78" s="98">
        <v>9.7462653162781923E-2</v>
      </c>
      <c r="D78" s="99">
        <v>11115023</v>
      </c>
      <c r="G78" s="97" t="s">
        <v>461</v>
      </c>
      <c r="H78" s="98">
        <v>0.10323793020109033</v>
      </c>
      <c r="I78" s="99">
        <v>553960</v>
      </c>
    </row>
    <row r="79" spans="1:9" s="97" customFormat="1" x14ac:dyDescent="0.2">
      <c r="B79" s="97" t="s">
        <v>462</v>
      </c>
      <c r="C79" s="98">
        <v>7.0151179551647888E-2</v>
      </c>
      <c r="D79" s="99">
        <v>553960</v>
      </c>
      <c r="G79" s="97" t="s">
        <v>463</v>
      </c>
      <c r="H79" s="98">
        <v>7.1343890368583102E-2</v>
      </c>
      <c r="I79" s="99">
        <v>3050596</v>
      </c>
    </row>
    <row r="80" spans="1:9" s="97" customFormat="1" x14ac:dyDescent="0.2">
      <c r="B80" s="97" t="s">
        <v>464</v>
      </c>
      <c r="C80" s="98">
        <v>5.8254245706296844E-2</v>
      </c>
      <c r="D80" s="99">
        <v>2480382</v>
      </c>
      <c r="G80" s="97" t="s">
        <v>465</v>
      </c>
      <c r="H80" s="98">
        <v>6.9224551318908908E-2</v>
      </c>
      <c r="I80" s="99">
        <v>1692097</v>
      </c>
    </row>
    <row r="81" spans="1:18" s="97" customFormat="1" x14ac:dyDescent="0.2">
      <c r="B81" s="97" t="s">
        <v>466</v>
      </c>
      <c r="C81" s="98">
        <v>5.1616291881580609E-2</v>
      </c>
      <c r="D81" s="99">
        <v>3050596</v>
      </c>
      <c r="G81" s="97" t="s">
        <v>467</v>
      </c>
      <c r="H81" s="98">
        <v>5.0359014682683056E-2</v>
      </c>
      <c r="I81" s="99">
        <v>3689192</v>
      </c>
    </row>
    <row r="82" spans="1:18" s="97" customFormat="1" x14ac:dyDescent="0.2">
      <c r="B82" s="97" t="s">
        <v>468</v>
      </c>
      <c r="C82" s="98">
        <v>0.35278765286520142</v>
      </c>
      <c r="D82" s="99">
        <v>5920853</v>
      </c>
      <c r="G82" s="97" t="s">
        <v>469</v>
      </c>
      <c r="H82" s="98">
        <v>0.2329415761696334</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93</v>
      </c>
      <c r="D92" s="102">
        <v>0.45507191228555394</v>
      </c>
      <c r="E92" s="102">
        <v>0.42603653332387353</v>
      </c>
      <c r="F92" s="102">
        <v>0.45154880198097119</v>
      </c>
      <c r="G92" s="102">
        <v>0.47266494733238418</v>
      </c>
      <c r="H92" s="102">
        <v>0.4729586262230942</v>
      </c>
      <c r="I92" s="102">
        <v>0.54199893691757006</v>
      </c>
      <c r="J92" s="102">
        <v>0.47282162157861191</v>
      </c>
      <c r="K92" s="102">
        <v>0.50635452670951897</v>
      </c>
      <c r="L92" s="102">
        <v>0.47289303725910109</v>
      </c>
      <c r="M92" s="102">
        <v>0.49581790973214135</v>
      </c>
      <c r="O92" s="97">
        <v>12153634</v>
      </c>
    </row>
    <row r="93" spans="1:18" s="97" customFormat="1" hidden="1" x14ac:dyDescent="0.2">
      <c r="B93" s="97">
        <v>2</v>
      </c>
      <c r="C93" s="97" t="s">
        <v>96</v>
      </c>
      <c r="D93" s="102"/>
      <c r="E93" s="102"/>
      <c r="F93" s="102"/>
      <c r="G93" s="102"/>
      <c r="H93" s="102"/>
      <c r="I93" s="102"/>
      <c r="J93" s="102">
        <v>4.2682609469906541E-2</v>
      </c>
      <c r="K93" s="102">
        <v>4.5461973322779195E-2</v>
      </c>
      <c r="L93" s="102">
        <v>0.10323793020109033</v>
      </c>
      <c r="M93" s="102"/>
      <c r="O93" s="97">
        <v>553960</v>
      </c>
    </row>
    <row r="94" spans="1:18" s="97" customFormat="1" hidden="1" x14ac:dyDescent="0.2">
      <c r="B94" s="97">
        <v>3</v>
      </c>
      <c r="C94" s="97" t="s">
        <v>137</v>
      </c>
      <c r="D94" s="102">
        <v>6.5487858383023997E-2</v>
      </c>
      <c r="E94" s="102">
        <v>6.3604228048103117E-2</v>
      </c>
      <c r="F94" s="102">
        <v>4.5693763886693356E-2</v>
      </c>
      <c r="G94" s="102"/>
      <c r="H94" s="102">
        <v>4.3219906063078933E-2</v>
      </c>
      <c r="I94" s="102">
        <v>5.2244080382405717E-2</v>
      </c>
      <c r="J94" s="102"/>
      <c r="K94" s="102">
        <v>5.1584361880720193E-2</v>
      </c>
      <c r="L94" s="102">
        <v>7.1343890368583102E-2</v>
      </c>
      <c r="M94" s="102">
        <v>8.1183950706774657E-2</v>
      </c>
      <c r="O94" s="97">
        <v>3050596</v>
      </c>
    </row>
    <row r="95" spans="1:18" s="97" customFormat="1" hidden="1" x14ac:dyDescent="0.2">
      <c r="B95" s="97">
        <v>4</v>
      </c>
      <c r="C95" s="97" t="s">
        <v>245</v>
      </c>
      <c r="D95" s="102">
        <v>0.15955782232230764</v>
      </c>
      <c r="E95" s="102">
        <v>0.14703242268105529</v>
      </c>
      <c r="F95" s="102">
        <v>0.17397090862502274</v>
      </c>
      <c r="G95" s="102">
        <v>0.11904800974875558</v>
      </c>
      <c r="H95" s="102">
        <v>0.12633288629477776</v>
      </c>
      <c r="I95" s="102">
        <v>7.9781097345751409E-2</v>
      </c>
      <c r="J95" s="102">
        <v>8.6836254080005032E-2</v>
      </c>
      <c r="K95" s="102">
        <v>7.468869026074762E-2</v>
      </c>
      <c r="L95" s="102">
        <v>6.9224551318908908E-2</v>
      </c>
      <c r="M95" s="102">
        <v>9.8013766942308275E-2</v>
      </c>
      <c r="O95" s="97">
        <v>1692097</v>
      </c>
    </row>
    <row r="96" spans="1:18" s="97" customFormat="1" hidden="1" x14ac:dyDescent="0.2">
      <c r="B96" s="97">
        <v>5</v>
      </c>
      <c r="C96" s="97" t="s">
        <v>94</v>
      </c>
      <c r="D96" s="102">
        <v>5.758738780971729E-2</v>
      </c>
      <c r="E96" s="102">
        <v>3.8828104258581901E-2</v>
      </c>
      <c r="F96" s="102">
        <v>5.6654174387294552E-2</v>
      </c>
      <c r="G96" s="102">
        <v>6.7410325891632011E-2</v>
      </c>
      <c r="H96" s="102">
        <v>4.8731903137653035E-2</v>
      </c>
      <c r="I96" s="102">
        <v>4.5829567141558281E-2</v>
      </c>
      <c r="J96" s="102">
        <v>5.7430368547005083E-2</v>
      </c>
      <c r="K96" s="102"/>
      <c r="L96" s="102">
        <v>5.0359014682683056E-2</v>
      </c>
      <c r="M96" s="102">
        <v>4.3611002003885506E-2</v>
      </c>
      <c r="O96" s="97">
        <v>3689192</v>
      </c>
    </row>
    <row r="97" spans="1:15" s="97" customFormat="1" hidden="1" x14ac:dyDescent="0.2">
      <c r="B97" s="97">
        <v>6</v>
      </c>
      <c r="C97" s="97" t="s">
        <v>170</v>
      </c>
      <c r="D97" s="102"/>
      <c r="E97" s="102"/>
      <c r="F97" s="102"/>
      <c r="G97" s="102"/>
      <c r="H97" s="102"/>
      <c r="I97" s="102"/>
      <c r="J97" s="102"/>
      <c r="K97" s="102"/>
      <c r="L97" s="102"/>
      <c r="M97" s="102">
        <v>7.2718446008407669E-2</v>
      </c>
      <c r="O97" s="97">
        <v>11115023</v>
      </c>
    </row>
    <row r="98" spans="1:15" s="97" customFormat="1" hidden="1" x14ac:dyDescent="0.2">
      <c r="B98" s="97">
        <v>7</v>
      </c>
      <c r="C98" s="97" t="s">
        <v>187</v>
      </c>
      <c r="D98" s="102">
        <v>4.6996552154434261E-2</v>
      </c>
      <c r="E98" s="102">
        <v>6.1244186227329869E-2</v>
      </c>
      <c r="F98" s="102">
        <v>2.9637598656170473E-2</v>
      </c>
      <c r="G98" s="102">
        <v>5.2830955238583638E-2</v>
      </c>
      <c r="H98" s="102">
        <v>5.397496997739773E-2</v>
      </c>
      <c r="I98" s="102">
        <v>4.9813547386006449E-2</v>
      </c>
      <c r="J98" s="102">
        <v>5.3938154813739106E-2</v>
      </c>
      <c r="K98" s="102">
        <v>4.9460939087212684E-2</v>
      </c>
      <c r="L98" s="102"/>
      <c r="M98" s="102"/>
      <c r="O98" s="97">
        <v>2480382</v>
      </c>
    </row>
    <row r="99" spans="1:15" s="97" customFormat="1" hidden="1" x14ac:dyDescent="0.2">
      <c r="B99" s="97">
        <v>8</v>
      </c>
      <c r="C99" s="97" t="s">
        <v>189</v>
      </c>
      <c r="D99" s="102"/>
      <c r="E99" s="102"/>
      <c r="F99" s="102"/>
      <c r="G99" s="102">
        <v>2.8578804493544375E-2</v>
      </c>
      <c r="H99" s="102"/>
      <c r="I99" s="102"/>
      <c r="J99" s="102"/>
      <c r="K99" s="102"/>
      <c r="L99" s="102"/>
      <c r="M99" s="102"/>
      <c r="O99" s="97">
        <v>7434864</v>
      </c>
    </row>
    <row r="100" spans="1:15" s="97" customFormat="1" hidden="1" x14ac:dyDescent="0.2">
      <c r="B100" s="97">
        <v>9</v>
      </c>
      <c r="C100" s="97" t="s">
        <v>101</v>
      </c>
      <c r="D100" s="102">
        <v>0.21529846704496289</v>
      </c>
      <c r="E100" s="102">
        <v>0.26325452546105627</v>
      </c>
      <c r="F100" s="102">
        <v>0.24249475246384766</v>
      </c>
      <c r="G100" s="102">
        <v>0.25946695729510022</v>
      </c>
      <c r="H100" s="102">
        <v>0.25478170830399838</v>
      </c>
      <c r="I100" s="102">
        <v>0.23033277082670806</v>
      </c>
      <c r="J100" s="102">
        <v>0.28629099151073234</v>
      </c>
      <c r="K100" s="102">
        <v>0.27244950873902141</v>
      </c>
      <c r="L100" s="102">
        <v>0.23294157616963351</v>
      </c>
      <c r="M100" s="102">
        <v>0.20865492460648255</v>
      </c>
      <c r="O100" s="97">
        <v>5920853</v>
      </c>
    </row>
    <row r="101" spans="1:15" s="97" customFormat="1" hidden="1" x14ac:dyDescent="0.2">
      <c r="B101" s="97">
        <v>10</v>
      </c>
      <c r="D101" s="102"/>
      <c r="E101" s="102"/>
      <c r="F101" s="102"/>
      <c r="G101" s="102"/>
      <c r="H101" s="102"/>
      <c r="I101" s="102"/>
      <c r="J101" s="102"/>
      <c r="K101" s="102"/>
      <c r="L101" s="102"/>
      <c r="M101" s="102"/>
      <c r="O101" s="97">
        <v>14393110</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10</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44</v>
      </c>
      <c r="D120" s="56">
        <v>86</v>
      </c>
      <c r="E120" s="56">
        <v>44</v>
      </c>
      <c r="F120" s="57">
        <v>174</v>
      </c>
    </row>
    <row r="121" spans="1:14" ht="18" customHeight="1" x14ac:dyDescent="0.2">
      <c r="A121" s="225" t="s">
        <v>23</v>
      </c>
      <c r="B121" s="30" t="s">
        <v>58</v>
      </c>
      <c r="C121" s="58">
        <v>9.7884092330932617</v>
      </c>
      <c r="D121" s="58">
        <v>9.781395435333252</v>
      </c>
      <c r="E121" s="58">
        <v>9.4418182373046875</v>
      </c>
      <c r="F121" s="59">
        <v>9.6972990036010742</v>
      </c>
    </row>
    <row r="122" spans="1:14" ht="18" customHeight="1" x14ac:dyDescent="0.2">
      <c r="A122" s="226"/>
      <c r="B122" s="33" t="s">
        <v>51</v>
      </c>
      <c r="C122" s="60">
        <v>122.90908813476562</v>
      </c>
      <c r="D122" s="60">
        <v>111.72093200683594</v>
      </c>
      <c r="E122" s="60">
        <v>100.81818389892578</v>
      </c>
      <c r="F122" s="61">
        <v>111.79310607910156</v>
      </c>
    </row>
    <row r="123" spans="1:14" ht="18" customHeight="1" x14ac:dyDescent="0.2">
      <c r="A123" s="226"/>
      <c r="B123" s="33" t="s">
        <v>52</v>
      </c>
      <c r="C123" s="60">
        <v>11.454545021057129</v>
      </c>
      <c r="D123" s="60">
        <v>11.511627674102783</v>
      </c>
      <c r="E123" s="60">
        <v>8.9318180084228516</v>
      </c>
      <c r="F123" s="61">
        <v>10.844827651977539</v>
      </c>
    </row>
    <row r="124" spans="1:14" ht="18" customHeight="1" x14ac:dyDescent="0.2">
      <c r="A124" s="226"/>
      <c r="B124" s="33" t="s">
        <v>53</v>
      </c>
      <c r="C124" s="60">
        <v>97.966667175292969</v>
      </c>
      <c r="D124" s="60">
        <v>90.926773071289063</v>
      </c>
      <c r="E124" s="60">
        <v>81.329032897949219</v>
      </c>
      <c r="F124" s="61">
        <v>90.279960632324219</v>
      </c>
    </row>
    <row r="125" spans="1:14" ht="18" customHeight="1" x14ac:dyDescent="0.2">
      <c r="A125" s="226"/>
      <c r="B125" s="33" t="s">
        <v>54</v>
      </c>
      <c r="C125" s="28">
        <v>46.151187896728516</v>
      </c>
      <c r="D125" s="28">
        <v>27.400659561157227</v>
      </c>
      <c r="E125" s="28">
        <v>15.897420883178711</v>
      </c>
      <c r="F125" s="62">
        <v>29.233306884765625</v>
      </c>
    </row>
    <row r="126" spans="1:14" ht="18" customHeight="1" x14ac:dyDescent="0.2">
      <c r="A126" s="226"/>
      <c r="B126" s="33" t="s">
        <v>59</v>
      </c>
      <c r="C126" s="28">
        <f ca="1">140.44278125*OFFSET($L$112,MATCH($N$1,$C$112:$C$113,0)-1,0)</f>
        <v>140.44278125</v>
      </c>
      <c r="D126" s="28">
        <f ca="1">70.0560078125*OFFSET($L$112,MATCH($N$1,$C$112:$C$113,0)-1,0)</f>
        <v>70.056007812499999</v>
      </c>
      <c r="E126" s="28">
        <f ca="1">32.665400390625*OFFSET($L$112,MATCH($N$1,$C$112:$C$113,0)-1,0)</f>
        <v>32.665400390625003</v>
      </c>
      <c r="F126" s="62">
        <f ca="1">78.3998671875*OFFSET($L$112,MATCH($N$1,$C$112:$C$113,0)-1,0)</f>
        <v>78.399867187500007</v>
      </c>
    </row>
    <row r="127" spans="1:14" ht="18" customHeight="1" x14ac:dyDescent="0.2">
      <c r="A127" s="226"/>
      <c r="B127" s="33" t="s">
        <v>56</v>
      </c>
      <c r="C127" s="60">
        <v>95.204544067382813</v>
      </c>
      <c r="D127" s="60">
        <v>89.802326202392578</v>
      </c>
      <c r="E127" s="60">
        <v>79.227272033691406</v>
      </c>
      <c r="F127" s="61">
        <v>88.494255065917969</v>
      </c>
    </row>
    <row r="128" spans="1:14" ht="18" customHeight="1" x14ac:dyDescent="0.2">
      <c r="A128" s="226"/>
      <c r="B128" s="33" t="s">
        <v>60</v>
      </c>
      <c r="C128" s="60">
        <v>23.431818008422852</v>
      </c>
      <c r="D128" s="60">
        <v>24.848837852478027</v>
      </c>
      <c r="E128" s="60">
        <v>28.045454025268555</v>
      </c>
      <c r="F128" s="61">
        <v>25.298851013183594</v>
      </c>
    </row>
    <row r="129" spans="1:14" ht="18" customHeight="1" x14ac:dyDescent="0.2">
      <c r="A129" s="226"/>
      <c r="B129" s="33" t="s">
        <v>61</v>
      </c>
      <c r="C129" s="63">
        <v>0.48475825786590576</v>
      </c>
      <c r="D129" s="63">
        <v>0.30512193525369052</v>
      </c>
      <c r="E129" s="63">
        <v>0.20065592229366302</v>
      </c>
      <c r="F129" s="64">
        <v>0.33034130930900574</v>
      </c>
    </row>
    <row r="130" spans="1:14" ht="18" customHeight="1" x14ac:dyDescent="0.2">
      <c r="A130" s="227"/>
      <c r="B130" s="35" t="s">
        <v>24</v>
      </c>
      <c r="C130" s="37">
        <f ca="1">3043.10219629158*OFFSET($L$112,MATCH($N$1,$C$112:$C$113,0)-1,0)</f>
        <v>3043.1021962915802</v>
      </c>
      <c r="D130" s="37">
        <f ca="1">2556.72706184819*OFFSET($L$112,MATCH($N$1,$C$112:$C$113,0)-1,0)</f>
        <v>2556.7270618481898</v>
      </c>
      <c r="E130" s="37">
        <f ca="1">2054.76099743882*OFFSET($L$112,MATCH($N$1,$C$112:$C$113,0)-1,0)</f>
        <v>2054.7609974388201</v>
      </c>
      <c r="F130" s="65">
        <f ca="1">2682*OFFSET($L$112,MATCH($N$1,$C$112:$C$113,0)-1,0)</f>
        <v>2682</v>
      </c>
    </row>
    <row r="131" spans="1:14" ht="18" customHeight="1" x14ac:dyDescent="0.2">
      <c r="A131" s="239" t="s">
        <v>25</v>
      </c>
      <c r="B131" s="30" t="s">
        <v>62</v>
      </c>
      <c r="C131" s="66">
        <v>3.7405385122264696</v>
      </c>
      <c r="D131" s="66">
        <v>2.7156409667738908</v>
      </c>
      <c r="E131" s="66">
        <v>1.9384787737140949</v>
      </c>
      <c r="F131" s="67">
        <v>2.8714224372030848</v>
      </c>
    </row>
    <row r="132" spans="1:14" ht="18" customHeight="1" x14ac:dyDescent="0.2">
      <c r="A132" s="228"/>
      <c r="B132" s="33" t="s">
        <v>63</v>
      </c>
      <c r="C132" s="63">
        <f ca="1">11.3828409618696*OFFSET($L$112,MATCH($N$1,$C$112:$C$113,0)-1,0)</f>
        <v>11.382840961869601</v>
      </c>
      <c r="D132" s="63">
        <f ca="1">6.94315275001438*OFFSET($L$112,MATCH($N$1,$C$112:$C$113,0)-1,0)</f>
        <v>6.9431527500143799</v>
      </c>
      <c r="E132" s="63">
        <f ca="1">3.98311057859075*OFFSET($L$112,MATCH($N$1,$C$112:$C$113,0)-1,0)</f>
        <v>3.9831105785907499</v>
      </c>
      <c r="F132" s="64">
        <f ca="1">7.70077564619437*OFFSET($L$112,MATCH($N$1,$C$112:$C$113,0)-1,0)</f>
        <v>7.7007756461943702</v>
      </c>
    </row>
    <row r="133" spans="1:14" ht="18" customHeight="1" x14ac:dyDescent="0.2">
      <c r="A133" s="228"/>
      <c r="B133" s="33" t="s">
        <v>11</v>
      </c>
      <c r="C133" s="63">
        <f ca="1">7.35684206427175*OFFSET($L$112,MATCH($N$1,$C$112:$C$113,0)-1,0)</f>
        <v>7.35684206427175</v>
      </c>
      <c r="D133" s="63">
        <f ca="1">4.82023321395296*OFFSET($L$112,MATCH($N$1,$C$112:$C$113,0)-1,0)</f>
        <v>4.8202332139529602</v>
      </c>
      <c r="E133" s="63">
        <f ca="1">3.13372316157527*OFFSET($L$112,MATCH($N$1,$C$112:$C$113,0)-1,0)</f>
        <v>3.1337231615752699</v>
      </c>
      <c r="F133" s="64">
        <f ca="1">5.25405842084796*OFFSET($L$112,MATCH($N$1,$C$112:$C$113,0)-1,0)</f>
        <v>5.2540584208479597</v>
      </c>
    </row>
    <row r="134" spans="1:14" ht="18" customHeight="1" x14ac:dyDescent="0.2">
      <c r="A134" s="229"/>
      <c r="B134" s="35" t="s">
        <v>12</v>
      </c>
      <c r="C134" s="68">
        <f ca="1">4.02599889759786*OFFSET($L$112,MATCH($N$1,$C$112:$C$113,0)-1,0)</f>
        <v>4.0259988975978596</v>
      </c>
      <c r="D134" s="68">
        <f ca="1">2.12291953606142*OFFSET($L$112,MATCH($N$1,$C$112:$C$113,0)-1,0)</f>
        <v>2.1229195360614201</v>
      </c>
      <c r="E134" s="68">
        <f ca="1">0.849387417015478*OFFSET($L$112,MATCH($N$1,$C$112:$C$113,0)-1,0)</f>
        <v>0.84938741701547804</v>
      </c>
      <c r="F134" s="69">
        <f ca="1">2.44671722534641*OFFSET($L$112,MATCH($N$1,$C$112:$C$113,0)-1,0)</f>
        <v>2.44671722534641</v>
      </c>
    </row>
    <row r="135" spans="1:14" ht="18" customHeight="1" x14ac:dyDescent="0.2">
      <c r="A135" s="240" t="s">
        <v>45</v>
      </c>
      <c r="B135" s="33" t="s">
        <v>102</v>
      </c>
      <c r="C135" s="70">
        <f ca="1">8.198658203125*OFFSET($L$112,MATCH($N$1,$C$112:$C$113,0)-1,0)</f>
        <v>8.1986582031249995</v>
      </c>
      <c r="D135" s="70">
        <f ca="1">7.44765893554688*OFFSET($L$112,MATCH($N$1,$C$112:$C$113,0)-1,0)</f>
        <v>7.4476589355468796</v>
      </c>
      <c r="E135" s="70">
        <f ca="1">6.4945380859375*OFFSET($L$112,MATCH($N$1,$C$112:$C$113,0)-1,0)</f>
        <v>6.4945380859375001</v>
      </c>
      <c r="F135" s="71">
        <f ca="1">7.39654736328125*OFFSET($L$112,MATCH($N$1,$C$112:$C$113,0)-1,0)</f>
        <v>7.3965473632812504</v>
      </c>
    </row>
    <row r="136" spans="1:14" ht="18" customHeight="1" x14ac:dyDescent="0.2">
      <c r="A136" s="241"/>
      <c r="B136" s="33" t="s">
        <v>103</v>
      </c>
      <c r="C136" s="26">
        <v>19426.364027475938</v>
      </c>
      <c r="D136" s="26">
        <v>17613.953465490777</v>
      </c>
      <c r="E136" s="26">
        <v>15386.363942090538</v>
      </c>
      <c r="F136" s="72">
        <v>17508.96551724138</v>
      </c>
    </row>
    <row r="137" spans="1:14" ht="18" customHeight="1" x14ac:dyDescent="0.2">
      <c r="A137" s="241"/>
      <c r="B137" s="33" t="s">
        <v>104</v>
      </c>
      <c r="C137" s="26">
        <v>204.0487060546875</v>
      </c>
      <c r="D137" s="26">
        <v>196.14139421949062</v>
      </c>
      <c r="E137" s="26">
        <v>194.20539855957031</v>
      </c>
      <c r="F137" s="72">
        <v>197.85426330566406</v>
      </c>
    </row>
    <row r="138" spans="1:14" ht="18" customHeight="1" x14ac:dyDescent="0.2">
      <c r="A138" s="241"/>
      <c r="B138" s="33" t="s">
        <v>105</v>
      </c>
      <c r="C138" s="26">
        <f ca="1">86.1162487929383*OFFSET($L$112,MATCH($N$1,$C$112:$C$113,0)-1,0)</f>
        <v>86.116248792938293</v>
      </c>
      <c r="D138" s="26">
        <f ca="1">82.9339199828929*OFFSET($L$112,MATCH($N$1,$C$112:$C$113,0)-1,0)</f>
        <v>82.933919982892903</v>
      </c>
      <c r="E138" s="26">
        <f ca="1">81.9735164322671*OFFSET($L$112,MATCH($N$1,$C$112:$C$113,0)-1,0)</f>
        <v>81.973516432267104</v>
      </c>
      <c r="F138" s="72">
        <f ca="1">83.582232064349*OFFSET($L$112,MATCH($N$1,$C$112:$C$113,0)-1,0)</f>
        <v>83.582232064349</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177.647826129004*OFFSET($L$112,MATCH($N$1,$C$112:$C$113,0)-1,0)</f>
        <v>177.64782612900399</v>
      </c>
      <c r="D139" s="26">
        <f ca="1">271.805827116095*OFFSET($L$112,MATCH($N$1,$C$112:$C$113,0)-1,0)</f>
        <v>271.80582711609497</v>
      </c>
      <c r="E139" s="26">
        <f ca="1">408.527781560433*OFFSET($L$112,MATCH($N$1,$C$112:$C$113,0)-1,0)</f>
        <v>408.52778156043303</v>
      </c>
      <c r="F139" s="72">
        <f ca="1">253.017812607982*OFFSET($L$112,MATCH($N$1,$C$112:$C$113,0)-1,0)</f>
        <v>253.01781260798199</v>
      </c>
      <c r="I139" s="49"/>
      <c r="K139" s="73" t="s">
        <v>107</v>
      </c>
      <c r="L139" s="74">
        <f t="shared" ref="L139:M141" ca="1" si="2">C140</f>
        <v>144.013390625</v>
      </c>
      <c r="M139" s="74">
        <f t="shared" ca="1" si="2"/>
        <v>71.837103515625003</v>
      </c>
      <c r="N139" s="74">
        <f ca="1">E140</f>
        <v>33.495878906249999</v>
      </c>
    </row>
    <row r="140" spans="1:14" ht="18" customHeight="1" x14ac:dyDescent="0.2">
      <c r="A140" s="230" t="s">
        <v>46</v>
      </c>
      <c r="B140" s="30" t="s">
        <v>108</v>
      </c>
      <c r="C140" s="75">
        <f ca="1">144.013390625*OFFSET($L$112,MATCH($N$1,$C$112:$C$113,0)-1,0)</f>
        <v>144.013390625</v>
      </c>
      <c r="D140" s="75">
        <f ca="1">71.837103515625*OFFSET($L$112,MATCH($N$1,$C$112:$C$113,0)-1,0)</f>
        <v>71.837103515625003</v>
      </c>
      <c r="E140" s="75">
        <f ca="1">33.49587890625*OFFSET($L$112,MATCH($N$1,$C$112:$C$113,0)-1,0)</f>
        <v>33.495878906249999</v>
      </c>
      <c r="F140" s="76">
        <f ca="1">80.39309375*OFFSET($L$112,MATCH($N$1,$C$112:$C$113,0)-1,0)</f>
        <v>80.393093750000006</v>
      </c>
      <c r="I140" s="49"/>
      <c r="K140" s="73" t="s">
        <v>109</v>
      </c>
      <c r="L140" s="74">
        <f t="shared" ca="1" si="2"/>
        <v>94.340156250000007</v>
      </c>
      <c r="M140" s="74">
        <f t="shared" ca="1" si="2"/>
        <v>50.416968750000002</v>
      </c>
      <c r="N140" s="74">
        <f ca="1">E141</f>
        <v>26.530072265625002</v>
      </c>
    </row>
    <row r="141" spans="1:14" ht="18" customHeight="1" x14ac:dyDescent="0.2">
      <c r="A141" s="237"/>
      <c r="B141" s="33" t="s">
        <v>110</v>
      </c>
      <c r="C141" s="26">
        <f ca="1">94.34015625*OFFSET($L$112,MATCH($N$1,$C$112:$C$113,0)-1,0)</f>
        <v>94.340156250000007</v>
      </c>
      <c r="D141" s="26">
        <f ca="1">50.41696875*OFFSET($L$112,MATCH($N$1,$C$112:$C$113,0)-1,0)</f>
        <v>50.416968750000002</v>
      </c>
      <c r="E141" s="26">
        <f ca="1">26.530072265625*OFFSET($L$112,MATCH($N$1,$C$112:$C$113,0)-1,0)</f>
        <v>26.530072265625002</v>
      </c>
      <c r="F141" s="72">
        <f ca="1">55.4836171875*OFFSET($L$112,MATCH($N$1,$C$112:$C$113,0)-1,0)</f>
        <v>55.483617187500002</v>
      </c>
      <c r="I141" s="49"/>
      <c r="K141" s="73" t="s">
        <v>111</v>
      </c>
      <c r="L141" s="74">
        <f t="shared" ca="1" si="2"/>
        <v>49.673234375</v>
      </c>
      <c r="M141" s="74">
        <f t="shared" ca="1" si="2"/>
        <v>21.420134765625001</v>
      </c>
      <c r="N141" s="74">
        <f ca="1">E142</f>
        <v>6.9658066406249999</v>
      </c>
    </row>
    <row r="142" spans="1:14" ht="18" customHeight="1" x14ac:dyDescent="0.2">
      <c r="A142" s="238"/>
      <c r="B142" s="35" t="s">
        <v>112</v>
      </c>
      <c r="C142" s="37">
        <f ca="1">49.673234375*OFFSET($L$112,MATCH($N$1,$C$112:$C$113,0)-1,0)</f>
        <v>49.673234375</v>
      </c>
      <c r="D142" s="37">
        <f ca="1">21.420134765625*OFFSET($L$112,MATCH($N$1,$C$112:$C$113,0)-1,0)</f>
        <v>21.420134765625001</v>
      </c>
      <c r="E142" s="37">
        <f ca="1">6.965806640625*OFFSET($L$112,MATCH($N$1,$C$112:$C$113,0)-1,0)</f>
        <v>6.9658066406249999</v>
      </c>
      <c r="F142" s="65">
        <f ca="1">24.909478515625*OFFSET($L$112,MATCH($N$1,$C$112:$C$113,0)-1,0)</f>
        <v>24.909478515625</v>
      </c>
      <c r="I142" s="49"/>
      <c r="K142" s="73" t="s">
        <v>113</v>
      </c>
      <c r="L142" s="77">
        <f ca="1">IFERROR(L140/L$139,"")</f>
        <v>0.65507905786104748</v>
      </c>
      <c r="M142" s="77">
        <f t="shared" ref="M142:N143" ca="1" si="3">IFERROR(M140/M$139,"")</f>
        <v>0.70182351852527025</v>
      </c>
      <c r="N142" s="77">
        <f t="shared" ca="1" si="3"/>
        <v>0.79203989063486713</v>
      </c>
    </row>
    <row r="143" spans="1:14" ht="18" customHeight="1" x14ac:dyDescent="0.2">
      <c r="I143" s="49"/>
      <c r="K143" s="73" t="s">
        <v>114</v>
      </c>
      <c r="L143" s="77">
        <f ca="1">IFERROR(L141/L$139,"")</f>
        <v>0.34492094213895258</v>
      </c>
      <c r="M143" s="77">
        <f t="shared" ca="1" si="3"/>
        <v>0.29817648147472975</v>
      </c>
      <c r="N143" s="77">
        <f t="shared" ca="1" si="3"/>
        <v>0.20796010936513296</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12</v>
      </c>
      <c r="B161" s="53"/>
      <c r="C161" s="79" t="s">
        <v>41</v>
      </c>
      <c r="D161" s="79" t="s">
        <v>115</v>
      </c>
      <c r="E161" s="79" t="s">
        <v>43</v>
      </c>
      <c r="F161" s="79" t="s">
        <v>116</v>
      </c>
      <c r="G161" s="80">
        <v>9</v>
      </c>
      <c r="H161" s="79"/>
      <c r="I161" s="79" t="s">
        <v>41</v>
      </c>
      <c r="J161" s="79" t="s">
        <v>115</v>
      </c>
      <c r="K161" s="79" t="s">
        <v>43</v>
      </c>
      <c r="L161" s="53" t="s">
        <v>116</v>
      </c>
    </row>
    <row r="162" spans="1:14" s="49" customFormat="1" x14ac:dyDescent="0.2">
      <c r="A162" s="50">
        <v>1</v>
      </c>
      <c r="B162" s="53" t="s">
        <v>93</v>
      </c>
      <c r="C162" s="53">
        <v>0.361848654507961</v>
      </c>
      <c r="D162" s="53">
        <v>0.48968970076995982</v>
      </c>
      <c r="E162" s="53">
        <v>0.22226505090971185</v>
      </c>
      <c r="F162" s="50">
        <v>12153634</v>
      </c>
      <c r="G162" s="50">
        <v>1</v>
      </c>
      <c r="H162" s="53" t="s">
        <v>93</v>
      </c>
      <c r="I162" s="53">
        <v>0.46335840645353815</v>
      </c>
      <c r="J162" s="53">
        <v>0.57754127049802439</v>
      </c>
      <c r="K162" s="53">
        <v>0.32159988321528932</v>
      </c>
      <c r="L162" s="50">
        <v>12153634</v>
      </c>
    </row>
    <row r="163" spans="1:14" s="49" customFormat="1" x14ac:dyDescent="0.2">
      <c r="A163" s="50">
        <v>2</v>
      </c>
      <c r="B163" s="53" t="s">
        <v>191</v>
      </c>
      <c r="C163" s="53">
        <v>0</v>
      </c>
      <c r="D163" s="53">
        <v>0.12639096522739493</v>
      </c>
      <c r="E163" s="53">
        <v>0.14708260942671483</v>
      </c>
      <c r="F163" s="50">
        <v>2480382</v>
      </c>
      <c r="G163" s="50">
        <v>2</v>
      </c>
      <c r="H163" s="53" t="s">
        <v>96</v>
      </c>
      <c r="I163" s="53">
        <v>0.13831444821073716</v>
      </c>
      <c r="J163" s="53">
        <v>8.2038941700314033E-2</v>
      </c>
      <c r="K163" s="53">
        <v>7.6289131714002534E-2</v>
      </c>
      <c r="L163" s="50">
        <v>553960</v>
      </c>
      <c r="N163" s="49" t="s">
        <v>117</v>
      </c>
    </row>
    <row r="164" spans="1:14" s="49" customFormat="1" x14ac:dyDescent="0.2">
      <c r="A164" s="50">
        <v>3</v>
      </c>
      <c r="B164" s="53" t="s">
        <v>170</v>
      </c>
      <c r="C164" s="53">
        <v>0</v>
      </c>
      <c r="D164" s="53">
        <v>8.7769903728262127E-2</v>
      </c>
      <c r="E164" s="53">
        <v>0.16896423305774927</v>
      </c>
      <c r="F164" s="50">
        <v>11115023</v>
      </c>
      <c r="G164" s="50">
        <v>3</v>
      </c>
      <c r="H164" s="53" t="s">
        <v>245</v>
      </c>
      <c r="I164" s="53">
        <v>5.175428434225357E-2</v>
      </c>
      <c r="J164" s="53">
        <v>7.8602610963307104E-2</v>
      </c>
      <c r="K164" s="53">
        <v>0.13855770926577371</v>
      </c>
      <c r="L164" s="50">
        <v>1692097</v>
      </c>
      <c r="N164" s="49" t="s">
        <v>118</v>
      </c>
    </row>
    <row r="165" spans="1:14" s="49" customFormat="1" x14ac:dyDescent="0.2">
      <c r="A165" s="50">
        <v>4</v>
      </c>
      <c r="B165" s="53" t="s">
        <v>94</v>
      </c>
      <c r="C165" s="53">
        <v>6.0794352412825312E-2</v>
      </c>
      <c r="D165" s="53">
        <v>5.1595330867646713E-2</v>
      </c>
      <c r="E165" s="53">
        <v>0</v>
      </c>
      <c r="F165" s="50">
        <v>3689192</v>
      </c>
      <c r="G165" s="50">
        <v>4</v>
      </c>
      <c r="H165" s="53" t="s">
        <v>94</v>
      </c>
      <c r="I165" s="53">
        <v>5.5732014967888807E-2</v>
      </c>
      <c r="J165" s="53">
        <v>5.7877753079981165E-2</v>
      </c>
      <c r="K165" s="53">
        <v>0</v>
      </c>
      <c r="L165" s="50">
        <v>3689192</v>
      </c>
    </row>
    <row r="166" spans="1:14" s="49" customFormat="1" x14ac:dyDescent="0.2">
      <c r="A166" s="50">
        <v>5</v>
      </c>
      <c r="B166" s="53" t="s">
        <v>120</v>
      </c>
      <c r="C166" s="53">
        <v>0</v>
      </c>
      <c r="D166" s="53">
        <v>4.9345690341300992E-2</v>
      </c>
      <c r="E166" s="53">
        <v>0</v>
      </c>
      <c r="F166" s="50">
        <v>7434864</v>
      </c>
      <c r="G166" s="50">
        <v>5</v>
      </c>
      <c r="H166" s="53" t="s">
        <v>170</v>
      </c>
      <c r="I166" s="53">
        <v>0</v>
      </c>
      <c r="J166" s="53">
        <v>5.7595574176386014E-2</v>
      </c>
      <c r="K166" s="53">
        <v>8.2985152379510624E-2</v>
      </c>
      <c r="L166" s="50">
        <v>11115023</v>
      </c>
    </row>
    <row r="167" spans="1:14" s="49" customFormat="1" x14ac:dyDescent="0.2">
      <c r="A167" s="50">
        <v>6</v>
      </c>
      <c r="B167" s="53" t="s">
        <v>100</v>
      </c>
      <c r="C167" s="53">
        <v>0</v>
      </c>
      <c r="D167" s="53">
        <v>0</v>
      </c>
      <c r="E167" s="53">
        <v>7.7923159357533037E-2</v>
      </c>
      <c r="F167" s="50">
        <v>8497745</v>
      </c>
      <c r="G167" s="50">
        <v>6</v>
      </c>
      <c r="H167" s="53" t="s">
        <v>100</v>
      </c>
      <c r="I167" s="53">
        <v>0</v>
      </c>
      <c r="J167" s="53">
        <v>0</v>
      </c>
      <c r="K167" s="53">
        <v>5.0553074239696898E-2</v>
      </c>
      <c r="L167" s="50">
        <v>8497745</v>
      </c>
    </row>
    <row r="168" spans="1:14" s="49" customFormat="1" x14ac:dyDescent="0.2">
      <c r="A168" s="50">
        <v>7</v>
      </c>
      <c r="B168" s="53" t="s">
        <v>245</v>
      </c>
      <c r="C168" s="53">
        <v>0</v>
      </c>
      <c r="D168" s="53">
        <v>0</v>
      </c>
      <c r="E168" s="53">
        <v>6.0789166631109406E-2</v>
      </c>
      <c r="F168" s="50">
        <v>1692097</v>
      </c>
      <c r="G168" s="50">
        <v>7</v>
      </c>
      <c r="H168" s="53" t="s">
        <v>137</v>
      </c>
      <c r="I168" s="53">
        <v>0.10323501433093107</v>
      </c>
      <c r="J168" s="53">
        <v>0</v>
      </c>
      <c r="K168" s="53">
        <v>0</v>
      </c>
      <c r="L168" s="50">
        <v>3050596</v>
      </c>
    </row>
    <row r="169" spans="1:14" s="49" customFormat="1" x14ac:dyDescent="0.2">
      <c r="A169" s="50">
        <v>8</v>
      </c>
      <c r="B169" s="53" t="s">
        <v>96</v>
      </c>
      <c r="C169" s="53">
        <v>0.10518220986174778</v>
      </c>
      <c r="D169" s="53">
        <v>0</v>
      </c>
      <c r="E169" s="53">
        <v>0</v>
      </c>
      <c r="F169" s="50">
        <v>553960</v>
      </c>
      <c r="G169" s="50">
        <v>8</v>
      </c>
      <c r="H169" s="53" t="s">
        <v>101</v>
      </c>
      <c r="I169" s="53">
        <v>0.18760583169465117</v>
      </c>
      <c r="J169" s="53">
        <v>0.14634384958198732</v>
      </c>
      <c r="K169" s="53">
        <v>0.33001504918572688</v>
      </c>
      <c r="L169" s="50">
        <v>5920853</v>
      </c>
    </row>
    <row r="170" spans="1:14" s="49" customFormat="1" x14ac:dyDescent="0.2">
      <c r="A170" s="50">
        <v>9</v>
      </c>
      <c r="B170" s="53" t="s">
        <v>243</v>
      </c>
      <c r="C170" s="53">
        <v>9.0053817818031068E-2</v>
      </c>
      <c r="D170" s="53">
        <v>0</v>
      </c>
      <c r="E170" s="53">
        <v>0</v>
      </c>
      <c r="F170" s="50">
        <v>14393110</v>
      </c>
      <c r="G170" s="50">
        <v>9</v>
      </c>
      <c r="H170" s="53"/>
      <c r="I170" s="53">
        <v>0</v>
      </c>
      <c r="J170" s="53">
        <v>0</v>
      </c>
      <c r="K170" s="53">
        <v>0</v>
      </c>
      <c r="L170" s="50"/>
    </row>
    <row r="171" spans="1:14" s="49" customFormat="1" x14ac:dyDescent="0.2">
      <c r="A171" s="50">
        <v>10</v>
      </c>
      <c r="B171" s="53" t="s">
        <v>137</v>
      </c>
      <c r="C171" s="53">
        <v>8.4238547591887619E-2</v>
      </c>
      <c r="D171" s="53">
        <v>0</v>
      </c>
      <c r="E171" s="53">
        <v>0</v>
      </c>
      <c r="F171" s="50">
        <v>3050596</v>
      </c>
      <c r="G171" s="50">
        <v>10</v>
      </c>
      <c r="H171" s="53"/>
      <c r="I171" s="53">
        <v>0</v>
      </c>
      <c r="J171" s="53">
        <v>0</v>
      </c>
      <c r="K171" s="53">
        <v>0</v>
      </c>
      <c r="L171" s="50"/>
    </row>
    <row r="172" spans="1:14" s="49" customFormat="1" x14ac:dyDescent="0.2">
      <c r="A172" s="50">
        <v>11</v>
      </c>
      <c r="B172" s="53" t="s">
        <v>101</v>
      </c>
      <c r="C172" s="53">
        <v>0.29788241780754732</v>
      </c>
      <c r="D172" s="53">
        <v>0.19520840906543546</v>
      </c>
      <c r="E172" s="53">
        <v>0.32297578061718157</v>
      </c>
      <c r="F172" s="50">
        <v>5920853</v>
      </c>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'U10m demersal trawl-seine'!D3:N3</xm:f>
              <xm:sqref>C3</xm:sqref>
            </x14:sparkline>
            <x14:sparkline>
              <xm:f>'U10m demersal trawl-seine'!D4:N4</xm:f>
              <xm:sqref>C4</xm:sqref>
            </x14:sparkline>
            <x14:sparkline>
              <xm:f>'U10m demersal trawl-seine'!D5:N5</xm:f>
              <xm:sqref>C5</xm:sqref>
            </x14:sparkline>
            <x14:sparkline>
              <xm:f>'U10m demersal trawl-seine'!D6:N6</xm:f>
              <xm:sqref>C6</xm:sqref>
            </x14:sparkline>
            <x14:sparkline>
              <xm:f>'U10m demersal trawl-seine'!D7:N7</xm:f>
              <xm:sqref>C7</xm:sqref>
            </x14:sparkline>
            <x14:sparkline>
              <xm:f>'U10m demersal trawl-seine'!D8:N8</xm:f>
              <xm:sqref>C8</xm:sqref>
            </x14:sparkline>
            <x14:sparkline>
              <xm:f>'U10m demersal trawl-seine'!D9:N9</xm:f>
              <xm:sqref>C9</xm:sqref>
            </x14:sparkline>
            <x14:sparkline>
              <xm:f>'U10m demersal trawl-seine'!F10:M10</xm:f>
              <xm:sqref>C10</xm:sqref>
            </x14:sparkline>
            <x14:sparkline>
              <xm:f>'U10m demersal trawl-seine'!D11:N11</xm:f>
              <xm:sqref>C11</xm:sqref>
            </x14:sparkline>
            <x14:sparkline>
              <xm:f>'U10m demersal trawl-seine'!D12:N12</xm:f>
              <xm:sqref>C12</xm:sqref>
            </x14:sparkline>
            <x14:sparkline>
              <xm:f>'U10m demersal trawl-seine'!D13:N13</xm:f>
              <xm:sqref>C13</xm:sqref>
            </x14:sparkline>
            <x14:sparkline>
              <xm:f>'U10m demersal trawl-seine'!D14:N14</xm:f>
              <xm:sqref>C14</xm:sqref>
            </x14:sparkline>
            <x14:sparkline>
              <xm:f>'U10m demersal trawl-seine'!D15:N15</xm:f>
              <xm:sqref>C15</xm:sqref>
            </x14:sparkline>
            <x14:sparkline>
              <xm:f>'U10m demersal trawl-seine'!D16:N16</xm:f>
              <xm:sqref>C16</xm:sqref>
            </x14:sparkline>
            <x14:sparkline>
              <xm:f>'U10m demersal trawl-seine'!D17:N17</xm:f>
              <xm:sqref>C17</xm:sqref>
            </x14:sparkline>
            <x14:sparkline>
              <xm:f>'U10m demersal trawl-seine'!D18:N18</xm:f>
              <xm:sqref>C18</xm:sqref>
            </x14:sparkline>
            <x14:sparkline>
              <xm:f>'U10m demersal trawl-seine'!D19:N19</xm:f>
              <xm:sqref>C19</xm:sqref>
            </x14:sparkline>
            <x14:sparkline>
              <xm:f>'U10m demersal trawl-seine'!D20:N20</xm:f>
              <xm:sqref>C20</xm:sqref>
            </x14:sparkline>
            <x14:sparkline>
              <xm:f>'U10m demersal trawl-seine'!D21:N21</xm:f>
              <xm:sqref>C21</xm:sqref>
            </x14:sparkline>
            <x14:sparkline>
              <xm:f>'U10m demersal trawl-seine'!D22:N22</xm:f>
              <xm:sqref>C22</xm:sqref>
            </x14:sparkline>
            <x14:sparkline>
              <xm:f>'U10m demersal trawl-seine'!D23:N23</xm:f>
              <xm:sqref>C23</xm:sqref>
            </x14:sparkline>
            <x14:sparkline>
              <xm:f>'U10m demersal trawl-seine'!D24:N24</xm:f>
              <xm:sqref>C24</xm:sqref>
            </x14:sparkline>
            <x14:sparkline>
              <xm:f>'U10m demersal trawl-seine'!F25:M25</xm:f>
              <xm:sqref>C25</xm:sqref>
            </x14:sparkline>
            <x14:sparkline>
              <xm:f>'U10m demersal trawl-seine'!F26:M26</xm:f>
              <xm:sqref>C26</xm:sqref>
            </x14:sparkline>
            <x14:sparkline>
              <xm:f>'U10m demersal trawl-seine'!D27:N27</xm:f>
              <xm:sqref>C27</xm:sqref>
            </x14:sparkline>
            <x14:sparkline>
              <xm:f>'U10m demersal trawl-seine'!D28:N28</xm:f>
              <xm:sqref>C28</xm:sqref>
            </x14:sparkline>
            <x14:sparkline>
              <xm:f>'U10m demersal trawl-seine'!D29:N29</xm:f>
              <xm:sqref>C29</xm:sqref>
            </x14:sparkline>
            <x14:sparkline>
              <xm:f>'U10m demersal trawl-seine'!D30:N30</xm:f>
              <xm:sqref>C30</xm:sqref>
            </x14:sparkline>
            <x14:sparkline>
              <xm:f>'U10m demersal trawl-seine'!D31:N31</xm:f>
              <xm:sqref>C31</xm:sqref>
            </x14:sparkline>
            <x14:sparkline>
              <xm:f>'U10m demersal trawl-seine'!D32:N32</xm:f>
              <xm:sqref>C32</xm:sqref>
            </x14:sparkline>
            <x14:sparkline>
              <xm:f>'U10m demersal trawl-seine'!D33:N33</xm:f>
              <xm:sqref>C33</xm:sqref>
            </x14:sparkline>
            <x14:sparkline>
              <xm:f>'U10m demersal trawl-seine'!D34:N34</xm:f>
              <xm:sqref>C34</xm:sqref>
            </x14:sparkline>
            <x14:sparkline>
              <xm:f>'U10m demersal trawl-seine'!D35:N35</xm:f>
              <xm:sqref>C35</xm:sqref>
            </x14:sparkline>
            <x14:sparkline>
              <xm:f>'U10m demersal trawl-seine'!D36:N36</xm:f>
              <xm:sqref>C36</xm:sqref>
            </x14:sparkline>
            <x14:sparkline>
              <xm:f>'U10m demersal trawl-seine'!D37:N37</xm:f>
              <xm:sqref>C37</xm:sqref>
            </x14:sparkline>
            <x14:sparkline>
              <xm:f>'U10m demersal trawl-seine'!D38:M38</xm:f>
              <xm:sqref>C38</xm:sqref>
            </x14:sparkline>
            <x14:sparkline>
              <xm:f>'U10m demersal trawl-seine'!D39:M39</xm:f>
              <xm:sqref>C39</xm:sqref>
            </x14:sparkline>
            <x14:sparkline>
              <xm:f>'U10m demersal trawl-seine'!D40:M40</xm:f>
              <xm:sqref>C40</xm:sqref>
            </x14:sparkline>
            <x14:sparkline>
              <xm:f>'U10m demersal trawl-seine'!D41:M41</xm:f>
              <xm:sqref>C41</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470</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229</v>
      </c>
      <c r="E3" s="22">
        <v>241</v>
      </c>
      <c r="F3" s="22">
        <v>256</v>
      </c>
      <c r="G3" s="22">
        <v>291</v>
      </c>
      <c r="H3" s="22">
        <v>261</v>
      </c>
      <c r="I3" s="22">
        <v>251</v>
      </c>
      <c r="J3" s="22">
        <v>252</v>
      </c>
      <c r="K3" s="22">
        <v>224</v>
      </c>
      <c r="L3" s="22">
        <v>217</v>
      </c>
      <c r="M3" s="22">
        <v>184</v>
      </c>
      <c r="N3" s="22">
        <v>209</v>
      </c>
      <c r="O3" s="23">
        <f t="shared" ref="O3:O41" si="0">IF(N3=0,"",IFERROR(IF(AND(N3&gt;0,D3&lt;0),"na",IF(AND(N3&lt;0,D3&lt;0),-1,1)*(N3-D3)/D3),""))</f>
        <v>-8.7336244541484712E-2</v>
      </c>
      <c r="P3" s="23">
        <f>IF(N3=0,"",IFERROR(IF(AND(N3&gt;0,J3&lt;0),"na",IF(AND(N3&lt;0,J3&lt;0),-1,1)*(N3-J3)/J3),""))</f>
        <v>-0.17063492063492064</v>
      </c>
    </row>
    <row r="4" spans="1:17" ht="18" customHeight="1" x14ac:dyDescent="0.2">
      <c r="A4" s="224"/>
      <c r="B4" s="24" t="s">
        <v>51</v>
      </c>
      <c r="C4" s="25"/>
      <c r="D4" s="26">
        <v>18015</v>
      </c>
      <c r="E4" s="26">
        <v>19500</v>
      </c>
      <c r="F4" s="26">
        <v>21521</v>
      </c>
      <c r="G4" s="26">
        <v>22211</v>
      </c>
      <c r="H4" s="26">
        <v>21700</v>
      </c>
      <c r="I4" s="26">
        <v>20543</v>
      </c>
      <c r="J4" s="26">
        <v>20817</v>
      </c>
      <c r="K4" s="26">
        <v>18254</v>
      </c>
      <c r="L4" s="26">
        <v>17677</v>
      </c>
      <c r="M4" s="26">
        <v>14870</v>
      </c>
      <c r="N4" s="26">
        <v>16069</v>
      </c>
      <c r="O4" s="23">
        <f t="shared" si="0"/>
        <v>-0.1080210935331668</v>
      </c>
      <c r="P4" s="23">
        <f t="shared" ref="P4:P41" si="1">IF(N4=0,"",IFERROR(IF(AND(N4&gt;0,J4&lt;0),"na",IF(AND(N4&lt;0,J4&lt;0),-1,1)*(N4-J4)/J4),""))</f>
        <v>-0.22808281692847193</v>
      </c>
    </row>
    <row r="5" spans="1:17" ht="18" customHeight="1" x14ac:dyDescent="0.2">
      <c r="A5" s="224"/>
      <c r="B5" s="24" t="s">
        <v>52</v>
      </c>
      <c r="C5" s="25"/>
      <c r="D5" s="26">
        <v>1157.0400390625</v>
      </c>
      <c r="E5" s="26">
        <v>1222</v>
      </c>
      <c r="F5" s="26">
        <v>1310.469970703125</v>
      </c>
      <c r="G5" s="26">
        <v>1370</v>
      </c>
      <c r="H5" s="26">
        <v>1267.9100341796875</v>
      </c>
      <c r="I5" s="26">
        <v>1263.449951171875</v>
      </c>
      <c r="J5" s="26">
        <v>1268.489990234375</v>
      </c>
      <c r="K5" s="26">
        <v>1133.469970703125</v>
      </c>
      <c r="L5" s="26">
        <v>1047.469970703125</v>
      </c>
      <c r="M5" s="26">
        <v>920</v>
      </c>
      <c r="N5" s="26">
        <v>1039.469970703125</v>
      </c>
      <c r="O5" s="23">
        <f t="shared" si="0"/>
        <v>-0.10161279159763303</v>
      </c>
      <c r="P5" s="23">
        <f t="shared" si="1"/>
        <v>-0.18054538963207323</v>
      </c>
      <c r="Q5" s="27"/>
    </row>
    <row r="6" spans="1:17" ht="18" customHeight="1" x14ac:dyDescent="0.2">
      <c r="A6" s="224"/>
      <c r="B6" s="24" t="s">
        <v>53</v>
      </c>
      <c r="C6" s="25"/>
      <c r="D6" s="26">
        <v>14146.1611328125</v>
      </c>
      <c r="E6" s="26">
        <v>15167.4970703125</v>
      </c>
      <c r="F6" s="26">
        <v>16558.662109375</v>
      </c>
      <c r="G6" s="26">
        <v>17293.51953125</v>
      </c>
      <c r="H6" s="26">
        <v>16396.4921875</v>
      </c>
      <c r="I6" s="26">
        <v>15695.1357421875</v>
      </c>
      <c r="J6" s="26">
        <v>15946.3291015625</v>
      </c>
      <c r="K6" s="26">
        <v>14314.162109375</v>
      </c>
      <c r="L6" s="26">
        <v>13778.9140625</v>
      </c>
      <c r="M6" s="26">
        <v>11759.48046875</v>
      </c>
      <c r="N6" s="26">
        <v>12945.263671875</v>
      </c>
      <c r="O6" s="23">
        <f t="shared" si="0"/>
        <v>-8.4892109573952018E-2</v>
      </c>
      <c r="P6" s="23">
        <f t="shared" si="1"/>
        <v>-0.18819788620776934</v>
      </c>
    </row>
    <row r="7" spans="1:17" ht="18" customHeight="1" x14ac:dyDescent="0.2">
      <c r="A7" s="224"/>
      <c r="B7" s="24" t="s">
        <v>54</v>
      </c>
      <c r="C7" s="25"/>
      <c r="D7" s="26">
        <v>5320.12548828125</v>
      </c>
      <c r="E7" s="26">
        <v>4989.5146484375</v>
      </c>
      <c r="F7" s="26">
        <v>5633.3359375</v>
      </c>
      <c r="G7" s="26">
        <v>5516.48779296875</v>
      </c>
      <c r="H7" s="26">
        <v>4763.31787109375</v>
      </c>
      <c r="I7" s="26">
        <v>4676.31884765625</v>
      </c>
      <c r="J7" s="26">
        <v>4682.63720703125</v>
      </c>
      <c r="K7" s="26">
        <v>3621.487548828125</v>
      </c>
      <c r="L7" s="26">
        <v>4013.001953125</v>
      </c>
      <c r="M7" s="26">
        <v>2908.388671875</v>
      </c>
      <c r="N7" s="26">
        <v>3035.567626953125</v>
      </c>
      <c r="O7" s="23">
        <f t="shared" si="0"/>
        <v>-0.42941804030005826</v>
      </c>
      <c r="P7" s="23">
        <f t="shared" si="1"/>
        <v>-0.35173973708767253</v>
      </c>
    </row>
    <row r="8" spans="1:17" ht="18" customHeight="1" x14ac:dyDescent="0.2">
      <c r="A8" s="224"/>
      <c r="B8" s="24" t="s">
        <v>55</v>
      </c>
      <c r="C8" s="27"/>
      <c r="D8" s="28">
        <f ca="1">11.169007*OFFSET(D$112,MATCH($N$1,$C$112:$C$113,0)-1,0)</f>
        <v>11.169007000000001</v>
      </c>
      <c r="E8" s="28">
        <f ca="1">11.618891*OFFSET(E$112,MATCH($N$1,$C$112:$C$113,0)-1,0)</f>
        <v>11.618891</v>
      </c>
      <c r="F8" s="28">
        <f ca="1">12.293428*OFFSET(F$112,MATCH($N$1,$C$112:$C$113,0)-1,0)</f>
        <v>12.293428</v>
      </c>
      <c r="G8" s="28">
        <f ca="1">13.595468*OFFSET(G$112,MATCH($N$1,$C$112:$C$113,0)-1,0)</f>
        <v>13.595468</v>
      </c>
      <c r="H8" s="28">
        <f ca="1">11.694484*OFFSET(H$112,MATCH($N$1,$C$112:$C$113,0)-1,0)</f>
        <v>11.694483999999999</v>
      </c>
      <c r="I8" s="28">
        <f ca="1">11.281872*OFFSET(I$112,MATCH($N$1,$C$112:$C$113,0)-1,0)</f>
        <v>11.281872</v>
      </c>
      <c r="J8" s="28">
        <f ca="1">12.201281*OFFSET(J$112,MATCH($N$1,$C$112:$C$113,0)-1,0)</f>
        <v>12.201281</v>
      </c>
      <c r="K8" s="28">
        <f ca="1">9.19962*OFFSET(K$112,MATCH($N$1,$C$112:$C$113,0)-1,0)</f>
        <v>9.1996199999999995</v>
      </c>
      <c r="L8" s="28">
        <f ca="1">9.542013*OFFSET(L$112,MATCH($N$1,$C$112:$C$113,0)-1,0)</f>
        <v>9.5420130000000007</v>
      </c>
      <c r="M8" s="28">
        <f ca="1">8.1427795*OFFSET(M$112,MATCH($N$1,$C$112:$C$113,0)-1,0)</f>
        <v>8.1427794999999996</v>
      </c>
      <c r="N8" s="28">
        <v>9.2481849999999994</v>
      </c>
      <c r="O8" s="23">
        <f t="shared" ca="1" si="0"/>
        <v>-0.17197786696704559</v>
      </c>
      <c r="P8" s="23">
        <f t="shared" ca="1" si="1"/>
        <v>-0.24203163585856274</v>
      </c>
    </row>
    <row r="9" spans="1:17" ht="18" customHeight="1" x14ac:dyDescent="0.2">
      <c r="A9" s="224"/>
      <c r="B9" s="24" t="s">
        <v>56</v>
      </c>
      <c r="C9" s="27"/>
      <c r="D9" s="26">
        <v>23513</v>
      </c>
      <c r="E9" s="26">
        <v>22532</v>
      </c>
      <c r="F9" s="26">
        <v>22968</v>
      </c>
      <c r="G9" s="26">
        <v>25439</v>
      </c>
      <c r="H9" s="26">
        <v>22060</v>
      </c>
      <c r="I9" s="26">
        <v>21404</v>
      </c>
      <c r="J9" s="26">
        <v>22392</v>
      </c>
      <c r="K9" s="26">
        <v>18087</v>
      </c>
      <c r="L9" s="26">
        <v>18201</v>
      </c>
      <c r="M9" s="26">
        <v>15306</v>
      </c>
      <c r="N9" s="26">
        <v>16139</v>
      </c>
      <c r="O9" s="23">
        <f t="shared" si="0"/>
        <v>-0.31361374558754729</v>
      </c>
      <c r="P9" s="23">
        <f t="shared" si="1"/>
        <v>-0.27925151839942836</v>
      </c>
    </row>
    <row r="10" spans="1:17" ht="18" customHeight="1" x14ac:dyDescent="0.2">
      <c r="A10" s="224"/>
      <c r="B10" s="24" t="s">
        <v>57</v>
      </c>
      <c r="C10" s="27"/>
      <c r="D10" s="26"/>
      <c r="E10" s="26">
        <v>189.69142150878906</v>
      </c>
      <c r="F10" s="26">
        <v>227.54951477050781</v>
      </c>
      <c r="G10" s="26">
        <v>220.64820861816406</v>
      </c>
      <c r="H10" s="26">
        <v>258.96078491210937</v>
      </c>
      <c r="I10" s="26">
        <v>186.25390625</v>
      </c>
      <c r="J10" s="26">
        <v>186.68051147460937</v>
      </c>
      <c r="K10" s="26">
        <v>177.43319702148437</v>
      </c>
      <c r="L10" s="26">
        <v>144.72026062011719</v>
      </c>
      <c r="M10" s="26">
        <v>157.63714599609375</v>
      </c>
      <c r="N10" s="26">
        <v>123.04097747802734</v>
      </c>
      <c r="O10" s="29" t="str">
        <f t="shared" si="0"/>
        <v/>
      </c>
      <c r="P10" s="29">
        <f t="shared" si="1"/>
        <v>-0.34090079084252839</v>
      </c>
    </row>
    <row r="11" spans="1:17" ht="18" customHeight="1" x14ac:dyDescent="0.2">
      <c r="A11" s="225" t="s">
        <v>23</v>
      </c>
      <c r="B11" s="30" t="s">
        <v>58</v>
      </c>
      <c r="C11" s="31"/>
      <c r="D11" s="32">
        <v>7.9490394592285156</v>
      </c>
      <c r="E11" s="32">
        <v>7.9831118583679199</v>
      </c>
      <c r="F11" s="32">
        <v>8.0137109756469727</v>
      </c>
      <c r="G11" s="32">
        <v>7.8143644332885742</v>
      </c>
      <c r="H11" s="32">
        <v>7.9715709686279297</v>
      </c>
      <c r="I11" s="32">
        <v>8.0283660888671875</v>
      </c>
      <c r="J11" s="32">
        <v>8.0594844818115234</v>
      </c>
      <c r="K11" s="32">
        <v>8.0488834381103516</v>
      </c>
      <c r="L11" s="32">
        <v>8.0176496505737305</v>
      </c>
      <c r="M11" s="32">
        <v>8.1196193695068359</v>
      </c>
      <c r="N11" s="32">
        <v>8.0504779815673828</v>
      </c>
      <c r="O11" s="23">
        <f t="shared" si="0"/>
        <v>1.2761104389927407E-2</v>
      </c>
      <c r="P11" s="23">
        <f t="shared" si="1"/>
        <v>-1.1175032676675918E-3</v>
      </c>
    </row>
    <row r="12" spans="1:17" ht="18" customHeight="1" x14ac:dyDescent="0.2">
      <c r="A12" s="226"/>
      <c r="B12" s="33" t="s">
        <v>51</v>
      </c>
      <c r="C12" s="25"/>
      <c r="D12" s="26">
        <v>78.668121337890625</v>
      </c>
      <c r="E12" s="26">
        <v>81.25</v>
      </c>
      <c r="F12" s="26">
        <v>84.396080017089844</v>
      </c>
      <c r="G12" s="26">
        <v>76.589653015136719</v>
      </c>
      <c r="H12" s="26">
        <v>83.461540222167969</v>
      </c>
      <c r="I12" s="26">
        <v>81.844619750976562</v>
      </c>
      <c r="J12" s="26">
        <v>82.607139587402344</v>
      </c>
      <c r="K12" s="26">
        <v>81.491073608398438</v>
      </c>
      <c r="L12" s="26">
        <v>81.460830688476563</v>
      </c>
      <c r="M12" s="26">
        <v>80.815216064453125</v>
      </c>
      <c r="N12" s="26">
        <v>76.885169982910156</v>
      </c>
      <c r="O12" s="23">
        <f t="shared" si="0"/>
        <v>-2.2664216771142182E-2</v>
      </c>
      <c r="P12" s="23">
        <f t="shared" si="1"/>
        <v>-6.9267252601551074E-2</v>
      </c>
    </row>
    <row r="13" spans="1:17" ht="18" customHeight="1" x14ac:dyDescent="0.2">
      <c r="A13" s="226"/>
      <c r="B13" s="33" t="s">
        <v>52</v>
      </c>
      <c r="C13" s="25"/>
      <c r="D13" s="26">
        <v>5.0525765419006348</v>
      </c>
      <c r="E13" s="26">
        <v>5.0916666984558105</v>
      </c>
      <c r="F13" s="26">
        <v>5.1390981674194336</v>
      </c>
      <c r="G13" s="26">
        <v>4.7241377830505371</v>
      </c>
      <c r="H13" s="26">
        <v>4.8765769004821777</v>
      </c>
      <c r="I13" s="26">
        <v>5.053800106048584</v>
      </c>
      <c r="J13" s="26">
        <v>5.0537447929382324</v>
      </c>
      <c r="K13" s="26">
        <v>5.0828251838684082</v>
      </c>
      <c r="L13" s="26">
        <v>4.849398136138916</v>
      </c>
      <c r="M13" s="26">
        <v>5</v>
      </c>
      <c r="N13" s="26">
        <v>4.9735407829284668</v>
      </c>
      <c r="O13" s="23">
        <f t="shared" si="0"/>
        <v>-1.5642664354855468E-2</v>
      </c>
      <c r="P13" s="23">
        <f t="shared" si="1"/>
        <v>-1.5870213731773195E-2</v>
      </c>
    </row>
    <row r="14" spans="1:17" ht="18" customHeight="1" x14ac:dyDescent="0.2">
      <c r="A14" s="226"/>
      <c r="B14" s="33" t="s">
        <v>53</v>
      </c>
      <c r="C14" s="25"/>
      <c r="D14" s="26">
        <v>61.773628234863281</v>
      </c>
      <c r="E14" s="26">
        <v>63.197906494140625</v>
      </c>
      <c r="F14" s="26">
        <v>64.935928344726563</v>
      </c>
      <c r="G14" s="26">
        <v>59.632827758789063</v>
      </c>
      <c r="H14" s="26">
        <v>63.063430786132813</v>
      </c>
      <c r="I14" s="26">
        <v>62.530422210693359</v>
      </c>
      <c r="J14" s="26">
        <v>63.279083251953125</v>
      </c>
      <c r="K14" s="26">
        <v>63.902507781982422</v>
      </c>
      <c r="L14" s="26">
        <v>63.497299194335938</v>
      </c>
      <c r="M14" s="26">
        <v>63.91021728515625</v>
      </c>
      <c r="N14" s="26">
        <v>61.939060211181641</v>
      </c>
      <c r="O14" s="23">
        <f t="shared" si="0"/>
        <v>2.6780356123714661E-3</v>
      </c>
      <c r="P14" s="23">
        <f t="shared" si="1"/>
        <v>-2.1176397822263396E-2</v>
      </c>
    </row>
    <row r="15" spans="1:17" ht="18" customHeight="1" x14ac:dyDescent="0.2">
      <c r="A15" s="226"/>
      <c r="B15" s="33" t="s">
        <v>54</v>
      </c>
      <c r="C15" s="27"/>
      <c r="D15" s="28">
        <v>23.231988906860352</v>
      </c>
      <c r="E15" s="28">
        <v>20.703378677368164</v>
      </c>
      <c r="F15" s="28">
        <v>22.005218505859375</v>
      </c>
      <c r="G15" s="28">
        <v>18.957002639770508</v>
      </c>
      <c r="H15" s="28">
        <v>18.250261306762695</v>
      </c>
      <c r="I15" s="28">
        <v>18.630752563476562</v>
      </c>
      <c r="J15" s="28">
        <v>18.581892013549805</v>
      </c>
      <c r="K15" s="28">
        <v>16.167354583740234</v>
      </c>
      <c r="L15" s="28">
        <v>18.493095397949219</v>
      </c>
      <c r="M15" s="28">
        <v>15.806460380554199</v>
      </c>
      <c r="N15" s="28">
        <v>14.524246215820312</v>
      </c>
      <c r="O15" s="23">
        <f t="shared" si="0"/>
        <v>-0.37481692703755826</v>
      </c>
      <c r="P15" s="23">
        <f t="shared" si="1"/>
        <v>-0.21836558918600329</v>
      </c>
    </row>
    <row r="16" spans="1:17" ht="18" customHeight="1" x14ac:dyDescent="0.2">
      <c r="A16" s="226"/>
      <c r="B16" s="33" t="s">
        <v>59</v>
      </c>
      <c r="C16" s="27"/>
      <c r="D16" s="28">
        <f ca="1">48.77295703125*OFFSET(D$112,MATCH($N$1,$C$112:$C$113,0)-1,0)</f>
        <v>48.772957031250002</v>
      </c>
      <c r="E16" s="28">
        <f ca="1">48.2111640625*OFFSET(E$112,MATCH($N$1,$C$112:$C$113,0)-1,0)</f>
        <v>48.211164062500004</v>
      </c>
      <c r="F16" s="28">
        <f ca="1">48.021203125*OFFSET(F$112,MATCH($N$1,$C$112:$C$113,0)-1,0)</f>
        <v>48.021203125</v>
      </c>
      <c r="G16" s="28">
        <f ca="1">46.7198203125*OFFSET(G$112,MATCH($N$1,$C$112:$C$113,0)-1,0)</f>
        <v>46.719820312499998</v>
      </c>
      <c r="H16" s="28">
        <f ca="1">44.80644921875*OFFSET(H$112,MATCH($N$1,$C$112:$C$113,0)-1,0)</f>
        <v>44.806449218749997</v>
      </c>
      <c r="I16" s="28">
        <f ca="1">44.9476953125*OFFSET(I$112,MATCH($N$1,$C$112:$C$113,0)-1,0)</f>
        <v>44.947695312500002</v>
      </c>
      <c r="J16" s="28">
        <f ca="1">48.41778125*OFFSET(J$112,MATCH($N$1,$C$112:$C$113,0)-1,0)</f>
        <v>48.417781249999997</v>
      </c>
      <c r="K16" s="28">
        <f ca="1">41.069734375*OFFSET(K$112,MATCH($N$1,$C$112:$C$113,0)-1,0)</f>
        <v>41.069734375000003</v>
      </c>
      <c r="L16" s="28">
        <f ca="1">43.97241015625*OFFSET(L$112,MATCH($N$1,$C$112:$C$113,0)-1,0)</f>
        <v>43.97241015625</v>
      </c>
      <c r="M16" s="28">
        <f ca="1">44.25423828125*OFFSET(M$112,MATCH($N$1,$C$112:$C$113,0)-1,0)</f>
        <v>44.254238281249997</v>
      </c>
      <c r="N16" s="28">
        <v>44.2496875</v>
      </c>
      <c r="O16" s="23">
        <f t="shared" ca="1" si="0"/>
        <v>-9.2741342878838257E-2</v>
      </c>
      <c r="P16" s="23">
        <f t="shared" ca="1" si="1"/>
        <v>-8.6086013080163545E-2</v>
      </c>
    </row>
    <row r="17" spans="1:16" ht="18" customHeight="1" x14ac:dyDescent="0.2">
      <c r="A17" s="226"/>
      <c r="B17" s="33" t="s">
        <v>56</v>
      </c>
      <c r="C17" s="25"/>
      <c r="D17" s="26">
        <v>102.67685699462891</v>
      </c>
      <c r="E17" s="26">
        <v>93.4937744140625</v>
      </c>
      <c r="F17" s="26">
        <v>89.71875</v>
      </c>
      <c r="G17" s="26">
        <v>87.419242858886719</v>
      </c>
      <c r="H17" s="26">
        <v>84.521072387695313</v>
      </c>
      <c r="I17" s="26">
        <v>85.27490234375</v>
      </c>
      <c r="J17" s="26">
        <v>88.857139587402344</v>
      </c>
      <c r="K17" s="26">
        <v>80.745536804199219</v>
      </c>
      <c r="L17" s="26">
        <v>83.875579833984375</v>
      </c>
      <c r="M17" s="26">
        <v>83.184783935546875</v>
      </c>
      <c r="N17" s="26">
        <v>77.2200927734375</v>
      </c>
      <c r="O17" s="23">
        <f t="shared" si="0"/>
        <v>-0.24793088692345799</v>
      </c>
      <c r="P17" s="23">
        <f t="shared" si="1"/>
        <v>-0.13096355417246267</v>
      </c>
    </row>
    <row r="18" spans="1:16" ht="18" customHeight="1" x14ac:dyDescent="0.2">
      <c r="A18" s="226"/>
      <c r="B18" s="33" t="s">
        <v>60</v>
      </c>
      <c r="C18" s="25"/>
      <c r="D18" s="26">
        <v>17.061136245727539</v>
      </c>
      <c r="E18" s="26">
        <v>18.6875</v>
      </c>
      <c r="F18" s="26">
        <v>18.04705810546875</v>
      </c>
      <c r="G18" s="26">
        <v>19.510345458984375</v>
      </c>
      <c r="H18" s="26">
        <v>19.853845596313477</v>
      </c>
      <c r="I18" s="26">
        <v>20.545816421508789</v>
      </c>
      <c r="J18" s="26">
        <v>21.19444465637207</v>
      </c>
      <c r="K18" s="26">
        <v>21.616071701049805</v>
      </c>
      <c r="L18" s="26">
        <v>21.917051315307617</v>
      </c>
      <c r="M18" s="26">
        <v>22.375</v>
      </c>
      <c r="N18" s="26">
        <v>24.186603546142578</v>
      </c>
      <c r="O18" s="23">
        <f t="shared" si="0"/>
        <v>0.41764318611542672</v>
      </c>
      <c r="P18" s="23">
        <f t="shared" si="1"/>
        <v>0.14117656481605054</v>
      </c>
    </row>
    <row r="19" spans="1:16" ht="18" customHeight="1" x14ac:dyDescent="0.2">
      <c r="A19" s="226"/>
      <c r="B19" s="33" t="s">
        <v>61</v>
      </c>
      <c r="C19" s="25"/>
      <c r="D19" s="34">
        <v>0.22626315057277679</v>
      </c>
      <c r="E19" s="34">
        <v>0.22144125401973724</v>
      </c>
      <c r="F19" s="34">
        <v>0.24526889622211456</v>
      </c>
      <c r="G19" s="34">
        <v>0.21685159206390381</v>
      </c>
      <c r="H19" s="34">
        <v>0.21592557430267334</v>
      </c>
      <c r="I19" s="34">
        <v>0.2184787392616272</v>
      </c>
      <c r="J19" s="34">
        <v>0.209120973944664</v>
      </c>
      <c r="K19" s="34">
        <v>0.20022597908973694</v>
      </c>
      <c r="L19" s="34">
        <v>0.2204824686050415</v>
      </c>
      <c r="M19" s="34">
        <v>0.1900162398815155</v>
      </c>
      <c r="N19" s="34">
        <v>0.18808895349502563</v>
      </c>
      <c r="O19" s="23">
        <f t="shared" si="0"/>
        <v>-0.1687159264825695</v>
      </c>
      <c r="P19" s="23">
        <f t="shared" si="1"/>
        <v>-0.10057346258918869</v>
      </c>
    </row>
    <row r="20" spans="1:16" ht="18" customHeight="1" x14ac:dyDescent="0.2">
      <c r="A20" s="227"/>
      <c r="B20" s="35" t="s">
        <v>24</v>
      </c>
      <c r="C20" s="36"/>
      <c r="D20" s="37">
        <f ca="1">2099*OFFSET(D$112,MATCH($N$1,$C$112:$C$113,0)-1,0)</f>
        <v>2099</v>
      </c>
      <c r="E20" s="37">
        <f ca="1">2329*OFFSET(E$112,MATCH($N$1,$C$112:$C$113,0)-1,0)</f>
        <v>2329</v>
      </c>
      <c r="F20" s="37">
        <f ca="1">2182*OFFSET(F$112,MATCH($N$1,$C$112:$C$113,0)-1,0)</f>
        <v>2182</v>
      </c>
      <c r="G20" s="37">
        <f ca="1">2465*OFFSET(G$112,MATCH($N$1,$C$112:$C$113,0)-1,0)</f>
        <v>2465</v>
      </c>
      <c r="H20" s="37">
        <f ca="1">2455*OFFSET(H$112,MATCH($N$1,$C$112:$C$113,0)-1,0)</f>
        <v>2455</v>
      </c>
      <c r="I20" s="37">
        <f ca="1">2413*OFFSET(I$112,MATCH($N$1,$C$112:$C$113,0)-1,0)</f>
        <v>2413</v>
      </c>
      <c r="J20" s="37">
        <f ca="1">2606*OFFSET(J$112,MATCH($N$1,$C$112:$C$113,0)-1,0)</f>
        <v>2606</v>
      </c>
      <c r="K20" s="37">
        <f ca="1">2540*OFFSET(K$112,MATCH($N$1,$C$112:$C$113,0)-1,0)</f>
        <v>2540</v>
      </c>
      <c r="L20" s="37">
        <f ca="1">2378*OFFSET(L$112,MATCH($N$1,$C$112:$C$113,0)-1,0)</f>
        <v>2378</v>
      </c>
      <c r="M20" s="37">
        <f ca="1">2800*OFFSET(M$112,MATCH($N$1,$C$112:$C$113,0)-1,0)</f>
        <v>2800</v>
      </c>
      <c r="N20" s="37">
        <v>3047</v>
      </c>
      <c r="O20" s="29">
        <f t="shared" ca="1" si="0"/>
        <v>0.45164363982848976</v>
      </c>
      <c r="P20" s="29">
        <f t="shared" ca="1" si="1"/>
        <v>0.16922486569455103</v>
      </c>
    </row>
    <row r="21" spans="1:16" ht="18" customHeight="1" x14ac:dyDescent="0.2">
      <c r="A21" s="228" t="s">
        <v>25</v>
      </c>
      <c r="B21" s="30" t="s">
        <v>62</v>
      </c>
      <c r="C21" s="38"/>
      <c r="D21" s="39">
        <v>2.7523177504924821</v>
      </c>
      <c r="E21" s="39">
        <v>2.5618316491963773</v>
      </c>
      <c r="F21" s="39">
        <v>2.7470232045128369</v>
      </c>
      <c r="G21" s="39">
        <v>2.5763073204193496</v>
      </c>
      <c r="H21" s="39">
        <v>2.4838671665951497</v>
      </c>
      <c r="I21" s="39">
        <v>2.676260929361415</v>
      </c>
      <c r="J21" s="39">
        <v>2.5586458683301396</v>
      </c>
      <c r="K21" s="39">
        <v>2.3114411178984469</v>
      </c>
      <c r="L21" s="39">
        <v>2.5816099162299437</v>
      </c>
      <c r="M21" s="39">
        <v>2.3333151833124255</v>
      </c>
      <c r="N21" s="39">
        <v>2.3138958378564611</v>
      </c>
      <c r="O21" s="23">
        <f t="shared" si="0"/>
        <v>-0.15929189591484214</v>
      </c>
      <c r="P21" s="23">
        <f t="shared" si="1"/>
        <v>-9.5656078671571221E-2</v>
      </c>
    </row>
    <row r="22" spans="1:16" ht="18" customHeight="1" x14ac:dyDescent="0.2">
      <c r="A22" s="228"/>
      <c r="B22" s="33" t="s">
        <v>63</v>
      </c>
      <c r="C22" s="25"/>
      <c r="D22" s="34">
        <f ca="1">5.77818265665046*OFFSET(D$112,MATCH($N$1,$C$112:$C$113,0)-1,0)</f>
        <v>5.7781826566504604</v>
      </c>
      <c r="E22" s="34">
        <f ca="1">5.96563912898549*OFFSET(E$112,MATCH($N$1,$C$112:$C$113,0)-1,0)</f>
        <v>5.9656391289854902</v>
      </c>
      <c r="F22" s="34">
        <f ca="1">5.99473071616508*OFFSET(F$112,MATCH($N$1,$C$112:$C$113,0)-1,0)</f>
        <v>5.9947307161650798</v>
      </c>
      <c r="G22" s="34">
        <f ca="1">6.34934843693346*OFFSET(G$112,MATCH($N$1,$C$112:$C$113,0)-1,0)</f>
        <v>6.3493484369334601</v>
      </c>
      <c r="H22" s="34">
        <f ca="1">6.09817394915469*OFFSET(H$112,MATCH($N$1,$C$112:$C$113,0)-1,0)</f>
        <v>6.09817394915469</v>
      </c>
      <c r="I22" s="34">
        <f ca="1">6.45662382235182*OFFSET(I$112,MATCH($N$1,$C$112:$C$113,0)-1,0)</f>
        <v>6.45662382235182</v>
      </c>
      <c r="J22" s="34">
        <f ca="1">6.66691830189787*OFFSET(J$112,MATCH($N$1,$C$112:$C$113,0)-1,0)</f>
        <v>6.6669183018978702</v>
      </c>
      <c r="K22" s="34">
        <f ca="1">5.87172578196653*OFFSET(K$112,MATCH($N$1,$C$112:$C$113,0)-1,0)</f>
        <v>5.8717257819665303</v>
      </c>
      <c r="L22" s="34">
        <f ca="1">6.1384861569737*OFFSET(L$112,MATCH($N$1,$C$112:$C$113,0)-1,0)</f>
        <v>6.1384861569737001</v>
      </c>
      <c r="M22" s="34">
        <f ca="1">6.53271406890062*OFFSET(M$112,MATCH($N$1,$C$112:$C$113,0)-1,0)</f>
        <v>6.5327140689006198</v>
      </c>
      <c r="N22" s="34">
        <v>7.049534014451865</v>
      </c>
      <c r="O22" s="23">
        <f t="shared" ca="1" si="0"/>
        <v>0.22002616278288284</v>
      </c>
      <c r="P22" s="23">
        <f t="shared" ca="1" si="1"/>
        <v>5.7390190674014366E-2</v>
      </c>
    </row>
    <row r="23" spans="1:16" ht="18" customHeight="1" x14ac:dyDescent="0.2">
      <c r="A23" s="228"/>
      <c r="B23" s="33" t="s">
        <v>11</v>
      </c>
      <c r="C23" s="25"/>
      <c r="D23" s="34">
        <f ca="1">4.11357069109988*OFFSET(D$112,MATCH($N$1,$C$112:$C$113,0)-1,0)</f>
        <v>4.1135706910998797</v>
      </c>
      <c r="E23" s="34">
        <f ca="1">4.28270674256765*OFFSET(E$112,MATCH($N$1,$C$112:$C$113,0)-1,0)</f>
        <v>4.2827067425676502</v>
      </c>
      <c r="F23" s="34">
        <f ca="1">4.54975887872741*OFFSET(F$112,MATCH($N$1,$C$112:$C$113,0)-1,0)</f>
        <v>4.5497588787274097</v>
      </c>
      <c r="G23" s="34">
        <f ca="1">4.76533643078174*OFFSET(G$112,MATCH($N$1,$C$112:$C$113,0)-1,0)</f>
        <v>4.7653364307817396</v>
      </c>
      <c r="H23" s="34">
        <f ca="1">4.28540322290707*OFFSET(H$112,MATCH($N$1,$C$112:$C$113,0)-1,0)</f>
        <v>4.2854032229070702</v>
      </c>
      <c r="I23" s="34">
        <f ca="1">4.53421764159571*OFFSET(I$112,MATCH($N$1,$C$112:$C$113,0)-1,0)</f>
        <v>4.5342176415957098</v>
      </c>
      <c r="J23" s="34">
        <f ca="1">4.68025615695584*OFFSET(J$112,MATCH($N$1,$C$112:$C$113,0)-1,0)</f>
        <v>4.6802561569558403</v>
      </c>
      <c r="K23" s="34">
        <f ca="1">4.42081663492433*OFFSET(K$112,MATCH($N$1,$C$112:$C$113,0)-1,0)</f>
        <v>4.4208166349243303</v>
      </c>
      <c r="L23" s="34">
        <f ca="1">4.33535793881056*OFFSET(L$112,MATCH($N$1,$C$112:$C$113,0)-1,0)</f>
        <v>4.3353579388105601</v>
      </c>
      <c r="M23" s="34">
        <f ca="1">4.43690323983628*OFFSET(M$112,MATCH($N$1,$C$112:$C$113,0)-1,0)</f>
        <v>4.4369032398362798</v>
      </c>
      <c r="N23" s="34">
        <v>4.8206913615761131</v>
      </c>
      <c r="O23" s="23">
        <f t="shared" ca="1" si="0"/>
        <v>0.17189948187985671</v>
      </c>
      <c r="P23" s="23">
        <f t="shared" ca="1" si="1"/>
        <v>3.0005880001152653E-2</v>
      </c>
    </row>
    <row r="24" spans="1:16" ht="18" customHeight="1" x14ac:dyDescent="0.2">
      <c r="A24" s="228"/>
      <c r="B24" s="33" t="s">
        <v>12</v>
      </c>
      <c r="C24" s="25"/>
      <c r="D24" s="34">
        <f ca="1">1.66913492890523*OFFSET(D$112,MATCH($N$1,$C$112:$C$113,0)-1,0)</f>
        <v>1.66913492890523</v>
      </c>
      <c r="E24" s="34">
        <f ca="1">1.68293238641784*OFFSET(E$112,MATCH($N$1,$C$112:$C$113,0)-1,0)</f>
        <v>1.68293238641784</v>
      </c>
      <c r="F24" s="34">
        <f ca="1">1.80579233550403*OFFSET(F$112,MATCH($N$1,$C$112:$C$113,0)-1,0)</f>
        <v>1.80579233550403</v>
      </c>
      <c r="G24" s="34">
        <f ca="1">2.20930312188612*OFFSET(G$112,MATCH($N$1,$C$112:$C$113,0)-1,0)</f>
        <v>2.2093031218861201</v>
      </c>
      <c r="H24" s="34">
        <f ca="1">2.20528918701898*OFFSET(H$112,MATCH($N$1,$C$112:$C$113,0)-1,0)</f>
        <v>2.2052891870189799</v>
      </c>
      <c r="I24" s="34">
        <f ca="1">1.98275177958414*OFFSET(I$112,MATCH($N$1,$C$112:$C$113,0)-1,0)</f>
        <v>1.9827517795841401</v>
      </c>
      <c r="J24" s="34">
        <f ca="1">2.46560106273079*OFFSET(J$112,MATCH($N$1,$C$112:$C$113,0)-1,0)</f>
        <v>2.4656010627307898</v>
      </c>
      <c r="K24" s="34">
        <f ca="1">1.52714838784261*OFFSET(K$112,MATCH($N$1,$C$112:$C$113,0)-1,0)</f>
        <v>1.52714838784261</v>
      </c>
      <c r="L24" s="34">
        <f ca="1">1.88901217370535*OFFSET(L$112,MATCH($N$1,$C$112:$C$113,0)-1,0)</f>
        <v>1.88901217370535</v>
      </c>
      <c r="M24" s="34">
        <f ca="1">2.34896044765103*OFFSET(M$112,MATCH($N$1,$C$112:$C$113,0)-1,0)</f>
        <v>2.34896044765103</v>
      </c>
      <c r="N24" s="34">
        <v>2.5020196064993638</v>
      </c>
      <c r="O24" s="23">
        <f t="shared" ca="1" si="0"/>
        <v>0.49899182095507111</v>
      </c>
      <c r="P24" s="23">
        <f t="shared" ca="1" si="1"/>
        <v>1.4770655447495002E-2</v>
      </c>
    </row>
    <row r="25" spans="1:16" ht="18" customHeight="1" x14ac:dyDescent="0.2">
      <c r="A25" s="228"/>
      <c r="B25" s="33" t="s">
        <v>64</v>
      </c>
      <c r="C25" s="25"/>
      <c r="D25" s="28"/>
      <c r="E25" s="28">
        <f ca="1">61.24*OFFSET(E$112,MATCH($N$1,$C$112:$C$113,0)-1,0)</f>
        <v>61.24</v>
      </c>
      <c r="F25" s="28">
        <f ca="1">54*OFFSET(F$112,MATCH($N$1,$C$112:$C$113,0)-1,0)</f>
        <v>54</v>
      </c>
      <c r="G25" s="28">
        <f ca="1">61.59*OFFSET(G$112,MATCH($N$1,$C$112:$C$113,0)-1,0)</f>
        <v>61.59</v>
      </c>
      <c r="H25" s="28">
        <f ca="1">45.15*OFFSET(H$112,MATCH($N$1,$C$112:$C$113,0)-1,0)</f>
        <v>45.15</v>
      </c>
      <c r="I25" s="28">
        <f ca="1">60.51*OFFSET(I$112,MATCH($N$1,$C$112:$C$113,0)-1,0)</f>
        <v>60.51</v>
      </c>
      <c r="J25" s="28">
        <f ca="1">65.34*OFFSET(J$112,MATCH($N$1,$C$112:$C$113,0)-1,0)</f>
        <v>65.34</v>
      </c>
      <c r="K25" s="28">
        <f ca="1">51.89*OFFSET(K$112,MATCH($N$1,$C$112:$C$113,0)-1,0)</f>
        <v>51.89</v>
      </c>
      <c r="L25" s="28">
        <f ca="1">65.98*OFFSET(L$112,MATCH($N$1,$C$112:$C$113,0)-1,0)</f>
        <v>65.98</v>
      </c>
      <c r="M25" s="28">
        <f ca="1">51.71*OFFSET(M$112,MATCH($N$1,$C$112:$C$113,0)-1,0)</f>
        <v>51.71</v>
      </c>
      <c r="N25" s="28">
        <v>75.08</v>
      </c>
      <c r="O25" s="23" t="str">
        <f t="shared" si="0"/>
        <v/>
      </c>
      <c r="P25" s="23">
        <f t="shared" ca="1" si="1"/>
        <v>0.14906642179369445</v>
      </c>
    </row>
    <row r="26" spans="1:16" ht="18" customHeight="1" x14ac:dyDescent="0.2">
      <c r="A26" s="229"/>
      <c r="B26" s="33" t="s">
        <v>65</v>
      </c>
      <c r="C26" s="40"/>
      <c r="D26" s="28"/>
      <c r="E26" s="28">
        <f ca="1">17.28*OFFSET(E$112,MATCH($N$1,$C$112:$C$113,0)-1,0)</f>
        <v>17.28</v>
      </c>
      <c r="F26" s="28">
        <f ca="1">16.31*OFFSET(F$112,MATCH($N$1,$C$112:$C$113,0)-1,0)</f>
        <v>16.309999999999999</v>
      </c>
      <c r="G26" s="28">
        <f ca="1">21.5*OFFSET(G$112,MATCH($N$1,$C$112:$C$113,0)-1,0)</f>
        <v>21.5</v>
      </c>
      <c r="H26" s="28">
        <f ca="1">16.33*OFFSET(H$112,MATCH($N$1,$C$112:$C$113,0)-1,0)</f>
        <v>16.329999999999998</v>
      </c>
      <c r="I26" s="28">
        <f ca="1">18.6*OFFSET(I$112,MATCH($N$1,$C$112:$C$113,0)-1,0)</f>
        <v>18.600000000000001</v>
      </c>
      <c r="J26" s="28">
        <f ca="1">24.16*OFFSET(J$112,MATCH($N$1,$C$112:$C$113,0)-1,0)</f>
        <v>24.16</v>
      </c>
      <c r="K26" s="28">
        <f ca="1">13.51*OFFSET(K$112,MATCH($N$1,$C$112:$C$113,0)-1,0)</f>
        <v>13.51</v>
      </c>
      <c r="L26" s="28">
        <f ca="1">20.24*OFFSET(L$112,MATCH($N$1,$C$112:$C$113,0)-1,0)</f>
        <v>20.239999999999998</v>
      </c>
      <c r="M26" s="28">
        <f ca="1">18.56*OFFSET(M$112,MATCH($N$1,$C$112:$C$113,0)-1,0)</f>
        <v>18.559999999999999</v>
      </c>
      <c r="N26" s="28">
        <v>26.67</v>
      </c>
      <c r="O26" s="29" t="str">
        <f t="shared" si="0"/>
        <v/>
      </c>
      <c r="P26" s="29">
        <f t="shared" ca="1" si="1"/>
        <v>0.10389072847682125</v>
      </c>
    </row>
    <row r="27" spans="1:16" ht="18" customHeight="1" x14ac:dyDescent="0.2">
      <c r="A27" s="230" t="s">
        <v>26</v>
      </c>
      <c r="B27" s="30" t="s">
        <v>59</v>
      </c>
      <c r="C27" s="31"/>
      <c r="D27" s="32">
        <f ca="1">48.8*OFFSET(D$112,MATCH($N$1,$C$112:$C$113,0)-1,0)</f>
        <v>48.8</v>
      </c>
      <c r="E27" s="32">
        <f ca="1">48.2*OFFSET(E$112,MATCH($N$1,$C$112:$C$113,0)-1,0)</f>
        <v>48.2</v>
      </c>
      <c r="F27" s="32">
        <f ca="1">48*OFFSET(F$112,MATCH($N$1,$C$112:$C$113,0)-1,0)</f>
        <v>48</v>
      </c>
      <c r="G27" s="32">
        <f ca="1">46.7*OFFSET(G$112,MATCH($N$1,$C$112:$C$113,0)-1,0)</f>
        <v>46.7</v>
      </c>
      <c r="H27" s="32">
        <f ca="1">44.8*OFFSET(H$112,MATCH($N$1,$C$112:$C$113,0)-1,0)</f>
        <v>44.8</v>
      </c>
      <c r="I27" s="32">
        <f ca="1">44.9*OFFSET(I$112,MATCH($N$1,$C$112:$C$113,0)-1,0)</f>
        <v>44.9</v>
      </c>
      <c r="J27" s="32">
        <f ca="1">48.4*OFFSET(J$112,MATCH($N$1,$C$112:$C$113,0)-1,0)</f>
        <v>48.4</v>
      </c>
      <c r="K27" s="32">
        <f ca="1">41.1*OFFSET(K$112,MATCH($N$1,$C$112:$C$113,0)-1,0)</f>
        <v>41.1</v>
      </c>
      <c r="L27" s="32">
        <f ca="1">44*OFFSET(L$112,MATCH($N$1,$C$112:$C$113,0)-1,0)</f>
        <v>44</v>
      </c>
      <c r="M27" s="32">
        <f ca="1">44.3*OFFSET(M$112,MATCH($N$1,$C$112:$C$113,0)-1,0)</f>
        <v>44.3</v>
      </c>
      <c r="N27" s="32">
        <v>44.2</v>
      </c>
      <c r="O27" s="23">
        <f t="shared" ca="1" si="0"/>
        <v>-9.4262295081967096E-2</v>
      </c>
      <c r="P27" s="23">
        <f t="shared" ca="1" si="1"/>
        <v>-8.6776859504132151E-2</v>
      </c>
    </row>
    <row r="28" spans="1:16" ht="18" customHeight="1" x14ac:dyDescent="0.2">
      <c r="A28" s="231"/>
      <c r="B28" s="33" t="s">
        <v>66</v>
      </c>
      <c r="C28" s="27"/>
      <c r="D28" s="28"/>
      <c r="E28" s="28"/>
      <c r="F28" s="28">
        <f ca="1">2.9*OFFSET(F$112,MATCH($N$1,$C$112:$C$113,0)-1,0)</f>
        <v>2.9</v>
      </c>
      <c r="G28" s="28">
        <f ca="1">4.6*OFFSET(G$112,MATCH($N$1,$C$112:$C$113,0)-1,0)</f>
        <v>4.5999999999999996</v>
      </c>
      <c r="H28" s="28">
        <f ca="1">2.9*OFFSET(H$112,MATCH($N$1,$C$112:$C$113,0)-1,0)</f>
        <v>2.9</v>
      </c>
      <c r="I28" s="28">
        <f ca="1">0.4*OFFSET(I$112,MATCH($N$1,$C$112:$C$113,0)-1,0)</f>
        <v>0.4</v>
      </c>
      <c r="J28" s="28">
        <f ca="1">3.5*OFFSET(J$112,MATCH($N$1,$C$112:$C$113,0)-1,0)</f>
        <v>3.5</v>
      </c>
      <c r="K28" s="28">
        <f ca="1">0.5*OFFSET(K$112,MATCH($N$1,$C$112:$C$113,0)-1,0)</f>
        <v>0.5</v>
      </c>
      <c r="L28" s="28">
        <f ca="1">0.6*OFFSET(L$112,MATCH($N$1,$C$112:$C$113,0)-1,0)</f>
        <v>0.6</v>
      </c>
      <c r="M28" s="28">
        <f ca="1">1.7*OFFSET(M$112,MATCH($N$1,$C$112:$C$113,0)-1,0)</f>
        <v>1.7</v>
      </c>
      <c r="N28" s="28">
        <v>1.7</v>
      </c>
      <c r="O28" s="23" t="str">
        <f t="shared" si="0"/>
        <v/>
      </c>
      <c r="P28" s="23">
        <f t="shared" ca="1" si="1"/>
        <v>-0.51428571428571435</v>
      </c>
    </row>
    <row r="29" spans="1:16" ht="18" customHeight="1" x14ac:dyDescent="0.2">
      <c r="A29" s="231"/>
      <c r="B29" s="41" t="s">
        <v>67</v>
      </c>
      <c r="C29" s="42"/>
      <c r="D29" s="43">
        <f ca="1">48.8*OFFSET(D$112,MATCH($N$1,$C$112:$C$113,0)-1,0)</f>
        <v>48.8</v>
      </c>
      <c r="E29" s="43">
        <f ca="1">48.2*OFFSET(E$112,MATCH($N$1,$C$112:$C$113,0)-1,0)</f>
        <v>48.2</v>
      </c>
      <c r="F29" s="43">
        <f ca="1">50.9*OFFSET(F$112,MATCH($N$1,$C$112:$C$113,0)-1,0)</f>
        <v>50.9</v>
      </c>
      <c r="G29" s="43">
        <f ca="1">51.3*OFFSET(G$112,MATCH($N$1,$C$112:$C$113,0)-1,0)</f>
        <v>51.3</v>
      </c>
      <c r="H29" s="43">
        <f ca="1">47.7*OFFSET(H$112,MATCH($N$1,$C$112:$C$113,0)-1,0)</f>
        <v>47.7</v>
      </c>
      <c r="I29" s="43">
        <f ca="1">45.4*OFFSET(I$112,MATCH($N$1,$C$112:$C$113,0)-1,0)</f>
        <v>45.4</v>
      </c>
      <c r="J29" s="43">
        <f ca="1">51.9*OFFSET(J$112,MATCH($N$1,$C$112:$C$113,0)-1,0)</f>
        <v>51.9</v>
      </c>
      <c r="K29" s="43">
        <f ca="1">41.6*OFFSET(K$112,MATCH($N$1,$C$112:$C$113,0)-1,0)</f>
        <v>41.6</v>
      </c>
      <c r="L29" s="43">
        <f ca="1">44.6*OFFSET(L$112,MATCH($N$1,$C$112:$C$113,0)-1,0)</f>
        <v>44.6</v>
      </c>
      <c r="M29" s="43">
        <f ca="1">46*OFFSET(M$112,MATCH($N$1,$C$112:$C$113,0)-1,0)</f>
        <v>46</v>
      </c>
      <c r="N29" s="43">
        <v>46</v>
      </c>
      <c r="O29" s="23">
        <f t="shared" ca="1" si="0"/>
        <v>-5.7377049180327815E-2</v>
      </c>
      <c r="P29" s="23">
        <f t="shared" ca="1" si="1"/>
        <v>-0.11368015414258187</v>
      </c>
    </row>
    <row r="30" spans="1:16" ht="18" customHeight="1" x14ac:dyDescent="0.2">
      <c r="A30" s="231"/>
      <c r="B30" s="33" t="s">
        <v>68</v>
      </c>
      <c r="C30" s="27"/>
      <c r="D30" s="28">
        <f ca="1">6*OFFSET(D$112,MATCH($N$1,$C$112:$C$113,0)-1,0)</f>
        <v>6</v>
      </c>
      <c r="E30" s="28">
        <f ca="1">3.8*OFFSET(E$112,MATCH($N$1,$C$112:$C$113,0)-1,0)</f>
        <v>3.8</v>
      </c>
      <c r="F30" s="28">
        <f ca="1">4.7*OFFSET(F$112,MATCH($N$1,$C$112:$C$113,0)-1,0)</f>
        <v>4.7</v>
      </c>
      <c r="G30" s="28">
        <f ca="1">5.6*OFFSET(G$112,MATCH($N$1,$C$112:$C$113,0)-1,0)</f>
        <v>5.6</v>
      </c>
      <c r="H30" s="28">
        <f ca="1">5.6*OFFSET(H$112,MATCH($N$1,$C$112:$C$113,0)-1,0)</f>
        <v>5.6</v>
      </c>
      <c r="I30" s="28">
        <f ca="1">5.1*OFFSET(I$112,MATCH($N$1,$C$112:$C$113,0)-1,0)</f>
        <v>5.0999999999999996</v>
      </c>
      <c r="J30" s="28">
        <f ca="1">4.8*OFFSET(J$112,MATCH($N$1,$C$112:$C$113,0)-1,0)</f>
        <v>4.8</v>
      </c>
      <c r="K30" s="28">
        <f ca="1">3.3*OFFSET(K$112,MATCH($N$1,$C$112:$C$113,0)-1,0)</f>
        <v>3.3</v>
      </c>
      <c r="L30" s="28">
        <f ca="1">3.1*OFFSET(L$112,MATCH($N$1,$C$112:$C$113,0)-1,0)</f>
        <v>3.1</v>
      </c>
      <c r="M30" s="28">
        <f ca="1">3.6*OFFSET(M$112,MATCH($N$1,$C$112:$C$113,0)-1,0)</f>
        <v>3.6</v>
      </c>
      <c r="N30" s="28">
        <v>4</v>
      </c>
      <c r="O30" s="23">
        <f t="shared" ca="1" si="0"/>
        <v>-0.33333333333333331</v>
      </c>
      <c r="P30" s="23">
        <f t="shared" ca="1" si="1"/>
        <v>-0.16666666666666663</v>
      </c>
    </row>
    <row r="31" spans="1:16" ht="18" customHeight="1" x14ac:dyDescent="0.2">
      <c r="A31" s="231"/>
      <c r="B31" s="33" t="s">
        <v>69</v>
      </c>
      <c r="C31" s="27"/>
      <c r="D31" s="28">
        <f ca="1">16.9*OFFSET(D$112,MATCH($N$1,$C$112:$C$113,0)-1,0)</f>
        <v>16.899999999999999</v>
      </c>
      <c r="E31" s="28">
        <f ca="1">17.4*OFFSET(E$112,MATCH($N$1,$C$112:$C$113,0)-1,0)</f>
        <v>17.399999999999999</v>
      </c>
      <c r="F31" s="28">
        <f ca="1">15.8*OFFSET(F$112,MATCH($N$1,$C$112:$C$113,0)-1,0)</f>
        <v>15.8</v>
      </c>
      <c r="G31" s="28">
        <f ca="1">13.4*OFFSET(G$112,MATCH($N$1,$C$112:$C$113,0)-1,0)</f>
        <v>13.4</v>
      </c>
      <c r="H31" s="28">
        <f ca="1">10.1*OFFSET(H$112,MATCH($N$1,$C$112:$C$113,0)-1,0)</f>
        <v>10.1</v>
      </c>
      <c r="I31" s="28">
        <f ca="1">7.3*OFFSET(I$112,MATCH($N$1,$C$112:$C$113,0)-1,0)</f>
        <v>7.3</v>
      </c>
      <c r="J31" s="28">
        <f ca="1">12.1*OFFSET(J$112,MATCH($N$1,$C$112:$C$113,0)-1,0)</f>
        <v>12.1</v>
      </c>
      <c r="K31" s="28">
        <f ca="1">11.6*OFFSET(K$112,MATCH($N$1,$C$112:$C$113,0)-1,0)</f>
        <v>11.6</v>
      </c>
      <c r="L31" s="28">
        <f ca="1">14.4*OFFSET(L$112,MATCH($N$1,$C$112:$C$113,0)-1,0)</f>
        <v>14.4</v>
      </c>
      <c r="M31" s="28">
        <f ca="1">14.7*OFFSET(M$112,MATCH($N$1,$C$112:$C$113,0)-1,0)</f>
        <v>14.7</v>
      </c>
      <c r="N31" s="28">
        <v>14.5</v>
      </c>
      <c r="O31" s="23">
        <f t="shared" ca="1" si="0"/>
        <v>-0.14201183431952655</v>
      </c>
      <c r="P31" s="23">
        <f t="shared" ca="1" si="1"/>
        <v>0.19834710743801656</v>
      </c>
    </row>
    <row r="32" spans="1:16" ht="18" customHeight="1" x14ac:dyDescent="0.2">
      <c r="A32" s="231"/>
      <c r="B32" s="33" t="s">
        <v>70</v>
      </c>
      <c r="C32" s="27"/>
      <c r="D32" s="28">
        <f ca="1">3.8*OFFSET(D$112,MATCH($N$1,$C$112:$C$113,0)-1,0)</f>
        <v>3.8</v>
      </c>
      <c r="E32" s="28">
        <f ca="1">4.2*OFFSET(E$112,MATCH($N$1,$C$112:$C$113,0)-1,0)</f>
        <v>4.2</v>
      </c>
      <c r="F32" s="28">
        <f ca="1">7.5*OFFSET(F$112,MATCH($N$1,$C$112:$C$113,0)-1,0)</f>
        <v>7.5</v>
      </c>
      <c r="G32" s="28">
        <f ca="1">7.7*OFFSET(G$112,MATCH($N$1,$C$112:$C$113,0)-1,0)</f>
        <v>7.7</v>
      </c>
      <c r="H32" s="28">
        <f ca="1">7.7*OFFSET(H$112,MATCH($N$1,$C$112:$C$113,0)-1,0)</f>
        <v>7.7</v>
      </c>
      <c r="I32" s="28">
        <f ca="1">10.5*OFFSET(I$112,MATCH($N$1,$C$112:$C$113,0)-1,0)</f>
        <v>10.5</v>
      </c>
      <c r="J32" s="28">
        <f ca="1">6.7*OFFSET(J$112,MATCH($N$1,$C$112:$C$113,0)-1,0)</f>
        <v>6.7</v>
      </c>
      <c r="K32" s="28">
        <f ca="1">6.7*OFFSET(K$112,MATCH($N$1,$C$112:$C$113,0)-1,0)</f>
        <v>6.7</v>
      </c>
      <c r="L32" s="28">
        <f ca="1">5.9*OFFSET(L$112,MATCH($N$1,$C$112:$C$113,0)-1,0)</f>
        <v>5.9</v>
      </c>
      <c r="M32" s="28">
        <f ca="1">5.8*OFFSET(M$112,MATCH($N$1,$C$112:$C$113,0)-1,0)</f>
        <v>5.8</v>
      </c>
      <c r="N32" s="28">
        <v>5.8</v>
      </c>
      <c r="O32" s="23">
        <f t="shared" ca="1" si="0"/>
        <v>0.52631578947368418</v>
      </c>
      <c r="P32" s="23">
        <f t="shared" ca="1" si="1"/>
        <v>-0.13432835820895528</v>
      </c>
    </row>
    <row r="33" spans="1:16" ht="18" customHeight="1" x14ac:dyDescent="0.2">
      <c r="A33" s="231"/>
      <c r="B33" s="33" t="s">
        <v>71</v>
      </c>
      <c r="C33" s="27"/>
      <c r="D33" s="28">
        <f ca="1">26.7*OFFSET(D$112,MATCH($N$1,$C$112:$C$113,0)-1,0)</f>
        <v>26.7</v>
      </c>
      <c r="E33" s="28">
        <f ca="1">25.4*OFFSET(E$112,MATCH($N$1,$C$112:$C$113,0)-1,0)</f>
        <v>25.4</v>
      </c>
      <c r="F33" s="28">
        <f ca="1">28*OFFSET(F$112,MATCH($N$1,$C$112:$C$113,0)-1,0)</f>
        <v>28</v>
      </c>
      <c r="G33" s="28">
        <f ca="1">26.7*OFFSET(G$112,MATCH($N$1,$C$112:$C$113,0)-1,0)</f>
        <v>26.7</v>
      </c>
      <c r="H33" s="28">
        <f ca="1">23.3*OFFSET(H$112,MATCH($N$1,$C$112:$C$113,0)-1,0)</f>
        <v>23.3</v>
      </c>
      <c r="I33" s="28">
        <f ca="1">22.9*OFFSET(I$112,MATCH($N$1,$C$112:$C$113,0)-1,0)</f>
        <v>22.9</v>
      </c>
      <c r="J33" s="28">
        <f ca="1">23.6*OFFSET(J$112,MATCH($N$1,$C$112:$C$113,0)-1,0)</f>
        <v>23.6</v>
      </c>
      <c r="K33" s="28">
        <f ca="1">21.6*OFFSET(K$112,MATCH($N$1,$C$112:$C$113,0)-1,0)</f>
        <v>21.6</v>
      </c>
      <c r="L33" s="28">
        <f ca="1">23.4*OFFSET(L$112,MATCH($N$1,$C$112:$C$113,0)-1,0)</f>
        <v>23.4</v>
      </c>
      <c r="M33" s="28">
        <f ca="1">24.1*OFFSET(M$112,MATCH($N$1,$C$112:$C$113,0)-1,0)</f>
        <v>24.1</v>
      </c>
      <c r="N33" s="28">
        <v>24.3</v>
      </c>
      <c r="O33" s="23">
        <f t="shared" ca="1" si="0"/>
        <v>-8.9887640449438158E-2</v>
      </c>
      <c r="P33" s="23">
        <f t="shared" ca="1" si="1"/>
        <v>2.9661016949152512E-2</v>
      </c>
    </row>
    <row r="34" spans="1:16" ht="18" customHeight="1" x14ac:dyDescent="0.2">
      <c r="A34" s="231"/>
      <c r="B34" s="33" t="s">
        <v>72</v>
      </c>
      <c r="C34" s="27"/>
      <c r="D34" s="28">
        <f ca="1">8*OFFSET(D$112,MATCH($N$1,$C$112:$C$113,0)-1,0)</f>
        <v>8</v>
      </c>
      <c r="E34" s="28">
        <f ca="1">9.2*OFFSET(E$112,MATCH($N$1,$C$112:$C$113,0)-1,0)</f>
        <v>9.1999999999999993</v>
      </c>
      <c r="F34" s="28">
        <f ca="1">8.4*OFFSET(F$112,MATCH($N$1,$C$112:$C$113,0)-1,0)</f>
        <v>8.4</v>
      </c>
      <c r="G34" s="28">
        <f ca="1">8.3*OFFSET(G$112,MATCH($N$1,$C$112:$C$113,0)-1,0)</f>
        <v>8.3000000000000007</v>
      </c>
      <c r="H34" s="28">
        <f ca="1">8.1*OFFSET(H$112,MATCH($N$1,$C$112:$C$113,0)-1,0)</f>
        <v>8.1</v>
      </c>
      <c r="I34" s="28">
        <f ca="1">8.7*OFFSET(I$112,MATCH($N$1,$C$112:$C$113,0)-1,0)</f>
        <v>8.6999999999999993</v>
      </c>
      <c r="J34" s="28">
        <f ca="1">10.4*OFFSET(J$112,MATCH($N$1,$C$112:$C$113,0)-1,0)</f>
        <v>10.4</v>
      </c>
      <c r="K34" s="28">
        <f ca="1">9.3*OFFSET(K$112,MATCH($N$1,$C$112:$C$113,0)-1,0)</f>
        <v>9.3000000000000007</v>
      </c>
      <c r="L34" s="28">
        <f ca="1">7.6*OFFSET(L$112,MATCH($N$1,$C$112:$C$113,0)-1,0)</f>
        <v>7.6</v>
      </c>
      <c r="M34" s="28">
        <f ca="1">6*OFFSET(M$112,MATCH($N$1,$C$112:$C$113,0)-1,0)</f>
        <v>6</v>
      </c>
      <c r="N34" s="28">
        <v>6</v>
      </c>
      <c r="O34" s="23">
        <f t="shared" ca="1" si="0"/>
        <v>-0.25</v>
      </c>
      <c r="P34" s="23">
        <f t="shared" ca="1" si="1"/>
        <v>-0.42307692307692307</v>
      </c>
    </row>
    <row r="35" spans="1:16" ht="18" customHeight="1" x14ac:dyDescent="0.2">
      <c r="A35" s="231"/>
      <c r="B35" s="33" t="s">
        <v>73</v>
      </c>
      <c r="C35" s="27"/>
      <c r="D35" s="28">
        <f ca="1">34.7*OFFSET(D$112,MATCH($N$1,$C$112:$C$113,0)-1,0)</f>
        <v>34.700000000000003</v>
      </c>
      <c r="E35" s="28">
        <f ca="1">34.6*OFFSET(E$112,MATCH($N$1,$C$112:$C$113,0)-1,0)</f>
        <v>34.6</v>
      </c>
      <c r="F35" s="28">
        <f ca="1">36.4*OFFSET(F$112,MATCH($N$1,$C$112:$C$113,0)-1,0)</f>
        <v>36.4</v>
      </c>
      <c r="G35" s="28">
        <f ca="1">35.1*OFFSET(G$112,MATCH($N$1,$C$112:$C$113,0)-1,0)</f>
        <v>35.1</v>
      </c>
      <c r="H35" s="28">
        <f ca="1">31.5*OFFSET(H$112,MATCH($N$1,$C$112:$C$113,0)-1,0)</f>
        <v>31.5</v>
      </c>
      <c r="I35" s="28">
        <f ca="1">31.6*OFFSET(I$112,MATCH($N$1,$C$112:$C$113,0)-1,0)</f>
        <v>31.6</v>
      </c>
      <c r="J35" s="28">
        <f ca="1">34*OFFSET(J$112,MATCH($N$1,$C$112:$C$113,0)-1,0)</f>
        <v>34</v>
      </c>
      <c r="K35" s="28">
        <f ca="1">30.9*OFFSET(K$112,MATCH($N$1,$C$112:$C$113,0)-1,0)</f>
        <v>30.9</v>
      </c>
      <c r="L35" s="28">
        <f ca="1">31.1*OFFSET(L$112,MATCH($N$1,$C$112:$C$113,0)-1,0)</f>
        <v>31.1</v>
      </c>
      <c r="M35" s="28">
        <f ca="1">30.1*OFFSET(M$112,MATCH($N$1,$C$112:$C$113,0)-1,0)</f>
        <v>30.1</v>
      </c>
      <c r="N35" s="28">
        <v>30.3</v>
      </c>
      <c r="O35" s="23">
        <f t="shared" ca="1" si="0"/>
        <v>-0.12680115273775222</v>
      </c>
      <c r="P35" s="23">
        <f t="shared" ca="1" si="1"/>
        <v>-0.10882352941176468</v>
      </c>
    </row>
    <row r="36" spans="1:16" ht="18" customHeight="1" x14ac:dyDescent="0.2">
      <c r="A36" s="231"/>
      <c r="B36" s="41" t="s">
        <v>74</v>
      </c>
      <c r="C36" s="42"/>
      <c r="D36" s="43">
        <f ca="1">31*OFFSET(D$112,MATCH($N$1,$C$112:$C$113,0)-1,0)</f>
        <v>31</v>
      </c>
      <c r="E36" s="43">
        <f ca="1">31*OFFSET(E$112,MATCH($N$1,$C$112:$C$113,0)-1,0)</f>
        <v>31</v>
      </c>
      <c r="F36" s="43">
        <f ca="1">30.3*OFFSET(F$112,MATCH($N$1,$C$112:$C$113,0)-1,0)</f>
        <v>30.3</v>
      </c>
      <c r="G36" s="43">
        <f ca="1">29.7*OFFSET(G$112,MATCH($N$1,$C$112:$C$113,0)-1,0)</f>
        <v>29.7</v>
      </c>
      <c r="H36" s="43">
        <f ca="1">26.3*OFFSET(H$112,MATCH($N$1,$C$112:$C$113,0)-1,0)</f>
        <v>26.3</v>
      </c>
      <c r="I36" s="43">
        <f ca="1">21.1*OFFSET(I$112,MATCH($N$1,$C$112:$C$113,0)-1,0)</f>
        <v>21.1</v>
      </c>
      <c r="J36" s="43">
        <f ca="1">30*OFFSET(J$112,MATCH($N$1,$C$112:$C$113,0)-1,0)</f>
        <v>30</v>
      </c>
      <c r="K36" s="43">
        <f ca="1">22.3*OFFSET(K$112,MATCH($N$1,$C$112:$C$113,0)-1,0)</f>
        <v>22.3</v>
      </c>
      <c r="L36" s="43">
        <f ca="1">27.9*OFFSET(L$112,MATCH($N$1,$C$112:$C$113,0)-1,0)</f>
        <v>27.9</v>
      </c>
      <c r="M36" s="43">
        <f ca="1">30.6*OFFSET(M$112,MATCH($N$1,$C$112:$C$113,0)-1,0)</f>
        <v>30.6</v>
      </c>
      <c r="N36" s="43">
        <v>30.200000000000003</v>
      </c>
      <c r="O36" s="23">
        <f t="shared" ca="1" si="0"/>
        <v>-2.5806451612903136E-2</v>
      </c>
      <c r="P36" s="23">
        <f t="shared" ca="1" si="1"/>
        <v>6.6666666666667616E-3</v>
      </c>
    </row>
    <row r="37" spans="1:16" ht="18" customHeight="1" x14ac:dyDescent="0.2">
      <c r="A37" s="231"/>
      <c r="B37" s="41" t="s">
        <v>75</v>
      </c>
      <c r="C37" s="42"/>
      <c r="D37" s="43">
        <f ca="1">14.1*OFFSET(D$112,MATCH($N$1,$C$112:$C$113,0)-1,0)</f>
        <v>14.1</v>
      </c>
      <c r="E37" s="43">
        <f ca="1">13.6*OFFSET(E$112,MATCH($N$1,$C$112:$C$113,0)-1,0)</f>
        <v>13.6</v>
      </c>
      <c r="F37" s="43">
        <f ca="1">14.5*OFFSET(F$112,MATCH($N$1,$C$112:$C$113,0)-1,0)</f>
        <v>14.5</v>
      </c>
      <c r="G37" s="43">
        <f ca="1">16.3*OFFSET(G$112,MATCH($N$1,$C$112:$C$113,0)-1,0)</f>
        <v>16.3</v>
      </c>
      <c r="H37" s="43">
        <f ca="1">16.2*OFFSET(H$112,MATCH($N$1,$C$112:$C$113,0)-1,0)</f>
        <v>16.2</v>
      </c>
      <c r="I37" s="43">
        <f ca="1">13.8*OFFSET(I$112,MATCH($N$1,$C$112:$C$113,0)-1,0)</f>
        <v>13.8</v>
      </c>
      <c r="J37" s="43">
        <f ca="1">17.9*OFFSET(J$112,MATCH($N$1,$C$112:$C$113,0)-1,0)</f>
        <v>17.899999999999999</v>
      </c>
      <c r="K37" s="43">
        <f ca="1">10.7*OFFSET(K$112,MATCH($N$1,$C$112:$C$113,0)-1,0)</f>
        <v>10.7</v>
      </c>
      <c r="L37" s="43">
        <f ca="1">13.5*OFFSET(L$112,MATCH($N$1,$C$112:$C$113,0)-1,0)</f>
        <v>13.5</v>
      </c>
      <c r="M37" s="43">
        <f ca="1">15.9*OFFSET(M$112,MATCH($N$1,$C$112:$C$113,0)-1,0)</f>
        <v>15.9</v>
      </c>
      <c r="N37" s="43">
        <v>15.700000000000001</v>
      </c>
      <c r="O37" s="23">
        <f t="shared" ca="1" si="0"/>
        <v>0.11347517730496465</v>
      </c>
      <c r="P37" s="23">
        <f t="shared" ca="1" si="1"/>
        <v>-0.12290502793296076</v>
      </c>
    </row>
    <row r="38" spans="1:16" ht="18" customHeight="1" x14ac:dyDescent="0.2">
      <c r="A38" s="231"/>
      <c r="B38" s="33" t="s">
        <v>76</v>
      </c>
      <c r="C38" s="27"/>
      <c r="D38" s="28">
        <f ca="1">5.3*OFFSET(D$112,MATCH($N$1,$C$112:$C$113,0)-1,0)</f>
        <v>5.3</v>
      </c>
      <c r="E38" s="28">
        <f ca="1">3*OFFSET(E$112,MATCH($N$1,$C$112:$C$113,0)-1,0)</f>
        <v>3</v>
      </c>
      <c r="F38" s="28">
        <f ca="1">3*OFFSET(F$112,MATCH($N$1,$C$112:$C$113,0)-1,0)</f>
        <v>3</v>
      </c>
      <c r="G38" s="28">
        <f ca="1">2.3*OFFSET(G$112,MATCH($N$1,$C$112:$C$113,0)-1,0)</f>
        <v>2.2999999999999998</v>
      </c>
      <c r="H38" s="28">
        <f ca="1">2.6*OFFSET(H$112,MATCH($N$1,$C$112:$C$113,0)-1,0)</f>
        <v>2.6</v>
      </c>
      <c r="I38" s="28">
        <f ca="1">4.2*OFFSET(I$112,MATCH($N$1,$C$112:$C$113,0)-1,0)</f>
        <v>4.2</v>
      </c>
      <c r="J38" s="28">
        <f ca="1">3*OFFSET(J$112,MATCH($N$1,$C$112:$C$113,0)-1,0)</f>
        <v>3</v>
      </c>
      <c r="K38" s="28">
        <f ca="1">2.2*OFFSET(K$112,MATCH($N$1,$C$112:$C$113,0)-1,0)</f>
        <v>2.2000000000000002</v>
      </c>
      <c r="L38" s="28">
        <f ca="1">2.7*OFFSET(L$112,MATCH($N$1,$C$112:$C$113,0)-1,0)</f>
        <v>2.7</v>
      </c>
      <c r="M38" s="28">
        <f ca="1">2.7*OFFSET(M$112,MATCH($N$1,$C$112:$C$113,0)-1,0)</f>
        <v>2.7</v>
      </c>
      <c r="N38" s="28"/>
      <c r="O38" s="23" t="str">
        <f t="shared" si="0"/>
        <v/>
      </c>
      <c r="P38" s="23" t="str">
        <f t="shared" si="1"/>
        <v/>
      </c>
    </row>
    <row r="39" spans="1:16" ht="18" customHeight="1" x14ac:dyDescent="0.2">
      <c r="A39" s="231"/>
      <c r="B39" s="33" t="s">
        <v>77</v>
      </c>
      <c r="C39" s="27"/>
      <c r="D39" s="28">
        <f ca="1">1.6*OFFSET(D$112,MATCH($N$1,$C$112:$C$113,0)-1,0)</f>
        <v>1.6</v>
      </c>
      <c r="E39" s="28">
        <f ca="1">0.5*OFFSET(E$112,MATCH($N$1,$C$112:$C$113,0)-1,0)</f>
        <v>0.5</v>
      </c>
      <c r="F39" s="28">
        <f ca="1">0.5*OFFSET(F$112,MATCH($N$1,$C$112:$C$113,0)-1,0)</f>
        <v>0.5</v>
      </c>
      <c r="G39" s="28">
        <f ca="1">0.4*OFFSET(G$112,MATCH($N$1,$C$112:$C$113,0)-1,0)</f>
        <v>0.4</v>
      </c>
      <c r="H39" s="28">
        <f ca="1">0.3*OFFSET(H$112,MATCH($N$1,$C$112:$C$113,0)-1,0)</f>
        <v>0.3</v>
      </c>
      <c r="I39" s="28">
        <f ca="1">0.4*OFFSET(I$112,MATCH($N$1,$C$112:$C$113,0)-1,0)</f>
        <v>0.4</v>
      </c>
      <c r="J39" s="28">
        <f ca="1">0.4*OFFSET(J$112,MATCH($N$1,$C$112:$C$113,0)-1,0)</f>
        <v>0.4</v>
      </c>
      <c r="K39" s="28">
        <f ca="1">0.5*OFFSET(K$112,MATCH($N$1,$C$112:$C$113,0)-1,0)</f>
        <v>0.5</v>
      </c>
      <c r="L39" s="28">
        <f ca="1">0.2*OFFSET(L$112,MATCH($N$1,$C$112:$C$113,0)-1,0)</f>
        <v>0.2</v>
      </c>
      <c r="M39" s="28">
        <f ca="1">0.2*OFFSET(M$112,MATCH($N$1,$C$112:$C$113,0)-1,0)</f>
        <v>0.2</v>
      </c>
      <c r="N39" s="28"/>
      <c r="O39" s="23" t="str">
        <f t="shared" si="0"/>
        <v/>
      </c>
      <c r="P39" s="23" t="str">
        <f t="shared" si="1"/>
        <v/>
      </c>
    </row>
    <row r="40" spans="1:16" ht="18" customHeight="1" x14ac:dyDescent="0.2">
      <c r="A40" s="231"/>
      <c r="B40" s="33" t="s">
        <v>78</v>
      </c>
      <c r="C40" s="27"/>
      <c r="D40" s="28"/>
      <c r="E40" s="28">
        <f ca="1">0.6*OFFSET(E$112,MATCH($N$1,$C$112:$C$113,0)-1,0)</f>
        <v>0.6</v>
      </c>
      <c r="F40" s="28">
        <f ca="1">1.5*OFFSET(F$112,MATCH($N$1,$C$112:$C$113,0)-1,0)</f>
        <v>1.5</v>
      </c>
      <c r="G40" s="28">
        <f ca="1">1.2*OFFSET(G$112,MATCH($N$1,$C$112:$C$113,0)-1,0)</f>
        <v>1.2</v>
      </c>
      <c r="H40" s="28">
        <f ca="1">1.4*OFFSET(H$112,MATCH($N$1,$C$112:$C$113,0)-1,0)</f>
        <v>1.4</v>
      </c>
      <c r="I40" s="28">
        <f ca="1">0.3*OFFSET(I$112,MATCH($N$1,$C$112:$C$113,0)-1,0)</f>
        <v>0.3</v>
      </c>
      <c r="J40" s="28">
        <f ca="1">0.1*OFFSET(J$112,MATCH($N$1,$C$112:$C$113,0)-1,0)</f>
        <v>0.1</v>
      </c>
      <c r="K40" s="28">
        <f ca="1">0.2*OFFSET(K$112,MATCH($N$1,$C$112:$C$113,0)-1,0)</f>
        <v>0.2</v>
      </c>
      <c r="L40" s="28">
        <f ca="1">0.1*OFFSET(L$112,MATCH($N$1,$C$112:$C$113,0)-1,0)</f>
        <v>0.1</v>
      </c>
      <c r="M40" s="28">
        <f ca="1">0.1*OFFSET(M$112,MATCH($N$1,$C$112:$C$113,0)-1,0)</f>
        <v>0.1</v>
      </c>
      <c r="N40" s="28"/>
      <c r="O40" s="23" t="str">
        <f t="shared" si="0"/>
        <v/>
      </c>
      <c r="P40" s="23" t="str">
        <f t="shared" si="1"/>
        <v/>
      </c>
    </row>
    <row r="41" spans="1:16" ht="18" customHeight="1" thickBot="1" x14ac:dyDescent="0.25">
      <c r="A41" s="232"/>
      <c r="B41" s="44" t="s">
        <v>79</v>
      </c>
      <c r="C41" s="45"/>
      <c r="D41" s="46">
        <f ca="1">7.2*OFFSET(D$112,MATCH($N$1,$C$112:$C$113,0)-1,0)</f>
        <v>7.2</v>
      </c>
      <c r="E41" s="46">
        <f ca="1">9.4*OFFSET(E$112,MATCH($N$1,$C$112:$C$113,0)-1,0)</f>
        <v>9.4</v>
      </c>
      <c r="F41" s="46">
        <f ca="1">9.4*OFFSET(F$112,MATCH($N$1,$C$112:$C$113,0)-1,0)</f>
        <v>9.4</v>
      </c>
      <c r="G41" s="46">
        <f ca="1">12.3*OFFSET(G$112,MATCH($N$1,$C$112:$C$113,0)-1,0)</f>
        <v>12.3</v>
      </c>
      <c r="H41" s="46">
        <f ca="1">11.8*OFFSET(H$112,MATCH($N$1,$C$112:$C$113,0)-1,0)</f>
        <v>11.8</v>
      </c>
      <c r="I41" s="46">
        <f ca="1">8.9*OFFSET(I$112,MATCH($N$1,$C$112:$C$113,0)-1,0)</f>
        <v>8.9</v>
      </c>
      <c r="J41" s="46">
        <f ca="1">14.4*OFFSET(J$112,MATCH($N$1,$C$112:$C$113,0)-1,0)</f>
        <v>14.4</v>
      </c>
      <c r="K41" s="46">
        <f ca="1">7.8*OFFSET(K$112,MATCH($N$1,$C$112:$C$113,0)-1,0)</f>
        <v>7.8</v>
      </c>
      <c r="L41" s="46">
        <f ca="1">10.5*OFFSET(L$112,MATCH($N$1,$C$112:$C$113,0)-1,0)</f>
        <v>10.5</v>
      </c>
      <c r="M41" s="46">
        <f ca="1">12.9*OFFSET(M$112,MATCH($N$1,$C$112:$C$113,0)-1,0)</f>
        <v>12.9</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174</v>
      </c>
      <c r="F46" s="95" t="s">
        <v>18</v>
      </c>
      <c r="G46" s="95" t="s">
        <v>18</v>
      </c>
      <c r="H46" s="95" t="s">
        <v>18</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Under 10m drift and/or fixed nets</v>
      </c>
      <c r="C48" s="97"/>
      <c r="D48" s="97"/>
      <c r="E48" s="97"/>
      <c r="F48" s="97"/>
      <c r="G48" s="97"/>
      <c r="K48" s="97" t="str">
        <f>$B24&amp;CHAR(10)&amp;$A$1</f>
        <v>Operating profit per kW day at sea (£)
Under 10m drift and/or fixed nets</v>
      </c>
    </row>
    <row r="49" spans="1:11" s="83" customFormat="1" x14ac:dyDescent="0.2">
      <c r="A49" s="97" t="str">
        <f>$B22&amp;CHAR(10)&amp;$A$1</f>
        <v>Fishing income per kW day at sea (£)
Under 10m drift and/or fixed nets</v>
      </c>
    </row>
    <row r="50" spans="1:11" s="83" customFormat="1" x14ac:dyDescent="0.2">
      <c r="A50" s="97" t="str">
        <f>$B20&amp;CHAR(10)&amp;$A$1</f>
        <v>Average price per tonne landed (£)
Under 10m drift and/or fixed nets</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Under 10m drift and/or fixed nets</v>
      </c>
      <c r="F62" s="97" t="str">
        <f>$B20&amp;CHAR(10)&amp;$A$1</f>
        <v>Average price per tonne landed (£)
Under 10m drift and/or fixed nets</v>
      </c>
      <c r="K62" s="97" t="str">
        <f>"Average annual operating profit per vessel (£'000)"&amp;CHAR(10)&amp;$A$1</f>
        <v>Average annual operating profit per vessel (£'000)
Under 10m drift and/or fixed nets</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Under 10m drift and/or fixed nets</v>
      </c>
      <c r="F76" s="97" t="str">
        <f>"Top 5 landed species by value in "&amp;A77&amp;CHAR(10)&amp;A1</f>
        <v>Top 5 landed species by value in 2017
Under 10m drift and/or fixed nets</v>
      </c>
    </row>
    <row r="77" spans="1:9" s="97" customFormat="1" x14ac:dyDescent="0.2">
      <c r="A77" s="97">
        <v>2017</v>
      </c>
      <c r="B77" s="97" t="s">
        <v>471</v>
      </c>
      <c r="C77" s="98">
        <v>0.131987318639845</v>
      </c>
      <c r="D77" s="99">
        <v>11115023</v>
      </c>
      <c r="G77" s="97" t="s">
        <v>472</v>
      </c>
      <c r="H77" s="98">
        <v>0.28130525521844418</v>
      </c>
      <c r="I77" s="99">
        <v>12153634</v>
      </c>
    </row>
    <row r="78" spans="1:9" s="97" customFormat="1" x14ac:dyDescent="0.2">
      <c r="B78" s="97" t="s">
        <v>473</v>
      </c>
      <c r="C78" s="98">
        <v>0.13124627500260225</v>
      </c>
      <c r="D78" s="99">
        <v>553960</v>
      </c>
      <c r="G78" s="97" t="s">
        <v>474</v>
      </c>
      <c r="H78" s="98">
        <v>0.1196976488857646</v>
      </c>
      <c r="I78" s="99">
        <v>553960</v>
      </c>
    </row>
    <row r="79" spans="1:9" s="97" customFormat="1" x14ac:dyDescent="0.2">
      <c r="B79" s="97" t="s">
        <v>475</v>
      </c>
      <c r="C79" s="98">
        <v>0.1001684223471303</v>
      </c>
      <c r="D79" s="99">
        <v>2480382</v>
      </c>
      <c r="G79" s="97" t="s">
        <v>476</v>
      </c>
      <c r="H79" s="98">
        <v>7.5988754140232553E-2</v>
      </c>
      <c r="I79" s="99">
        <v>3050596</v>
      </c>
    </row>
    <row r="80" spans="1:9" s="97" customFormat="1" x14ac:dyDescent="0.2">
      <c r="B80" s="97" t="s">
        <v>477</v>
      </c>
      <c r="C80" s="98">
        <v>9.4357436899593375E-2</v>
      </c>
      <c r="D80" s="99">
        <v>12153634</v>
      </c>
      <c r="G80" s="97" t="s">
        <v>478</v>
      </c>
      <c r="H80" s="98">
        <v>7.3973236398523032E-2</v>
      </c>
      <c r="I80" s="99">
        <v>1692097</v>
      </c>
    </row>
    <row r="81" spans="1:18" s="97" customFormat="1" x14ac:dyDescent="0.2">
      <c r="B81" s="97" t="s">
        <v>479</v>
      </c>
      <c r="C81" s="98">
        <v>5.6189497647900231E-2</v>
      </c>
      <c r="D81" s="99">
        <v>7434864</v>
      </c>
      <c r="G81" s="97" t="s">
        <v>480</v>
      </c>
      <c r="H81" s="98">
        <v>6.8995677772329733E-2</v>
      </c>
      <c r="I81" s="99">
        <v>3689192</v>
      </c>
    </row>
    <row r="82" spans="1:18" s="97" customFormat="1" x14ac:dyDescent="0.2">
      <c r="B82" s="97" t="s">
        <v>481</v>
      </c>
      <c r="C82" s="98">
        <v>0.48605104946292887</v>
      </c>
      <c r="D82" s="99">
        <v>5920853</v>
      </c>
      <c r="G82" s="97" t="s">
        <v>482</v>
      </c>
      <c r="H82" s="98">
        <v>0.38003942758470588</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245</v>
      </c>
      <c r="D92" s="102">
        <v>0.32617426288632678</v>
      </c>
      <c r="E92" s="102">
        <v>0.30545222248080056</v>
      </c>
      <c r="F92" s="102">
        <v>0.33017552845678855</v>
      </c>
      <c r="G92" s="102">
        <v>0.28603418253481533</v>
      </c>
      <c r="H92" s="102">
        <v>0.26725252537690658</v>
      </c>
      <c r="I92" s="102">
        <v>0.24134412512114328</v>
      </c>
      <c r="J92" s="102">
        <v>0.29624209935649259</v>
      </c>
      <c r="K92" s="102">
        <v>0.22869990368048759</v>
      </c>
      <c r="L92" s="102">
        <v>0.28130525521844418</v>
      </c>
      <c r="M92" s="102">
        <v>0.32723553324246868</v>
      </c>
      <c r="O92" s="97">
        <v>12153634</v>
      </c>
    </row>
    <row r="93" spans="1:18" s="97" customFormat="1" hidden="1" x14ac:dyDescent="0.2">
      <c r="B93" s="97">
        <v>2</v>
      </c>
      <c r="C93" s="97" t="s">
        <v>119</v>
      </c>
      <c r="D93" s="102">
        <v>6.1563289186079465E-2</v>
      </c>
      <c r="E93" s="102"/>
      <c r="F93" s="102">
        <v>5.0579335454934662E-2</v>
      </c>
      <c r="G93" s="102">
        <v>7.7005536910007527E-2</v>
      </c>
      <c r="H93" s="102">
        <v>6.2454532922156705E-2</v>
      </c>
      <c r="I93" s="102">
        <v>5.4047954552092971E-2</v>
      </c>
      <c r="J93" s="102">
        <v>5.0494417076834365E-2</v>
      </c>
      <c r="K93" s="102">
        <v>8.4716108082951505E-2</v>
      </c>
      <c r="L93" s="102">
        <v>0.1196976488857646</v>
      </c>
      <c r="M93" s="102">
        <v>9.7859978741774739E-2</v>
      </c>
      <c r="O93" s="97">
        <v>553960</v>
      </c>
    </row>
    <row r="94" spans="1:18" s="97" customFormat="1" hidden="1" x14ac:dyDescent="0.2">
      <c r="B94" s="97">
        <v>3</v>
      </c>
      <c r="C94" s="97" t="s">
        <v>189</v>
      </c>
      <c r="D94" s="102">
        <v>0.1239800518359067</v>
      </c>
      <c r="E94" s="102">
        <v>0.13839620665580638</v>
      </c>
      <c r="F94" s="102">
        <v>0.14163898079888582</v>
      </c>
      <c r="G94" s="102">
        <v>0.16894710789383102</v>
      </c>
      <c r="H94" s="102">
        <v>0.18215810537183483</v>
      </c>
      <c r="I94" s="102">
        <v>0.28009913329530906</v>
      </c>
      <c r="J94" s="102">
        <v>0.20195406641419714</v>
      </c>
      <c r="K94" s="102">
        <v>0.14850336834647795</v>
      </c>
      <c r="L94" s="102">
        <v>7.5988754140232553E-2</v>
      </c>
      <c r="M94" s="102">
        <v>0.10397219157056223</v>
      </c>
      <c r="O94" s="97">
        <v>3050596</v>
      </c>
    </row>
    <row r="95" spans="1:18" s="97" customFormat="1" hidden="1" x14ac:dyDescent="0.2">
      <c r="B95" s="97">
        <v>4</v>
      </c>
      <c r="C95" s="97" t="s">
        <v>138</v>
      </c>
      <c r="D95" s="102"/>
      <c r="E95" s="102"/>
      <c r="F95" s="102"/>
      <c r="G95" s="102"/>
      <c r="H95" s="102"/>
      <c r="I95" s="102"/>
      <c r="J95" s="102"/>
      <c r="K95" s="102"/>
      <c r="L95" s="102">
        <v>7.3973236398523032E-2</v>
      </c>
      <c r="M95" s="102">
        <v>5.1088088500608496E-2</v>
      </c>
      <c r="O95" s="97">
        <v>1692097</v>
      </c>
    </row>
    <row r="96" spans="1:18" s="97" customFormat="1" hidden="1" x14ac:dyDescent="0.2">
      <c r="B96" s="97">
        <v>5</v>
      </c>
      <c r="C96" s="97" t="s">
        <v>121</v>
      </c>
      <c r="D96" s="102">
        <v>4.7145540138027749E-2</v>
      </c>
      <c r="E96" s="102"/>
      <c r="F96" s="102"/>
      <c r="G96" s="102">
        <v>5.2684382232463432E-2</v>
      </c>
      <c r="H96" s="102">
        <v>5.467434148375297E-2</v>
      </c>
      <c r="I96" s="102"/>
      <c r="J96" s="102"/>
      <c r="K96" s="102">
        <v>6.0500625547722453E-2</v>
      </c>
      <c r="L96" s="102">
        <v>6.8995677772329733E-2</v>
      </c>
      <c r="M96" s="102"/>
      <c r="O96" s="97">
        <v>3689192</v>
      </c>
    </row>
    <row r="97" spans="1:15" s="97" customFormat="1" hidden="1" x14ac:dyDescent="0.2">
      <c r="B97" s="97">
        <v>6</v>
      </c>
      <c r="C97" s="97" t="s">
        <v>170</v>
      </c>
      <c r="D97" s="102"/>
      <c r="E97" s="102"/>
      <c r="F97" s="102"/>
      <c r="G97" s="102"/>
      <c r="H97" s="102"/>
      <c r="I97" s="102"/>
      <c r="J97" s="102"/>
      <c r="K97" s="102"/>
      <c r="L97" s="102"/>
      <c r="M97" s="102">
        <v>4.3583338920015119E-2</v>
      </c>
      <c r="O97" s="97">
        <v>11115023</v>
      </c>
    </row>
    <row r="98" spans="1:15" s="97" customFormat="1" hidden="1" x14ac:dyDescent="0.2">
      <c r="B98" s="97">
        <v>7</v>
      </c>
      <c r="C98" s="97" t="s">
        <v>242</v>
      </c>
      <c r="D98" s="102">
        <v>4.498265965621262E-2</v>
      </c>
      <c r="E98" s="102">
        <v>4.8465406097277168E-2</v>
      </c>
      <c r="F98" s="102"/>
      <c r="G98" s="102"/>
      <c r="H98" s="102"/>
      <c r="I98" s="102">
        <v>4.2213317283214077E-2</v>
      </c>
      <c r="J98" s="102">
        <v>5.4279128604824686E-2</v>
      </c>
      <c r="K98" s="102">
        <v>5.5060288607253018E-2</v>
      </c>
      <c r="L98" s="102"/>
      <c r="M98" s="102"/>
      <c r="O98" s="97">
        <v>2480382</v>
      </c>
    </row>
    <row r="99" spans="1:15" s="97" customFormat="1" hidden="1" x14ac:dyDescent="0.2">
      <c r="B99" s="97">
        <v>8</v>
      </c>
      <c r="C99" s="97" t="s">
        <v>97</v>
      </c>
      <c r="D99" s="102"/>
      <c r="E99" s="102">
        <v>4.2985361880381663E-2</v>
      </c>
      <c r="F99" s="102">
        <v>3.8322470133288579E-2</v>
      </c>
      <c r="G99" s="102">
        <v>4.0896911495564126E-2</v>
      </c>
      <c r="H99" s="102"/>
      <c r="I99" s="102"/>
      <c r="J99" s="102">
        <v>4.8004724102963497E-2</v>
      </c>
      <c r="K99" s="102"/>
      <c r="L99" s="102"/>
      <c r="M99" s="102"/>
      <c r="O99" s="97">
        <v>7434864</v>
      </c>
    </row>
    <row r="100" spans="1:15" s="97" customFormat="1" hidden="1" x14ac:dyDescent="0.2">
      <c r="B100" s="97">
        <v>9</v>
      </c>
      <c r="C100" s="97" t="s">
        <v>230</v>
      </c>
      <c r="D100" s="102"/>
      <c r="E100" s="102"/>
      <c r="F100" s="102"/>
      <c r="G100" s="102"/>
      <c r="H100" s="102"/>
      <c r="I100" s="102">
        <v>3.7629699401983734E-2</v>
      </c>
      <c r="J100" s="102"/>
      <c r="K100" s="102"/>
      <c r="L100" s="102"/>
      <c r="M100" s="102"/>
      <c r="O100" s="97">
        <v>8497745</v>
      </c>
    </row>
    <row r="101" spans="1:15" s="97" customFormat="1" hidden="1" x14ac:dyDescent="0.2">
      <c r="B101" s="97">
        <v>10</v>
      </c>
      <c r="C101" s="97" t="s">
        <v>98</v>
      </c>
      <c r="D101" s="102"/>
      <c r="E101" s="102"/>
      <c r="F101" s="102"/>
      <c r="G101" s="102"/>
      <c r="H101" s="102">
        <v>4.4598309129760372E-2</v>
      </c>
      <c r="I101" s="102"/>
      <c r="J101" s="102"/>
      <c r="K101" s="102"/>
      <c r="L101" s="102"/>
      <c r="M101" s="102"/>
      <c r="O101" s="97">
        <v>14393110</v>
      </c>
    </row>
    <row r="102" spans="1:15" s="97" customFormat="1" hidden="1" x14ac:dyDescent="0.2">
      <c r="B102" s="97">
        <v>11</v>
      </c>
      <c r="C102" s="97" t="s">
        <v>96</v>
      </c>
      <c r="D102" s="102"/>
      <c r="E102" s="102">
        <v>5.1238567605306026E-2</v>
      </c>
      <c r="F102" s="102">
        <v>4.118137424366955E-2</v>
      </c>
      <c r="G102" s="102"/>
      <c r="H102" s="102"/>
      <c r="I102" s="102"/>
      <c r="J102" s="102"/>
      <c r="K102" s="102"/>
      <c r="L102" s="102"/>
      <c r="M102" s="102"/>
      <c r="O102" s="97">
        <v>2887140</v>
      </c>
    </row>
    <row r="103" spans="1:15" s="97" customFormat="1" hidden="1" x14ac:dyDescent="0.2">
      <c r="B103" s="97">
        <v>12</v>
      </c>
      <c r="C103" s="97" t="s">
        <v>101</v>
      </c>
      <c r="D103" s="102">
        <v>0.39615419629744664</v>
      </c>
      <c r="E103" s="102">
        <v>0.41346223528042819</v>
      </c>
      <c r="F103" s="102">
        <v>0.39810231091243281</v>
      </c>
      <c r="G103" s="102">
        <v>0.37443187893331858</v>
      </c>
      <c r="H103" s="102">
        <v>0.38886218571558856</v>
      </c>
      <c r="I103" s="102">
        <v>0.34466577034625684</v>
      </c>
      <c r="J103" s="102">
        <v>0.34902556444468774</v>
      </c>
      <c r="K103" s="102">
        <v>0.4225197057351075</v>
      </c>
      <c r="L103" s="102">
        <v>0.38003942758470588</v>
      </c>
      <c r="M103" s="102">
        <v>0.37626086902457079</v>
      </c>
      <c r="O103" s="97">
        <v>5920853</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13</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46</v>
      </c>
      <c r="D120" s="56">
        <v>92</v>
      </c>
      <c r="E120" s="56">
        <v>46</v>
      </c>
      <c r="F120" s="57">
        <v>184</v>
      </c>
    </row>
    <row r="121" spans="1:14" ht="18" customHeight="1" x14ac:dyDescent="0.2">
      <c r="A121" s="225" t="s">
        <v>23</v>
      </c>
      <c r="B121" s="30" t="s">
        <v>58</v>
      </c>
      <c r="C121" s="58">
        <v>7.9867391586303711</v>
      </c>
      <c r="D121" s="58">
        <v>7.91847825050354</v>
      </c>
      <c r="E121" s="58">
        <v>8.6547822952270508</v>
      </c>
      <c r="F121" s="59">
        <v>8.1196193695068359</v>
      </c>
    </row>
    <row r="122" spans="1:14" ht="18" customHeight="1" x14ac:dyDescent="0.2">
      <c r="A122" s="226"/>
      <c r="B122" s="33" t="s">
        <v>51</v>
      </c>
      <c r="C122" s="60">
        <v>75.847824096679687</v>
      </c>
      <c r="D122" s="60">
        <v>77.978260040283203</v>
      </c>
      <c r="E122" s="60">
        <v>91.456520080566406</v>
      </c>
      <c r="F122" s="61">
        <v>80.815216064453125</v>
      </c>
    </row>
    <row r="123" spans="1:14" ht="18" customHeight="1" x14ac:dyDescent="0.2">
      <c r="A123" s="226"/>
      <c r="B123" s="33" t="s">
        <v>52</v>
      </c>
      <c r="C123" s="60">
        <v>5.2173914909362793</v>
      </c>
      <c r="D123" s="60">
        <v>4.3152173757553101</v>
      </c>
      <c r="E123" s="60">
        <v>6.1521739959716797</v>
      </c>
      <c r="F123" s="61">
        <v>5</v>
      </c>
    </row>
    <row r="124" spans="1:14" ht="18" customHeight="1" x14ac:dyDescent="0.2">
      <c r="A124" s="226"/>
      <c r="B124" s="33" t="s">
        <v>53</v>
      </c>
      <c r="C124" s="60">
        <v>60.318008422851562</v>
      </c>
      <c r="D124" s="60">
        <v>61.887186050415039</v>
      </c>
      <c r="E124" s="60">
        <v>71.548484802246094</v>
      </c>
      <c r="F124" s="61">
        <v>63.91021728515625</v>
      </c>
    </row>
    <row r="125" spans="1:14" ht="18" customHeight="1" x14ac:dyDescent="0.2">
      <c r="A125" s="226"/>
      <c r="B125" s="33" t="s">
        <v>54</v>
      </c>
      <c r="C125" s="28">
        <v>25.164669036865234</v>
      </c>
      <c r="D125" s="28">
        <v>13.740889072418213</v>
      </c>
      <c r="E125" s="28">
        <v>10.57939338684082</v>
      </c>
      <c r="F125" s="62">
        <v>15.806460380554199</v>
      </c>
    </row>
    <row r="126" spans="1:14" ht="18" customHeight="1" x14ac:dyDescent="0.2">
      <c r="A126" s="226"/>
      <c r="B126" s="33" t="s">
        <v>59</v>
      </c>
      <c r="C126" s="28">
        <f ca="1">67.2260234375*OFFSET($L$112,MATCH($N$1,$C$112:$C$113,0)-1,0)</f>
        <v>67.226023437500004</v>
      </c>
      <c r="D126" s="28">
        <f ca="1">41.4433671875*OFFSET($L$112,MATCH($N$1,$C$112:$C$113,0)-1,0)</f>
        <v>41.443367187500002</v>
      </c>
      <c r="E126" s="28">
        <f ca="1">26.9041875*OFFSET($L$112,MATCH($N$1,$C$112:$C$113,0)-1,0)</f>
        <v>26.904187499999999</v>
      </c>
      <c r="F126" s="62">
        <f ca="1">44.25423828125*OFFSET($L$112,MATCH($N$1,$C$112:$C$113,0)-1,0)</f>
        <v>44.254238281249997</v>
      </c>
    </row>
    <row r="127" spans="1:14" ht="18" customHeight="1" x14ac:dyDescent="0.2">
      <c r="A127" s="226"/>
      <c r="B127" s="33" t="s">
        <v>56</v>
      </c>
      <c r="C127" s="60">
        <v>56.978260040283203</v>
      </c>
      <c r="D127" s="60">
        <v>89.336956024169922</v>
      </c>
      <c r="E127" s="60">
        <v>97.086959838867188</v>
      </c>
      <c r="F127" s="61">
        <v>83.184783935546875</v>
      </c>
    </row>
    <row r="128" spans="1:14" ht="18" customHeight="1" x14ac:dyDescent="0.2">
      <c r="A128" s="226"/>
      <c r="B128" s="33" t="s">
        <v>60</v>
      </c>
      <c r="C128" s="60">
        <v>22.956521987915039</v>
      </c>
      <c r="D128" s="60">
        <v>20.043478965759277</v>
      </c>
      <c r="E128" s="60">
        <v>26.456521987915039</v>
      </c>
      <c r="F128" s="61">
        <v>22.375</v>
      </c>
    </row>
    <row r="129" spans="1:14" ht="18" customHeight="1" x14ac:dyDescent="0.2">
      <c r="A129" s="226"/>
      <c r="B129" s="33" t="s">
        <v>61</v>
      </c>
      <c r="C129" s="63">
        <v>0.44165387749671936</v>
      </c>
      <c r="D129" s="63">
        <v>0.15380968508374793</v>
      </c>
      <c r="E129" s="63">
        <v>0.10896822065114975</v>
      </c>
      <c r="F129" s="64">
        <v>0.1900162398815155</v>
      </c>
    </row>
    <row r="130" spans="1:14" ht="18" customHeight="1" x14ac:dyDescent="0.2">
      <c r="A130" s="227"/>
      <c r="B130" s="35" t="s">
        <v>24</v>
      </c>
      <c r="C130" s="37">
        <f ca="1">2671.44476802046*OFFSET($L$112,MATCH($N$1,$C$112:$C$113,0)-1,0)</f>
        <v>2671.4447680204598</v>
      </c>
      <c r="D130" s="37">
        <f ca="1">3016.06154951708*OFFSET($L$112,MATCH($N$1,$C$112:$C$113,0)-1,0)</f>
        <v>3016.06154951708</v>
      </c>
      <c r="E130" s="37">
        <f ca="1">2543.07468455278*OFFSET($L$112,MATCH($N$1,$C$112:$C$113,0)-1,0)</f>
        <v>2543.0746845527801</v>
      </c>
      <c r="F130" s="65">
        <f ca="1">2800*OFFSET($L$112,MATCH($N$1,$C$112:$C$113,0)-1,0)</f>
        <v>2800</v>
      </c>
    </row>
    <row r="131" spans="1:14" ht="18" customHeight="1" x14ac:dyDescent="0.2">
      <c r="A131" s="239" t="s">
        <v>25</v>
      </c>
      <c r="B131" s="30" t="s">
        <v>62</v>
      </c>
      <c r="C131" s="66">
        <v>6.094359328120647</v>
      </c>
      <c r="D131" s="66">
        <v>1.9074632804759932</v>
      </c>
      <c r="E131" s="66">
        <v>1.2358633508147712</v>
      </c>
      <c r="F131" s="67">
        <v>2.3333151833124255</v>
      </c>
    </row>
    <row r="132" spans="1:14" ht="18" customHeight="1" x14ac:dyDescent="0.2">
      <c r="A132" s="228"/>
      <c r="B132" s="33" t="s">
        <v>63</v>
      </c>
      <c r="C132" s="63">
        <f ca="1">16.2807443415446*OFFSET($L$112,MATCH($N$1,$C$112:$C$113,0)-1,0)</f>
        <v>16.280744341544601</v>
      </c>
      <c r="D132" s="63">
        <f ca="1">5.75302665735936*OFFSET($L$112,MATCH($N$1,$C$112:$C$113,0)-1,0)</f>
        <v>5.75302665735936</v>
      </c>
      <c r="E132" s="63">
        <f ca="1">3.14289280102362*OFFSET($L$112,MATCH($N$1,$C$112:$C$113,0)-1,0)</f>
        <v>3.1428928010236201</v>
      </c>
      <c r="F132" s="64">
        <f ca="1">6.53271406890062*OFFSET($L$112,MATCH($N$1,$C$112:$C$113,0)-1,0)</f>
        <v>6.5327140689006198</v>
      </c>
    </row>
    <row r="133" spans="1:14" ht="18" customHeight="1" x14ac:dyDescent="0.2">
      <c r="A133" s="228"/>
      <c r="B133" s="33" t="s">
        <v>11</v>
      </c>
      <c r="C133" s="63">
        <f ca="1">9.6142203650946*OFFSET($L$112,MATCH($N$1,$C$112:$C$113,0)-1,0)</f>
        <v>9.6142203650945994</v>
      </c>
      <c r="D133" s="63">
        <f ca="1">3.73114006745822*OFFSET($L$112,MATCH($N$1,$C$112:$C$113,0)-1,0)</f>
        <v>3.7311400674582198</v>
      </c>
      <c r="E133" s="63">
        <f ca="1">2.32607628259638*OFFSET($L$112,MATCH($N$1,$C$112:$C$113,0)-1,0)</f>
        <v>2.3260762825963801</v>
      </c>
      <c r="F133" s="64">
        <f ca="1">4.18375362124958*OFFSET($L$112,MATCH($N$1,$C$112:$C$113,0)-1,0)</f>
        <v>4.1837536212495801</v>
      </c>
    </row>
    <row r="134" spans="1:14" ht="18" customHeight="1" x14ac:dyDescent="0.2">
      <c r="A134" s="229"/>
      <c r="B134" s="35" t="s">
        <v>12</v>
      </c>
      <c r="C134" s="68">
        <f ca="1">6.66652397644997*OFFSET($L$112,MATCH($N$1,$C$112:$C$113,0)-1,0)</f>
        <v>6.6665239764499704</v>
      </c>
      <c r="D134" s="68">
        <f ca="1">2.02188658990114*OFFSET($L$112,MATCH($N$1,$C$112:$C$113,0)-1,0)</f>
        <v>2.0218865899011398</v>
      </c>
      <c r="E134" s="68">
        <f ca="1">0.816816518427238*OFFSET($L$112,MATCH($N$1,$C$112:$C$113,0)-1,0)</f>
        <v>0.81681651842723801</v>
      </c>
      <c r="F134" s="69">
        <f ca="1">2.34896044765103*OFFSET($L$112,MATCH($N$1,$C$112:$C$113,0)-1,0)</f>
        <v>2.34896044765103</v>
      </c>
    </row>
    <row r="135" spans="1:14" ht="18" customHeight="1" x14ac:dyDescent="0.2">
      <c r="A135" s="240" t="s">
        <v>45</v>
      </c>
      <c r="B135" s="33" t="s">
        <v>102</v>
      </c>
      <c r="C135" s="70">
        <f ca="1">2.12218530273437*OFFSET($L$112,MATCH($N$1,$C$112:$C$113,0)-1,0)</f>
        <v>2.12218530273437</v>
      </c>
      <c r="D135" s="70">
        <f ca="1">3.71304968261719*OFFSET($L$112,MATCH($N$1,$C$112:$C$113,0)-1,0)</f>
        <v>3.7130496826171902</v>
      </c>
      <c r="E135" s="70">
        <f ca="1">4.87362841796875*OFFSET($L$112,MATCH($N$1,$C$112:$C$113,0)-1,0)</f>
        <v>4.8736284179687503</v>
      </c>
      <c r="F135" s="71">
        <f ca="1">3.60547827148438*OFFSET($L$112,MATCH($N$1,$C$112:$C$113,0)-1,0)</f>
        <v>3.60547827148438</v>
      </c>
    </row>
    <row r="136" spans="1:14" ht="18" customHeight="1" x14ac:dyDescent="0.2">
      <c r="A136" s="241"/>
      <c r="B136" s="33" t="s">
        <v>103</v>
      </c>
      <c r="C136" s="26">
        <v>5008.4782599560567</v>
      </c>
      <c r="D136" s="26">
        <v>8810.9780717170215</v>
      </c>
      <c r="E136" s="26">
        <v>11548.478762252955</v>
      </c>
      <c r="F136" s="72">
        <v>8544.7282608695659</v>
      </c>
    </row>
    <row r="137" spans="1:14" ht="18" customHeight="1" x14ac:dyDescent="0.2">
      <c r="A137" s="241"/>
      <c r="B137" s="33" t="s">
        <v>104</v>
      </c>
      <c r="C137" s="26">
        <v>87.901565551757813</v>
      </c>
      <c r="D137" s="26">
        <v>98.626352003007923</v>
      </c>
      <c r="E137" s="26">
        <v>118.94984436035156</v>
      </c>
      <c r="F137" s="72">
        <v>102.7198486328125</v>
      </c>
    </row>
    <row r="138" spans="1:14" ht="18" customHeight="1" x14ac:dyDescent="0.2">
      <c r="A138" s="241"/>
      <c r="B138" s="33" t="s">
        <v>105</v>
      </c>
      <c r="C138" s="26">
        <f ca="1">37.2455266488307*OFFSET($L$112,MATCH($N$1,$C$112:$C$113,0)-1,0)</f>
        <v>37.245526648830698</v>
      </c>
      <c r="D138" s="26">
        <f ca="1">41.5623035288177*OFFSET($L$112,MATCH($N$1,$C$112:$C$113,0)-1,0)</f>
        <v>41.562303528817701</v>
      </c>
      <c r="E138" s="26">
        <f ca="1">50.1985892447079*OFFSET($L$112,MATCH($N$1,$C$112:$C$113,0)-1,0)</f>
        <v>50.198589244707897</v>
      </c>
      <c r="F138" s="72">
        <f ca="1">43.3430021802781*OFFSET($L$112,MATCH($N$1,$C$112:$C$113,0)-1,0)</f>
        <v>43.343002180278098</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84.3319377507194*OFFSET($L$112,MATCH($N$1,$C$112:$C$113,0)-1,0)</f>
        <v>84.331937750719405</v>
      </c>
      <c r="D139" s="26">
        <f ca="1">270.219027535148*OFFSET($L$112,MATCH($N$1,$C$112:$C$113,0)-1,0)</f>
        <v>270.21902753514797</v>
      </c>
      <c r="E139" s="26">
        <f ca="1">460.6718211302*OFFSET($L$112,MATCH($N$1,$C$112:$C$113,0)-1,0)</f>
        <v>460.67182113019999</v>
      </c>
      <c r="F139" s="72">
        <f ca="1">228.101560038071*OFFSET($L$112,MATCH($N$1,$C$112:$C$113,0)-1,0)</f>
        <v>228.101560038071</v>
      </c>
      <c r="I139" s="49"/>
      <c r="K139" s="73" t="s">
        <v>107</v>
      </c>
      <c r="L139" s="74">
        <f t="shared" ref="L139:M141" ca="1" si="2">C140</f>
        <v>69.831109374999997</v>
      </c>
      <c r="M139" s="74">
        <f t="shared" ca="1" si="2"/>
        <v>43.049341796874998</v>
      </c>
      <c r="N139" s="74">
        <f ca="1">E140</f>
        <v>27.946753906249999</v>
      </c>
    </row>
    <row r="140" spans="1:14" ht="18" customHeight="1" x14ac:dyDescent="0.2">
      <c r="A140" s="230" t="s">
        <v>46</v>
      </c>
      <c r="B140" s="30" t="s">
        <v>108</v>
      </c>
      <c r="C140" s="75">
        <f ca="1">69.831109375*OFFSET($L$112,MATCH($N$1,$C$112:$C$113,0)-1,0)</f>
        <v>69.831109374999997</v>
      </c>
      <c r="D140" s="75">
        <f ca="1">43.049341796875*OFFSET($L$112,MATCH($N$1,$C$112:$C$113,0)-1,0)</f>
        <v>43.049341796874998</v>
      </c>
      <c r="E140" s="75">
        <f ca="1">27.94675390625*OFFSET($L$112,MATCH($N$1,$C$112:$C$113,0)-1,0)</f>
        <v>27.946753906249999</v>
      </c>
      <c r="F140" s="76">
        <f ca="1">45.96913671875*OFFSET($L$112,MATCH($N$1,$C$112:$C$113,0)-1,0)</f>
        <v>45.969136718750001</v>
      </c>
      <c r="I140" s="49"/>
      <c r="K140" s="73" t="s">
        <v>109</v>
      </c>
      <c r="L140" s="74">
        <f t="shared" ca="1" si="2"/>
        <v>42.303871093749997</v>
      </c>
      <c r="M140" s="74">
        <f t="shared" ca="1" si="2"/>
        <v>28.484175781249998</v>
      </c>
      <c r="N140" s="74">
        <f ca="1">E141</f>
        <v>20.954537109375</v>
      </c>
    </row>
    <row r="141" spans="1:14" ht="18" customHeight="1" x14ac:dyDescent="0.2">
      <c r="A141" s="237"/>
      <c r="B141" s="33" t="s">
        <v>110</v>
      </c>
      <c r="C141" s="26">
        <f ca="1">42.30387109375*OFFSET($L$112,MATCH($N$1,$C$112:$C$113,0)-1,0)</f>
        <v>42.303871093749997</v>
      </c>
      <c r="D141" s="26">
        <f ca="1">28.48417578125*OFFSET($L$112,MATCH($N$1,$C$112:$C$113,0)-1,0)</f>
        <v>28.484175781249998</v>
      </c>
      <c r="E141" s="26">
        <f ca="1">20.954537109375*OFFSET($L$112,MATCH($N$1,$C$112:$C$113,0)-1,0)</f>
        <v>20.954537109375</v>
      </c>
      <c r="F141" s="72">
        <f ca="1">30.056689453125*OFFSET($L$112,MATCH($N$1,$C$112:$C$113,0)-1,0)</f>
        <v>30.056689453124999</v>
      </c>
      <c r="I141" s="49"/>
      <c r="K141" s="73" t="s">
        <v>111</v>
      </c>
      <c r="L141" s="74">
        <f t="shared" ca="1" si="2"/>
        <v>27.52723828125</v>
      </c>
      <c r="M141" s="74">
        <f t="shared" ca="1" si="2"/>
        <v>14.565166015625</v>
      </c>
      <c r="N141" s="74">
        <f ca="1">E142</f>
        <v>6.9922167968749998</v>
      </c>
    </row>
    <row r="142" spans="1:14" ht="18" customHeight="1" x14ac:dyDescent="0.2">
      <c r="A142" s="238"/>
      <c r="B142" s="35" t="s">
        <v>112</v>
      </c>
      <c r="C142" s="37">
        <f ca="1">27.52723828125*OFFSET($L$112,MATCH($N$1,$C$112:$C$113,0)-1,0)</f>
        <v>27.52723828125</v>
      </c>
      <c r="D142" s="37">
        <f ca="1">14.565166015625*OFFSET($L$112,MATCH($N$1,$C$112:$C$113,0)-1,0)</f>
        <v>14.565166015625</v>
      </c>
      <c r="E142" s="37">
        <f ca="1">6.992216796875*OFFSET($L$112,MATCH($N$1,$C$112:$C$113,0)-1,0)</f>
        <v>6.9922167968749998</v>
      </c>
      <c r="F142" s="65">
        <f ca="1">15.9124453125*OFFSET($L$112,MATCH($N$1,$C$112:$C$113,0)-1,0)</f>
        <v>15.912445312499999</v>
      </c>
      <c r="I142" s="49"/>
      <c r="K142" s="73" t="s">
        <v>113</v>
      </c>
      <c r="L142" s="77">
        <f ca="1">IFERROR(L140/L$139,"")</f>
        <v>0.6058026497413066</v>
      </c>
      <c r="M142" s="77">
        <f t="shared" ref="M142:N143" ca="1" si="3">IFERROR(M140/M$139,"")</f>
        <v>0.66166344460387772</v>
      </c>
      <c r="N142" s="77">
        <f t="shared" ca="1" si="3"/>
        <v>0.74980218381243691</v>
      </c>
    </row>
    <row r="143" spans="1:14" ht="18" customHeight="1" x14ac:dyDescent="0.2">
      <c r="I143" s="49"/>
      <c r="K143" s="73" t="s">
        <v>114</v>
      </c>
      <c r="L143" s="77">
        <f ca="1">IFERROR(L141/L$139,"")</f>
        <v>0.39419735025869335</v>
      </c>
      <c r="M143" s="77">
        <f t="shared" ca="1" si="3"/>
        <v>0.33833655539612228</v>
      </c>
      <c r="N143" s="77">
        <f t="shared" ca="1" si="3"/>
        <v>0.25019781618756315</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12</v>
      </c>
      <c r="B161" s="53"/>
      <c r="C161" s="79" t="s">
        <v>41</v>
      </c>
      <c r="D161" s="79" t="s">
        <v>115</v>
      </c>
      <c r="E161" s="79" t="s">
        <v>43</v>
      </c>
      <c r="F161" s="79" t="s">
        <v>116</v>
      </c>
      <c r="G161" s="80">
        <v>9</v>
      </c>
      <c r="H161" s="79"/>
      <c r="I161" s="79" t="s">
        <v>41</v>
      </c>
      <c r="J161" s="79" t="s">
        <v>115</v>
      </c>
      <c r="K161" s="79" t="s">
        <v>43</v>
      </c>
      <c r="L161" s="53" t="s">
        <v>116</v>
      </c>
    </row>
    <row r="162" spans="1:14" s="49" customFormat="1" x14ac:dyDescent="0.2">
      <c r="A162" s="50">
        <v>1</v>
      </c>
      <c r="B162" s="53" t="s">
        <v>242</v>
      </c>
      <c r="C162" s="53">
        <v>0</v>
      </c>
      <c r="D162" s="53">
        <v>0.25482799163780195</v>
      </c>
      <c r="E162" s="53">
        <v>0.2037936293192236</v>
      </c>
      <c r="F162" s="50">
        <v>2480382</v>
      </c>
      <c r="G162" s="50">
        <v>1</v>
      </c>
      <c r="H162" s="53" t="s">
        <v>245</v>
      </c>
      <c r="I162" s="53">
        <v>0.2046672026492603</v>
      </c>
      <c r="J162" s="53">
        <v>0.38938513852421269</v>
      </c>
      <c r="K162" s="53">
        <v>0.35382673971752698</v>
      </c>
      <c r="L162" s="50">
        <v>12153634</v>
      </c>
    </row>
    <row r="163" spans="1:14" s="49" customFormat="1" x14ac:dyDescent="0.2">
      <c r="A163" s="50">
        <v>2</v>
      </c>
      <c r="B163" s="53" t="s">
        <v>98</v>
      </c>
      <c r="C163" s="53">
        <v>3.8762332390895438E-2</v>
      </c>
      <c r="D163" s="53">
        <v>0.1306429306467066</v>
      </c>
      <c r="E163" s="53">
        <v>0</v>
      </c>
      <c r="F163" s="50">
        <v>8497745</v>
      </c>
      <c r="G163" s="50">
        <v>2</v>
      </c>
      <c r="H163" s="53" t="s">
        <v>121</v>
      </c>
      <c r="I163" s="53">
        <v>7.0182236483435995E-2</v>
      </c>
      <c r="J163" s="53">
        <v>0.10119607656109135</v>
      </c>
      <c r="K163" s="53">
        <v>0</v>
      </c>
      <c r="L163" s="50">
        <v>3689192</v>
      </c>
      <c r="N163" s="49" t="s">
        <v>117</v>
      </c>
    </row>
    <row r="164" spans="1:14" s="49" customFormat="1" x14ac:dyDescent="0.2">
      <c r="A164" s="50">
        <v>3</v>
      </c>
      <c r="B164" s="53" t="s">
        <v>119</v>
      </c>
      <c r="C164" s="53">
        <v>0.2407150569559604</v>
      </c>
      <c r="D164" s="53">
        <v>9.7889482631461161E-2</v>
      </c>
      <c r="E164" s="53">
        <v>0</v>
      </c>
      <c r="F164" s="50">
        <v>553960</v>
      </c>
      <c r="G164" s="50">
        <v>3</v>
      </c>
      <c r="H164" s="53" t="s">
        <v>189</v>
      </c>
      <c r="I164" s="53">
        <v>8.7518885852258019E-2</v>
      </c>
      <c r="J164" s="53">
        <v>7.9443501160060312E-2</v>
      </c>
      <c r="K164" s="53">
        <v>8.0195288598082698E-2</v>
      </c>
      <c r="L164" s="50">
        <v>3050596</v>
      </c>
      <c r="N164" s="49" t="s">
        <v>118</v>
      </c>
    </row>
    <row r="165" spans="1:14" s="49" customFormat="1" x14ac:dyDescent="0.2">
      <c r="A165" s="50">
        <v>4</v>
      </c>
      <c r="B165" s="53" t="s">
        <v>245</v>
      </c>
      <c r="C165" s="53">
        <v>4.7115659707052296E-2</v>
      </c>
      <c r="D165" s="53">
        <v>9.1350447629978765E-2</v>
      </c>
      <c r="E165" s="53">
        <v>0.14139937275720441</v>
      </c>
      <c r="F165" s="50">
        <v>12153634</v>
      </c>
      <c r="G165" s="50">
        <v>4</v>
      </c>
      <c r="H165" s="53" t="s">
        <v>119</v>
      </c>
      <c r="I165" s="53">
        <v>0.22842743481030736</v>
      </c>
      <c r="J165" s="53">
        <v>7.7732871017759789E-2</v>
      </c>
      <c r="K165" s="53">
        <v>0</v>
      </c>
      <c r="L165" s="50">
        <v>553960</v>
      </c>
    </row>
    <row r="166" spans="1:14" s="49" customFormat="1" x14ac:dyDescent="0.2">
      <c r="A166" s="50">
        <v>5</v>
      </c>
      <c r="B166" s="53" t="s">
        <v>263</v>
      </c>
      <c r="C166" s="53">
        <v>0</v>
      </c>
      <c r="D166" s="53">
        <v>8.1410244045627425E-2</v>
      </c>
      <c r="E166" s="53">
        <v>0</v>
      </c>
      <c r="F166" s="50">
        <v>14393110</v>
      </c>
      <c r="G166" s="50">
        <v>5</v>
      </c>
      <c r="H166" s="53" t="s">
        <v>138</v>
      </c>
      <c r="I166" s="53">
        <v>9.7572151592718884E-2</v>
      </c>
      <c r="J166" s="53">
        <v>7.1881257644706723E-2</v>
      </c>
      <c r="K166" s="53">
        <v>6.0955637167056417E-2</v>
      </c>
      <c r="L166" s="50">
        <v>1692097</v>
      </c>
    </row>
    <row r="167" spans="1:14" s="49" customFormat="1" x14ac:dyDescent="0.2">
      <c r="A167" s="50">
        <v>6</v>
      </c>
      <c r="B167" s="53" t="s">
        <v>170</v>
      </c>
      <c r="C167" s="53">
        <v>0</v>
      </c>
      <c r="D167" s="53">
        <v>0</v>
      </c>
      <c r="E167" s="53">
        <v>9.904426588061066E-2</v>
      </c>
      <c r="F167" s="50">
        <v>7434864</v>
      </c>
      <c r="G167" s="50">
        <v>6</v>
      </c>
      <c r="H167" s="53" t="s">
        <v>242</v>
      </c>
      <c r="I167" s="53">
        <v>0</v>
      </c>
      <c r="J167" s="53">
        <v>0</v>
      </c>
      <c r="K167" s="53">
        <v>9.2226996190404087E-2</v>
      </c>
      <c r="L167" s="50">
        <v>2480382</v>
      </c>
    </row>
    <row r="168" spans="1:14" s="49" customFormat="1" x14ac:dyDescent="0.2">
      <c r="A168" s="50">
        <v>7</v>
      </c>
      <c r="B168" s="53" t="s">
        <v>100</v>
      </c>
      <c r="C168" s="53">
        <v>0</v>
      </c>
      <c r="D168" s="53">
        <v>0</v>
      </c>
      <c r="E168" s="53">
        <v>8.2061289680519053E-2</v>
      </c>
      <c r="F168" s="50">
        <v>2887140</v>
      </c>
      <c r="G168" s="50">
        <v>7</v>
      </c>
      <c r="H168" s="53" t="s">
        <v>96</v>
      </c>
      <c r="I168" s="53">
        <v>0</v>
      </c>
      <c r="J168" s="53">
        <v>0</v>
      </c>
      <c r="K168" s="53">
        <v>8.1065755598661665E-2</v>
      </c>
      <c r="L168" s="50">
        <v>15057844</v>
      </c>
    </row>
    <row r="169" spans="1:14" s="49" customFormat="1" x14ac:dyDescent="0.2">
      <c r="A169" s="50">
        <v>8</v>
      </c>
      <c r="B169" s="53" t="s">
        <v>96</v>
      </c>
      <c r="C169" s="53">
        <v>0</v>
      </c>
      <c r="D169" s="53">
        <v>0</v>
      </c>
      <c r="E169" s="53">
        <v>7.7239161587637148E-2</v>
      </c>
      <c r="F169" s="50">
        <v>15057844</v>
      </c>
      <c r="G169" s="50">
        <v>8</v>
      </c>
      <c r="H169" s="53" t="s">
        <v>101</v>
      </c>
      <c r="I169" s="53">
        <v>0.31163208861201941</v>
      </c>
      <c r="J169" s="53">
        <v>0.28036115509216908</v>
      </c>
      <c r="K169" s="53">
        <v>0.33172958272826814</v>
      </c>
      <c r="L169" s="50">
        <v>5920853</v>
      </c>
    </row>
    <row r="170" spans="1:14" s="49" customFormat="1" x14ac:dyDescent="0.2">
      <c r="A170" s="50">
        <v>9</v>
      </c>
      <c r="B170" s="53" t="s">
        <v>192</v>
      </c>
      <c r="C170" s="53">
        <v>0.32970734124002554</v>
      </c>
      <c r="D170" s="53">
        <v>0</v>
      </c>
      <c r="E170" s="53">
        <v>0</v>
      </c>
      <c r="F170" s="50">
        <v>11115023</v>
      </c>
      <c r="G170" s="50">
        <v>9</v>
      </c>
      <c r="H170" s="53"/>
      <c r="I170" s="53">
        <v>0</v>
      </c>
      <c r="J170" s="53">
        <v>0</v>
      </c>
      <c r="K170" s="53">
        <v>0</v>
      </c>
      <c r="L170" s="50"/>
    </row>
    <row r="171" spans="1:14" s="49" customFormat="1" x14ac:dyDescent="0.2">
      <c r="A171" s="50">
        <v>10</v>
      </c>
      <c r="B171" s="53" t="s">
        <v>121</v>
      </c>
      <c r="C171" s="53">
        <v>4.4913467761231771E-2</v>
      </c>
      <c r="D171" s="53">
        <v>0</v>
      </c>
      <c r="E171" s="53">
        <v>0</v>
      </c>
      <c r="F171" s="50">
        <v>3689192</v>
      </c>
      <c r="G171" s="50">
        <v>10</v>
      </c>
      <c r="H171" s="53"/>
      <c r="I171" s="53">
        <v>0</v>
      </c>
      <c r="J171" s="53">
        <v>0</v>
      </c>
      <c r="K171" s="53">
        <v>0</v>
      </c>
      <c r="L171" s="50"/>
    </row>
    <row r="172" spans="1:14" s="49" customFormat="1" x14ac:dyDescent="0.2">
      <c r="A172" s="50">
        <v>11</v>
      </c>
      <c r="B172" s="53" t="s">
        <v>101</v>
      </c>
      <c r="C172" s="53">
        <v>0.29878614194483455</v>
      </c>
      <c r="D172" s="53">
        <v>0.34387890340842409</v>
      </c>
      <c r="E172" s="53">
        <v>0.39646228077480516</v>
      </c>
      <c r="F172" s="50">
        <v>5920853</v>
      </c>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'U10m drift-fixed nets'!D3:N3</xm:f>
              <xm:sqref>C3</xm:sqref>
            </x14:sparkline>
            <x14:sparkline>
              <xm:f>'U10m drift-fixed nets'!D4:N4</xm:f>
              <xm:sqref>C4</xm:sqref>
            </x14:sparkline>
            <x14:sparkline>
              <xm:f>'U10m drift-fixed nets'!D5:N5</xm:f>
              <xm:sqref>C5</xm:sqref>
            </x14:sparkline>
            <x14:sparkline>
              <xm:f>'U10m drift-fixed nets'!D6:N6</xm:f>
              <xm:sqref>C6</xm:sqref>
            </x14:sparkline>
            <x14:sparkline>
              <xm:f>'U10m drift-fixed nets'!D7:N7</xm:f>
              <xm:sqref>C7</xm:sqref>
            </x14:sparkline>
            <x14:sparkline>
              <xm:f>'U10m drift-fixed nets'!D8:N8</xm:f>
              <xm:sqref>C8</xm:sqref>
            </x14:sparkline>
            <x14:sparkline>
              <xm:f>'U10m drift-fixed nets'!D9:N9</xm:f>
              <xm:sqref>C9</xm:sqref>
            </x14:sparkline>
            <x14:sparkline>
              <xm:f>'U10m drift-fixed nets'!F10:M10</xm:f>
              <xm:sqref>C10</xm:sqref>
            </x14:sparkline>
            <x14:sparkline>
              <xm:f>'U10m drift-fixed nets'!D11:N11</xm:f>
              <xm:sqref>C11</xm:sqref>
            </x14:sparkline>
            <x14:sparkline>
              <xm:f>'U10m drift-fixed nets'!D12:N12</xm:f>
              <xm:sqref>C12</xm:sqref>
            </x14:sparkline>
            <x14:sparkline>
              <xm:f>'U10m drift-fixed nets'!D13:N13</xm:f>
              <xm:sqref>C13</xm:sqref>
            </x14:sparkline>
            <x14:sparkline>
              <xm:f>'U10m drift-fixed nets'!D14:N14</xm:f>
              <xm:sqref>C14</xm:sqref>
            </x14:sparkline>
            <x14:sparkline>
              <xm:f>'U10m drift-fixed nets'!D15:N15</xm:f>
              <xm:sqref>C15</xm:sqref>
            </x14:sparkline>
            <x14:sparkline>
              <xm:f>'U10m drift-fixed nets'!D16:N16</xm:f>
              <xm:sqref>C16</xm:sqref>
            </x14:sparkline>
            <x14:sparkline>
              <xm:f>'U10m drift-fixed nets'!D17:N17</xm:f>
              <xm:sqref>C17</xm:sqref>
            </x14:sparkline>
            <x14:sparkline>
              <xm:f>'U10m drift-fixed nets'!D18:N18</xm:f>
              <xm:sqref>C18</xm:sqref>
            </x14:sparkline>
            <x14:sparkline>
              <xm:f>'U10m drift-fixed nets'!D19:N19</xm:f>
              <xm:sqref>C19</xm:sqref>
            </x14:sparkline>
            <x14:sparkline>
              <xm:f>'U10m drift-fixed nets'!D20:N20</xm:f>
              <xm:sqref>C20</xm:sqref>
            </x14:sparkline>
            <x14:sparkline>
              <xm:f>'U10m drift-fixed nets'!D21:N21</xm:f>
              <xm:sqref>C21</xm:sqref>
            </x14:sparkline>
            <x14:sparkline>
              <xm:f>'U10m drift-fixed nets'!D22:N22</xm:f>
              <xm:sqref>C22</xm:sqref>
            </x14:sparkline>
            <x14:sparkline>
              <xm:f>'U10m drift-fixed nets'!D23:N23</xm:f>
              <xm:sqref>C23</xm:sqref>
            </x14:sparkline>
            <x14:sparkline>
              <xm:f>'U10m drift-fixed nets'!D24:N24</xm:f>
              <xm:sqref>C24</xm:sqref>
            </x14:sparkline>
            <x14:sparkline>
              <xm:f>'U10m drift-fixed nets'!F25:M25</xm:f>
              <xm:sqref>C25</xm:sqref>
            </x14:sparkline>
            <x14:sparkline>
              <xm:f>'U10m drift-fixed nets'!F26:M26</xm:f>
              <xm:sqref>C26</xm:sqref>
            </x14:sparkline>
            <x14:sparkline>
              <xm:f>'U10m drift-fixed nets'!D27:N27</xm:f>
              <xm:sqref>C27</xm:sqref>
            </x14:sparkline>
            <x14:sparkline>
              <xm:f>'U10m drift-fixed nets'!D28:N28</xm:f>
              <xm:sqref>C28</xm:sqref>
            </x14:sparkline>
            <x14:sparkline>
              <xm:f>'U10m drift-fixed nets'!D29:N29</xm:f>
              <xm:sqref>C29</xm:sqref>
            </x14:sparkline>
            <x14:sparkline>
              <xm:f>'U10m drift-fixed nets'!D30:N30</xm:f>
              <xm:sqref>C30</xm:sqref>
            </x14:sparkline>
            <x14:sparkline>
              <xm:f>'U10m drift-fixed nets'!D31:N31</xm:f>
              <xm:sqref>C31</xm:sqref>
            </x14:sparkline>
            <x14:sparkline>
              <xm:f>'U10m drift-fixed nets'!D32:N32</xm:f>
              <xm:sqref>C32</xm:sqref>
            </x14:sparkline>
            <x14:sparkline>
              <xm:f>'U10m drift-fixed nets'!D33:N33</xm:f>
              <xm:sqref>C33</xm:sqref>
            </x14:sparkline>
            <x14:sparkline>
              <xm:f>'U10m drift-fixed nets'!D34:N34</xm:f>
              <xm:sqref>C34</xm:sqref>
            </x14:sparkline>
            <x14:sparkline>
              <xm:f>'U10m drift-fixed nets'!D35:N35</xm:f>
              <xm:sqref>C35</xm:sqref>
            </x14:sparkline>
            <x14:sparkline>
              <xm:f>'U10m drift-fixed nets'!D36:N36</xm:f>
              <xm:sqref>C36</xm:sqref>
            </x14:sparkline>
            <x14:sparkline>
              <xm:f>'U10m drift-fixed nets'!D37:N37</xm:f>
              <xm:sqref>C37</xm:sqref>
            </x14:sparkline>
            <x14:sparkline>
              <xm:f>'U10m drift-fixed nets'!D38:M38</xm:f>
              <xm:sqref>C38</xm:sqref>
            </x14:sparkline>
            <x14:sparkline>
              <xm:f>'U10m drift-fixed nets'!D39:M39</xm:f>
              <xm:sqref>C39</xm:sqref>
            </x14:sparkline>
            <x14:sparkline>
              <xm:f>'U10m drift-fixed nets'!D40:M40</xm:f>
              <xm:sqref>C40</xm:sqref>
            </x14:sparkline>
            <x14:sparkline>
              <xm:f>'U10m drift-fixed nets'!D41:M41</xm:f>
              <xm:sqref>C41</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483</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1069</v>
      </c>
      <c r="E3" s="22">
        <v>988</v>
      </c>
      <c r="F3" s="22">
        <v>1008</v>
      </c>
      <c r="G3" s="22">
        <v>1088</v>
      </c>
      <c r="H3" s="22">
        <v>1079</v>
      </c>
      <c r="I3" s="22">
        <v>1003</v>
      </c>
      <c r="J3" s="22">
        <v>1042</v>
      </c>
      <c r="K3" s="22">
        <v>1010</v>
      </c>
      <c r="L3" s="22">
        <v>1087</v>
      </c>
      <c r="M3" s="22">
        <v>1155</v>
      </c>
      <c r="N3" s="22">
        <v>1113</v>
      </c>
      <c r="O3" s="23">
        <f t="shared" ref="O3:O41" si="0">IF(N3=0,"",IFERROR(IF(AND(N3&gt;0,D3&lt;0),"na",IF(AND(N3&lt;0,D3&lt;0),-1,1)*(N3-D3)/D3),""))</f>
        <v>4.11599625818522E-2</v>
      </c>
      <c r="P3" s="23">
        <f>IF(N3=0,"",IFERROR(IF(AND(N3&gt;0,J3&lt;0),"na",IF(AND(N3&lt;0,J3&lt;0),-1,1)*(N3-J3)/J3),""))</f>
        <v>6.8138195777351251E-2</v>
      </c>
    </row>
    <row r="4" spans="1:17" ht="18" customHeight="1" x14ac:dyDescent="0.2">
      <c r="A4" s="224"/>
      <c r="B4" s="24" t="s">
        <v>51</v>
      </c>
      <c r="C4" s="25"/>
      <c r="D4" s="26">
        <v>80801</v>
      </c>
      <c r="E4" s="26">
        <v>76096</v>
      </c>
      <c r="F4" s="26">
        <v>76452</v>
      </c>
      <c r="G4" s="26">
        <v>81680</v>
      </c>
      <c r="H4" s="26">
        <v>81875</v>
      </c>
      <c r="I4" s="26">
        <v>79672</v>
      </c>
      <c r="J4" s="26">
        <v>81501</v>
      </c>
      <c r="K4" s="26">
        <v>79954</v>
      </c>
      <c r="L4" s="26">
        <v>84992</v>
      </c>
      <c r="M4" s="26">
        <v>89325</v>
      </c>
      <c r="N4" s="26">
        <v>87263</v>
      </c>
      <c r="O4" s="23">
        <f t="shared" si="0"/>
        <v>7.9974257744334851E-2</v>
      </c>
      <c r="P4" s="23">
        <f t="shared" ref="P4:P41" si="1">IF(N4=0,"",IFERROR(IF(AND(N4&gt;0,J4&lt;0),"na",IF(AND(N4&lt;0,J4&lt;0),-1,1)*(N4-J4)/J4),""))</f>
        <v>7.0698519036576243E-2</v>
      </c>
    </row>
    <row r="5" spans="1:17" ht="18" customHeight="1" x14ac:dyDescent="0.2">
      <c r="A5" s="224"/>
      <c r="B5" s="24" t="s">
        <v>52</v>
      </c>
      <c r="C5" s="25"/>
      <c r="D5" s="26">
        <v>4701.740234375</v>
      </c>
      <c r="E5" s="26">
        <v>4462.2998046875</v>
      </c>
      <c r="F5" s="26">
        <v>4496.72021484375</v>
      </c>
      <c r="G5" s="26">
        <v>4735.60986328125</v>
      </c>
      <c r="H5" s="26">
        <v>4724.68017578125</v>
      </c>
      <c r="I5" s="26">
        <v>4658.35986328125</v>
      </c>
      <c r="J5" s="26">
        <v>4688.240234375</v>
      </c>
      <c r="K5" s="26">
        <v>4582.5400390625</v>
      </c>
      <c r="L5" s="26">
        <v>4890.75</v>
      </c>
      <c r="M5" s="26">
        <v>5079.009765625</v>
      </c>
      <c r="N5" s="26">
        <v>4942.419921875</v>
      </c>
      <c r="O5" s="23">
        <f t="shared" si="0"/>
        <v>5.1189490593368227E-2</v>
      </c>
      <c r="P5" s="23">
        <f t="shared" si="1"/>
        <v>5.4216438320781844E-2</v>
      </c>
      <c r="Q5" s="27"/>
    </row>
    <row r="6" spans="1:17" ht="18" customHeight="1" x14ac:dyDescent="0.2">
      <c r="A6" s="224"/>
      <c r="B6" s="24" t="s">
        <v>53</v>
      </c>
      <c r="C6" s="25"/>
      <c r="D6" s="26">
        <v>62956.0625</v>
      </c>
      <c r="E6" s="26">
        <v>59352.046875</v>
      </c>
      <c r="F6" s="26">
        <v>59978.75390625</v>
      </c>
      <c r="G6" s="26">
        <v>63889.46484375</v>
      </c>
      <c r="H6" s="26">
        <v>64152.26953125</v>
      </c>
      <c r="I6" s="26">
        <v>62239.25390625</v>
      </c>
      <c r="J6" s="26">
        <v>63564.30859375</v>
      </c>
      <c r="K6" s="26">
        <v>62250.2421875</v>
      </c>
      <c r="L6" s="26">
        <v>66249.8671875</v>
      </c>
      <c r="M6" s="26">
        <v>69881.0390625</v>
      </c>
      <c r="N6" s="26">
        <v>67840.953125</v>
      </c>
      <c r="O6" s="23">
        <f t="shared" si="0"/>
        <v>7.7592060732832521E-2</v>
      </c>
      <c r="P6" s="23">
        <f t="shared" si="1"/>
        <v>6.7280595445200889E-2</v>
      </c>
    </row>
    <row r="7" spans="1:17" ht="18" customHeight="1" x14ac:dyDescent="0.2">
      <c r="A7" s="224"/>
      <c r="B7" s="24" t="s">
        <v>54</v>
      </c>
      <c r="C7" s="25"/>
      <c r="D7" s="26">
        <v>20239.806640625</v>
      </c>
      <c r="E7" s="26">
        <v>18995.2578125</v>
      </c>
      <c r="F7" s="26">
        <v>21127.96484375</v>
      </c>
      <c r="G7" s="26">
        <v>21844.70703125</v>
      </c>
      <c r="H7" s="26">
        <v>25485.478515625</v>
      </c>
      <c r="I7" s="26">
        <v>26531.9296875</v>
      </c>
      <c r="J7" s="26">
        <v>26448.16015625</v>
      </c>
      <c r="K7" s="26">
        <v>24581.017578125</v>
      </c>
      <c r="L7" s="26">
        <v>27517.544921875</v>
      </c>
      <c r="M7" s="26">
        <v>26467.4375</v>
      </c>
      <c r="N7" s="26">
        <v>20408.4296875</v>
      </c>
      <c r="O7" s="23">
        <f t="shared" si="0"/>
        <v>8.3312577965316461E-3</v>
      </c>
      <c r="P7" s="23">
        <f t="shared" si="1"/>
        <v>-0.22836108194553348</v>
      </c>
    </row>
    <row r="8" spans="1:17" ht="18" customHeight="1" x14ac:dyDescent="0.2">
      <c r="A8" s="224"/>
      <c r="B8" s="24" t="s">
        <v>55</v>
      </c>
      <c r="C8" s="27"/>
      <c r="D8" s="28">
        <f ca="1">58.850056*OFFSET(D$112,MATCH($N$1,$C$112:$C$113,0)-1,0)</f>
        <v>58.850056000000002</v>
      </c>
      <c r="E8" s="28">
        <f ca="1">51.076488*OFFSET(E$112,MATCH($N$1,$C$112:$C$113,0)-1,0)</f>
        <v>51.076487999999998</v>
      </c>
      <c r="F8" s="28">
        <f ca="1">54.048908*OFFSET(F$112,MATCH($N$1,$C$112:$C$113,0)-1,0)</f>
        <v>54.048907999999997</v>
      </c>
      <c r="G8" s="28">
        <f ca="1">59.080584*OFFSET(G$112,MATCH($N$1,$C$112:$C$113,0)-1,0)</f>
        <v>59.080584000000002</v>
      </c>
      <c r="H8" s="28">
        <f ca="1">59.600312*OFFSET(H$112,MATCH($N$1,$C$112:$C$113,0)-1,0)</f>
        <v>59.600312000000002</v>
      </c>
      <c r="I8" s="28">
        <f ca="1">56.884856*OFFSET(I$112,MATCH($N$1,$C$112:$C$113,0)-1,0)</f>
        <v>56.884855999999999</v>
      </c>
      <c r="J8" s="28">
        <f ca="1">60.362692*OFFSET(J$112,MATCH($N$1,$C$112:$C$113,0)-1,0)</f>
        <v>60.362692000000003</v>
      </c>
      <c r="K8" s="28">
        <f ca="1">56.22368*OFFSET(K$112,MATCH($N$1,$C$112:$C$113,0)-1,0)</f>
        <v>56.223680000000002</v>
      </c>
      <c r="L8" s="28">
        <f ca="1">69.975064*OFFSET(L$112,MATCH($N$1,$C$112:$C$113,0)-1,0)</f>
        <v>69.975064000000003</v>
      </c>
      <c r="M8" s="28">
        <f ca="1">69.794256*OFFSET(M$112,MATCH($N$1,$C$112:$C$113,0)-1,0)</f>
        <v>69.794256000000004</v>
      </c>
      <c r="N8" s="28">
        <v>70.22105599999999</v>
      </c>
      <c r="O8" s="23">
        <f t="shared" ca="1" si="0"/>
        <v>0.19321986711448477</v>
      </c>
      <c r="P8" s="23">
        <f t="shared" ca="1" si="1"/>
        <v>0.16331882613850268</v>
      </c>
    </row>
    <row r="9" spans="1:17" ht="18" customHeight="1" x14ac:dyDescent="0.2">
      <c r="A9" s="224"/>
      <c r="B9" s="24" t="s">
        <v>56</v>
      </c>
      <c r="C9" s="27"/>
      <c r="D9" s="26">
        <v>125315</v>
      </c>
      <c r="E9" s="26">
        <v>112530</v>
      </c>
      <c r="F9" s="26">
        <v>114543</v>
      </c>
      <c r="G9" s="26">
        <v>119146</v>
      </c>
      <c r="H9" s="26">
        <v>117974</v>
      </c>
      <c r="I9" s="26">
        <v>111547</v>
      </c>
      <c r="J9" s="26">
        <v>131019</v>
      </c>
      <c r="K9" s="26">
        <v>137058</v>
      </c>
      <c r="L9" s="26">
        <v>135756</v>
      </c>
      <c r="M9" s="26">
        <v>98768</v>
      </c>
      <c r="N9" s="26">
        <v>90787</v>
      </c>
      <c r="O9" s="23">
        <f t="shared" si="0"/>
        <v>-0.27552966524358619</v>
      </c>
      <c r="P9" s="23">
        <f t="shared" si="1"/>
        <v>-0.30706996695135819</v>
      </c>
    </row>
    <row r="10" spans="1:17" ht="18" customHeight="1" x14ac:dyDescent="0.2">
      <c r="A10" s="224"/>
      <c r="B10" s="24" t="s">
        <v>57</v>
      </c>
      <c r="C10" s="27"/>
      <c r="D10" s="26"/>
      <c r="E10" s="26">
        <v>885.4342041015625</v>
      </c>
      <c r="F10" s="26">
        <v>864.8145751953125</v>
      </c>
      <c r="G10" s="26">
        <v>873.21148681640625</v>
      </c>
      <c r="H10" s="26">
        <v>919.24298095703125</v>
      </c>
      <c r="I10" s="26">
        <v>950.63067626953125</v>
      </c>
      <c r="J10" s="26">
        <v>897.6907958984375</v>
      </c>
      <c r="K10" s="26">
        <v>982.82916259765625</v>
      </c>
      <c r="L10" s="26">
        <v>1060.8310546875</v>
      </c>
      <c r="M10" s="26">
        <v>1125.1729736328125</v>
      </c>
      <c r="N10" s="26">
        <v>694.183349609375</v>
      </c>
      <c r="O10" s="29" t="str">
        <f t="shared" si="0"/>
        <v/>
      </c>
      <c r="P10" s="29">
        <f t="shared" si="1"/>
        <v>-0.22670105031586715</v>
      </c>
    </row>
    <row r="11" spans="1:17" ht="18" customHeight="1" x14ac:dyDescent="0.2">
      <c r="A11" s="225" t="s">
        <v>23</v>
      </c>
      <c r="B11" s="30" t="s">
        <v>58</v>
      </c>
      <c r="C11" s="31"/>
      <c r="D11" s="32">
        <v>7.9482040405273437</v>
      </c>
      <c r="E11" s="32">
        <v>8.0153646469116211</v>
      </c>
      <c r="F11" s="32">
        <v>7.9866466522216797</v>
      </c>
      <c r="G11" s="32">
        <v>7.9218473434448242</v>
      </c>
      <c r="H11" s="32">
        <v>7.9628171920776367</v>
      </c>
      <c r="I11" s="32">
        <v>8.0794916152954102</v>
      </c>
      <c r="J11" s="32">
        <v>7.995201587677002</v>
      </c>
      <c r="K11" s="32">
        <v>8.016693115234375</v>
      </c>
      <c r="L11" s="32">
        <v>7.973238468170166</v>
      </c>
      <c r="M11" s="32">
        <v>7.9239997863769531</v>
      </c>
      <c r="N11" s="32">
        <v>7.9177179336547852</v>
      </c>
      <c r="O11" s="23">
        <f t="shared" si="0"/>
        <v>-3.8355969118447435E-3</v>
      </c>
      <c r="P11" s="23">
        <f t="shared" si="1"/>
        <v>-9.6912695912060916E-3</v>
      </c>
    </row>
    <row r="12" spans="1:17" ht="18" customHeight="1" x14ac:dyDescent="0.2">
      <c r="A12" s="226"/>
      <c r="B12" s="33" t="s">
        <v>51</v>
      </c>
      <c r="C12" s="25"/>
      <c r="D12" s="26">
        <v>75.585594177246094</v>
      </c>
      <c r="E12" s="26">
        <v>77.020240783691406</v>
      </c>
      <c r="F12" s="26">
        <v>75.845237731933594</v>
      </c>
      <c r="G12" s="26">
        <v>75.073532104492187</v>
      </c>
      <c r="H12" s="26">
        <v>75.880447387695312</v>
      </c>
      <c r="I12" s="26">
        <v>79.433700561523438</v>
      </c>
      <c r="J12" s="26">
        <v>78.215927124023438</v>
      </c>
      <c r="K12" s="26">
        <v>79.162376403808594</v>
      </c>
      <c r="L12" s="26">
        <v>78.18951416015625</v>
      </c>
      <c r="M12" s="26">
        <v>77.337661743164062</v>
      </c>
      <c r="N12" s="26">
        <v>78.403411865234375</v>
      </c>
      <c r="O12" s="23">
        <f t="shared" si="0"/>
        <v>3.7279824530856737E-2</v>
      </c>
      <c r="P12" s="23">
        <f t="shared" si="1"/>
        <v>2.3970148805325989E-3</v>
      </c>
    </row>
    <row r="13" spans="1:17" ht="18" customHeight="1" x14ac:dyDescent="0.2">
      <c r="A13" s="226"/>
      <c r="B13" s="33" t="s">
        <v>52</v>
      </c>
      <c r="C13" s="25"/>
      <c r="D13" s="26">
        <v>4.3982601165771484</v>
      </c>
      <c r="E13" s="26">
        <v>4.5164980888366699</v>
      </c>
      <c r="F13" s="26">
        <v>4.4610319137573242</v>
      </c>
      <c r="G13" s="26">
        <v>4.3525829315185547</v>
      </c>
      <c r="H13" s="26">
        <v>4.3787579536437988</v>
      </c>
      <c r="I13" s="26">
        <v>4.6444268226623535</v>
      </c>
      <c r="J13" s="26">
        <v>4.4992704391479492</v>
      </c>
      <c r="K13" s="26">
        <v>4.5416650772094727</v>
      </c>
      <c r="L13" s="26">
        <v>4.503453254699707</v>
      </c>
      <c r="M13" s="26">
        <v>4.4088630676269531</v>
      </c>
      <c r="N13" s="26">
        <v>4.4486227035522461</v>
      </c>
      <c r="O13" s="23">
        <f t="shared" si="0"/>
        <v>1.1450570371061014E-2</v>
      </c>
      <c r="P13" s="23">
        <f t="shared" si="1"/>
        <v>-1.1256877371722193E-2</v>
      </c>
    </row>
    <row r="14" spans="1:17" ht="18" customHeight="1" x14ac:dyDescent="0.2">
      <c r="A14" s="226"/>
      <c r="B14" s="33" t="s">
        <v>53</v>
      </c>
      <c r="C14" s="25"/>
      <c r="D14" s="26">
        <v>58.892478942871094</v>
      </c>
      <c r="E14" s="26">
        <v>60.072921752929687</v>
      </c>
      <c r="F14" s="26">
        <v>59.502731323242188</v>
      </c>
      <c r="G14" s="26">
        <v>58.721931457519531</v>
      </c>
      <c r="H14" s="26">
        <v>59.455299377441406</v>
      </c>
      <c r="I14" s="26">
        <v>62.053092956542969</v>
      </c>
      <c r="J14" s="26">
        <v>61.002216339111328</v>
      </c>
      <c r="K14" s="26">
        <v>61.633899688720703</v>
      </c>
      <c r="L14" s="26">
        <v>60.947437286376953</v>
      </c>
      <c r="M14" s="26">
        <v>60.503067016601563</v>
      </c>
      <c r="N14" s="26">
        <v>60.953239440917969</v>
      </c>
      <c r="O14" s="23">
        <f t="shared" si="0"/>
        <v>3.4991912974930546E-2</v>
      </c>
      <c r="P14" s="23">
        <f t="shared" si="1"/>
        <v>-8.028707993345158E-4</v>
      </c>
    </row>
    <row r="15" spans="1:17" ht="18" customHeight="1" x14ac:dyDescent="0.2">
      <c r="A15" s="226"/>
      <c r="B15" s="33" t="s">
        <v>54</v>
      </c>
      <c r="C15" s="27"/>
      <c r="D15" s="28">
        <v>18.933403015136719</v>
      </c>
      <c r="E15" s="28">
        <v>19.225969314575195</v>
      </c>
      <c r="F15" s="28">
        <v>20.960281372070313</v>
      </c>
      <c r="G15" s="28">
        <v>20.077856063842773</v>
      </c>
      <c r="H15" s="28">
        <v>23.619535446166992</v>
      </c>
      <c r="I15" s="28">
        <v>26.452571868896484</v>
      </c>
      <c r="J15" s="28">
        <v>25.382112503051758</v>
      </c>
      <c r="K15" s="28">
        <v>24.337640762329102</v>
      </c>
      <c r="L15" s="28">
        <v>25.315128326416016</v>
      </c>
      <c r="M15" s="28">
        <v>22.915531158447266</v>
      </c>
      <c r="N15" s="28">
        <v>18.336414337158203</v>
      </c>
      <c r="O15" s="23">
        <f t="shared" si="0"/>
        <v>-3.1530976100875269E-2</v>
      </c>
      <c r="P15" s="23">
        <f t="shared" si="1"/>
        <v>-0.27758517597959714</v>
      </c>
    </row>
    <row r="16" spans="1:17" ht="18" customHeight="1" x14ac:dyDescent="0.2">
      <c r="A16" s="226"/>
      <c r="B16" s="33" t="s">
        <v>59</v>
      </c>
      <c r="C16" s="27"/>
      <c r="D16" s="28">
        <f ca="1">55.05150390625*OFFSET(D$112,MATCH($N$1,$C$112:$C$113,0)-1,0)</f>
        <v>55.051503906249998</v>
      </c>
      <c r="E16" s="28">
        <f ca="1">51.6968515625*OFFSET(E$112,MATCH($N$1,$C$112:$C$113,0)-1,0)</f>
        <v>51.696851562500001</v>
      </c>
      <c r="F16" s="28">
        <f ca="1">53.61994921875*OFFSET(F$112,MATCH($N$1,$C$112:$C$113,0)-1,0)</f>
        <v>53.619949218750001</v>
      </c>
      <c r="G16" s="28">
        <f ca="1">54.3020078125*OFFSET(G$112,MATCH($N$1,$C$112:$C$113,0)-1,0)</f>
        <v>54.302007812500001</v>
      </c>
      <c r="H16" s="28">
        <f ca="1">55.2366171875*OFFSET(H$112,MATCH($N$1,$C$112:$C$113,0)-1,0)</f>
        <v>55.236617187500002</v>
      </c>
      <c r="I16" s="28">
        <f ca="1">56.71471484375*OFFSET(I$112,MATCH($N$1,$C$112:$C$113,0)-1,0)</f>
        <v>56.714714843750002</v>
      </c>
      <c r="J16" s="28">
        <f ca="1">57.92964453125*OFFSET(J$112,MATCH($N$1,$C$112:$C$113,0)-1,0)</f>
        <v>57.929644531249998</v>
      </c>
      <c r="K16" s="28">
        <f ca="1">55.66701171875*OFFSET(K$112,MATCH($N$1,$C$112:$C$113,0)-1,0)</f>
        <v>55.667011718749997</v>
      </c>
      <c r="L16" s="28">
        <f ca="1">64.374484375*OFFSET(L$112,MATCH($N$1,$C$112:$C$113,0)-1,0)</f>
        <v>64.374484374999994</v>
      </c>
      <c r="M16" s="28">
        <f ca="1">60.42792578125*OFFSET(M$112,MATCH($N$1,$C$112:$C$113,0)-1,0)</f>
        <v>60.427925781250003</v>
      </c>
      <c r="N16" s="28">
        <v>63.09169140625</v>
      </c>
      <c r="O16" s="23">
        <f t="shared" ca="1" si="0"/>
        <v>0.14604846243060035</v>
      </c>
      <c r="P16" s="23">
        <f t="shared" ca="1" si="1"/>
        <v>8.9108899541328071E-2</v>
      </c>
    </row>
    <row r="17" spans="1:16" ht="18" customHeight="1" x14ac:dyDescent="0.2">
      <c r="A17" s="226"/>
      <c r="B17" s="33" t="s">
        <v>56</v>
      </c>
      <c r="C17" s="25"/>
      <c r="D17" s="26">
        <v>117.22637939453125</v>
      </c>
      <c r="E17" s="26">
        <v>113.89675903320312</v>
      </c>
      <c r="F17" s="26">
        <v>113.63392639160156</v>
      </c>
      <c r="G17" s="26">
        <v>109.50919342041016</v>
      </c>
      <c r="H17" s="26">
        <v>109.33642578125</v>
      </c>
      <c r="I17" s="26">
        <v>111.21336364746094</v>
      </c>
      <c r="J17" s="26">
        <v>125.73800659179687</v>
      </c>
      <c r="K17" s="26">
        <v>135.70098876953125</v>
      </c>
      <c r="L17" s="26">
        <v>124.89052581787109</v>
      </c>
      <c r="M17" s="26">
        <v>85.513420104980469</v>
      </c>
      <c r="N17" s="26">
        <v>81.569633483886719</v>
      </c>
      <c r="O17" s="23">
        <f t="shared" si="0"/>
        <v>-0.30416998370853005</v>
      </c>
      <c r="P17" s="23">
        <f t="shared" si="1"/>
        <v>-0.35127305025043792</v>
      </c>
    </row>
    <row r="18" spans="1:16" ht="18" customHeight="1" x14ac:dyDescent="0.2">
      <c r="A18" s="226"/>
      <c r="B18" s="33" t="s">
        <v>60</v>
      </c>
      <c r="C18" s="25"/>
      <c r="D18" s="26">
        <v>18.518241882324219</v>
      </c>
      <c r="E18" s="26">
        <v>18.944332122802734</v>
      </c>
      <c r="F18" s="26">
        <v>19.702381134033203</v>
      </c>
      <c r="G18" s="26">
        <v>19.770219802856445</v>
      </c>
      <c r="H18" s="26">
        <v>20.357738494873047</v>
      </c>
      <c r="I18" s="26">
        <v>20.645065307617188</v>
      </c>
      <c r="J18" s="26">
        <v>21.004798889160156</v>
      </c>
      <c r="K18" s="26">
        <v>21.452474594116211</v>
      </c>
      <c r="L18" s="26">
        <v>21.748849868774414</v>
      </c>
      <c r="M18" s="26">
        <v>22.249351501464844</v>
      </c>
      <c r="N18" s="26">
        <v>22.172506332397461</v>
      </c>
      <c r="O18" s="23">
        <f t="shared" si="0"/>
        <v>0.1973332281376701</v>
      </c>
      <c r="P18" s="23">
        <f t="shared" si="1"/>
        <v>5.5592412448181916E-2</v>
      </c>
    </row>
    <row r="19" spans="1:16" ht="18" customHeight="1" x14ac:dyDescent="0.2">
      <c r="A19" s="226"/>
      <c r="B19" s="33" t="s">
        <v>61</v>
      </c>
      <c r="C19" s="25"/>
      <c r="D19" s="34">
        <v>0.16151145100593567</v>
      </c>
      <c r="E19" s="34">
        <v>0.16880172491073608</v>
      </c>
      <c r="F19" s="34">
        <v>0.18445442616939545</v>
      </c>
      <c r="G19" s="34">
        <v>0.18334402143955231</v>
      </c>
      <c r="H19" s="34">
        <v>0.21602623164653778</v>
      </c>
      <c r="I19" s="34">
        <v>0.2378542572259903</v>
      </c>
      <c r="J19" s="34">
        <v>0.20186507701873779</v>
      </c>
      <c r="K19" s="34">
        <v>0.17934755980968475</v>
      </c>
      <c r="L19" s="34">
        <v>0.20269854366779327</v>
      </c>
      <c r="M19" s="34">
        <v>0.26797583699226379</v>
      </c>
      <c r="N19" s="34">
        <v>0.22479461133480072</v>
      </c>
      <c r="O19" s="23">
        <f t="shared" si="0"/>
        <v>0.39181841246995763</v>
      </c>
      <c r="P19" s="23">
        <f t="shared" si="1"/>
        <v>0.11358841586023585</v>
      </c>
    </row>
    <row r="20" spans="1:16" ht="18" customHeight="1" x14ac:dyDescent="0.2">
      <c r="A20" s="227"/>
      <c r="B20" s="35" t="s">
        <v>24</v>
      </c>
      <c r="C20" s="36"/>
      <c r="D20" s="37">
        <f ca="1">2908*OFFSET(D$112,MATCH($N$1,$C$112:$C$113,0)-1,0)</f>
        <v>2908</v>
      </c>
      <c r="E20" s="37">
        <f ca="1">2689*OFFSET(E$112,MATCH($N$1,$C$112:$C$113,0)-1,0)</f>
        <v>2689</v>
      </c>
      <c r="F20" s="37">
        <f ca="1">2558*OFFSET(F$112,MATCH($N$1,$C$112:$C$113,0)-1,0)</f>
        <v>2558</v>
      </c>
      <c r="G20" s="37">
        <f ca="1">2705*OFFSET(G$112,MATCH($N$1,$C$112:$C$113,0)-1,0)</f>
        <v>2705</v>
      </c>
      <c r="H20" s="37">
        <f ca="1">2339*OFFSET(H$112,MATCH($N$1,$C$112:$C$113,0)-1,0)</f>
        <v>2339</v>
      </c>
      <c r="I20" s="37">
        <f ca="1">2144*OFFSET(I$112,MATCH($N$1,$C$112:$C$113,0)-1,0)</f>
        <v>2144</v>
      </c>
      <c r="J20" s="37">
        <f ca="1">2282*OFFSET(J$112,MATCH($N$1,$C$112:$C$113,0)-1,0)</f>
        <v>2282</v>
      </c>
      <c r="K20" s="37">
        <f ca="1">2287*OFFSET(K$112,MATCH($N$1,$C$112:$C$113,0)-1,0)</f>
        <v>2287</v>
      </c>
      <c r="L20" s="37">
        <f ca="1">2543*OFFSET(L$112,MATCH($N$1,$C$112:$C$113,0)-1,0)</f>
        <v>2543</v>
      </c>
      <c r="M20" s="37">
        <f ca="1">2637*OFFSET(M$112,MATCH($N$1,$C$112:$C$113,0)-1,0)</f>
        <v>2637</v>
      </c>
      <c r="N20" s="37">
        <v>3441</v>
      </c>
      <c r="O20" s="29">
        <f t="shared" ca="1" si="0"/>
        <v>0.18328748280605228</v>
      </c>
      <c r="P20" s="29">
        <f t="shared" ca="1" si="1"/>
        <v>0.50788781770376867</v>
      </c>
    </row>
    <row r="21" spans="1:16" ht="18" customHeight="1" x14ac:dyDescent="0.2">
      <c r="A21" s="228" t="s">
        <v>25</v>
      </c>
      <c r="B21" s="30" t="s">
        <v>62</v>
      </c>
      <c r="C21" s="38"/>
      <c r="D21" s="39">
        <v>2.0020918174567064</v>
      </c>
      <c r="E21" s="39">
        <v>2.0834306570834862</v>
      </c>
      <c r="F21" s="39">
        <v>2.2675808120357122</v>
      </c>
      <c r="G21" s="39">
        <v>2.2942428918666216</v>
      </c>
      <c r="H21" s="39">
        <v>2.6303945565984321</v>
      </c>
      <c r="I21" s="39">
        <v>2.7922730920133425</v>
      </c>
      <c r="J21" s="39">
        <v>2.4392784975241466</v>
      </c>
      <c r="K21" s="39">
        <v>2.1555531093991194</v>
      </c>
      <c r="L21" s="39">
        <v>2.4282446163340947</v>
      </c>
      <c r="M21" s="39">
        <v>3.1525570976421284</v>
      </c>
      <c r="N21" s="39">
        <v>2.5965583195397066</v>
      </c>
      <c r="O21" s="23">
        <f t="shared" si="0"/>
        <v>0.29692269700106055</v>
      </c>
      <c r="P21" s="23">
        <f t="shared" si="1"/>
        <v>6.4478009450416637E-2</v>
      </c>
    </row>
    <row r="22" spans="1:16" ht="18" customHeight="1" x14ac:dyDescent="0.2">
      <c r="A22" s="228"/>
      <c r="B22" s="33" t="s">
        <v>63</v>
      </c>
      <c r="C22" s="25"/>
      <c r="D22" s="34">
        <f ca="1">5.82136055632856*OFFSET(D$112,MATCH($N$1,$C$112:$C$113,0)-1,0)</f>
        <v>5.8213605563285604</v>
      </c>
      <c r="E22" s="34">
        <f ca="1">5.60215215460447*OFFSET(E$112,MATCH($N$1,$C$112:$C$113,0)-1,0)</f>
        <v>5.6021521546044699</v>
      </c>
      <c r="F22" s="34">
        <f ca="1">5.80085571526644*OFFSET(F$112,MATCH($N$1,$C$112:$C$113,0)-1,0)</f>
        <v>5.8008557152664402</v>
      </c>
      <c r="G22" s="34">
        <f ca="1">6.20494514164127*OFFSET(G$112,MATCH($N$1,$C$112:$C$113,0)-1,0)</f>
        <v>6.2049451416412698</v>
      </c>
      <c r="H22" s="34">
        <f ca="1">6.15143754651999*OFFSET(H$112,MATCH($N$1,$C$112:$C$113,0)-1,0)</f>
        <v>6.1514375465199898</v>
      </c>
      <c r="I22" s="34">
        <f ca="1">5.98667581225323*OFFSET(I$112,MATCH($N$1,$C$112:$C$113,0)-1,0)</f>
        <v>5.98667581225323</v>
      </c>
      <c r="J22" s="34">
        <f ca="1">5.56717003981862*OFFSET(J$112,MATCH($N$1,$C$112:$C$113,0)-1,0)</f>
        <v>5.5671700398186204</v>
      </c>
      <c r="K22" s="34">
        <f ca="1">4.93035464583895*OFFSET(K$112,MATCH($N$1,$C$112:$C$113,0)-1,0)</f>
        <v>4.9303546458389498</v>
      </c>
      <c r="L22" s="34">
        <f ca="1">6.17484506091807*OFFSET(L$112,MATCH($N$1,$C$112:$C$113,0)-1,0)</f>
        <v>6.1748450609180701</v>
      </c>
      <c r="M22" s="34">
        <f ca="1">8.31324768342746*OFFSET(M$112,MATCH($N$1,$C$112:$C$113,0)-1,0)</f>
        <v>8.3132476834274591</v>
      </c>
      <c r="N22" s="34">
        <v>8.9342034490762625</v>
      </c>
      <c r="O22" s="23">
        <f t="shared" ca="1" si="0"/>
        <v>0.53472772604054652</v>
      </c>
      <c r="P22" s="23">
        <f t="shared" ca="1" si="1"/>
        <v>0.60480161108341879</v>
      </c>
    </row>
    <row r="23" spans="1:16" ht="18" customHeight="1" x14ac:dyDescent="0.2">
      <c r="A23" s="228"/>
      <c r="B23" s="33" t="s">
        <v>11</v>
      </c>
      <c r="C23" s="25"/>
      <c r="D23" s="34">
        <f ca="1">4.47591591098677*OFFSET(D$112,MATCH($N$1,$C$112:$C$113,0)-1,0)</f>
        <v>4.4759159109867701</v>
      </c>
      <c r="E23" s="34">
        <f ca="1">4.02957680755197*OFFSET(E$112,MATCH($N$1,$C$112:$C$113,0)-1,0)</f>
        <v>4.0295768075519698</v>
      </c>
      <c r="F23" s="34">
        <f ca="1">4.46997586605303*OFFSET(F$112,MATCH($N$1,$C$112:$C$113,0)-1,0)</f>
        <v>4.46997586605303</v>
      </c>
      <c r="G23" s="34">
        <f ca="1">4.88713454263276*OFFSET(G$112,MATCH($N$1,$C$112:$C$113,0)-1,0)</f>
        <v>4.8871345426327597</v>
      </c>
      <c r="H23" s="34">
        <f ca="1">5.23193142948124*OFFSET(H$112,MATCH($N$1,$C$112:$C$113,0)-1,0)</f>
        <v>5.2319314294812402</v>
      </c>
      <c r="I23" s="34">
        <f ca="1">4.90874988944272*OFFSET(I$112,MATCH($N$1,$C$112:$C$113,0)-1,0)</f>
        <v>4.9087498894427197</v>
      </c>
      <c r="J23" s="34">
        <f ca="1">4.65063455180494*OFFSET(J$112,MATCH($N$1,$C$112:$C$113,0)-1,0)</f>
        <v>4.6506345518049397</v>
      </c>
      <c r="K23" s="34">
        <f ca="1">4.05317125233109*OFFSET(K$112,MATCH($N$1,$C$112:$C$113,0)-1,0)</f>
        <v>4.0531712523310901</v>
      </c>
      <c r="L23" s="34">
        <f ca="1">4.47813261148017*OFFSET(L$112,MATCH($N$1,$C$112:$C$113,0)-1,0)</f>
        <v>4.4781326114801701</v>
      </c>
      <c r="M23" s="34">
        <f ca="1">6.25999293124953*OFFSET(M$112,MATCH($N$1,$C$112:$C$113,0)-1,0)</f>
        <v>6.2599929312495304</v>
      </c>
      <c r="N23" s="34">
        <v>6.7791860445257512</v>
      </c>
      <c r="O23" s="23">
        <f t="shared" ca="1" si="0"/>
        <v>0.51459191355344236</v>
      </c>
      <c r="P23" s="23">
        <f t="shared" ca="1" si="1"/>
        <v>0.45769055147425158</v>
      </c>
    </row>
    <row r="24" spans="1:16" ht="18" customHeight="1" x14ac:dyDescent="0.2">
      <c r="A24" s="228"/>
      <c r="B24" s="33" t="s">
        <v>12</v>
      </c>
      <c r="C24" s="25"/>
      <c r="D24" s="34">
        <f ca="1">1.53811076136225*OFFSET(D$112,MATCH($N$1,$C$112:$C$113,0)-1,0)</f>
        <v>1.53811076136225</v>
      </c>
      <c r="E24" s="34">
        <f ca="1">1.80083659390908*OFFSET(E$112,MATCH($N$1,$C$112:$C$113,0)-1,0)</f>
        <v>1.80083659390908</v>
      </c>
      <c r="F24" s="34">
        <f ca="1">1.5484502442501*OFFSET(F$112,MATCH($N$1,$C$112:$C$113,0)-1,0)</f>
        <v>1.5484502442501</v>
      </c>
      <c r="G24" s="34">
        <f ca="1">1.60042457452718*OFFSET(G$112,MATCH($N$1,$C$112:$C$113,0)-1,0)</f>
        <v>1.6004245745271799</v>
      </c>
      <c r="H24" s="34">
        <f ca="1">1.21168221066905*OFFSET(H$112,MATCH($N$1,$C$112:$C$113,0)-1,0)</f>
        <v>1.2116822106690499</v>
      </c>
      <c r="I24" s="34">
        <f ca="1">1.38400732554062*OFFSET(I$112,MATCH($N$1,$C$112:$C$113,0)-1,0)</f>
        <v>1.38400732554062</v>
      </c>
      <c r="J24" s="34">
        <f ca="1">1.14629064027759*OFFSET(J$112,MATCH($N$1,$C$112:$C$113,0)-1,0)</f>
        <v>1.1462906402775901</v>
      </c>
      <c r="K24" s="34">
        <f ca="1">0.99762862505662*OFFSET(K$112,MATCH($N$1,$C$112:$C$113,0)-1,0)</f>
        <v>0.99762862505661998</v>
      </c>
      <c r="L24" s="34">
        <f ca="1">2.02049236915303*OFFSET(L$112,MATCH($N$1,$C$112:$C$113,0)-1,0)</f>
        <v>2.0204923691530299</v>
      </c>
      <c r="M24" s="34">
        <f ca="1">2.19837561820498*OFFSET(M$112,MATCH($N$1,$C$112:$C$113,0)-1,0)</f>
        <v>2.1983756182049801</v>
      </c>
      <c r="N24" s="34">
        <v>2.3109780352726417</v>
      </c>
      <c r="O24" s="23">
        <f t="shared" ca="1" si="0"/>
        <v>0.50247829566310986</v>
      </c>
      <c r="P24" s="23">
        <f t="shared" ca="1" si="1"/>
        <v>1.0160489443698211</v>
      </c>
    </row>
    <row r="25" spans="1:16" ht="18" customHeight="1" x14ac:dyDescent="0.2">
      <c r="A25" s="228"/>
      <c r="B25" s="33" t="s">
        <v>64</v>
      </c>
      <c r="C25" s="25"/>
      <c r="D25" s="28"/>
      <c r="E25" s="28">
        <f ca="1">57.69*OFFSET(E$112,MATCH($N$1,$C$112:$C$113,0)-1,0)</f>
        <v>57.69</v>
      </c>
      <c r="F25" s="28">
        <f ca="1">62.47*OFFSET(F$112,MATCH($N$1,$C$112:$C$113,0)-1,0)</f>
        <v>62.47</v>
      </c>
      <c r="G25" s="28">
        <f ca="1">67.66*OFFSET(G$112,MATCH($N$1,$C$112:$C$113,0)-1,0)</f>
        <v>67.66</v>
      </c>
      <c r="H25" s="28">
        <f ca="1">64.79*OFFSET(H$112,MATCH($N$1,$C$112:$C$113,0)-1,0)</f>
        <v>64.790000000000006</v>
      </c>
      <c r="I25" s="28">
        <f ca="1">59.82*OFFSET(I$112,MATCH($N$1,$C$112:$C$113,0)-1,0)</f>
        <v>59.82</v>
      </c>
      <c r="J25" s="28">
        <f ca="1">67.21*OFFSET(J$112,MATCH($N$1,$C$112:$C$113,0)-1,0)</f>
        <v>67.209999999999994</v>
      </c>
      <c r="K25" s="28">
        <f ca="1">57.24*OFFSET(K$112,MATCH($N$1,$C$112:$C$113,0)-1,0)</f>
        <v>57.24</v>
      </c>
      <c r="L25" s="28">
        <f ca="1">65.99*OFFSET(L$112,MATCH($N$1,$C$112:$C$113,0)-1,0)</f>
        <v>65.989999999999995</v>
      </c>
      <c r="M25" s="28">
        <f ca="1">62*OFFSET(M$112,MATCH($N$1,$C$112:$C$113,0)-1,0)</f>
        <v>62</v>
      </c>
      <c r="N25" s="28">
        <v>101.17</v>
      </c>
      <c r="O25" s="23" t="str">
        <f t="shared" si="0"/>
        <v/>
      </c>
      <c r="P25" s="23">
        <f t="shared" ca="1" si="1"/>
        <v>0.50528195209046289</v>
      </c>
    </row>
    <row r="26" spans="1:16" ht="18" customHeight="1" x14ac:dyDescent="0.2">
      <c r="A26" s="229"/>
      <c r="B26" s="33" t="s">
        <v>65</v>
      </c>
      <c r="C26" s="40"/>
      <c r="D26" s="28"/>
      <c r="E26" s="28">
        <f ca="1">18.52*OFFSET(E$112,MATCH($N$1,$C$112:$C$113,0)-1,0)</f>
        <v>18.52</v>
      </c>
      <c r="F26" s="28">
        <f ca="1">16.67*OFFSET(F$112,MATCH($N$1,$C$112:$C$113,0)-1,0)</f>
        <v>16.670000000000002</v>
      </c>
      <c r="G26" s="28">
        <f ca="1">17.44*OFFSET(G$112,MATCH($N$1,$C$112:$C$113,0)-1,0)</f>
        <v>17.440000000000001</v>
      </c>
      <c r="H26" s="28">
        <f ca="1">12.79*OFFSET(H$112,MATCH($N$1,$C$112:$C$113,0)-1,0)</f>
        <v>12.79</v>
      </c>
      <c r="I26" s="28">
        <f ca="1">13.82*OFFSET(I$112,MATCH($N$1,$C$112:$C$113,0)-1,0)</f>
        <v>13.82</v>
      </c>
      <c r="J26" s="28">
        <f ca="1">13.81*OFFSET(J$112,MATCH($N$1,$C$112:$C$113,0)-1,0)</f>
        <v>13.81</v>
      </c>
      <c r="K26" s="28">
        <f ca="1">11.61*OFFSET(K$112,MATCH($N$1,$C$112:$C$113,0)-1,0)</f>
        <v>11.61</v>
      </c>
      <c r="L26" s="28">
        <f ca="1">21.62*OFFSET(L$112,MATCH($N$1,$C$112:$C$113,0)-1,0)</f>
        <v>21.62</v>
      </c>
      <c r="M26" s="28">
        <f ca="1">16.42*OFFSET(M$112,MATCH($N$1,$C$112:$C$113,0)-1,0)</f>
        <v>16.420000000000002</v>
      </c>
      <c r="N26" s="28">
        <v>26.13</v>
      </c>
      <c r="O26" s="29" t="str">
        <f t="shared" si="0"/>
        <v/>
      </c>
      <c r="P26" s="29">
        <f t="shared" ca="1" si="1"/>
        <v>0.89210716871831996</v>
      </c>
    </row>
    <row r="27" spans="1:16" ht="18" customHeight="1" x14ac:dyDescent="0.2">
      <c r="A27" s="230" t="s">
        <v>26</v>
      </c>
      <c r="B27" s="30" t="s">
        <v>59</v>
      </c>
      <c r="C27" s="31"/>
      <c r="D27" s="32">
        <f ca="1">55.1*OFFSET(D$112,MATCH($N$1,$C$112:$C$113,0)-1,0)</f>
        <v>55.1</v>
      </c>
      <c r="E27" s="32">
        <f ca="1">51.7*OFFSET(E$112,MATCH($N$1,$C$112:$C$113,0)-1,0)</f>
        <v>51.7</v>
      </c>
      <c r="F27" s="32">
        <f ca="1">53.6*OFFSET(F$112,MATCH($N$1,$C$112:$C$113,0)-1,0)</f>
        <v>53.6</v>
      </c>
      <c r="G27" s="32">
        <f ca="1">54.3*OFFSET(G$112,MATCH($N$1,$C$112:$C$113,0)-1,0)</f>
        <v>54.3</v>
      </c>
      <c r="H27" s="32">
        <f ca="1">55.2*OFFSET(H$112,MATCH($N$1,$C$112:$C$113,0)-1,0)</f>
        <v>55.2</v>
      </c>
      <c r="I27" s="32">
        <f ca="1">56.7*OFFSET(I$112,MATCH($N$1,$C$112:$C$113,0)-1,0)</f>
        <v>56.7</v>
      </c>
      <c r="J27" s="32">
        <f ca="1">57.9*OFFSET(J$112,MATCH($N$1,$C$112:$C$113,0)-1,0)</f>
        <v>57.9</v>
      </c>
      <c r="K27" s="32">
        <f ca="1">55.7*OFFSET(K$112,MATCH($N$1,$C$112:$C$113,0)-1,0)</f>
        <v>55.7</v>
      </c>
      <c r="L27" s="32">
        <f ca="1">64.4*OFFSET(L$112,MATCH($N$1,$C$112:$C$113,0)-1,0)</f>
        <v>64.400000000000006</v>
      </c>
      <c r="M27" s="32">
        <f ca="1">60.4*OFFSET(M$112,MATCH($N$1,$C$112:$C$113,0)-1,0)</f>
        <v>60.4</v>
      </c>
      <c r="N27" s="32">
        <v>63.1</v>
      </c>
      <c r="O27" s="23">
        <f t="shared" ca="1" si="0"/>
        <v>0.14519056261343014</v>
      </c>
      <c r="P27" s="23">
        <f t="shared" ca="1" si="1"/>
        <v>8.9810017271157214E-2</v>
      </c>
    </row>
    <row r="28" spans="1:16" ht="18" customHeight="1" x14ac:dyDescent="0.2">
      <c r="A28" s="231"/>
      <c r="B28" s="33" t="s">
        <v>66</v>
      </c>
      <c r="C28" s="27"/>
      <c r="D28" s="28">
        <f ca="1">1.8*OFFSET(D$112,MATCH($N$1,$C$112:$C$113,0)-1,0)</f>
        <v>1.8</v>
      </c>
      <c r="E28" s="28">
        <f ca="1">2.1*OFFSET(E$112,MATCH($N$1,$C$112:$C$113,0)-1,0)</f>
        <v>2.1</v>
      </c>
      <c r="F28" s="28">
        <f ca="1">2*OFFSET(F$112,MATCH($N$1,$C$112:$C$113,0)-1,0)</f>
        <v>2</v>
      </c>
      <c r="G28" s="28">
        <f ca="1">2.5*OFFSET(G$112,MATCH($N$1,$C$112:$C$113,0)-1,0)</f>
        <v>2.5</v>
      </c>
      <c r="H28" s="28">
        <f ca="1">2.6*OFFSET(H$112,MATCH($N$1,$C$112:$C$113,0)-1,0)</f>
        <v>2.6</v>
      </c>
      <c r="I28" s="28">
        <f ca="1">2.9*OFFSET(I$112,MATCH($N$1,$C$112:$C$113,0)-1,0)</f>
        <v>2.9</v>
      </c>
      <c r="J28" s="28">
        <f ca="1">2.4*OFFSET(J$112,MATCH($N$1,$C$112:$C$113,0)-1,0)</f>
        <v>2.4</v>
      </c>
      <c r="K28" s="28">
        <f ca="1">1.4*OFFSET(K$112,MATCH($N$1,$C$112:$C$113,0)-1,0)</f>
        <v>1.4</v>
      </c>
      <c r="L28" s="28">
        <f ca="1">3.4*OFFSET(L$112,MATCH($N$1,$C$112:$C$113,0)-1,0)</f>
        <v>3.4</v>
      </c>
      <c r="M28" s="28">
        <f ca="1">1.1*OFFSET(M$112,MATCH($N$1,$C$112:$C$113,0)-1,0)</f>
        <v>1.1000000000000001</v>
      </c>
      <c r="N28" s="28">
        <v>1.1000000000000001</v>
      </c>
      <c r="O28" s="23">
        <f t="shared" ca="1" si="0"/>
        <v>-0.38888888888888884</v>
      </c>
      <c r="P28" s="23">
        <f t="shared" ca="1" si="1"/>
        <v>-0.54166666666666663</v>
      </c>
    </row>
    <row r="29" spans="1:16" ht="18" customHeight="1" x14ac:dyDescent="0.2">
      <c r="A29" s="231"/>
      <c r="B29" s="41" t="s">
        <v>67</v>
      </c>
      <c r="C29" s="42"/>
      <c r="D29" s="43">
        <f ca="1">56.9*OFFSET(D$112,MATCH($N$1,$C$112:$C$113,0)-1,0)</f>
        <v>56.9</v>
      </c>
      <c r="E29" s="43">
        <f ca="1">53.8*OFFSET(E$112,MATCH($N$1,$C$112:$C$113,0)-1,0)</f>
        <v>53.8</v>
      </c>
      <c r="F29" s="43">
        <f ca="1">55.6*OFFSET(F$112,MATCH($N$1,$C$112:$C$113,0)-1,0)</f>
        <v>55.6</v>
      </c>
      <c r="G29" s="43">
        <f ca="1">56.8*OFFSET(G$112,MATCH($N$1,$C$112:$C$113,0)-1,0)</f>
        <v>56.8</v>
      </c>
      <c r="H29" s="43">
        <f ca="1">57.9*OFFSET(H$112,MATCH($N$1,$C$112:$C$113,0)-1,0)</f>
        <v>57.9</v>
      </c>
      <c r="I29" s="43">
        <f ca="1">59.6*OFFSET(I$112,MATCH($N$1,$C$112:$C$113,0)-1,0)</f>
        <v>59.6</v>
      </c>
      <c r="J29" s="43">
        <f ca="1">60.3*OFFSET(J$112,MATCH($N$1,$C$112:$C$113,0)-1,0)</f>
        <v>60.3</v>
      </c>
      <c r="K29" s="43">
        <f ca="1">57*OFFSET(K$112,MATCH($N$1,$C$112:$C$113,0)-1,0)</f>
        <v>57</v>
      </c>
      <c r="L29" s="43">
        <f ca="1">67.7*OFFSET(L$112,MATCH($N$1,$C$112:$C$113,0)-1,0)</f>
        <v>67.7</v>
      </c>
      <c r="M29" s="43">
        <f ca="1">61.5*OFFSET(M$112,MATCH($N$1,$C$112:$C$113,0)-1,0)</f>
        <v>61.5</v>
      </c>
      <c r="N29" s="43">
        <v>64.2</v>
      </c>
      <c r="O29" s="23">
        <f t="shared" ca="1" si="0"/>
        <v>0.1282952548330405</v>
      </c>
      <c r="P29" s="23">
        <f t="shared" ca="1" si="1"/>
        <v>6.467661691542298E-2</v>
      </c>
    </row>
    <row r="30" spans="1:16" ht="18" customHeight="1" x14ac:dyDescent="0.2">
      <c r="A30" s="231"/>
      <c r="B30" s="33" t="s">
        <v>68</v>
      </c>
      <c r="C30" s="27"/>
      <c r="D30" s="28">
        <f ca="1">8.9*OFFSET(D$112,MATCH($N$1,$C$112:$C$113,0)-1,0)</f>
        <v>8.9</v>
      </c>
      <c r="E30" s="28">
        <f ca="1">5.9*OFFSET(E$112,MATCH($N$1,$C$112:$C$113,0)-1,0)</f>
        <v>5.9</v>
      </c>
      <c r="F30" s="28">
        <f ca="1">7.5*OFFSET(F$112,MATCH($N$1,$C$112:$C$113,0)-1,0)</f>
        <v>7.5</v>
      </c>
      <c r="G30" s="28">
        <f ca="1">9.3*OFFSET(G$112,MATCH($N$1,$C$112:$C$113,0)-1,0)</f>
        <v>9.3000000000000007</v>
      </c>
      <c r="H30" s="28">
        <f ca="1">9.5*OFFSET(H$112,MATCH($N$1,$C$112:$C$113,0)-1,0)</f>
        <v>9.5</v>
      </c>
      <c r="I30" s="28">
        <f ca="1">9.4*OFFSET(I$112,MATCH($N$1,$C$112:$C$113,0)-1,0)</f>
        <v>9.4</v>
      </c>
      <c r="J30" s="28">
        <f ca="1">9.4*OFFSET(J$112,MATCH($N$1,$C$112:$C$113,0)-1,0)</f>
        <v>9.4</v>
      </c>
      <c r="K30" s="28">
        <f ca="1">7.1*OFFSET(K$112,MATCH($N$1,$C$112:$C$113,0)-1,0)</f>
        <v>7.1</v>
      </c>
      <c r="L30" s="28">
        <f ca="1">6.1*OFFSET(L$112,MATCH($N$1,$C$112:$C$113,0)-1,0)</f>
        <v>6.1</v>
      </c>
      <c r="M30" s="28">
        <f ca="1">5.1*OFFSET(M$112,MATCH($N$1,$C$112:$C$113,0)-1,0)</f>
        <v>5.0999999999999996</v>
      </c>
      <c r="N30" s="28">
        <v>5.9</v>
      </c>
      <c r="O30" s="23">
        <f t="shared" ca="1" si="0"/>
        <v>-0.33707865168539325</v>
      </c>
      <c r="P30" s="23">
        <f t="shared" ca="1" si="1"/>
        <v>-0.37234042553191488</v>
      </c>
    </row>
    <row r="31" spans="1:16" ht="18" customHeight="1" x14ac:dyDescent="0.2">
      <c r="A31" s="231"/>
      <c r="B31" s="33" t="s">
        <v>69</v>
      </c>
      <c r="C31" s="27"/>
      <c r="D31" s="28">
        <f ca="1">17*OFFSET(D$112,MATCH($N$1,$C$112:$C$113,0)-1,0)</f>
        <v>17</v>
      </c>
      <c r="E31" s="28">
        <f ca="1">14.5*OFFSET(E$112,MATCH($N$1,$C$112:$C$113,0)-1,0)</f>
        <v>14.5</v>
      </c>
      <c r="F31" s="28">
        <f ca="1">14.9*OFFSET(F$112,MATCH($N$1,$C$112:$C$113,0)-1,0)</f>
        <v>14.9</v>
      </c>
      <c r="G31" s="28">
        <f ca="1">13.8*OFFSET(G$112,MATCH($N$1,$C$112:$C$113,0)-1,0)</f>
        <v>13.8</v>
      </c>
      <c r="H31" s="28">
        <f ca="1">15.4*OFFSET(H$112,MATCH($N$1,$C$112:$C$113,0)-1,0)</f>
        <v>15.4</v>
      </c>
      <c r="I31" s="28">
        <f ca="1">17*OFFSET(I$112,MATCH($N$1,$C$112:$C$113,0)-1,0)</f>
        <v>17</v>
      </c>
      <c r="J31" s="28">
        <f ca="1">17.5*OFFSET(J$112,MATCH($N$1,$C$112:$C$113,0)-1,0)</f>
        <v>17.5</v>
      </c>
      <c r="K31" s="28">
        <f ca="1">17.8*OFFSET(K$112,MATCH($N$1,$C$112:$C$113,0)-1,0)</f>
        <v>17.8</v>
      </c>
      <c r="L31" s="28">
        <f ca="1">18.7*OFFSET(L$112,MATCH($N$1,$C$112:$C$113,0)-1,0)</f>
        <v>18.7</v>
      </c>
      <c r="M31" s="28">
        <f ca="1">15.3*OFFSET(M$112,MATCH($N$1,$C$112:$C$113,0)-1,0)</f>
        <v>15.3</v>
      </c>
      <c r="N31" s="28">
        <v>15.700000000000001</v>
      </c>
      <c r="O31" s="23">
        <f t="shared" ca="1" si="0"/>
        <v>-7.6470588235294054E-2</v>
      </c>
      <c r="P31" s="23">
        <f t="shared" ca="1" si="1"/>
        <v>-0.1028571428571428</v>
      </c>
    </row>
    <row r="32" spans="1:16" ht="18" customHeight="1" x14ac:dyDescent="0.2">
      <c r="A32" s="231"/>
      <c r="B32" s="33" t="s">
        <v>70</v>
      </c>
      <c r="C32" s="27"/>
      <c r="D32" s="28">
        <f ca="1">5.4*OFFSET(D$112,MATCH($N$1,$C$112:$C$113,0)-1,0)</f>
        <v>5.4</v>
      </c>
      <c r="E32" s="28">
        <f ca="1">6*OFFSET(E$112,MATCH($N$1,$C$112:$C$113,0)-1,0)</f>
        <v>6</v>
      </c>
      <c r="F32" s="28">
        <f ca="1">7*OFFSET(F$112,MATCH($N$1,$C$112:$C$113,0)-1,0)</f>
        <v>7</v>
      </c>
      <c r="G32" s="28">
        <f ca="1">8.5*OFFSET(G$112,MATCH($N$1,$C$112:$C$113,0)-1,0)</f>
        <v>8.5</v>
      </c>
      <c r="H32" s="28">
        <f ca="1">9.9*OFFSET(H$112,MATCH($N$1,$C$112:$C$113,0)-1,0)</f>
        <v>9.9</v>
      </c>
      <c r="I32" s="28">
        <f ca="1">9.5*OFFSET(I$112,MATCH($N$1,$C$112:$C$113,0)-1,0)</f>
        <v>9.5</v>
      </c>
      <c r="J32" s="28">
        <f ca="1">9.6*OFFSET(J$112,MATCH($N$1,$C$112:$C$113,0)-1,0)</f>
        <v>9.6</v>
      </c>
      <c r="K32" s="28">
        <f ca="1">8.2*OFFSET(K$112,MATCH($N$1,$C$112:$C$113,0)-1,0)</f>
        <v>8.1999999999999993</v>
      </c>
      <c r="L32" s="28">
        <f ca="1">9.6*OFFSET(L$112,MATCH($N$1,$C$112:$C$113,0)-1,0)</f>
        <v>9.6</v>
      </c>
      <c r="M32" s="28">
        <f ca="1">13*OFFSET(M$112,MATCH($N$1,$C$112:$C$113,0)-1,0)</f>
        <v>13</v>
      </c>
      <c r="N32" s="28">
        <v>13.6</v>
      </c>
      <c r="O32" s="23">
        <f t="shared" ca="1" si="0"/>
        <v>1.5185185185185184</v>
      </c>
      <c r="P32" s="23">
        <f t="shared" ca="1" si="1"/>
        <v>0.41666666666666669</v>
      </c>
    </row>
    <row r="33" spans="1:16" ht="18" customHeight="1" x14ac:dyDescent="0.2">
      <c r="A33" s="231"/>
      <c r="B33" s="33" t="s">
        <v>71</v>
      </c>
      <c r="C33" s="27"/>
      <c r="D33" s="28">
        <f ca="1">31.4*OFFSET(D$112,MATCH($N$1,$C$112:$C$113,0)-1,0)</f>
        <v>31.4</v>
      </c>
      <c r="E33" s="28">
        <f ca="1">26.4*OFFSET(E$112,MATCH($N$1,$C$112:$C$113,0)-1,0)</f>
        <v>26.4</v>
      </c>
      <c r="F33" s="28">
        <f ca="1">29.4*OFFSET(F$112,MATCH($N$1,$C$112:$C$113,0)-1,0)</f>
        <v>29.4</v>
      </c>
      <c r="G33" s="28">
        <f ca="1">31.5*OFFSET(G$112,MATCH($N$1,$C$112:$C$113,0)-1,0)</f>
        <v>31.5</v>
      </c>
      <c r="H33" s="28">
        <f ca="1">34.8*OFFSET(H$112,MATCH($N$1,$C$112:$C$113,0)-1,0)</f>
        <v>34.799999999999997</v>
      </c>
      <c r="I33" s="28">
        <f ca="1">35.9*OFFSET(I$112,MATCH($N$1,$C$112:$C$113,0)-1,0)</f>
        <v>35.9</v>
      </c>
      <c r="J33" s="28">
        <f ca="1">36.5*OFFSET(J$112,MATCH($N$1,$C$112:$C$113,0)-1,0)</f>
        <v>36.5</v>
      </c>
      <c r="K33" s="28">
        <f ca="1">33.1*OFFSET(K$112,MATCH($N$1,$C$112:$C$113,0)-1,0)</f>
        <v>33.1</v>
      </c>
      <c r="L33" s="28">
        <f ca="1">34.5*OFFSET(L$112,MATCH($N$1,$C$112:$C$113,0)-1,0)</f>
        <v>34.5</v>
      </c>
      <c r="M33" s="28">
        <f ca="1">33.3*OFFSET(M$112,MATCH($N$1,$C$112:$C$113,0)-1,0)</f>
        <v>33.299999999999997</v>
      </c>
      <c r="N33" s="28">
        <v>35.200000000000003</v>
      </c>
      <c r="O33" s="23">
        <f t="shared" ca="1" si="0"/>
        <v>0.12101910828025492</v>
      </c>
      <c r="P33" s="23">
        <f t="shared" ca="1" si="1"/>
        <v>-3.5616438356164307E-2</v>
      </c>
    </row>
    <row r="34" spans="1:16" ht="18" customHeight="1" x14ac:dyDescent="0.2">
      <c r="A34" s="231"/>
      <c r="B34" s="33" t="s">
        <v>72</v>
      </c>
      <c r="C34" s="27"/>
      <c r="D34" s="28">
        <f ca="1">10.9*OFFSET(D$112,MATCH($N$1,$C$112:$C$113,0)-1,0)</f>
        <v>10.9</v>
      </c>
      <c r="E34" s="28">
        <f ca="1">10.8*OFFSET(E$112,MATCH($N$1,$C$112:$C$113,0)-1,0)</f>
        <v>10.8</v>
      </c>
      <c r="F34" s="28">
        <f ca="1">11.9*OFFSET(F$112,MATCH($N$1,$C$112:$C$113,0)-1,0)</f>
        <v>11.9</v>
      </c>
      <c r="G34" s="28">
        <f ca="1">11.2*OFFSET(G$112,MATCH($N$1,$C$112:$C$113,0)-1,0)</f>
        <v>11.2</v>
      </c>
      <c r="H34" s="28">
        <f ca="1">12.1*OFFSET(H$112,MATCH($N$1,$C$112:$C$113,0)-1,0)</f>
        <v>12.1</v>
      </c>
      <c r="I34" s="28">
        <f ca="1">10.6*OFFSET(I$112,MATCH($N$1,$C$112:$C$113,0)-1,0)</f>
        <v>10.6</v>
      </c>
      <c r="J34" s="28">
        <f ca="1">11.9*OFFSET(J$112,MATCH($N$1,$C$112:$C$113,0)-1,0)</f>
        <v>11.9</v>
      </c>
      <c r="K34" s="28">
        <f ca="1">12.7*OFFSET(K$112,MATCH($N$1,$C$112:$C$113,0)-1,0)</f>
        <v>12.7</v>
      </c>
      <c r="L34" s="28">
        <f ca="1">12.2*OFFSET(L$112,MATCH($N$1,$C$112:$C$113,0)-1,0)</f>
        <v>12.2</v>
      </c>
      <c r="M34" s="28">
        <f ca="1">12.2*OFFSET(M$112,MATCH($N$1,$C$112:$C$113,0)-1,0)</f>
        <v>12.2</v>
      </c>
      <c r="N34" s="28">
        <v>12.700000000000001</v>
      </c>
      <c r="O34" s="23">
        <f t="shared" ca="1" si="0"/>
        <v>0.16513761467889915</v>
      </c>
      <c r="P34" s="23">
        <f t="shared" ca="1" si="1"/>
        <v>6.7226890756302574E-2</v>
      </c>
    </row>
    <row r="35" spans="1:16" ht="18" customHeight="1" x14ac:dyDescent="0.2">
      <c r="A35" s="231"/>
      <c r="B35" s="33" t="s">
        <v>73</v>
      </c>
      <c r="C35" s="27"/>
      <c r="D35" s="28">
        <f ca="1">42.3*OFFSET(D$112,MATCH($N$1,$C$112:$C$113,0)-1,0)</f>
        <v>42.3</v>
      </c>
      <c r="E35" s="28">
        <f ca="1">37.2*OFFSET(E$112,MATCH($N$1,$C$112:$C$113,0)-1,0)</f>
        <v>37.200000000000003</v>
      </c>
      <c r="F35" s="28">
        <f ca="1">41.3*OFFSET(F$112,MATCH($N$1,$C$112:$C$113,0)-1,0)</f>
        <v>41.3</v>
      </c>
      <c r="G35" s="28">
        <f ca="1">42.8*OFFSET(G$112,MATCH($N$1,$C$112:$C$113,0)-1,0)</f>
        <v>42.8</v>
      </c>
      <c r="H35" s="28">
        <f ca="1">47*OFFSET(H$112,MATCH($N$1,$C$112:$C$113,0)-1,0)</f>
        <v>47</v>
      </c>
      <c r="I35" s="28">
        <f ca="1">46.5*OFFSET(I$112,MATCH($N$1,$C$112:$C$113,0)-1,0)</f>
        <v>46.5</v>
      </c>
      <c r="J35" s="28">
        <f ca="1">48.4*OFFSET(J$112,MATCH($N$1,$C$112:$C$113,0)-1,0)</f>
        <v>48.4</v>
      </c>
      <c r="K35" s="28">
        <f ca="1">45.8*OFFSET(K$112,MATCH($N$1,$C$112:$C$113,0)-1,0)</f>
        <v>45.8</v>
      </c>
      <c r="L35" s="28">
        <f ca="1">46.7*OFFSET(L$112,MATCH($N$1,$C$112:$C$113,0)-1,0)</f>
        <v>46.7</v>
      </c>
      <c r="M35" s="28">
        <f ca="1">45.5*OFFSET(M$112,MATCH($N$1,$C$112:$C$113,0)-1,0)</f>
        <v>45.5</v>
      </c>
      <c r="N35" s="28">
        <v>47.9</v>
      </c>
      <c r="O35" s="23">
        <f t="shared" ca="1" si="0"/>
        <v>0.13238770685579201</v>
      </c>
      <c r="P35" s="23">
        <f t="shared" ca="1" si="1"/>
        <v>-1.0330578512396695E-2</v>
      </c>
    </row>
    <row r="36" spans="1:16" ht="18" customHeight="1" x14ac:dyDescent="0.2">
      <c r="A36" s="231"/>
      <c r="B36" s="41" t="s">
        <v>74</v>
      </c>
      <c r="C36" s="42"/>
      <c r="D36" s="43">
        <f ca="1">31.5*OFFSET(D$112,MATCH($N$1,$C$112:$C$113,0)-1,0)</f>
        <v>31.5</v>
      </c>
      <c r="E36" s="43">
        <f ca="1">31.1*OFFSET(E$112,MATCH($N$1,$C$112:$C$113,0)-1,0)</f>
        <v>31.1</v>
      </c>
      <c r="F36" s="43">
        <f ca="1">29.2*OFFSET(F$112,MATCH($N$1,$C$112:$C$113,0)-1,0)</f>
        <v>29.2</v>
      </c>
      <c r="G36" s="43">
        <f ca="1">27.8*OFFSET(G$112,MATCH($N$1,$C$112:$C$113,0)-1,0)</f>
        <v>27.8</v>
      </c>
      <c r="H36" s="43">
        <f ca="1">26.3*OFFSET(H$112,MATCH($N$1,$C$112:$C$113,0)-1,0)</f>
        <v>26.3</v>
      </c>
      <c r="I36" s="43">
        <f ca="1">30.1*OFFSET(I$112,MATCH($N$1,$C$112:$C$113,0)-1,0)</f>
        <v>30.1</v>
      </c>
      <c r="J36" s="43">
        <f ca="1">29.4*OFFSET(J$112,MATCH($N$1,$C$112:$C$113,0)-1,0)</f>
        <v>29.4</v>
      </c>
      <c r="K36" s="43">
        <f ca="1">29.1*OFFSET(K$112,MATCH($N$1,$C$112:$C$113,0)-1,0)</f>
        <v>29.1</v>
      </c>
      <c r="L36" s="43">
        <f ca="1">39.8*OFFSET(L$112,MATCH($N$1,$C$112:$C$113,0)-1,0)</f>
        <v>39.799999999999997</v>
      </c>
      <c r="M36" s="43">
        <f ca="1">31.3*OFFSET(M$112,MATCH($N$1,$C$112:$C$113,0)-1,0)</f>
        <v>31.3</v>
      </c>
      <c r="N36" s="43">
        <v>32</v>
      </c>
      <c r="O36" s="23">
        <f t="shared" ca="1" si="0"/>
        <v>1.5873015873015872E-2</v>
      </c>
      <c r="P36" s="23">
        <f t="shared" ca="1" si="1"/>
        <v>8.843537414965992E-2</v>
      </c>
    </row>
    <row r="37" spans="1:16" ht="18" customHeight="1" x14ac:dyDescent="0.2">
      <c r="A37" s="231"/>
      <c r="B37" s="41" t="s">
        <v>75</v>
      </c>
      <c r="C37" s="42"/>
      <c r="D37" s="43">
        <f ca="1">14.5*OFFSET(D$112,MATCH($N$1,$C$112:$C$113,0)-1,0)</f>
        <v>14.5</v>
      </c>
      <c r="E37" s="43">
        <f ca="1">16.6*OFFSET(E$112,MATCH($N$1,$C$112:$C$113,0)-1,0)</f>
        <v>16.600000000000001</v>
      </c>
      <c r="F37" s="43">
        <f ca="1">14.3*OFFSET(F$112,MATCH($N$1,$C$112:$C$113,0)-1,0)</f>
        <v>14.3</v>
      </c>
      <c r="G37" s="43">
        <f ca="1">14*OFFSET(G$112,MATCH($N$1,$C$112:$C$113,0)-1,0)</f>
        <v>14</v>
      </c>
      <c r="H37" s="43">
        <f ca="1">10.9*OFFSET(H$112,MATCH($N$1,$C$112:$C$113,0)-1,0)</f>
        <v>10.9</v>
      </c>
      <c r="I37" s="43">
        <f ca="1">13.1*OFFSET(I$112,MATCH($N$1,$C$112:$C$113,0)-1,0)</f>
        <v>13.1</v>
      </c>
      <c r="J37" s="43">
        <f ca="1">11.9*OFFSET(J$112,MATCH($N$1,$C$112:$C$113,0)-1,0)</f>
        <v>11.9</v>
      </c>
      <c r="K37" s="43">
        <f ca="1">11.3*OFFSET(K$112,MATCH($N$1,$C$112:$C$113,0)-1,0)</f>
        <v>11.3</v>
      </c>
      <c r="L37" s="43">
        <f ca="1">21.1*OFFSET(L$112,MATCH($N$1,$C$112:$C$113,0)-1,0)</f>
        <v>21.1</v>
      </c>
      <c r="M37" s="43">
        <f ca="1">16*OFFSET(M$112,MATCH($N$1,$C$112:$C$113,0)-1,0)</f>
        <v>16</v>
      </c>
      <c r="N37" s="43">
        <v>16.3</v>
      </c>
      <c r="O37" s="23">
        <f t="shared" ca="1" si="0"/>
        <v>0.12413793103448281</v>
      </c>
      <c r="P37" s="23">
        <f t="shared" ca="1" si="1"/>
        <v>0.36974789915966388</v>
      </c>
    </row>
    <row r="38" spans="1:16" ht="18" customHeight="1" x14ac:dyDescent="0.2">
      <c r="A38" s="231"/>
      <c r="B38" s="33" t="s">
        <v>76</v>
      </c>
      <c r="C38" s="27"/>
      <c r="D38" s="28">
        <f ca="1">4.5*OFFSET(D$112,MATCH($N$1,$C$112:$C$113,0)-1,0)</f>
        <v>4.5</v>
      </c>
      <c r="E38" s="28">
        <f ca="1">4.7*OFFSET(E$112,MATCH($N$1,$C$112:$C$113,0)-1,0)</f>
        <v>4.7</v>
      </c>
      <c r="F38" s="28">
        <f ca="1">3.8*OFFSET(F$112,MATCH($N$1,$C$112:$C$113,0)-1,0)</f>
        <v>3.8</v>
      </c>
      <c r="G38" s="28">
        <f ca="1">2.9*OFFSET(G$112,MATCH($N$1,$C$112:$C$113,0)-1,0)</f>
        <v>2.9</v>
      </c>
      <c r="H38" s="28">
        <f ca="1">3.1*OFFSET(H$112,MATCH($N$1,$C$112:$C$113,0)-1,0)</f>
        <v>3.1</v>
      </c>
      <c r="I38" s="28">
        <f ca="1">4.1*OFFSET(I$112,MATCH($N$1,$C$112:$C$113,0)-1,0)</f>
        <v>4.0999999999999996</v>
      </c>
      <c r="J38" s="28">
        <f ca="1">4.4*OFFSET(J$112,MATCH($N$1,$C$112:$C$113,0)-1,0)</f>
        <v>4.4000000000000004</v>
      </c>
      <c r="K38" s="28">
        <f ca="1">4.2*OFFSET(K$112,MATCH($N$1,$C$112:$C$113,0)-1,0)</f>
        <v>4.2</v>
      </c>
      <c r="L38" s="28">
        <f ca="1">2*OFFSET(L$112,MATCH($N$1,$C$112:$C$113,0)-1,0)</f>
        <v>2</v>
      </c>
      <c r="M38" s="28">
        <f ca="1">3.8*OFFSET(M$112,MATCH($N$1,$C$112:$C$113,0)-1,0)</f>
        <v>3.8</v>
      </c>
      <c r="N38" s="28"/>
      <c r="O38" s="23" t="str">
        <f t="shared" si="0"/>
        <v/>
      </c>
      <c r="P38" s="23" t="str">
        <f t="shared" si="1"/>
        <v/>
      </c>
    </row>
    <row r="39" spans="1:16" ht="18" customHeight="1" x14ac:dyDescent="0.2">
      <c r="A39" s="231"/>
      <c r="B39" s="33" t="s">
        <v>77</v>
      </c>
      <c r="C39" s="27"/>
      <c r="D39" s="28">
        <f ca="1">1.3*OFFSET(D$112,MATCH($N$1,$C$112:$C$113,0)-1,0)</f>
        <v>1.3</v>
      </c>
      <c r="E39" s="28">
        <f ca="1">0.6*OFFSET(E$112,MATCH($N$1,$C$112:$C$113,0)-1,0)</f>
        <v>0.6</v>
      </c>
      <c r="F39" s="28">
        <f ca="1">0.5*OFFSET(F$112,MATCH($N$1,$C$112:$C$113,0)-1,0)</f>
        <v>0.5</v>
      </c>
      <c r="G39" s="28">
        <f ca="1">0.6*OFFSET(G$112,MATCH($N$1,$C$112:$C$113,0)-1,0)</f>
        <v>0.6</v>
      </c>
      <c r="H39" s="28">
        <f ca="1">0.6*OFFSET(H$112,MATCH($N$1,$C$112:$C$113,0)-1,0)</f>
        <v>0.6</v>
      </c>
      <c r="I39" s="28">
        <f ca="1">0.4*OFFSET(I$112,MATCH($N$1,$C$112:$C$113,0)-1,0)</f>
        <v>0.4</v>
      </c>
      <c r="J39" s="28">
        <f ca="1">0.5*OFFSET(J$112,MATCH($N$1,$C$112:$C$113,0)-1,0)</f>
        <v>0.5</v>
      </c>
      <c r="K39" s="28">
        <f ca="1">0.5*OFFSET(K$112,MATCH($N$1,$C$112:$C$113,0)-1,0)</f>
        <v>0.5</v>
      </c>
      <c r="L39" s="28">
        <f ca="1">0.6*OFFSET(L$112,MATCH($N$1,$C$112:$C$113,0)-1,0)</f>
        <v>0.6</v>
      </c>
      <c r="M39" s="28">
        <f ca="1">0.3*OFFSET(M$112,MATCH($N$1,$C$112:$C$113,0)-1,0)</f>
        <v>0.3</v>
      </c>
      <c r="N39" s="28"/>
      <c r="O39" s="23" t="str">
        <f t="shared" si="0"/>
        <v/>
      </c>
      <c r="P39" s="23" t="str">
        <f t="shared" si="1"/>
        <v/>
      </c>
    </row>
    <row r="40" spans="1:16" ht="18" customHeight="1" x14ac:dyDescent="0.2">
      <c r="A40" s="231"/>
      <c r="B40" s="33" t="s">
        <v>78</v>
      </c>
      <c r="C40" s="27"/>
      <c r="D40" s="28"/>
      <c r="E40" s="28">
        <f ca="1">0.2*OFFSET(E$112,MATCH($N$1,$C$112:$C$113,0)-1,0)</f>
        <v>0.2</v>
      </c>
      <c r="F40" s="28">
        <f ca="1">0.1*OFFSET(F$112,MATCH($N$1,$C$112:$C$113,0)-1,0)</f>
        <v>0.1</v>
      </c>
      <c r="G40" s="28">
        <f ca="1">0.4*OFFSET(G$112,MATCH($N$1,$C$112:$C$113,0)-1,0)</f>
        <v>0.4</v>
      </c>
      <c r="H40" s="28">
        <f ca="1">0.4*OFFSET(H$112,MATCH($N$1,$C$112:$C$113,0)-1,0)</f>
        <v>0.4</v>
      </c>
      <c r="I40" s="28">
        <f ca="1">0.6*OFFSET(I$112,MATCH($N$1,$C$112:$C$113,0)-1,0)</f>
        <v>0.6</v>
      </c>
      <c r="J40" s="28">
        <f ca="1">0.6*OFFSET(J$112,MATCH($N$1,$C$112:$C$113,0)-1,0)</f>
        <v>0.6</v>
      </c>
      <c r="K40" s="28">
        <f ca="1">0.6*OFFSET(K$112,MATCH($N$1,$C$112:$C$113,0)-1,0)</f>
        <v>0.6</v>
      </c>
      <c r="L40" s="28">
        <f ca="1">0.4*OFFSET(L$112,MATCH($N$1,$C$112:$C$113,0)-1,0)</f>
        <v>0.4</v>
      </c>
      <c r="M40" s="28">
        <f ca="1">0.3*OFFSET(M$112,MATCH($N$1,$C$112:$C$113,0)-1,0)</f>
        <v>0.3</v>
      </c>
      <c r="N40" s="28"/>
      <c r="O40" s="23" t="str">
        <f t="shared" si="0"/>
        <v/>
      </c>
      <c r="P40" s="23" t="str">
        <f t="shared" si="1"/>
        <v/>
      </c>
    </row>
    <row r="41" spans="1:16" ht="18" customHeight="1" thickBot="1" x14ac:dyDescent="0.25">
      <c r="A41" s="232"/>
      <c r="B41" s="44" t="s">
        <v>79</v>
      </c>
      <c r="C41" s="45"/>
      <c r="D41" s="46">
        <f ca="1">8.8*OFFSET(D$112,MATCH($N$1,$C$112:$C$113,0)-1,0)</f>
        <v>8.8000000000000007</v>
      </c>
      <c r="E41" s="46">
        <f ca="1">11.1*OFFSET(E$112,MATCH($N$1,$C$112:$C$113,0)-1,0)</f>
        <v>11.1</v>
      </c>
      <c r="F41" s="46">
        <f ca="1">9.9*OFFSET(F$112,MATCH($N$1,$C$112:$C$113,0)-1,0)</f>
        <v>9.9</v>
      </c>
      <c r="G41" s="46">
        <f ca="1">10.1*OFFSET(G$112,MATCH($N$1,$C$112:$C$113,0)-1,0)</f>
        <v>10.1</v>
      </c>
      <c r="H41" s="46">
        <f ca="1">6.8*OFFSET(H$112,MATCH($N$1,$C$112:$C$113,0)-1,0)</f>
        <v>6.8</v>
      </c>
      <c r="I41" s="46">
        <f ca="1">8*OFFSET(I$112,MATCH($N$1,$C$112:$C$113,0)-1,0)</f>
        <v>8</v>
      </c>
      <c r="J41" s="46">
        <f ca="1">6.5*OFFSET(J$112,MATCH($N$1,$C$112:$C$113,0)-1,0)</f>
        <v>6.5</v>
      </c>
      <c r="K41" s="46">
        <f ca="1">6.1*OFFSET(K$112,MATCH($N$1,$C$112:$C$113,0)-1,0)</f>
        <v>6.1</v>
      </c>
      <c r="L41" s="46">
        <f ca="1">18*OFFSET(L$112,MATCH($N$1,$C$112:$C$113,0)-1,0)</f>
        <v>18</v>
      </c>
      <c r="M41" s="46">
        <f ca="1">11.5*OFFSET(M$112,MATCH($N$1,$C$112:$C$113,0)-1,0)</f>
        <v>11.5</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Under 10m pots and traps</v>
      </c>
      <c r="C48" s="97"/>
      <c r="D48" s="97"/>
      <c r="E48" s="97"/>
      <c r="F48" s="97"/>
      <c r="G48" s="97"/>
      <c r="K48" s="97" t="str">
        <f>$B24&amp;CHAR(10)&amp;$A$1</f>
        <v>Operating profit per kW day at sea (£)
Under 10m pots and traps</v>
      </c>
    </row>
    <row r="49" spans="1:11" s="83" customFormat="1" x14ac:dyDescent="0.2">
      <c r="A49" s="97" t="str">
        <f>$B22&amp;CHAR(10)&amp;$A$1</f>
        <v>Fishing income per kW day at sea (£)
Under 10m pots and traps</v>
      </c>
    </row>
    <row r="50" spans="1:11" s="83" customFormat="1" x14ac:dyDescent="0.2">
      <c r="A50" s="97" t="str">
        <f>$B20&amp;CHAR(10)&amp;$A$1</f>
        <v>Average price per tonne landed (£)
Under 10m pots and traps</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Under 10m pots and traps</v>
      </c>
      <c r="F62" s="97" t="str">
        <f>$B20&amp;CHAR(10)&amp;$A$1</f>
        <v>Average price per tonne landed (£)
Under 10m pots and traps</v>
      </c>
      <c r="K62" s="97" t="str">
        <f>"Average annual operating profit per vessel (£'000)"&amp;CHAR(10)&amp;$A$1</f>
        <v>Average annual operating profit per vessel (£'000)
Under 10m pots and traps</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Under 10m pots and traps</v>
      </c>
      <c r="F76" s="97" t="str">
        <f>"Top 5 landed species by value in "&amp;A77&amp;CHAR(10)&amp;A1</f>
        <v>Top 5 landed species by value in 2017
Under 10m pots and traps</v>
      </c>
    </row>
    <row r="77" spans="1:9" s="97" customFormat="1" x14ac:dyDescent="0.2">
      <c r="A77" s="97">
        <v>2017</v>
      </c>
      <c r="B77" s="97" t="s">
        <v>484</v>
      </c>
      <c r="C77" s="98">
        <v>0.38938951223083079</v>
      </c>
      <c r="D77" s="99">
        <v>553960</v>
      </c>
      <c r="G77" s="97" t="s">
        <v>485</v>
      </c>
      <c r="H77" s="98">
        <v>0.39739312222576478</v>
      </c>
      <c r="I77" s="99">
        <v>12153634</v>
      </c>
    </row>
    <row r="78" spans="1:9" s="97" customFormat="1" x14ac:dyDescent="0.2">
      <c r="B78" s="97" t="s">
        <v>486</v>
      </c>
      <c r="C78" s="98">
        <v>0.35289094913797381</v>
      </c>
      <c r="D78" s="99">
        <v>3050596</v>
      </c>
      <c r="G78" s="97" t="s">
        <v>487</v>
      </c>
      <c r="H78" s="98">
        <v>0.23171865027390218</v>
      </c>
      <c r="I78" s="99">
        <v>553960</v>
      </c>
    </row>
    <row r="79" spans="1:9" s="97" customFormat="1" x14ac:dyDescent="0.2">
      <c r="B79" s="97" t="s">
        <v>488</v>
      </c>
      <c r="C79" s="98">
        <v>7.8601844409640145E-2</v>
      </c>
      <c r="D79" s="99">
        <v>12153634</v>
      </c>
      <c r="G79" s="97" t="s">
        <v>489</v>
      </c>
      <c r="H79" s="98">
        <v>0.14742105355939755</v>
      </c>
      <c r="I79" s="99">
        <v>3050596</v>
      </c>
    </row>
    <row r="80" spans="1:9" s="97" customFormat="1" x14ac:dyDescent="0.2">
      <c r="B80" s="97" t="s">
        <v>490</v>
      </c>
      <c r="C80" s="98">
        <v>5.5543181819523516E-2</v>
      </c>
      <c r="D80" s="99">
        <v>3689192</v>
      </c>
      <c r="G80" s="97" t="s">
        <v>491</v>
      </c>
      <c r="H80" s="98">
        <v>8.399410249007401E-2</v>
      </c>
      <c r="I80" s="99">
        <v>1692097</v>
      </c>
    </row>
    <row r="81" spans="1:18" s="97" customFormat="1" x14ac:dyDescent="0.2">
      <c r="B81" s="97" t="s">
        <v>492</v>
      </c>
      <c r="C81" s="98">
        <v>3.5869494211194654E-2</v>
      </c>
      <c r="D81" s="99">
        <v>1692097</v>
      </c>
      <c r="G81" s="97" t="s">
        <v>493</v>
      </c>
      <c r="H81" s="98">
        <v>6.2373900389801167E-2</v>
      </c>
      <c r="I81" s="99">
        <v>3689192</v>
      </c>
    </row>
    <row r="82" spans="1:18" s="97" customFormat="1" x14ac:dyDescent="0.2">
      <c r="B82" s="97" t="s">
        <v>494</v>
      </c>
      <c r="C82" s="98">
        <v>8.7705018190837092E-2</v>
      </c>
      <c r="D82" s="99">
        <v>5920853</v>
      </c>
      <c r="G82" s="97" t="s">
        <v>495</v>
      </c>
      <c r="H82" s="98">
        <v>7.7099171061060345E-2</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230</v>
      </c>
      <c r="D92" s="102">
        <v>0.37088990642118141</v>
      </c>
      <c r="E92" s="102">
        <v>0.33558376738518797</v>
      </c>
      <c r="F92" s="102">
        <v>0.39535075093529581</v>
      </c>
      <c r="G92" s="102">
        <v>0.36479328864707516</v>
      </c>
      <c r="H92" s="102">
        <v>0.34050693521107239</v>
      </c>
      <c r="I92" s="102">
        <v>0.36537004139524254</v>
      </c>
      <c r="J92" s="102">
        <v>0.35424251675261947</v>
      </c>
      <c r="K92" s="102">
        <v>0.35568786343177183</v>
      </c>
      <c r="L92" s="102">
        <v>0.39739312222576478</v>
      </c>
      <c r="M92" s="102">
        <v>0.37385809179514473</v>
      </c>
      <c r="O92" s="97">
        <v>12153634</v>
      </c>
    </row>
    <row r="93" spans="1:18" s="97" customFormat="1" hidden="1" x14ac:dyDescent="0.2">
      <c r="B93" s="97">
        <v>2</v>
      </c>
      <c r="C93" s="97" t="s">
        <v>98</v>
      </c>
      <c r="D93" s="102">
        <v>0.16740738637816405</v>
      </c>
      <c r="E93" s="102">
        <v>0.18137921143080052</v>
      </c>
      <c r="F93" s="102">
        <v>0.18165666286218529</v>
      </c>
      <c r="G93" s="102">
        <v>0.19805901408621049</v>
      </c>
      <c r="H93" s="102">
        <v>0.21911912447815921</v>
      </c>
      <c r="I93" s="102">
        <v>0.21981190916465101</v>
      </c>
      <c r="J93" s="102">
        <v>0.19460936656175865</v>
      </c>
      <c r="K93" s="102">
        <v>0.1872557286249158</v>
      </c>
      <c r="L93" s="102">
        <v>0.23171865027390218</v>
      </c>
      <c r="M93" s="102">
        <v>0.28925403799111193</v>
      </c>
      <c r="O93" s="97">
        <v>553960</v>
      </c>
    </row>
    <row r="94" spans="1:18" s="97" customFormat="1" hidden="1" x14ac:dyDescent="0.2">
      <c r="B94" s="97">
        <v>3</v>
      </c>
      <c r="C94" s="97" t="s">
        <v>242</v>
      </c>
      <c r="D94" s="102">
        <v>6.8130488916865864E-2</v>
      </c>
      <c r="E94" s="102">
        <v>8.9155447914327945E-2</v>
      </c>
      <c r="F94" s="102">
        <v>8.0103283915618662E-2</v>
      </c>
      <c r="G94" s="102">
        <v>0.11315118478042546</v>
      </c>
      <c r="H94" s="102">
        <v>0.15003350534307289</v>
      </c>
      <c r="I94" s="102">
        <v>0.14725376993397576</v>
      </c>
      <c r="J94" s="102">
        <v>0.16950995285903536</v>
      </c>
      <c r="K94" s="102">
        <v>0.15680615623371028</v>
      </c>
      <c r="L94" s="102">
        <v>0.14742105355939755</v>
      </c>
      <c r="M94" s="102">
        <v>0.11597727895177196</v>
      </c>
      <c r="O94" s="97">
        <v>3050596</v>
      </c>
    </row>
    <row r="95" spans="1:18" s="97" customFormat="1" hidden="1" x14ac:dyDescent="0.2">
      <c r="B95" s="97">
        <v>4</v>
      </c>
      <c r="C95" s="97" t="s">
        <v>93</v>
      </c>
      <c r="D95" s="102">
        <v>0.2209893196415974</v>
      </c>
      <c r="E95" s="102">
        <v>0.21719180299837298</v>
      </c>
      <c r="F95" s="102">
        <v>0.17863590869913648</v>
      </c>
      <c r="G95" s="102">
        <v>0.16125178384300684</v>
      </c>
      <c r="H95" s="102">
        <v>0.1599264725522917</v>
      </c>
      <c r="I95" s="102">
        <v>0.13786297201776634</v>
      </c>
      <c r="J95" s="102">
        <v>0.13822630618354706</v>
      </c>
      <c r="K95" s="102">
        <v>0.13268411992088106</v>
      </c>
      <c r="L95" s="102">
        <v>8.399410249007401E-2</v>
      </c>
      <c r="M95" s="102">
        <v>8.0010616758597303E-2</v>
      </c>
      <c r="O95" s="97">
        <v>1692097</v>
      </c>
    </row>
    <row r="96" spans="1:18" s="97" customFormat="1" hidden="1" x14ac:dyDescent="0.2">
      <c r="B96" s="97">
        <v>5</v>
      </c>
      <c r="C96" s="97" t="s">
        <v>246</v>
      </c>
      <c r="D96" s="102">
        <v>0.10530644849716382</v>
      </c>
      <c r="E96" s="102">
        <v>0.10643800015193686</v>
      </c>
      <c r="F96" s="102">
        <v>8.9975762965251407E-2</v>
      </c>
      <c r="G96" s="102">
        <v>7.7834450761852053E-2</v>
      </c>
      <c r="H96" s="102">
        <v>6.0095575226506881E-2</v>
      </c>
      <c r="I96" s="102">
        <v>5.7526246071468168E-2</v>
      </c>
      <c r="J96" s="102">
        <v>5.6144668545029038E-2</v>
      </c>
      <c r="K96" s="102">
        <v>5.5185351691274302E-2</v>
      </c>
      <c r="L96" s="102">
        <v>6.2373900389801167E-2</v>
      </c>
      <c r="M96" s="102">
        <v>5.2596143669499926E-2</v>
      </c>
      <c r="O96" s="97">
        <v>3689192</v>
      </c>
    </row>
    <row r="97" spans="1:15" s="97" customFormat="1" hidden="1" x14ac:dyDescent="0.2">
      <c r="B97" s="97">
        <v>6</v>
      </c>
      <c r="C97" s="97" t="s">
        <v>101</v>
      </c>
      <c r="D97" s="102">
        <v>6.7276450145027464E-2</v>
      </c>
      <c r="E97" s="102">
        <v>7.0251770119373752E-2</v>
      </c>
      <c r="F97" s="102">
        <v>7.4277630622512386E-2</v>
      </c>
      <c r="G97" s="102">
        <v>8.4910277881430019E-2</v>
      </c>
      <c r="H97" s="102">
        <v>7.031838718889695E-2</v>
      </c>
      <c r="I97" s="102">
        <v>7.2175061416896141E-2</v>
      </c>
      <c r="J97" s="102">
        <v>8.7267189098010414E-2</v>
      </c>
      <c r="K97" s="102">
        <v>0.11238078009744673</v>
      </c>
      <c r="L97" s="102">
        <v>7.709917106106029E-2</v>
      </c>
      <c r="M97" s="102">
        <v>8.8303830833874108E-2</v>
      </c>
      <c r="O97" s="97">
        <v>5920853</v>
      </c>
    </row>
    <row r="98" spans="1:15" s="97" customFormat="1" hidden="1" x14ac:dyDescent="0.2">
      <c r="B98" s="97">
        <v>7</v>
      </c>
      <c r="D98" s="102"/>
      <c r="E98" s="102"/>
      <c r="F98" s="102"/>
      <c r="G98" s="102"/>
      <c r="H98" s="102"/>
      <c r="I98" s="102"/>
      <c r="J98" s="102"/>
      <c r="K98" s="102"/>
      <c r="L98" s="102"/>
      <c r="M98" s="102"/>
      <c r="O98" s="97">
        <v>2480382</v>
      </c>
    </row>
    <row r="99" spans="1:15" s="97" customFormat="1" hidden="1" x14ac:dyDescent="0.2">
      <c r="B99" s="97">
        <v>8</v>
      </c>
      <c r="D99" s="102"/>
      <c r="E99" s="102"/>
      <c r="F99" s="102"/>
      <c r="G99" s="102"/>
      <c r="H99" s="102"/>
      <c r="I99" s="102"/>
      <c r="J99" s="102"/>
      <c r="K99" s="102"/>
      <c r="L99" s="102"/>
      <c r="M99" s="102"/>
      <c r="O99" s="97">
        <v>7434864</v>
      </c>
    </row>
    <row r="100" spans="1:15" s="97" customFormat="1" hidden="1" x14ac:dyDescent="0.2">
      <c r="B100" s="97">
        <v>9</v>
      </c>
      <c r="D100" s="102"/>
      <c r="E100" s="102"/>
      <c r="F100" s="102"/>
      <c r="G100" s="102"/>
      <c r="H100" s="102"/>
      <c r="I100" s="102"/>
      <c r="J100" s="102"/>
      <c r="K100" s="102"/>
      <c r="L100" s="102"/>
      <c r="M100" s="102"/>
      <c r="O100" s="97">
        <v>8497745</v>
      </c>
    </row>
    <row r="101" spans="1:15" s="97" customFormat="1" hidden="1" x14ac:dyDescent="0.2">
      <c r="B101" s="97">
        <v>10</v>
      </c>
      <c r="D101" s="102"/>
      <c r="E101" s="102"/>
      <c r="F101" s="102"/>
      <c r="G101" s="102"/>
      <c r="H101" s="102"/>
      <c r="I101" s="102"/>
      <c r="J101" s="102"/>
      <c r="K101" s="102"/>
      <c r="L101" s="102"/>
      <c r="M101" s="102"/>
      <c r="O101" s="97">
        <v>14393110</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7</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289</v>
      </c>
      <c r="D120" s="56">
        <v>577</v>
      </c>
      <c r="E120" s="56">
        <v>289</v>
      </c>
      <c r="F120" s="57">
        <v>1155</v>
      </c>
    </row>
    <row r="121" spans="1:14" ht="18" customHeight="1" x14ac:dyDescent="0.2">
      <c r="A121" s="225" t="s">
        <v>23</v>
      </c>
      <c r="B121" s="30" t="s">
        <v>58</v>
      </c>
      <c r="C121" s="58">
        <v>7.9403805732727051</v>
      </c>
      <c r="D121" s="58">
        <v>7.9683707301703439</v>
      </c>
      <c r="E121" s="58">
        <v>7.8190312385559082</v>
      </c>
      <c r="F121" s="59">
        <v>7.9239997863769531</v>
      </c>
    </row>
    <row r="122" spans="1:14" ht="18" customHeight="1" x14ac:dyDescent="0.2">
      <c r="A122" s="226"/>
      <c r="B122" s="33" t="s">
        <v>51</v>
      </c>
      <c r="C122" s="60">
        <v>80.463668823242188</v>
      </c>
      <c r="D122" s="60">
        <v>77.28769681193387</v>
      </c>
      <c r="E122" s="60">
        <v>74.311416625976563</v>
      </c>
      <c r="F122" s="61">
        <v>77.337661743164062</v>
      </c>
    </row>
    <row r="123" spans="1:14" ht="18" customHeight="1" x14ac:dyDescent="0.2">
      <c r="A123" s="226"/>
      <c r="B123" s="33" t="s">
        <v>52</v>
      </c>
      <c r="C123" s="60">
        <v>4.5744791030883789</v>
      </c>
      <c r="D123" s="60">
        <v>4.4804660220286667</v>
      </c>
      <c r="E123" s="60">
        <v>4.1006946563720703</v>
      </c>
      <c r="F123" s="61">
        <v>4.4088630676269531</v>
      </c>
    </row>
    <row r="124" spans="1:14" ht="18" customHeight="1" x14ac:dyDescent="0.2">
      <c r="A124" s="226"/>
      <c r="B124" s="33" t="s">
        <v>53</v>
      </c>
      <c r="C124" s="60">
        <v>62.590400695800781</v>
      </c>
      <c r="D124" s="60">
        <v>60.75981148731357</v>
      </c>
      <c r="E124" s="60">
        <v>57.903125762939453</v>
      </c>
      <c r="F124" s="61">
        <v>60.503067016601563</v>
      </c>
    </row>
    <row r="125" spans="1:14" ht="18" customHeight="1" x14ac:dyDescent="0.2">
      <c r="A125" s="226"/>
      <c r="B125" s="33" t="s">
        <v>54</v>
      </c>
      <c r="C125" s="28">
        <v>37.149627685546875</v>
      </c>
      <c r="D125" s="28">
        <v>22.587373396346226</v>
      </c>
      <c r="E125" s="28">
        <v>9.3366146087646484</v>
      </c>
      <c r="F125" s="62">
        <v>22.915531158447266</v>
      </c>
    </row>
    <row r="126" spans="1:14" ht="18" customHeight="1" x14ac:dyDescent="0.2">
      <c r="A126" s="226"/>
      <c r="B126" s="33" t="s">
        <v>59</v>
      </c>
      <c r="C126" s="28">
        <f ca="1">94.6021640625*OFFSET($L$112,MATCH($N$1,$C$112:$C$113,0)-1,0)</f>
        <v>94.602164062499995</v>
      </c>
      <c r="D126" s="28">
        <f ca="1">59.3498912004441*OFFSET($L$112,MATCH($N$1,$C$112:$C$113,0)-1,0)</f>
        <v>59.349891200444098</v>
      </c>
      <c r="E126" s="28">
        <f ca="1">28.40603125*OFFSET($L$112,MATCH($N$1,$C$112:$C$113,0)-1,0)</f>
        <v>28.406031250000002</v>
      </c>
      <c r="F126" s="62">
        <f ca="1">60.42792578125*OFFSET($L$112,MATCH($N$1,$C$112:$C$113,0)-1,0)</f>
        <v>60.427925781250003</v>
      </c>
    </row>
    <row r="127" spans="1:14" ht="18" customHeight="1" x14ac:dyDescent="0.2">
      <c r="A127" s="226"/>
      <c r="B127" s="33" t="s">
        <v>56</v>
      </c>
      <c r="C127" s="60">
        <v>57.387542724609375</v>
      </c>
      <c r="D127" s="60">
        <v>89.109183802348483</v>
      </c>
      <c r="E127" s="60">
        <v>106.460205078125</v>
      </c>
      <c r="F127" s="61">
        <v>85.513420104980469</v>
      </c>
    </row>
    <row r="128" spans="1:14" ht="18" customHeight="1" x14ac:dyDescent="0.2">
      <c r="A128" s="226"/>
      <c r="B128" s="33" t="s">
        <v>60</v>
      </c>
      <c r="C128" s="60">
        <v>20.159170150756836</v>
      </c>
      <c r="D128" s="60">
        <v>21.958405288088052</v>
      </c>
      <c r="E128" s="60">
        <v>24.920415878295898</v>
      </c>
      <c r="F128" s="61">
        <v>22.249351501464844</v>
      </c>
    </row>
    <row r="129" spans="1:14" ht="18" customHeight="1" x14ac:dyDescent="0.2">
      <c r="A129" s="226"/>
      <c r="B129" s="33" t="s">
        <v>61</v>
      </c>
      <c r="C129" s="63">
        <v>0.64734655618667603</v>
      </c>
      <c r="D129" s="63">
        <v>0.25347974734508716</v>
      </c>
      <c r="E129" s="63">
        <v>8.7700515985488892E-2</v>
      </c>
      <c r="F129" s="64">
        <v>0.26797583699226379</v>
      </c>
    </row>
    <row r="130" spans="1:14" ht="18" customHeight="1" x14ac:dyDescent="0.2">
      <c r="A130" s="227"/>
      <c r="B130" s="35" t="s">
        <v>24</v>
      </c>
      <c r="C130" s="37">
        <f ca="1">2546.51715121509*OFFSET($L$112,MATCH($N$1,$C$112:$C$113,0)-1,0)</f>
        <v>2546.5171512150901</v>
      </c>
      <c r="D130" s="37">
        <f ca="1">2627.56940167486*OFFSET($L$112,MATCH($N$1,$C$112:$C$113,0)-1,0)</f>
        <v>2627.5694016748598</v>
      </c>
      <c r="E130" s="37">
        <f ca="1">3042.43373431459*OFFSET($L$112,MATCH($N$1,$C$112:$C$113,0)-1,0)</f>
        <v>3042.4337343145899</v>
      </c>
      <c r="F130" s="65">
        <f ca="1">2637*OFFSET($L$112,MATCH($N$1,$C$112:$C$113,0)-1,0)</f>
        <v>2637</v>
      </c>
    </row>
    <row r="131" spans="1:14" ht="18" customHeight="1" x14ac:dyDescent="0.2">
      <c r="A131" s="239" t="s">
        <v>25</v>
      </c>
      <c r="B131" s="30" t="s">
        <v>62</v>
      </c>
      <c r="C131" s="66">
        <v>6.4417868832554976</v>
      </c>
      <c r="D131" s="66">
        <v>2.9418044879006824</v>
      </c>
      <c r="E131" s="66">
        <v>1.1738574577976053</v>
      </c>
      <c r="F131" s="67">
        <v>3.1525570976421284</v>
      </c>
    </row>
    <row r="132" spans="1:14" ht="18" customHeight="1" x14ac:dyDescent="0.2">
      <c r="A132" s="228"/>
      <c r="B132" s="33" t="s">
        <v>63</v>
      </c>
      <c r="C132" s="63">
        <f ca="1">16.4041207826825*OFFSET($L$112,MATCH($N$1,$C$112:$C$113,0)-1,0)</f>
        <v>16.404120782682501</v>
      </c>
      <c r="D132" s="63">
        <f ca="1">7.72979545811761*OFFSET($L$112,MATCH($N$1,$C$112:$C$113,0)-1,0)</f>
        <v>7.7297954581176098</v>
      </c>
      <c r="E132" s="63">
        <f ca="1">3.5713835288802*OFFSET($L$112,MATCH($N$1,$C$112:$C$113,0)-1,0)</f>
        <v>3.5713835288802001</v>
      </c>
      <c r="F132" s="64">
        <f ca="1">8.31324768342746*OFFSET($L$112,MATCH($N$1,$C$112:$C$113,0)-1,0)</f>
        <v>8.3132476834274591</v>
      </c>
    </row>
    <row r="133" spans="1:14" ht="18" customHeight="1" x14ac:dyDescent="0.2">
      <c r="A133" s="228"/>
      <c r="B133" s="33" t="s">
        <v>11</v>
      </c>
      <c r="C133" s="63">
        <f ca="1">11.3051708923875*OFFSET($L$112,MATCH($N$1,$C$112:$C$113,0)-1,0)</f>
        <v>11.305170892387499</v>
      </c>
      <c r="D133" s="63">
        <f ca="1">5.73132844223198*OFFSET($L$112,MATCH($N$1,$C$112:$C$113,0)-1,0)</f>
        <v>5.7313284422319803</v>
      </c>
      <c r="E133" s="63">
        <f ca="1">3.09080976784846*OFFSET($L$112,MATCH($N$1,$C$112:$C$113,0)-1,0)</f>
        <v>3.0908097678484601</v>
      </c>
      <c r="F133" s="64">
        <f ca="1">6.11487206522247*OFFSET($L$112,MATCH($N$1,$C$112:$C$113,0)-1,0)</f>
        <v>6.1148720652224702</v>
      </c>
    </row>
    <row r="134" spans="1:14" ht="18" customHeight="1" x14ac:dyDescent="0.2">
      <c r="A134" s="229"/>
      <c r="B134" s="35" t="s">
        <v>12</v>
      </c>
      <c r="C134" s="68">
        <f ca="1">5.09894989029501*OFFSET($L$112,MATCH($N$1,$C$112:$C$113,0)-1,0)</f>
        <v>5.0989498902950103</v>
      </c>
      <c r="D134" s="68">
        <f ca="1">1.99846701588563*OFFSET($L$112,MATCH($N$1,$C$112:$C$113,0)-1,0)</f>
        <v>1.9984670158856299</v>
      </c>
      <c r="E134" s="68">
        <f ca="1">0.480573761031741*OFFSET($L$112,MATCH($N$1,$C$112:$C$113,0)-1,0)</f>
        <v>0.48057376103174099</v>
      </c>
      <c r="F134" s="69">
        <f ca="1">2.19837561820498*OFFSET($L$112,MATCH($N$1,$C$112:$C$113,0)-1,0)</f>
        <v>2.1983756182049801</v>
      </c>
    </row>
    <row r="135" spans="1:14" ht="18" customHeight="1" x14ac:dyDescent="0.2">
      <c r="A135" s="240" t="s">
        <v>45</v>
      </c>
      <c r="B135" s="33" t="s">
        <v>102</v>
      </c>
      <c r="C135" s="70">
        <f ca="1">3.55274194335938*OFFSET($L$112,MATCH($N$1,$C$112:$C$113,0)-1,0)</f>
        <v>3.5527419433593801</v>
      </c>
      <c r="D135" s="70">
        <f ca="1">5.33242525404165*OFFSET($L$112,MATCH($N$1,$C$112:$C$113,0)-1,0)</f>
        <v>5.3324252540416497</v>
      </c>
      <c r="E135" s="70">
        <f ca="1">6.0739384765625*OFFSET($L$112,MATCH($N$1,$C$112:$C$113,0)-1,0)</f>
        <v>6.0739384765624997</v>
      </c>
      <c r="F135" s="71">
        <f ca="1">5.072658203125*OFFSET($L$112,MATCH($N$1,$C$112:$C$113,0)-1,0)</f>
        <v>5.072658203125</v>
      </c>
    </row>
    <row r="136" spans="1:14" ht="18" customHeight="1" x14ac:dyDescent="0.2">
      <c r="A136" s="241"/>
      <c r="B136" s="33" t="s">
        <v>103</v>
      </c>
      <c r="C136" s="26">
        <v>8440.8304693177342</v>
      </c>
      <c r="D136" s="26">
        <v>12675.77111350614</v>
      </c>
      <c r="E136" s="26">
        <v>14438.06264135614</v>
      </c>
      <c r="F136" s="72">
        <v>12057.073593073594</v>
      </c>
    </row>
    <row r="137" spans="1:14" ht="18" customHeight="1" x14ac:dyDescent="0.2">
      <c r="A137" s="241"/>
      <c r="B137" s="33" t="s">
        <v>104</v>
      </c>
      <c r="C137" s="26">
        <v>147.084716796875</v>
      </c>
      <c r="D137" s="26">
        <v>142.24988460922327</v>
      </c>
      <c r="E137" s="26">
        <v>135.61933898925781</v>
      </c>
      <c r="F137" s="72">
        <v>140.99627685546875</v>
      </c>
    </row>
    <row r="138" spans="1:14" ht="18" customHeight="1" x14ac:dyDescent="0.2">
      <c r="A138" s="241"/>
      <c r="B138" s="33" t="s">
        <v>105</v>
      </c>
      <c r="C138" s="26">
        <f ca="1">61.9078945479201*OFFSET($L$112,MATCH($N$1,$C$112:$C$113,0)-1,0)</f>
        <v>61.907894547920101</v>
      </c>
      <c r="D138" s="26">
        <f ca="1">59.8414779094982*OFFSET($L$112,MATCH($N$1,$C$112:$C$113,0)-1,0)</f>
        <v>59.841477909498202</v>
      </c>
      <c r="E138" s="26">
        <f ca="1">57.053604885555*OFFSET($L$112,MATCH($N$1,$C$112:$C$113,0)-1,0)</f>
        <v>57.053604885555004</v>
      </c>
      <c r="F138" s="72">
        <f ca="1">59.320024820637*OFFSET($L$112,MATCH($N$1,$C$112:$C$113,0)-1,0)</f>
        <v>59.320024820637002</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95.6333122213651*OFFSET($L$112,MATCH($N$1,$C$112:$C$113,0)-1,0)</f>
        <v>95.633312221365102</v>
      </c>
      <c r="D139" s="26">
        <f ca="1">236.079917769643*OFFSET($L$112,MATCH($N$1,$C$112:$C$113,0)-1,0)</f>
        <v>236.079917769643</v>
      </c>
      <c r="E139" s="26">
        <f ca="1">650.550411587157*OFFSET($L$112,MATCH($N$1,$C$112:$C$113,0)-1,0)</f>
        <v>650.55041158715699</v>
      </c>
      <c r="F139" s="72">
        <f ca="1">221.363326385524*OFFSET($L$112,MATCH($N$1,$C$112:$C$113,0)-1,0)</f>
        <v>221.363326385524</v>
      </c>
      <c r="I139" s="49"/>
      <c r="K139" s="73" t="s">
        <v>107</v>
      </c>
      <c r="L139" s="74">
        <f t="shared" ref="L139:M141" ca="1" si="2">C140</f>
        <v>96.253593749999993</v>
      </c>
      <c r="M139" s="74">
        <f t="shared" ca="1" si="2"/>
        <v>60.385936098624299</v>
      </c>
      <c r="N139" s="74">
        <f ca="1">E140</f>
        <v>28.901902343749999</v>
      </c>
    </row>
    <row r="140" spans="1:14" ht="18" customHeight="1" x14ac:dyDescent="0.2">
      <c r="A140" s="230" t="s">
        <v>46</v>
      </c>
      <c r="B140" s="30" t="s">
        <v>108</v>
      </c>
      <c r="C140" s="75">
        <f ca="1">96.25359375*OFFSET($L$112,MATCH($N$1,$C$112:$C$113,0)-1,0)</f>
        <v>96.253593749999993</v>
      </c>
      <c r="D140" s="75">
        <f ca="1">60.3859360986243*OFFSET($L$112,MATCH($N$1,$C$112:$C$113,0)-1,0)</f>
        <v>60.385936098624299</v>
      </c>
      <c r="E140" s="75">
        <f ca="1">28.90190234375*OFFSET($L$112,MATCH($N$1,$C$112:$C$113,0)-1,0)</f>
        <v>28.901902343749999</v>
      </c>
      <c r="F140" s="76">
        <f ca="1">61.48279296875*OFFSET($L$112,MATCH($N$1,$C$112:$C$113,0)-1,0)</f>
        <v>61.482792968749997</v>
      </c>
      <c r="I140" s="49"/>
      <c r="K140" s="73" t="s">
        <v>109</v>
      </c>
      <c r="L140" s="74">
        <f t="shared" ca="1" si="2"/>
        <v>66.848070312499999</v>
      </c>
      <c r="M140" s="74">
        <f t="shared" ca="1" si="2"/>
        <v>45.041571476928098</v>
      </c>
      <c r="N140" s="74">
        <f ca="1">E141</f>
        <v>25.07951953125</v>
      </c>
    </row>
    <row r="141" spans="1:14" ht="18" customHeight="1" x14ac:dyDescent="0.2">
      <c r="A141" s="237"/>
      <c r="B141" s="33" t="s">
        <v>110</v>
      </c>
      <c r="C141" s="26">
        <f ca="1">66.8480703125*OFFSET($L$112,MATCH($N$1,$C$112:$C$113,0)-1,0)</f>
        <v>66.848070312499999</v>
      </c>
      <c r="D141" s="26">
        <f ca="1">45.0415714769281*OFFSET($L$112,MATCH($N$1,$C$112:$C$113,0)-1,0)</f>
        <v>45.041571476928098</v>
      </c>
      <c r="E141" s="26">
        <f ca="1">25.07951953125*OFFSET($L$112,MATCH($N$1,$C$112:$C$113,0)-1,0)</f>
        <v>25.07951953125</v>
      </c>
      <c r="F141" s="72">
        <f ca="1">45.50308203125*OFFSET($L$112,MATCH($N$1,$C$112:$C$113,0)-1,0)</f>
        <v>45.503082031250003</v>
      </c>
      <c r="I141" s="49"/>
      <c r="K141" s="73" t="s">
        <v>111</v>
      </c>
      <c r="L141" s="74">
        <f t="shared" ca="1" si="2"/>
        <v>29.405523437500001</v>
      </c>
      <c r="M141" s="74">
        <f t="shared" ca="1" si="2"/>
        <v>15.3443646216963</v>
      </c>
      <c r="N141" s="74">
        <f ca="1">E142</f>
        <v>3.8223828124999999</v>
      </c>
    </row>
    <row r="142" spans="1:14" ht="18" customHeight="1" x14ac:dyDescent="0.2">
      <c r="A142" s="238"/>
      <c r="B142" s="35" t="s">
        <v>112</v>
      </c>
      <c r="C142" s="37">
        <f ca="1">29.4055234375*OFFSET($L$112,MATCH($N$1,$C$112:$C$113,0)-1,0)</f>
        <v>29.405523437500001</v>
      </c>
      <c r="D142" s="37">
        <f ca="1">15.3443646216963*OFFSET($L$112,MATCH($N$1,$C$112:$C$113,0)-1,0)</f>
        <v>15.3443646216963</v>
      </c>
      <c r="E142" s="37">
        <f ca="1">3.8223828125*OFFSET($L$112,MATCH($N$1,$C$112:$C$113,0)-1,0)</f>
        <v>3.8223828124999999</v>
      </c>
      <c r="F142" s="65">
        <f ca="1">15.979708984375*OFFSET($L$112,MATCH($N$1,$C$112:$C$113,0)-1,0)</f>
        <v>15.979708984375</v>
      </c>
      <c r="I142" s="49"/>
      <c r="K142" s="73" t="s">
        <v>113</v>
      </c>
      <c r="L142" s="77">
        <f ca="1">IFERROR(L140/L$139,"")</f>
        <v>0.69449947485726993</v>
      </c>
      <c r="M142" s="77">
        <f t="shared" ref="M142:N143" ca="1" si="3">IFERROR(M140/M$139,"")</f>
        <v>0.74589506078641754</v>
      </c>
      <c r="N142" s="77">
        <f t="shared" ca="1" si="3"/>
        <v>0.86774632454854361</v>
      </c>
    </row>
    <row r="143" spans="1:14" ht="18" customHeight="1" x14ac:dyDescent="0.2">
      <c r="I143" s="49"/>
      <c r="K143" s="73" t="s">
        <v>114</v>
      </c>
      <c r="L143" s="77">
        <f ca="1">IFERROR(L141/L$139,"")</f>
        <v>0.30550052514273007</v>
      </c>
      <c r="M143" s="77">
        <f t="shared" ca="1" si="3"/>
        <v>0.25410493921358407</v>
      </c>
      <c r="N143" s="77">
        <f t="shared" ca="1" si="3"/>
        <v>0.13225367545145642</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7</v>
      </c>
      <c r="B161" s="53"/>
      <c r="C161" s="79" t="s">
        <v>41</v>
      </c>
      <c r="D161" s="79" t="s">
        <v>115</v>
      </c>
      <c r="E161" s="79" t="s">
        <v>43</v>
      </c>
      <c r="F161" s="79" t="s">
        <v>116</v>
      </c>
      <c r="G161" s="80">
        <v>7</v>
      </c>
      <c r="H161" s="79"/>
      <c r="I161" s="79" t="s">
        <v>41</v>
      </c>
      <c r="J161" s="79" t="s">
        <v>115</v>
      </c>
      <c r="K161" s="79" t="s">
        <v>43</v>
      </c>
      <c r="L161" s="53" t="s">
        <v>116</v>
      </c>
    </row>
    <row r="162" spans="1:14" s="49" customFormat="1" x14ac:dyDescent="0.2">
      <c r="A162" s="50">
        <v>1</v>
      </c>
      <c r="B162" s="53" t="s">
        <v>98</v>
      </c>
      <c r="C162" s="53">
        <v>0.38611064923932448</v>
      </c>
      <c r="D162" s="53">
        <v>0.42449622653581781</v>
      </c>
      <c r="E162" s="53">
        <v>0.38930437320770361</v>
      </c>
      <c r="F162" s="50">
        <v>553960</v>
      </c>
      <c r="G162" s="50">
        <v>1</v>
      </c>
      <c r="H162" s="53" t="s">
        <v>230</v>
      </c>
      <c r="I162" s="53">
        <v>0.40155957045482116</v>
      </c>
      <c r="J162" s="53">
        <v>0.41734557627652741</v>
      </c>
      <c r="K162" s="53">
        <v>0.35645744151448755</v>
      </c>
      <c r="L162" s="50">
        <v>12153634</v>
      </c>
    </row>
    <row r="163" spans="1:14" s="49" customFormat="1" x14ac:dyDescent="0.2">
      <c r="A163" s="50">
        <v>2</v>
      </c>
      <c r="B163" s="53" t="s">
        <v>242</v>
      </c>
      <c r="C163" s="53">
        <v>0.42314332696132184</v>
      </c>
      <c r="D163" s="53">
        <v>0.28721080115192904</v>
      </c>
      <c r="E163" s="53">
        <v>0.21248489662022688</v>
      </c>
      <c r="F163" s="50">
        <v>3050596</v>
      </c>
      <c r="G163" s="50">
        <v>2</v>
      </c>
      <c r="H163" s="53" t="s">
        <v>98</v>
      </c>
      <c r="I163" s="53">
        <v>0.23929022359130742</v>
      </c>
      <c r="J163" s="53">
        <v>0.24586816247825702</v>
      </c>
      <c r="K163" s="53">
        <v>0.18057007672263017</v>
      </c>
      <c r="L163" s="50">
        <v>553960</v>
      </c>
      <c r="N163" s="49" t="s">
        <v>117</v>
      </c>
    </row>
    <row r="164" spans="1:14" s="49" customFormat="1" x14ac:dyDescent="0.2">
      <c r="A164" s="50">
        <v>3</v>
      </c>
      <c r="B164" s="53" t="s">
        <v>230</v>
      </c>
      <c r="C164" s="53">
        <v>7.6605045137708938E-2</v>
      </c>
      <c r="D164" s="53">
        <v>8.7339599831392473E-2</v>
      </c>
      <c r="E164" s="53">
        <v>8.2785307073855771E-2</v>
      </c>
      <c r="F164" s="50">
        <v>12153634</v>
      </c>
      <c r="G164" s="50">
        <v>3</v>
      </c>
      <c r="H164" s="53" t="s">
        <v>242</v>
      </c>
      <c r="I164" s="53">
        <v>0.18728541814998853</v>
      </c>
      <c r="J164" s="53">
        <v>0.13734985084706525</v>
      </c>
      <c r="K164" s="53">
        <v>7.5156042321204777E-2</v>
      </c>
      <c r="L164" s="50">
        <v>3050596</v>
      </c>
      <c r="N164" s="49" t="s">
        <v>118</v>
      </c>
    </row>
    <row r="165" spans="1:14" s="49" customFormat="1" x14ac:dyDescent="0.2">
      <c r="A165" s="50">
        <v>4</v>
      </c>
      <c r="B165" s="53" t="s">
        <v>246</v>
      </c>
      <c r="C165" s="53">
        <v>4.2804966171277339E-2</v>
      </c>
      <c r="D165" s="53">
        <v>5.8718623080364782E-2</v>
      </c>
      <c r="E165" s="53">
        <v>0.10843263064728874</v>
      </c>
      <c r="F165" s="50">
        <v>3689192</v>
      </c>
      <c r="G165" s="50">
        <v>4</v>
      </c>
      <c r="H165" s="53" t="s">
        <v>93</v>
      </c>
      <c r="I165" s="53">
        <v>3.3885333345453232E-2</v>
      </c>
      <c r="J165" s="53">
        <v>9.1470905538996755E-2</v>
      </c>
      <c r="K165" s="53">
        <v>0.23199608427864116</v>
      </c>
      <c r="L165" s="50">
        <v>1692097</v>
      </c>
    </row>
    <row r="166" spans="1:14" s="49" customFormat="1" x14ac:dyDescent="0.2">
      <c r="A166" s="50">
        <v>5</v>
      </c>
      <c r="B166" s="53" t="s">
        <v>93</v>
      </c>
      <c r="C166" s="53">
        <v>1.4093395224102212E-2</v>
      </c>
      <c r="D166" s="53">
        <v>5.2966707769342036E-2</v>
      </c>
      <c r="E166" s="53">
        <v>0.1190896405608242</v>
      </c>
      <c r="F166" s="50">
        <v>1692097</v>
      </c>
      <c r="G166" s="50">
        <v>5</v>
      </c>
      <c r="H166" s="53" t="s">
        <v>246</v>
      </c>
      <c r="I166" s="53">
        <v>5.2595143021783336E-2</v>
      </c>
      <c r="J166" s="53">
        <v>6.4962392619812931E-2</v>
      </c>
      <c r="K166" s="53">
        <v>9.2886185708243585E-2</v>
      </c>
      <c r="L166" s="50">
        <v>3689192</v>
      </c>
    </row>
    <row r="167" spans="1:14" s="49" customFormat="1" x14ac:dyDescent="0.2">
      <c r="A167" s="50">
        <v>6</v>
      </c>
      <c r="B167" s="53" t="s">
        <v>101</v>
      </c>
      <c r="C167" s="53">
        <v>5.7242617266265117E-2</v>
      </c>
      <c r="D167" s="53">
        <v>8.9268041631153761E-2</v>
      </c>
      <c r="E167" s="53">
        <v>8.7903151890100895E-2</v>
      </c>
      <c r="F167" s="50">
        <v>5920853</v>
      </c>
      <c r="G167" s="50">
        <v>6</v>
      </c>
      <c r="H167" s="53" t="s">
        <v>101</v>
      </c>
      <c r="I167" s="53">
        <v>8.5384311436646265E-2</v>
      </c>
      <c r="J167" s="53">
        <v>4.3003112239340613E-2</v>
      </c>
      <c r="K167" s="53">
        <v>6.2934169454792799E-2</v>
      </c>
      <c r="L167" s="50">
        <v>5920853</v>
      </c>
    </row>
    <row r="168" spans="1:14" s="49" customFormat="1" x14ac:dyDescent="0.2">
      <c r="A168" s="50">
        <v>7</v>
      </c>
      <c r="B168" s="53"/>
      <c r="C168" s="53">
        <v>0</v>
      </c>
      <c r="D168" s="53">
        <v>0</v>
      </c>
      <c r="E168" s="53">
        <v>0</v>
      </c>
      <c r="F168" s="50"/>
      <c r="G168" s="50">
        <v>7</v>
      </c>
      <c r="H168" s="53"/>
      <c r="I168" s="53">
        <v>0</v>
      </c>
      <c r="J168" s="53">
        <v>0</v>
      </c>
      <c r="K168" s="53">
        <v>0</v>
      </c>
      <c r="L168" s="50"/>
    </row>
    <row r="169" spans="1:14" s="49" customFormat="1" x14ac:dyDescent="0.2">
      <c r="A169" s="50">
        <v>8</v>
      </c>
      <c r="B169" s="53"/>
      <c r="C169" s="53">
        <v>0</v>
      </c>
      <c r="D169" s="53">
        <v>0</v>
      </c>
      <c r="E169" s="53">
        <v>0</v>
      </c>
      <c r="F169" s="50"/>
      <c r="G169" s="50">
        <v>8</v>
      </c>
      <c r="H169" s="53"/>
      <c r="I169" s="53">
        <v>0</v>
      </c>
      <c r="J169" s="53">
        <v>0</v>
      </c>
      <c r="K169" s="53">
        <v>0</v>
      </c>
      <c r="L169" s="50"/>
    </row>
    <row r="170" spans="1:14" s="49" customFormat="1" x14ac:dyDescent="0.2">
      <c r="A170" s="50">
        <v>9</v>
      </c>
      <c r="B170" s="53"/>
      <c r="C170" s="53">
        <v>0</v>
      </c>
      <c r="D170" s="53">
        <v>0</v>
      </c>
      <c r="E170" s="53">
        <v>0</v>
      </c>
      <c r="F170" s="50"/>
      <c r="G170" s="50">
        <v>9</v>
      </c>
      <c r="H170" s="53"/>
      <c r="I170" s="53">
        <v>0</v>
      </c>
      <c r="J170" s="53">
        <v>0</v>
      </c>
      <c r="K170" s="53">
        <v>0</v>
      </c>
      <c r="L170" s="50"/>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'U10m pots and traps'!D3:N3</xm:f>
              <xm:sqref>C3</xm:sqref>
            </x14:sparkline>
            <x14:sparkline>
              <xm:f>'U10m pots and traps'!D4:N4</xm:f>
              <xm:sqref>C4</xm:sqref>
            </x14:sparkline>
            <x14:sparkline>
              <xm:f>'U10m pots and traps'!D5:N5</xm:f>
              <xm:sqref>C5</xm:sqref>
            </x14:sparkline>
            <x14:sparkline>
              <xm:f>'U10m pots and traps'!D6:N6</xm:f>
              <xm:sqref>C6</xm:sqref>
            </x14:sparkline>
            <x14:sparkline>
              <xm:f>'U10m pots and traps'!D7:N7</xm:f>
              <xm:sqref>C7</xm:sqref>
            </x14:sparkline>
            <x14:sparkline>
              <xm:f>'U10m pots and traps'!D8:N8</xm:f>
              <xm:sqref>C8</xm:sqref>
            </x14:sparkline>
            <x14:sparkline>
              <xm:f>'U10m pots and traps'!D9:N9</xm:f>
              <xm:sqref>C9</xm:sqref>
            </x14:sparkline>
            <x14:sparkline>
              <xm:f>'U10m pots and traps'!F10:M10</xm:f>
              <xm:sqref>C10</xm:sqref>
            </x14:sparkline>
            <x14:sparkline>
              <xm:f>'U10m pots and traps'!D11:N11</xm:f>
              <xm:sqref>C11</xm:sqref>
            </x14:sparkline>
            <x14:sparkline>
              <xm:f>'U10m pots and traps'!D12:N12</xm:f>
              <xm:sqref>C12</xm:sqref>
            </x14:sparkline>
            <x14:sparkline>
              <xm:f>'U10m pots and traps'!D13:N13</xm:f>
              <xm:sqref>C13</xm:sqref>
            </x14:sparkline>
            <x14:sparkline>
              <xm:f>'U10m pots and traps'!D14:N14</xm:f>
              <xm:sqref>C14</xm:sqref>
            </x14:sparkline>
            <x14:sparkline>
              <xm:f>'U10m pots and traps'!D15:N15</xm:f>
              <xm:sqref>C15</xm:sqref>
            </x14:sparkline>
            <x14:sparkline>
              <xm:f>'U10m pots and traps'!D16:N16</xm:f>
              <xm:sqref>C16</xm:sqref>
            </x14:sparkline>
            <x14:sparkline>
              <xm:f>'U10m pots and traps'!D17:N17</xm:f>
              <xm:sqref>C17</xm:sqref>
            </x14:sparkline>
            <x14:sparkline>
              <xm:f>'U10m pots and traps'!D18:N18</xm:f>
              <xm:sqref>C18</xm:sqref>
            </x14:sparkline>
            <x14:sparkline>
              <xm:f>'U10m pots and traps'!D19:N19</xm:f>
              <xm:sqref>C19</xm:sqref>
            </x14:sparkline>
            <x14:sparkline>
              <xm:f>'U10m pots and traps'!D20:N20</xm:f>
              <xm:sqref>C20</xm:sqref>
            </x14:sparkline>
            <x14:sparkline>
              <xm:f>'U10m pots and traps'!D21:N21</xm:f>
              <xm:sqref>C21</xm:sqref>
            </x14:sparkline>
            <x14:sparkline>
              <xm:f>'U10m pots and traps'!D22:N22</xm:f>
              <xm:sqref>C22</xm:sqref>
            </x14:sparkline>
            <x14:sparkline>
              <xm:f>'U10m pots and traps'!D23:N23</xm:f>
              <xm:sqref>C23</xm:sqref>
            </x14:sparkline>
            <x14:sparkline>
              <xm:f>'U10m pots and traps'!D24:N24</xm:f>
              <xm:sqref>C24</xm:sqref>
            </x14:sparkline>
            <x14:sparkline>
              <xm:f>'U10m pots and traps'!F25:M25</xm:f>
              <xm:sqref>C25</xm:sqref>
            </x14:sparkline>
            <x14:sparkline>
              <xm:f>'U10m pots and traps'!F26:M26</xm:f>
              <xm:sqref>C26</xm:sqref>
            </x14:sparkline>
            <x14:sparkline>
              <xm:f>'U10m pots and traps'!D27:N27</xm:f>
              <xm:sqref>C27</xm:sqref>
            </x14:sparkline>
            <x14:sparkline>
              <xm:f>'U10m pots and traps'!D28:N28</xm:f>
              <xm:sqref>C28</xm:sqref>
            </x14:sparkline>
            <x14:sparkline>
              <xm:f>'U10m pots and traps'!D29:N29</xm:f>
              <xm:sqref>C29</xm:sqref>
            </x14:sparkline>
            <x14:sparkline>
              <xm:f>'U10m pots and traps'!D30:N30</xm:f>
              <xm:sqref>C30</xm:sqref>
            </x14:sparkline>
            <x14:sparkline>
              <xm:f>'U10m pots and traps'!D31:N31</xm:f>
              <xm:sqref>C31</xm:sqref>
            </x14:sparkline>
            <x14:sparkline>
              <xm:f>'U10m pots and traps'!D32:N32</xm:f>
              <xm:sqref>C32</xm:sqref>
            </x14:sparkline>
            <x14:sparkline>
              <xm:f>'U10m pots and traps'!D33:N33</xm:f>
              <xm:sqref>C33</xm:sqref>
            </x14:sparkline>
            <x14:sparkline>
              <xm:f>'U10m pots and traps'!D34:N34</xm:f>
              <xm:sqref>C34</xm:sqref>
            </x14:sparkline>
            <x14:sparkline>
              <xm:f>'U10m pots and traps'!D35:N35</xm:f>
              <xm:sqref>C35</xm:sqref>
            </x14:sparkline>
            <x14:sparkline>
              <xm:f>'U10m pots and traps'!D36:N36</xm:f>
              <xm:sqref>C36</xm:sqref>
            </x14:sparkline>
            <x14:sparkline>
              <xm:f>'U10m pots and traps'!D37:N37</xm:f>
              <xm:sqref>C37</xm:sqref>
            </x14:sparkline>
            <x14:sparkline>
              <xm:f>'U10m pots and traps'!D38:M38</xm:f>
              <xm:sqref>C38</xm:sqref>
            </x14:sparkline>
            <x14:sparkline>
              <xm:f>'U10m pots and traps'!D39:M39</xm:f>
              <xm:sqref>C39</xm:sqref>
            </x14:sparkline>
            <x14:sparkline>
              <xm:f>'U10m pots and traps'!D40:M40</xm:f>
              <xm:sqref>C40</xm:sqref>
            </x14:sparkline>
            <x14:sparkline>
              <xm:f>'U10m pots and traps'!D41:M41</xm:f>
              <xm:sqref>C41</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496</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72</v>
      </c>
      <c r="E3" s="22">
        <v>105</v>
      </c>
      <c r="F3" s="22">
        <v>134</v>
      </c>
      <c r="G3" s="22">
        <v>138</v>
      </c>
      <c r="H3" s="22">
        <v>143</v>
      </c>
      <c r="I3" s="22">
        <v>150</v>
      </c>
      <c r="J3" s="22">
        <v>149</v>
      </c>
      <c r="K3" s="22">
        <v>137</v>
      </c>
      <c r="L3" s="22">
        <v>167</v>
      </c>
      <c r="M3" s="22">
        <v>235</v>
      </c>
      <c r="N3" s="22">
        <v>204</v>
      </c>
      <c r="O3" s="23">
        <f t="shared" ref="O3:O41" si="0">IF(N3=0,"",IFERROR(IF(AND(N3&gt;0,D3&lt;0),"na",IF(AND(N3&lt;0,D3&lt;0),-1,1)*(N3-D3)/D3),""))</f>
        <v>1.8333333333333333</v>
      </c>
      <c r="P3" s="23">
        <f>IF(N3=0,"",IFERROR(IF(AND(N3&gt;0,J3&lt;0),"na",IF(AND(N3&lt;0,J3&lt;0),-1,1)*(N3-J3)/J3),""))</f>
        <v>0.36912751677852351</v>
      </c>
    </row>
    <row r="4" spans="1:17" ht="18" customHeight="1" x14ac:dyDescent="0.2">
      <c r="A4" s="224"/>
      <c r="B4" s="24" t="s">
        <v>51</v>
      </c>
      <c r="C4" s="25"/>
      <c r="D4" s="26">
        <v>5942</v>
      </c>
      <c r="E4" s="26">
        <v>8340</v>
      </c>
      <c r="F4" s="26">
        <v>9068</v>
      </c>
      <c r="G4" s="26">
        <v>9430</v>
      </c>
      <c r="H4" s="26">
        <v>9249</v>
      </c>
      <c r="I4" s="26">
        <v>10139</v>
      </c>
      <c r="J4" s="26">
        <v>10053</v>
      </c>
      <c r="K4" s="26">
        <v>10145</v>
      </c>
      <c r="L4" s="26">
        <v>10946</v>
      </c>
      <c r="M4" s="26">
        <v>14779</v>
      </c>
      <c r="N4" s="26">
        <v>13891</v>
      </c>
      <c r="O4" s="23">
        <f t="shared" si="0"/>
        <v>1.3377650622685964</v>
      </c>
      <c r="P4" s="23">
        <f t="shared" ref="P4:P41" si="1">IF(N4=0,"",IFERROR(IF(AND(N4&gt;0,J4&lt;0),"na",IF(AND(N4&lt;0,J4&lt;0),-1,1)*(N4-J4)/J4),""))</f>
        <v>0.38177658410424747</v>
      </c>
    </row>
    <row r="5" spans="1:17" ht="18" customHeight="1" x14ac:dyDescent="0.2">
      <c r="A5" s="224"/>
      <c r="B5" s="24" t="s">
        <v>52</v>
      </c>
      <c r="C5" s="25"/>
      <c r="D5" s="26">
        <v>248.80999755859375</v>
      </c>
      <c r="E5" s="26">
        <v>328.72000122070312</v>
      </c>
      <c r="F5" s="26">
        <v>428.35000610351562</v>
      </c>
      <c r="G5" s="26">
        <v>424.35000610351562</v>
      </c>
      <c r="H5" s="26">
        <v>419</v>
      </c>
      <c r="I5" s="26">
        <v>418.30999755859375</v>
      </c>
      <c r="J5" s="26">
        <v>449.35000610351562</v>
      </c>
      <c r="K5" s="26">
        <v>425</v>
      </c>
      <c r="L5" s="26">
        <v>514</v>
      </c>
      <c r="M5" s="26">
        <v>686.489990234375</v>
      </c>
      <c r="N5" s="26">
        <v>559.489990234375</v>
      </c>
      <c r="O5" s="23">
        <f t="shared" si="0"/>
        <v>1.2486636217365719</v>
      </c>
      <c r="P5" s="23">
        <f t="shared" si="1"/>
        <v>0.2451095641144527</v>
      </c>
      <c r="Q5" s="27"/>
    </row>
    <row r="6" spans="1:17" ht="18" customHeight="1" x14ac:dyDescent="0.2">
      <c r="A6" s="224"/>
      <c r="B6" s="24" t="s">
        <v>53</v>
      </c>
      <c r="C6" s="25"/>
      <c r="D6" s="26">
        <v>4263.79052734375</v>
      </c>
      <c r="E6" s="26">
        <v>5909.896484375</v>
      </c>
      <c r="F6" s="26">
        <v>6866.1513671875</v>
      </c>
      <c r="G6" s="26">
        <v>7061.1943359375</v>
      </c>
      <c r="H6" s="26">
        <v>6929.068359375</v>
      </c>
      <c r="I6" s="26">
        <v>7433.9912109375</v>
      </c>
      <c r="J6" s="26">
        <v>7452.76708984375</v>
      </c>
      <c r="K6" s="26">
        <v>7385.55615234375</v>
      </c>
      <c r="L6" s="26">
        <v>8260.7705078125</v>
      </c>
      <c r="M6" s="26">
        <v>11306.2939453125</v>
      </c>
      <c r="N6" s="26">
        <v>10145.6640625</v>
      </c>
      <c r="O6" s="23">
        <f t="shared" si="0"/>
        <v>1.3794940200358603</v>
      </c>
      <c r="P6" s="23">
        <f t="shared" si="1"/>
        <v>0.36132847574506821</v>
      </c>
    </row>
    <row r="7" spans="1:17" ht="18" customHeight="1" x14ac:dyDescent="0.2">
      <c r="A7" s="224"/>
      <c r="B7" s="24" t="s">
        <v>54</v>
      </c>
      <c r="C7" s="25"/>
      <c r="D7" s="26">
        <v>1033.4365234375</v>
      </c>
      <c r="E7" s="26">
        <v>1332.3359375</v>
      </c>
      <c r="F7" s="26">
        <v>1789.7088623046875</v>
      </c>
      <c r="G7" s="26">
        <v>1773.7523193359375</v>
      </c>
      <c r="H7" s="26">
        <v>1983.2760009765625</v>
      </c>
      <c r="I7" s="26">
        <v>1752.849853515625</v>
      </c>
      <c r="J7" s="26">
        <v>1492.0423583984375</v>
      </c>
      <c r="K7" s="26">
        <v>1708.530029296875</v>
      </c>
      <c r="L7" s="26">
        <v>2198.673583984375</v>
      </c>
      <c r="M7" s="26">
        <v>2733.693603515625</v>
      </c>
      <c r="N7" s="26">
        <v>2152.682373046875</v>
      </c>
      <c r="O7" s="23">
        <f t="shared" si="0"/>
        <v>1.0830329916020862</v>
      </c>
      <c r="P7" s="23">
        <f t="shared" si="1"/>
        <v>0.44277564301697864</v>
      </c>
    </row>
    <row r="8" spans="1:17" ht="18" customHeight="1" x14ac:dyDescent="0.2">
      <c r="A8" s="224"/>
      <c r="B8" s="24" t="s">
        <v>55</v>
      </c>
      <c r="C8" s="27"/>
      <c r="D8" s="28">
        <f ca="1">2.98792425*OFFSET(D$112,MATCH($N$1,$C$112:$C$113,0)-1,0)</f>
        <v>2.9879242499999998</v>
      </c>
      <c r="E8" s="28">
        <f ca="1">3.631708*OFFSET(E$112,MATCH($N$1,$C$112:$C$113,0)-1,0)</f>
        <v>3.6317080000000002</v>
      </c>
      <c r="F8" s="28">
        <f ca="1">5.1161805*OFFSET(F$112,MATCH($N$1,$C$112:$C$113,0)-1,0)</f>
        <v>5.1161804999999996</v>
      </c>
      <c r="G8" s="28">
        <f ca="1">5.209308*OFFSET(G$112,MATCH($N$1,$C$112:$C$113,0)-1,0)</f>
        <v>5.209308</v>
      </c>
      <c r="H8" s="28">
        <f ca="1">5.9768085*OFFSET(H$112,MATCH($N$1,$C$112:$C$113,0)-1,0)</f>
        <v>5.9768084999999997</v>
      </c>
      <c r="I8" s="28">
        <f ca="1">5.459547*OFFSET(I$112,MATCH($N$1,$C$112:$C$113,0)-1,0)</f>
        <v>5.4595469999999997</v>
      </c>
      <c r="J8" s="28">
        <f ca="1">4.912113*OFFSET(J$112,MATCH($N$1,$C$112:$C$113,0)-1,0)</f>
        <v>4.9121129999999997</v>
      </c>
      <c r="K8" s="28">
        <f ca="1">5.491721*OFFSET(K$112,MATCH($N$1,$C$112:$C$113,0)-1,0)</f>
        <v>5.4917210000000001</v>
      </c>
      <c r="L8" s="28">
        <f ca="1">6.8702485*OFFSET(L$112,MATCH($N$1,$C$112:$C$113,0)-1,0)</f>
        <v>6.8702484999999998</v>
      </c>
      <c r="M8" s="28">
        <f ca="1">8.640029*OFFSET(M$112,MATCH($N$1,$C$112:$C$113,0)-1,0)</f>
        <v>8.6400290000000002</v>
      </c>
      <c r="N8" s="28">
        <v>7.9477434999999996</v>
      </c>
      <c r="O8" s="23">
        <f t="shared" ca="1" si="0"/>
        <v>1.659954816458282</v>
      </c>
      <c r="P8" s="23">
        <f t="shared" ca="1" si="1"/>
        <v>0.61798873519399899</v>
      </c>
    </row>
    <row r="9" spans="1:17" ht="18" customHeight="1" x14ac:dyDescent="0.2">
      <c r="A9" s="224"/>
      <c r="B9" s="24" t="s">
        <v>56</v>
      </c>
      <c r="C9" s="27"/>
      <c r="D9" s="26">
        <v>6049</v>
      </c>
      <c r="E9" s="26">
        <v>7859</v>
      </c>
      <c r="F9" s="26">
        <v>10892</v>
      </c>
      <c r="G9" s="26">
        <v>11348</v>
      </c>
      <c r="H9" s="26">
        <v>11953</v>
      </c>
      <c r="I9" s="26">
        <v>10915</v>
      </c>
      <c r="J9" s="26">
        <v>11465</v>
      </c>
      <c r="K9" s="26">
        <v>11302</v>
      </c>
      <c r="L9" s="26">
        <v>11975</v>
      </c>
      <c r="M9" s="26">
        <v>13818</v>
      </c>
      <c r="N9" s="26">
        <v>11842</v>
      </c>
      <c r="O9" s="23">
        <f t="shared" si="0"/>
        <v>0.95767895519920643</v>
      </c>
      <c r="P9" s="23">
        <f t="shared" si="1"/>
        <v>3.2882686436982118E-2</v>
      </c>
    </row>
    <row r="10" spans="1:17" ht="18" customHeight="1" x14ac:dyDescent="0.2">
      <c r="A10" s="224"/>
      <c r="B10" s="24" t="s">
        <v>57</v>
      </c>
      <c r="C10" s="27"/>
      <c r="D10" s="26"/>
      <c r="E10" s="26">
        <v>60.235763549804688</v>
      </c>
      <c r="F10" s="26">
        <v>75.716987609863281</v>
      </c>
      <c r="G10" s="26">
        <v>117.6700439453125</v>
      </c>
      <c r="H10" s="26">
        <v>124.01103210449219</v>
      </c>
      <c r="I10" s="26">
        <v>119.61808776855469</v>
      </c>
      <c r="J10" s="26">
        <v>95.302268981933594</v>
      </c>
      <c r="K10" s="26">
        <v>131.92926025390625</v>
      </c>
      <c r="L10" s="26">
        <v>179.17799377441406</v>
      </c>
      <c r="M10" s="26">
        <v>80.744796752929688</v>
      </c>
      <c r="N10" s="26">
        <v>130.380615234375</v>
      </c>
      <c r="O10" s="29" t="str">
        <f t="shared" si="0"/>
        <v/>
      </c>
      <c r="P10" s="29">
        <f t="shared" si="1"/>
        <v>0.36807461802500413</v>
      </c>
    </row>
    <row r="11" spans="1:17" ht="18" customHeight="1" x14ac:dyDescent="0.2">
      <c r="A11" s="225" t="s">
        <v>23</v>
      </c>
      <c r="B11" s="30" t="s">
        <v>58</v>
      </c>
      <c r="C11" s="31"/>
      <c r="D11" s="32">
        <v>7.4433331489562988</v>
      </c>
      <c r="E11" s="32">
        <v>7.1260952949523926</v>
      </c>
      <c r="F11" s="32">
        <v>7.2217164039611816</v>
      </c>
      <c r="G11" s="32">
        <v>7.1379709243774414</v>
      </c>
      <c r="H11" s="32">
        <v>6.9831466674804687</v>
      </c>
      <c r="I11" s="32">
        <v>6.9526667594909668</v>
      </c>
      <c r="J11" s="32">
        <v>7.0370469093322754</v>
      </c>
      <c r="K11" s="32">
        <v>7.2306571006774902</v>
      </c>
      <c r="L11" s="32">
        <v>7.1704788208007812</v>
      </c>
      <c r="M11" s="32">
        <v>7.1465530395507812</v>
      </c>
      <c r="N11" s="32">
        <v>7.0237255096435547</v>
      </c>
      <c r="O11" s="23">
        <f t="shared" si="0"/>
        <v>-5.6373620650256848E-2</v>
      </c>
      <c r="P11" s="23">
        <f t="shared" si="1"/>
        <v>-1.8930383526439688E-3</v>
      </c>
    </row>
    <row r="12" spans="1:17" ht="18" customHeight="1" x14ac:dyDescent="0.2">
      <c r="A12" s="226"/>
      <c r="B12" s="33" t="s">
        <v>51</v>
      </c>
      <c r="C12" s="25"/>
      <c r="D12" s="26">
        <v>82.527778625488281</v>
      </c>
      <c r="E12" s="26">
        <v>79.428573608398438</v>
      </c>
      <c r="F12" s="26">
        <v>67.671638488769531</v>
      </c>
      <c r="G12" s="26">
        <v>68.333335876464844</v>
      </c>
      <c r="H12" s="26">
        <v>64.678321838378906</v>
      </c>
      <c r="I12" s="26">
        <v>67.593330383300781</v>
      </c>
      <c r="J12" s="26">
        <v>67.925674438476562</v>
      </c>
      <c r="K12" s="26">
        <v>74.595588684082031</v>
      </c>
      <c r="L12" s="26">
        <v>65.93975830078125</v>
      </c>
      <c r="M12" s="26">
        <v>62.889362335205078</v>
      </c>
      <c r="N12" s="26">
        <v>68.0931396484375</v>
      </c>
      <c r="O12" s="23">
        <f t="shared" si="0"/>
        <v>-0.17490642808350979</v>
      </c>
      <c r="P12" s="23">
        <f t="shared" si="1"/>
        <v>2.4654184348602754E-3</v>
      </c>
    </row>
    <row r="13" spans="1:17" ht="18" customHeight="1" x14ac:dyDescent="0.2">
      <c r="A13" s="226"/>
      <c r="B13" s="33" t="s">
        <v>52</v>
      </c>
      <c r="C13" s="25"/>
      <c r="D13" s="26">
        <v>3.4556944370269775</v>
      </c>
      <c r="E13" s="26">
        <v>3.1306667327880859</v>
      </c>
      <c r="F13" s="26">
        <v>3.1966416835784912</v>
      </c>
      <c r="G13" s="26">
        <v>3.0750000476837158</v>
      </c>
      <c r="H13" s="26">
        <v>2.9300699234008789</v>
      </c>
      <c r="I13" s="26">
        <v>2.8074495792388916</v>
      </c>
      <c r="J13" s="26">
        <v>3.0361485481262207</v>
      </c>
      <c r="K13" s="26">
        <v>3.125</v>
      </c>
      <c r="L13" s="26">
        <v>3.0963854789733887</v>
      </c>
      <c r="M13" s="26">
        <v>2.9337179660797119</v>
      </c>
      <c r="N13" s="26">
        <v>2.756108283996582</v>
      </c>
      <c r="O13" s="23">
        <f t="shared" si="0"/>
        <v>-0.20244444807807355</v>
      </c>
      <c r="P13" s="23">
        <f t="shared" si="1"/>
        <v>-9.223536322110043E-2</v>
      </c>
    </row>
    <row r="14" spans="1:17" ht="18" customHeight="1" x14ac:dyDescent="0.2">
      <c r="A14" s="226"/>
      <c r="B14" s="33" t="s">
        <v>53</v>
      </c>
      <c r="C14" s="25"/>
      <c r="D14" s="26">
        <v>59.219310760498047</v>
      </c>
      <c r="E14" s="26">
        <v>56.28472900390625</v>
      </c>
      <c r="F14" s="26">
        <v>51.239936828613281</v>
      </c>
      <c r="G14" s="26">
        <v>51.168075561523437</v>
      </c>
      <c r="H14" s="26">
        <v>48.455024719238281</v>
      </c>
      <c r="I14" s="26">
        <v>49.559944152832031</v>
      </c>
      <c r="J14" s="26">
        <v>50.356533050537109</v>
      </c>
      <c r="K14" s="26">
        <v>54.305557250976562</v>
      </c>
      <c r="L14" s="26">
        <v>49.763675689697266</v>
      </c>
      <c r="M14" s="26">
        <v>48.111888885498047</v>
      </c>
      <c r="N14" s="26">
        <v>49.733646392822266</v>
      </c>
      <c r="O14" s="23">
        <f t="shared" si="0"/>
        <v>-0.16017856752907614</v>
      </c>
      <c r="P14" s="23">
        <f t="shared" si="1"/>
        <v>-1.2369530227383276E-2</v>
      </c>
    </row>
    <row r="15" spans="1:17" ht="18" customHeight="1" x14ac:dyDescent="0.2">
      <c r="A15" s="226"/>
      <c r="B15" s="33" t="s">
        <v>54</v>
      </c>
      <c r="C15" s="27"/>
      <c r="D15" s="28">
        <v>14.353285789489746</v>
      </c>
      <c r="E15" s="28">
        <v>12.688913345336914</v>
      </c>
      <c r="F15" s="28">
        <v>13.356036186218262</v>
      </c>
      <c r="G15" s="28">
        <v>12.853277206420898</v>
      </c>
      <c r="H15" s="28">
        <v>13.869062423706055</v>
      </c>
      <c r="I15" s="28">
        <v>11.685665130615234</v>
      </c>
      <c r="J15" s="28">
        <v>10.013707160949707</v>
      </c>
      <c r="K15" s="28">
        <v>12.47102165222168</v>
      </c>
      <c r="L15" s="28">
        <v>13.16571044921875</v>
      </c>
      <c r="M15" s="28">
        <v>11.632739067077637</v>
      </c>
      <c r="N15" s="28">
        <v>10.552364349365234</v>
      </c>
      <c r="O15" s="23">
        <f t="shared" si="0"/>
        <v>-0.26481193894346844</v>
      </c>
      <c r="P15" s="23">
        <f t="shared" si="1"/>
        <v>5.3791985301519511E-2</v>
      </c>
    </row>
    <row r="16" spans="1:17" ht="18" customHeight="1" x14ac:dyDescent="0.2">
      <c r="A16" s="226"/>
      <c r="B16" s="33" t="s">
        <v>59</v>
      </c>
      <c r="C16" s="27"/>
      <c r="D16" s="28">
        <f ca="1">41.49894921875*OFFSET(D$112,MATCH($N$1,$C$112:$C$113,0)-1,0)</f>
        <v>41.498949218749999</v>
      </c>
      <c r="E16" s="28">
        <f ca="1">34.5876953125*OFFSET(E$112,MATCH($N$1,$C$112:$C$113,0)-1,0)</f>
        <v>34.587695312500003</v>
      </c>
      <c r="F16" s="28">
        <f ca="1">38.18044921875*OFFSET(F$112,MATCH($N$1,$C$112:$C$113,0)-1,0)</f>
        <v>38.180449218749999</v>
      </c>
      <c r="G16" s="28">
        <f ca="1">37.748609375*OFFSET(G$112,MATCH($N$1,$C$112:$C$113,0)-1,0)</f>
        <v>37.748609375000001</v>
      </c>
      <c r="H16" s="28">
        <f ca="1">41.79586328125*OFFSET(H$112,MATCH($N$1,$C$112:$C$113,0)-1,0)</f>
        <v>41.79586328125</v>
      </c>
      <c r="I16" s="28">
        <f ca="1">36.39698046875*OFFSET(I$112,MATCH($N$1,$C$112:$C$113,0)-1,0)</f>
        <v>36.396980468750002</v>
      </c>
      <c r="J16" s="28">
        <f ca="1">32.96719921875*OFFSET(J$112,MATCH($N$1,$C$112:$C$113,0)-1,0)</f>
        <v>32.967199218749997</v>
      </c>
      <c r="K16" s="28">
        <f ca="1">40.0855546875*OFFSET(K$112,MATCH($N$1,$C$112:$C$113,0)-1,0)</f>
        <v>40.0855546875</v>
      </c>
      <c r="L16" s="28">
        <f ca="1">41.13921484375*OFFSET(L$112,MATCH($N$1,$C$112:$C$113,0)-1,0)</f>
        <v>41.139214843749997</v>
      </c>
      <c r="M16" s="28">
        <f ca="1">36.76608203125*OFFSET(M$112,MATCH($N$1,$C$112:$C$113,0)-1,0)</f>
        <v>36.766082031250001</v>
      </c>
      <c r="N16" s="28">
        <v>38.959527343750004</v>
      </c>
      <c r="O16" s="23">
        <f t="shared" ca="1" si="0"/>
        <v>-6.1192437948588752E-2</v>
      </c>
      <c r="P16" s="23">
        <f t="shared" ca="1" si="1"/>
        <v>0.18176636981621078</v>
      </c>
    </row>
    <row r="17" spans="1:16" ht="18" customHeight="1" x14ac:dyDescent="0.2">
      <c r="A17" s="226"/>
      <c r="B17" s="33" t="s">
        <v>56</v>
      </c>
      <c r="C17" s="25"/>
      <c r="D17" s="26">
        <v>84.013885498046875</v>
      </c>
      <c r="E17" s="26">
        <v>74.847618103027344</v>
      </c>
      <c r="F17" s="26">
        <v>81.283584594726563</v>
      </c>
      <c r="G17" s="26">
        <v>82.231887817382813</v>
      </c>
      <c r="H17" s="26">
        <v>83.587409973144531</v>
      </c>
      <c r="I17" s="26">
        <v>72.766670227050781</v>
      </c>
      <c r="J17" s="26">
        <v>76.946311950683594</v>
      </c>
      <c r="K17" s="26">
        <v>82.496353149414063</v>
      </c>
      <c r="L17" s="26">
        <v>71.706588745117187</v>
      </c>
      <c r="M17" s="26">
        <v>58.799999237060547</v>
      </c>
      <c r="N17" s="26">
        <v>58.049018859863281</v>
      </c>
      <c r="O17" s="23">
        <f t="shared" si="0"/>
        <v>-0.30905446741642745</v>
      </c>
      <c r="P17" s="23">
        <f t="shared" si="1"/>
        <v>-0.24559062821531927</v>
      </c>
    </row>
    <row r="18" spans="1:16" ht="18" customHeight="1" x14ac:dyDescent="0.2">
      <c r="A18" s="226"/>
      <c r="B18" s="33" t="s">
        <v>60</v>
      </c>
      <c r="C18" s="25"/>
      <c r="D18" s="26">
        <v>21.93055534362793</v>
      </c>
      <c r="E18" s="26">
        <v>18.847618103027344</v>
      </c>
      <c r="F18" s="26">
        <v>21.246269226074219</v>
      </c>
      <c r="G18" s="26">
        <v>20.601449966430664</v>
      </c>
      <c r="H18" s="26">
        <v>20.727272033691406</v>
      </c>
      <c r="I18" s="26">
        <v>20.033332824707031</v>
      </c>
      <c r="J18" s="26">
        <v>22.202703475952148</v>
      </c>
      <c r="K18" s="26">
        <v>19.882352828979492</v>
      </c>
      <c r="L18" s="26">
        <v>22.078313827514648</v>
      </c>
      <c r="M18" s="26">
        <v>22.434041976928711</v>
      </c>
      <c r="N18" s="26">
        <v>21.348039627075195</v>
      </c>
      <c r="O18" s="23">
        <f t="shared" si="0"/>
        <v>-2.6561831537110996E-2</v>
      </c>
      <c r="P18" s="23">
        <f t="shared" si="1"/>
        <v>-3.8493683879652019E-2</v>
      </c>
    </row>
    <row r="19" spans="1:16" ht="18" customHeight="1" x14ac:dyDescent="0.2">
      <c r="A19" s="226"/>
      <c r="B19" s="33" t="s">
        <v>61</v>
      </c>
      <c r="C19" s="25"/>
      <c r="D19" s="34">
        <v>0.17084421217441559</v>
      </c>
      <c r="E19" s="34">
        <v>0.16952995955944061</v>
      </c>
      <c r="F19" s="34">
        <v>0.16431406140327454</v>
      </c>
      <c r="G19" s="34">
        <v>0.15630526840686798</v>
      </c>
      <c r="H19" s="34">
        <v>0.1659228652715683</v>
      </c>
      <c r="I19" s="34">
        <v>0.16059090197086334</v>
      </c>
      <c r="J19" s="34">
        <v>0.13013888895511627</v>
      </c>
      <c r="K19" s="34">
        <v>0.15117058157920837</v>
      </c>
      <c r="L19" s="34">
        <v>0.18360531330108643</v>
      </c>
      <c r="M19" s="34">
        <v>0.19783569872379303</v>
      </c>
      <c r="N19" s="34">
        <v>0.18178367614746094</v>
      </c>
      <c r="O19" s="23">
        <f t="shared" si="0"/>
        <v>6.4031809060509481E-2</v>
      </c>
      <c r="P19" s="23">
        <f t="shared" si="1"/>
        <v>0.39684361536355583</v>
      </c>
    </row>
    <row r="20" spans="1:16" ht="18" customHeight="1" x14ac:dyDescent="0.2">
      <c r="A20" s="227"/>
      <c r="B20" s="35" t="s">
        <v>24</v>
      </c>
      <c r="C20" s="36"/>
      <c r="D20" s="37">
        <f ca="1">2891*OFFSET(D$112,MATCH($N$1,$C$112:$C$113,0)-1,0)</f>
        <v>2891</v>
      </c>
      <c r="E20" s="37">
        <f ca="1">2726*OFFSET(E$112,MATCH($N$1,$C$112:$C$113,0)-1,0)</f>
        <v>2726</v>
      </c>
      <c r="F20" s="37">
        <f ca="1">2859*OFFSET(F$112,MATCH($N$1,$C$112:$C$113,0)-1,0)</f>
        <v>2859</v>
      </c>
      <c r="G20" s="37">
        <f ca="1">2937*OFFSET(G$112,MATCH($N$1,$C$112:$C$113,0)-1,0)</f>
        <v>2937</v>
      </c>
      <c r="H20" s="37">
        <f ca="1">3014*OFFSET(H$112,MATCH($N$1,$C$112:$C$113,0)-1,0)</f>
        <v>3014</v>
      </c>
      <c r="I20" s="37">
        <f ca="1">3115*OFFSET(I$112,MATCH($N$1,$C$112:$C$113,0)-1,0)</f>
        <v>3115</v>
      </c>
      <c r="J20" s="37">
        <f ca="1">3292*OFFSET(J$112,MATCH($N$1,$C$112:$C$113,0)-1,0)</f>
        <v>3292</v>
      </c>
      <c r="K20" s="37">
        <f ca="1">3214*OFFSET(K$112,MATCH($N$1,$C$112:$C$113,0)-1,0)</f>
        <v>3214</v>
      </c>
      <c r="L20" s="37">
        <f ca="1">3125*OFFSET(L$112,MATCH($N$1,$C$112:$C$113,0)-1,0)</f>
        <v>3125</v>
      </c>
      <c r="M20" s="37">
        <f ca="1">3161*OFFSET(M$112,MATCH($N$1,$C$112:$C$113,0)-1,0)</f>
        <v>3161</v>
      </c>
      <c r="N20" s="37">
        <v>3692</v>
      </c>
      <c r="O20" s="29">
        <f t="shared" ca="1" si="0"/>
        <v>0.27706675890695259</v>
      </c>
      <c r="P20" s="29">
        <f t="shared" ca="1" si="1"/>
        <v>0.12150668286755771</v>
      </c>
    </row>
    <row r="21" spans="1:16" ht="18" customHeight="1" x14ac:dyDescent="0.2">
      <c r="A21" s="228" t="s">
        <v>25</v>
      </c>
      <c r="B21" s="30" t="s">
        <v>62</v>
      </c>
      <c r="C21" s="38"/>
      <c r="D21" s="39">
        <v>2.2230035316250309</v>
      </c>
      <c r="E21" s="39">
        <v>2.4389918290344914</v>
      </c>
      <c r="F21" s="39">
        <v>2.4978594503623119</v>
      </c>
      <c r="G21" s="39">
        <v>2.3692265317206744</v>
      </c>
      <c r="H21" s="39">
        <v>2.7082167767700356</v>
      </c>
      <c r="I21" s="39">
        <v>2.5972569315193668</v>
      </c>
      <c r="J21" s="39">
        <v>2.0713362400375117</v>
      </c>
      <c r="K21" s="39">
        <v>2.0125722146483462</v>
      </c>
      <c r="L21" s="39">
        <v>2.5944812783880207</v>
      </c>
      <c r="M21" s="39">
        <v>3.2054003491969634</v>
      </c>
      <c r="N21" s="39">
        <v>2.7498369485588015</v>
      </c>
      <c r="O21" s="23">
        <f t="shared" si="0"/>
        <v>0.23699171388569573</v>
      </c>
      <c r="P21" s="23">
        <f t="shared" si="1"/>
        <v>0.32756666706560505</v>
      </c>
    </row>
    <row r="22" spans="1:16" ht="18" customHeight="1" x14ac:dyDescent="0.2">
      <c r="A22" s="228"/>
      <c r="B22" s="33" t="s">
        <v>63</v>
      </c>
      <c r="C22" s="25"/>
      <c r="D22" s="34">
        <f ca="1">6.42726076976473*OFFSET(D$112,MATCH($N$1,$C$112:$C$113,0)-1,0)</f>
        <v>6.4272607697647297</v>
      </c>
      <c r="E22" s="34">
        <f ca="1">6.64825300295107*OFFSET(E$112,MATCH($N$1,$C$112:$C$113,0)-1,0)</f>
        <v>6.64825300295107</v>
      </c>
      <c r="F22" s="34">
        <f ca="1">7.14054638445366*OFFSET(F$112,MATCH($N$1,$C$112:$C$113,0)-1,0)</f>
        <v>7.1405463844536596</v>
      </c>
      <c r="G22" s="34">
        <f ca="1">6.9581481384477*OFFSET(G$112,MATCH($N$1,$C$112:$C$113,0)-1,0)</f>
        <v>6.9581481384477</v>
      </c>
      <c r="H22" s="34">
        <f ca="1">8.16149316224802*OFFSET(H$112,MATCH($N$1,$C$112:$C$113,0)-1,0)</f>
        <v>8.1614931622480196</v>
      </c>
      <c r="I22" s="34">
        <f ca="1">8.08959599237283*OFFSET(I$112,MATCH($N$1,$C$112:$C$113,0)-1,0)</f>
        <v>8.0895959923728302</v>
      </c>
      <c r="J22" s="34">
        <f ca="1">6.81926816680117*OFFSET(J$112,MATCH($N$1,$C$112:$C$113,0)-1,0)</f>
        <v>6.8192681668011703</v>
      </c>
      <c r="K22" s="34">
        <f ca="1">6.46900276678272*OFFSET(K$112,MATCH($N$1,$C$112:$C$113,0)-1,0)</f>
        <v>6.4690027667827197</v>
      </c>
      <c r="L22" s="34">
        <f ca="1">8.10703859327436*OFFSET(L$112,MATCH($N$1,$C$112:$C$113,0)-1,0)</f>
        <v>8.1070385932743605</v>
      </c>
      <c r="M22" s="34">
        <f ca="1">10.1308910568712*OFFSET(M$112,MATCH($N$1,$C$112:$C$113,0)-1,0)</f>
        <v>10.130891056871199</v>
      </c>
      <c r="N22" s="34">
        <v>10.15244965406024</v>
      </c>
      <c r="O22" s="23">
        <f t="shared" ca="1" si="0"/>
        <v>0.57959199381167648</v>
      </c>
      <c r="P22" s="23">
        <f t="shared" ca="1" si="1"/>
        <v>0.48878873886882518</v>
      </c>
    </row>
    <row r="23" spans="1:16" ht="18" customHeight="1" x14ac:dyDescent="0.2">
      <c r="A23" s="228"/>
      <c r="B23" s="33" t="s">
        <v>11</v>
      </c>
      <c r="C23" s="25"/>
      <c r="D23" s="34">
        <f ca="1">5.50976396733079*OFFSET(D$112,MATCH($N$1,$C$112:$C$113,0)-1,0)</f>
        <v>5.5097639673307901</v>
      </c>
      <c r="E23" s="34">
        <f ca="1">4.59038806941755*OFFSET(E$112,MATCH($N$1,$C$112:$C$113,0)-1,0)</f>
        <v>4.5903880694175498</v>
      </c>
      <c r="F23" s="34">
        <f ca="1">5.81726558290058*OFFSET(F$112,MATCH($N$1,$C$112:$C$113,0)-1,0)</f>
        <v>5.8172655829005802</v>
      </c>
      <c r="G23" s="34">
        <f ca="1">6.58640983429057*OFFSET(G$112,MATCH($N$1,$C$112:$C$113,0)-1,0)</f>
        <v>6.5864098342905697</v>
      </c>
      <c r="H23" s="34">
        <f ca="1">6.83688745486161*OFFSET(H$112,MATCH($N$1,$C$112:$C$113,0)-1,0)</f>
        <v>6.8368874548616096</v>
      </c>
      <c r="I23" s="34">
        <f ca="1">6.64873562444991*OFFSET(I$112,MATCH($N$1,$C$112:$C$113,0)-1,0)</f>
        <v>6.6487356244499098</v>
      </c>
      <c r="J23" s="34">
        <f ca="1">5.05341355676106*OFFSET(J$112,MATCH($N$1,$C$112:$C$113,0)-1,0)</f>
        <v>5.0534135567610603</v>
      </c>
      <c r="K23" s="34">
        <f ca="1">4.39093438370529*OFFSET(K$112,MATCH($N$1,$C$112:$C$113,0)-1,0)</f>
        <v>4.3909343837052903</v>
      </c>
      <c r="L23" s="34">
        <f ca="1">5.16426888206287*OFFSET(L$112,MATCH($N$1,$C$112:$C$113,0)-1,0)</f>
        <v>5.1642688820628697</v>
      </c>
      <c r="M23" s="34">
        <f ca="1">7.17876973955958*OFFSET(M$112,MATCH($N$1,$C$112:$C$113,0)-1,0)</f>
        <v>7.1787697395595798</v>
      </c>
      <c r="N23" s="34">
        <v>7.2751313620599927</v>
      </c>
      <c r="O23" s="23">
        <f t="shared" ca="1" si="0"/>
        <v>0.32040708189981437</v>
      </c>
      <c r="P23" s="23">
        <f t="shared" ca="1" si="1"/>
        <v>0.43964693970602364</v>
      </c>
    </row>
    <row r="24" spans="1:16" ht="18" customHeight="1" x14ac:dyDescent="0.2">
      <c r="A24" s="228"/>
      <c r="B24" s="33" t="s">
        <v>12</v>
      </c>
      <c r="C24" s="25"/>
      <c r="D24" s="34">
        <f ca="1">0.965755094080247*OFFSET(D$112,MATCH($N$1,$C$112:$C$113,0)-1,0)</f>
        <v>0.96575509408024696</v>
      </c>
      <c r="E24" s="34">
        <f ca="1">2.32858544375763*OFFSET(E$112,MATCH($N$1,$C$112:$C$113,0)-1,0)</f>
        <v>2.3285854437576301</v>
      </c>
      <c r="F24" s="34">
        <f ca="1">1.58105155670796*OFFSET(F$112,MATCH($N$1,$C$112:$C$113,0)-1,0)</f>
        <v>1.5810515567079599</v>
      </c>
      <c r="G24" s="34">
        <f ca="1">0.482658801379908*OFFSET(G$112,MATCH($N$1,$C$112:$C$113,0)-1,0)</f>
        <v>0.48265880137990802</v>
      </c>
      <c r="H24" s="34">
        <f ca="1">1.50548039416008*OFFSET(H$112,MATCH($N$1,$C$112:$C$113,0)-1,0)</f>
        <v>1.5054803941600801</v>
      </c>
      <c r="I24" s="34">
        <f ca="1">2.64503631803595*OFFSET(I$112,MATCH($N$1,$C$112:$C$113,0)-1,0)</f>
        <v>2.6450363180359502</v>
      </c>
      <c r="J24" s="34">
        <f ca="1">2.00097122581909*OFFSET(J$112,MATCH($N$1,$C$112:$C$113,0)-1,0)</f>
        <v>2.0009712258190899</v>
      </c>
      <c r="K24" s="34">
        <f ca="1">2.14609624545883*OFFSET(K$112,MATCH($N$1,$C$112:$C$113,0)-1,0)</f>
        <v>2.1460962454588302</v>
      </c>
      <c r="L24" s="34">
        <f ca="1">2.99895925827138*OFFSET(L$112,MATCH($N$1,$C$112:$C$113,0)-1,0)</f>
        <v>2.99895925827138</v>
      </c>
      <c r="M24" s="34">
        <f ca="1">3.4680670199841*OFFSET(M$112,MATCH($N$1,$C$112:$C$113,0)-1,0)</f>
        <v>3.4680670199841002</v>
      </c>
      <c r="N24" s="34">
        <v>3.3943619113105772</v>
      </c>
      <c r="O24" s="23">
        <f t="shared" ca="1" si="0"/>
        <v>2.5147232793457381</v>
      </c>
      <c r="P24" s="23">
        <f t="shared" ca="1" si="1"/>
        <v>0.69635718270816616</v>
      </c>
    </row>
    <row r="25" spans="1:16" ht="18" customHeight="1" x14ac:dyDescent="0.2">
      <c r="A25" s="228"/>
      <c r="B25" s="33" t="s">
        <v>64</v>
      </c>
      <c r="C25" s="25"/>
      <c r="D25" s="28"/>
      <c r="E25" s="28">
        <f ca="1">60.31*OFFSET(E$112,MATCH($N$1,$C$112:$C$113,0)-1,0)</f>
        <v>60.31</v>
      </c>
      <c r="F25" s="28">
        <f ca="1">67.6*OFFSET(F$112,MATCH($N$1,$C$112:$C$113,0)-1,0)</f>
        <v>67.599999999999994</v>
      </c>
      <c r="G25" s="28">
        <f ca="1">44.21*OFFSET(G$112,MATCH($N$1,$C$112:$C$113,0)-1,0)</f>
        <v>44.21</v>
      </c>
      <c r="H25" s="28">
        <f ca="1">48.2*OFFSET(H$112,MATCH($N$1,$C$112:$C$113,0)-1,0)</f>
        <v>48.2</v>
      </c>
      <c r="I25" s="28">
        <f ca="1">45.65*OFFSET(I$112,MATCH($N$1,$C$112:$C$113,0)-1,0)</f>
        <v>45.65</v>
      </c>
      <c r="J25" s="28">
        <f ca="1">51.59*OFFSET(J$112,MATCH($N$1,$C$112:$C$113,0)-1,0)</f>
        <v>51.59</v>
      </c>
      <c r="K25" s="28">
        <f ca="1">41.64*OFFSET(K$112,MATCH($N$1,$C$112:$C$113,0)-1,0)</f>
        <v>41.64</v>
      </c>
      <c r="L25" s="28">
        <f ca="1">38.31*OFFSET(L$112,MATCH($N$1,$C$112:$C$113,0)-1,0)</f>
        <v>38.31</v>
      </c>
      <c r="M25" s="28">
        <f ca="1">107.1*OFFSET(M$112,MATCH($N$1,$C$112:$C$113,0)-1,0)</f>
        <v>107.1</v>
      </c>
      <c r="N25" s="28">
        <v>61.02</v>
      </c>
      <c r="O25" s="23" t="str">
        <f t="shared" si="0"/>
        <v/>
      </c>
      <c r="P25" s="23">
        <f t="shared" ca="1" si="1"/>
        <v>0.18278736189183947</v>
      </c>
    </row>
    <row r="26" spans="1:16" ht="18" customHeight="1" x14ac:dyDescent="0.2">
      <c r="A26" s="229"/>
      <c r="B26" s="33" t="s">
        <v>65</v>
      </c>
      <c r="C26" s="40"/>
      <c r="D26" s="28"/>
      <c r="E26" s="28">
        <f ca="1">21.09*OFFSET(E$112,MATCH($N$1,$C$112:$C$113,0)-1,0)</f>
        <v>21.09</v>
      </c>
      <c r="F26" s="28">
        <f ca="1">15.04*OFFSET(F$112,MATCH($N$1,$C$112:$C$113,0)-1,0)</f>
        <v>15.04</v>
      </c>
      <c r="G26" s="28">
        <f ca="1">3.05*OFFSET(G$112,MATCH($N$1,$C$112:$C$113,0)-1,0)</f>
        <v>3.05</v>
      </c>
      <c r="H26" s="28">
        <f ca="1">8.88*OFFSET(H$112,MATCH($N$1,$C$112:$C$113,0)-1,0)</f>
        <v>8.8800000000000008</v>
      </c>
      <c r="I26" s="28">
        <f ca="1">14.92*OFFSET(I$112,MATCH($N$1,$C$112:$C$113,0)-1,0)</f>
        <v>14.92</v>
      </c>
      <c r="J26" s="28">
        <f ca="1">15.17*OFFSET(J$112,MATCH($N$1,$C$112:$C$113,0)-1,0)</f>
        <v>15.17</v>
      </c>
      <c r="K26" s="28">
        <f ca="1">13.81*OFFSET(K$112,MATCH($N$1,$C$112:$C$113,0)-1,0)</f>
        <v>13.81</v>
      </c>
      <c r="L26" s="28">
        <f ca="1">14.17*OFFSET(L$112,MATCH($N$1,$C$112:$C$113,0)-1,0)</f>
        <v>14.17</v>
      </c>
      <c r="M26" s="28">
        <f ca="1">36.67*OFFSET(M$112,MATCH($N$1,$C$112:$C$113,0)-1,0)</f>
        <v>36.67</v>
      </c>
      <c r="N26" s="28">
        <v>20.34</v>
      </c>
      <c r="O26" s="29" t="str">
        <f t="shared" si="0"/>
        <v/>
      </c>
      <c r="P26" s="29">
        <f t="shared" ca="1" si="1"/>
        <v>0.34080421885299933</v>
      </c>
    </row>
    <row r="27" spans="1:16" ht="18" customHeight="1" x14ac:dyDescent="0.2">
      <c r="A27" s="230" t="s">
        <v>26</v>
      </c>
      <c r="B27" s="30" t="s">
        <v>59</v>
      </c>
      <c r="C27" s="31"/>
      <c r="D27" s="32">
        <f ca="1">41.5*OFFSET(D$112,MATCH($N$1,$C$112:$C$113,0)-1,0)</f>
        <v>41.5</v>
      </c>
      <c r="E27" s="32">
        <f ca="1">34.6*OFFSET(E$112,MATCH($N$1,$C$112:$C$113,0)-1,0)</f>
        <v>34.6</v>
      </c>
      <c r="F27" s="32">
        <f ca="1">38.2*OFFSET(F$112,MATCH($N$1,$C$112:$C$113,0)-1,0)</f>
        <v>38.200000000000003</v>
      </c>
      <c r="G27" s="32">
        <f ca="1">37.7*OFFSET(G$112,MATCH($N$1,$C$112:$C$113,0)-1,0)</f>
        <v>37.700000000000003</v>
      </c>
      <c r="H27" s="32">
        <f ca="1">41.8*OFFSET(H$112,MATCH($N$1,$C$112:$C$113,0)-1,0)</f>
        <v>41.8</v>
      </c>
      <c r="I27" s="32">
        <f ca="1">36.4*OFFSET(I$112,MATCH($N$1,$C$112:$C$113,0)-1,0)</f>
        <v>36.4</v>
      </c>
      <c r="J27" s="32">
        <f ca="1">33*OFFSET(J$112,MATCH($N$1,$C$112:$C$113,0)-1,0)</f>
        <v>33</v>
      </c>
      <c r="K27" s="32">
        <f ca="1">40.1*OFFSET(K$112,MATCH($N$1,$C$112:$C$113,0)-1,0)</f>
        <v>40.1</v>
      </c>
      <c r="L27" s="32">
        <f ca="1">41.1*OFFSET(L$112,MATCH($N$1,$C$112:$C$113,0)-1,0)</f>
        <v>41.1</v>
      </c>
      <c r="M27" s="32">
        <f ca="1">36.8*OFFSET(M$112,MATCH($N$1,$C$112:$C$113,0)-1,0)</f>
        <v>36.799999999999997</v>
      </c>
      <c r="N27" s="32">
        <v>39</v>
      </c>
      <c r="O27" s="23">
        <f t="shared" ca="1" si="0"/>
        <v>-6.0240963855421686E-2</v>
      </c>
      <c r="P27" s="23">
        <f t="shared" ca="1" si="1"/>
        <v>0.18181818181818182</v>
      </c>
    </row>
    <row r="28" spans="1:16" ht="18" customHeight="1" x14ac:dyDescent="0.2">
      <c r="A28" s="231"/>
      <c r="B28" s="33" t="s">
        <v>66</v>
      </c>
      <c r="C28" s="27"/>
      <c r="D28" s="28">
        <f ca="1">0.3*OFFSET(D$112,MATCH($N$1,$C$112:$C$113,0)-1,0)</f>
        <v>0.3</v>
      </c>
      <c r="E28" s="28">
        <f ca="1">1.4*OFFSET(E$112,MATCH($N$1,$C$112:$C$113,0)-1,0)</f>
        <v>1.4</v>
      </c>
      <c r="F28" s="28">
        <f ca="1">1.4*OFFSET(F$112,MATCH($N$1,$C$112:$C$113,0)-1,0)</f>
        <v>1.4</v>
      </c>
      <c r="G28" s="28">
        <f ca="1">0.6*OFFSET(G$112,MATCH($N$1,$C$112:$C$113,0)-1,0)</f>
        <v>0.6</v>
      </c>
      <c r="H28" s="28">
        <f ca="1">0.9*OFFSET(H$112,MATCH($N$1,$C$112:$C$113,0)-1,0)</f>
        <v>0.9</v>
      </c>
      <c r="I28" s="28">
        <f ca="1">5.4*OFFSET(I$112,MATCH($N$1,$C$112:$C$113,0)-1,0)</f>
        <v>5.4</v>
      </c>
      <c r="J28" s="28">
        <f ca="1">1.1*OFFSET(J$112,MATCH($N$1,$C$112:$C$113,0)-1,0)</f>
        <v>1.1000000000000001</v>
      </c>
      <c r="K28" s="28">
        <f ca="1">0.4*OFFSET(K$112,MATCH($N$1,$C$112:$C$113,0)-1,0)</f>
        <v>0.4</v>
      </c>
      <c r="L28" s="28">
        <f ca="1">0.3*OFFSET(L$112,MATCH($N$1,$C$112:$C$113,0)-1,0)</f>
        <v>0.3</v>
      </c>
      <c r="M28" s="28">
        <f ca="1">1.9*OFFSET(M$112,MATCH($N$1,$C$112:$C$113,0)-1,0)</f>
        <v>1.9</v>
      </c>
      <c r="N28" s="28">
        <v>2</v>
      </c>
      <c r="O28" s="23">
        <f t="shared" ca="1" si="0"/>
        <v>5.666666666666667</v>
      </c>
      <c r="P28" s="23">
        <f t="shared" ca="1" si="1"/>
        <v>0.81818181818181801</v>
      </c>
    </row>
    <row r="29" spans="1:16" ht="18" customHeight="1" x14ac:dyDescent="0.2">
      <c r="A29" s="231"/>
      <c r="B29" s="41" t="s">
        <v>67</v>
      </c>
      <c r="C29" s="42"/>
      <c r="D29" s="43">
        <f ca="1">41.8*OFFSET(D$112,MATCH($N$1,$C$112:$C$113,0)-1,0)</f>
        <v>41.8</v>
      </c>
      <c r="E29" s="43">
        <f ca="1">36*OFFSET(E$112,MATCH($N$1,$C$112:$C$113,0)-1,0)</f>
        <v>36</v>
      </c>
      <c r="F29" s="43">
        <f ca="1">39.6*OFFSET(F$112,MATCH($N$1,$C$112:$C$113,0)-1,0)</f>
        <v>39.6</v>
      </c>
      <c r="G29" s="43">
        <f ca="1">38.4*OFFSET(G$112,MATCH($N$1,$C$112:$C$113,0)-1,0)</f>
        <v>38.4</v>
      </c>
      <c r="H29" s="43">
        <f ca="1">42.7*OFFSET(H$112,MATCH($N$1,$C$112:$C$113,0)-1,0)</f>
        <v>42.7</v>
      </c>
      <c r="I29" s="43">
        <f ca="1">41.8*OFFSET(I$112,MATCH($N$1,$C$112:$C$113,0)-1,0)</f>
        <v>41.8</v>
      </c>
      <c r="J29" s="43">
        <f ca="1">34.1*OFFSET(J$112,MATCH($N$1,$C$112:$C$113,0)-1,0)</f>
        <v>34.1</v>
      </c>
      <c r="K29" s="43">
        <f ca="1">40.5*OFFSET(K$112,MATCH($N$1,$C$112:$C$113,0)-1,0)</f>
        <v>40.5</v>
      </c>
      <c r="L29" s="43">
        <f ca="1">41.4*OFFSET(L$112,MATCH($N$1,$C$112:$C$113,0)-1,0)</f>
        <v>41.4</v>
      </c>
      <c r="M29" s="43">
        <f ca="1">38.6*OFFSET(M$112,MATCH($N$1,$C$112:$C$113,0)-1,0)</f>
        <v>38.6</v>
      </c>
      <c r="N29" s="43">
        <v>40.9</v>
      </c>
      <c r="O29" s="23">
        <f t="shared" ca="1" si="0"/>
        <v>-2.1531100478468866E-2</v>
      </c>
      <c r="P29" s="23">
        <f t="shared" ca="1" si="1"/>
        <v>0.19941348973607029</v>
      </c>
    </row>
    <row r="30" spans="1:16" ht="18" customHeight="1" x14ac:dyDescent="0.2">
      <c r="A30" s="231"/>
      <c r="B30" s="33" t="s">
        <v>68</v>
      </c>
      <c r="C30" s="27"/>
      <c r="D30" s="28">
        <f ca="1">4.3*OFFSET(D$112,MATCH($N$1,$C$112:$C$113,0)-1,0)</f>
        <v>4.3</v>
      </c>
      <c r="E30" s="28">
        <f ca="1">2.4*OFFSET(E$112,MATCH($N$1,$C$112:$C$113,0)-1,0)</f>
        <v>2.4</v>
      </c>
      <c r="F30" s="28">
        <f ca="1">3.2*OFFSET(F$112,MATCH($N$1,$C$112:$C$113,0)-1,0)</f>
        <v>3.2</v>
      </c>
      <c r="G30" s="28">
        <f ca="1">4.3*OFFSET(G$112,MATCH($N$1,$C$112:$C$113,0)-1,0)</f>
        <v>4.3</v>
      </c>
      <c r="H30" s="28">
        <f ca="1">3.9*OFFSET(H$112,MATCH($N$1,$C$112:$C$113,0)-1,0)</f>
        <v>3.9</v>
      </c>
      <c r="I30" s="28">
        <f ca="1">3.3*OFFSET(I$112,MATCH($N$1,$C$112:$C$113,0)-1,0)</f>
        <v>3.3</v>
      </c>
      <c r="J30" s="28">
        <f ca="1">3.3*OFFSET(J$112,MATCH($N$1,$C$112:$C$113,0)-1,0)</f>
        <v>3.3</v>
      </c>
      <c r="K30" s="28">
        <f ca="1">2.9*OFFSET(K$112,MATCH($N$1,$C$112:$C$113,0)-1,0)</f>
        <v>2.9</v>
      </c>
      <c r="L30" s="28">
        <f ca="1">2.2*OFFSET(L$112,MATCH($N$1,$C$112:$C$113,0)-1,0)</f>
        <v>2.2000000000000002</v>
      </c>
      <c r="M30" s="28">
        <f ca="1">1.8*OFFSET(M$112,MATCH($N$1,$C$112:$C$113,0)-1,0)</f>
        <v>1.8</v>
      </c>
      <c r="N30" s="28">
        <v>2.4</v>
      </c>
      <c r="O30" s="23">
        <f t="shared" ca="1" si="0"/>
        <v>-0.44186046511627908</v>
      </c>
      <c r="P30" s="23">
        <f t="shared" ca="1" si="1"/>
        <v>-0.27272727272727271</v>
      </c>
    </row>
    <row r="31" spans="1:16" ht="18" customHeight="1" x14ac:dyDescent="0.2">
      <c r="A31" s="231"/>
      <c r="B31" s="33" t="s">
        <v>69</v>
      </c>
      <c r="C31" s="27"/>
      <c r="D31" s="28">
        <f ca="1">18.4*OFFSET(D$112,MATCH($N$1,$C$112:$C$113,0)-1,0)</f>
        <v>18.399999999999999</v>
      </c>
      <c r="E31" s="28">
        <f ca="1">10.9*OFFSET(E$112,MATCH($N$1,$C$112:$C$113,0)-1,0)</f>
        <v>10.9</v>
      </c>
      <c r="F31" s="28">
        <f ca="1">13.9*OFFSET(F$112,MATCH($N$1,$C$112:$C$113,0)-1,0)</f>
        <v>13.9</v>
      </c>
      <c r="G31" s="28">
        <f ca="1">10.5*OFFSET(G$112,MATCH($N$1,$C$112:$C$113,0)-1,0)</f>
        <v>10.5</v>
      </c>
      <c r="H31" s="28">
        <f ca="1">12.9*OFFSET(H$112,MATCH($N$1,$C$112:$C$113,0)-1,0)</f>
        <v>12.9</v>
      </c>
      <c r="I31" s="28">
        <f ca="1">9.6*OFFSET(I$112,MATCH($N$1,$C$112:$C$113,0)-1,0)</f>
        <v>9.6</v>
      </c>
      <c r="J31" s="28">
        <f ca="1">9.6*OFFSET(J$112,MATCH($N$1,$C$112:$C$113,0)-1,0)</f>
        <v>9.6</v>
      </c>
      <c r="K31" s="28">
        <f ca="1">7.8*OFFSET(K$112,MATCH($N$1,$C$112:$C$113,0)-1,0)</f>
        <v>7.8</v>
      </c>
      <c r="L31" s="28">
        <f ca="1">8.1*OFFSET(L$112,MATCH($N$1,$C$112:$C$113,0)-1,0)</f>
        <v>8.1</v>
      </c>
      <c r="M31" s="28">
        <f ca="1">6.4*OFFSET(M$112,MATCH($N$1,$C$112:$C$113,0)-1,0)</f>
        <v>6.4</v>
      </c>
      <c r="N31" s="28">
        <v>6.7</v>
      </c>
      <c r="O31" s="23">
        <f t="shared" ca="1" si="0"/>
        <v>-0.63586956521739135</v>
      </c>
      <c r="P31" s="23">
        <f t="shared" ca="1" si="1"/>
        <v>-0.30208333333333331</v>
      </c>
    </row>
    <row r="32" spans="1:16" ht="18" customHeight="1" x14ac:dyDescent="0.2">
      <c r="A32" s="231"/>
      <c r="B32" s="33" t="s">
        <v>70</v>
      </c>
      <c r="C32" s="27"/>
      <c r="D32" s="28">
        <f ca="1">3.4*OFFSET(D$112,MATCH($N$1,$C$112:$C$113,0)-1,0)</f>
        <v>3.4</v>
      </c>
      <c r="E32" s="28">
        <f ca="1">6.2*OFFSET(E$112,MATCH($N$1,$C$112:$C$113,0)-1,0)</f>
        <v>6.2</v>
      </c>
      <c r="F32" s="28">
        <f ca="1">4.4*OFFSET(F$112,MATCH($N$1,$C$112:$C$113,0)-1,0)</f>
        <v>4.4000000000000004</v>
      </c>
      <c r="G32" s="28">
        <f ca="1">11*OFFSET(G$112,MATCH($N$1,$C$112:$C$113,0)-1,0)</f>
        <v>11</v>
      </c>
      <c r="H32" s="28">
        <f ca="1">10.9*OFFSET(H$112,MATCH($N$1,$C$112:$C$113,0)-1,0)</f>
        <v>10.9</v>
      </c>
      <c r="I32" s="28">
        <f ca="1">7.5*OFFSET(I$112,MATCH($N$1,$C$112:$C$113,0)-1,0)</f>
        <v>7.5</v>
      </c>
      <c r="J32" s="28">
        <f ca="1">4.5*OFFSET(J$112,MATCH($N$1,$C$112:$C$113,0)-1,0)</f>
        <v>4.5</v>
      </c>
      <c r="K32" s="28">
        <f ca="1">11*OFFSET(K$112,MATCH($N$1,$C$112:$C$113,0)-1,0)</f>
        <v>11</v>
      </c>
      <c r="L32" s="28">
        <f ca="1">10*OFFSET(L$112,MATCH($N$1,$C$112:$C$113,0)-1,0)</f>
        <v>10</v>
      </c>
      <c r="M32" s="28">
        <f ca="1">12*OFFSET(M$112,MATCH($N$1,$C$112:$C$113,0)-1,0)</f>
        <v>12</v>
      </c>
      <c r="N32" s="28">
        <v>12.700000000000001</v>
      </c>
      <c r="O32" s="23">
        <f t="shared" ca="1" si="0"/>
        <v>2.7352941176470593</v>
      </c>
      <c r="P32" s="23">
        <f t="shared" ca="1" si="1"/>
        <v>1.8222222222222224</v>
      </c>
    </row>
    <row r="33" spans="1:16" ht="18" customHeight="1" x14ac:dyDescent="0.2">
      <c r="A33" s="231"/>
      <c r="B33" s="33" t="s">
        <v>71</v>
      </c>
      <c r="C33" s="27"/>
      <c r="D33" s="28">
        <f ca="1">26.2*OFFSET(D$112,MATCH($N$1,$C$112:$C$113,0)-1,0)</f>
        <v>26.2</v>
      </c>
      <c r="E33" s="28">
        <f ca="1">19.4*OFFSET(E$112,MATCH($N$1,$C$112:$C$113,0)-1,0)</f>
        <v>19.399999999999999</v>
      </c>
      <c r="F33" s="28">
        <f ca="1">21.5*OFFSET(F$112,MATCH($N$1,$C$112:$C$113,0)-1,0)</f>
        <v>21.5</v>
      </c>
      <c r="G33" s="28">
        <f ca="1">25.8*OFFSET(G$112,MATCH($N$1,$C$112:$C$113,0)-1,0)</f>
        <v>25.8</v>
      </c>
      <c r="H33" s="28">
        <f ca="1">27.6*OFFSET(H$112,MATCH($N$1,$C$112:$C$113,0)-1,0)</f>
        <v>27.6</v>
      </c>
      <c r="I33" s="28">
        <f ca="1">20.3*OFFSET(I$112,MATCH($N$1,$C$112:$C$113,0)-1,0)</f>
        <v>20.3</v>
      </c>
      <c r="J33" s="28">
        <f ca="1">17.4*OFFSET(J$112,MATCH($N$1,$C$112:$C$113,0)-1,0)</f>
        <v>17.399999999999999</v>
      </c>
      <c r="K33" s="28">
        <f ca="1">21.7*OFFSET(K$112,MATCH($N$1,$C$112:$C$113,0)-1,0)</f>
        <v>21.7</v>
      </c>
      <c r="L33" s="28">
        <f ca="1">20.3*OFFSET(L$112,MATCH($N$1,$C$112:$C$113,0)-1,0)</f>
        <v>20.3</v>
      </c>
      <c r="M33" s="28">
        <f ca="1">20.3*OFFSET(M$112,MATCH($N$1,$C$112:$C$113,0)-1,0)</f>
        <v>20.3</v>
      </c>
      <c r="N33" s="28">
        <v>21.8</v>
      </c>
      <c r="O33" s="23">
        <f t="shared" ca="1" si="0"/>
        <v>-0.16793893129770987</v>
      </c>
      <c r="P33" s="23">
        <f t="shared" ca="1" si="1"/>
        <v>0.25287356321839094</v>
      </c>
    </row>
    <row r="34" spans="1:16" ht="18" customHeight="1" x14ac:dyDescent="0.2">
      <c r="A34" s="231"/>
      <c r="B34" s="33" t="s">
        <v>72</v>
      </c>
      <c r="C34" s="27"/>
      <c r="D34" s="28">
        <f ca="1">9.4*OFFSET(D$112,MATCH($N$1,$C$112:$C$113,0)-1,0)</f>
        <v>9.4</v>
      </c>
      <c r="E34" s="28">
        <f ca="1">4.4*OFFSET(E$112,MATCH($N$1,$C$112:$C$113,0)-1,0)</f>
        <v>4.4000000000000004</v>
      </c>
      <c r="F34" s="28">
        <f ca="1">9.7*OFFSET(F$112,MATCH($N$1,$C$112:$C$113,0)-1,0)</f>
        <v>9.6999999999999993</v>
      </c>
      <c r="G34" s="28">
        <f ca="1">10*OFFSET(G$112,MATCH($N$1,$C$112:$C$113,0)-1,0)</f>
        <v>10</v>
      </c>
      <c r="H34" s="28">
        <f ca="1">7.4*OFFSET(H$112,MATCH($N$1,$C$112:$C$113,0)-1,0)</f>
        <v>7.4</v>
      </c>
      <c r="I34" s="28">
        <f ca="1">9.6*OFFSET(I$112,MATCH($N$1,$C$112:$C$113,0)-1,0)</f>
        <v>9.6</v>
      </c>
      <c r="J34" s="28">
        <f ca="1">7*OFFSET(J$112,MATCH($N$1,$C$112:$C$113,0)-1,0)</f>
        <v>7</v>
      </c>
      <c r="K34" s="28">
        <f ca="1">5.6*OFFSET(K$112,MATCH($N$1,$C$112:$C$113,0)-1,0)</f>
        <v>5.6</v>
      </c>
      <c r="L34" s="28">
        <f ca="1">5.9*OFFSET(L$112,MATCH($N$1,$C$112:$C$113,0)-1,0)</f>
        <v>5.9</v>
      </c>
      <c r="M34" s="28">
        <f ca="1">5.7*OFFSET(M$112,MATCH($N$1,$C$112:$C$113,0)-1,0)</f>
        <v>5.7</v>
      </c>
      <c r="N34" s="28">
        <v>6.1000000000000005</v>
      </c>
      <c r="O34" s="23">
        <f t="shared" ca="1" si="0"/>
        <v>-0.35106382978723399</v>
      </c>
      <c r="P34" s="23">
        <f t="shared" ca="1" si="1"/>
        <v>-0.1285714285714285</v>
      </c>
    </row>
    <row r="35" spans="1:16" ht="18" customHeight="1" x14ac:dyDescent="0.2">
      <c r="A35" s="231"/>
      <c r="B35" s="33" t="s">
        <v>73</v>
      </c>
      <c r="C35" s="27"/>
      <c r="D35" s="28">
        <f ca="1">35.6*OFFSET(D$112,MATCH($N$1,$C$112:$C$113,0)-1,0)</f>
        <v>35.6</v>
      </c>
      <c r="E35" s="28">
        <f ca="1">23.9*OFFSET(E$112,MATCH($N$1,$C$112:$C$113,0)-1,0)</f>
        <v>23.9</v>
      </c>
      <c r="F35" s="28">
        <f ca="1">31.1*OFFSET(F$112,MATCH($N$1,$C$112:$C$113,0)-1,0)</f>
        <v>31.1</v>
      </c>
      <c r="G35" s="28">
        <f ca="1">35.7*OFFSET(G$112,MATCH($N$1,$C$112:$C$113,0)-1,0)</f>
        <v>35.700000000000003</v>
      </c>
      <c r="H35" s="28">
        <f ca="1">35*OFFSET(H$112,MATCH($N$1,$C$112:$C$113,0)-1,0)</f>
        <v>35</v>
      </c>
      <c r="I35" s="28">
        <f ca="1">29.9*OFFSET(I$112,MATCH($N$1,$C$112:$C$113,0)-1,0)</f>
        <v>29.9</v>
      </c>
      <c r="J35" s="28">
        <f ca="1">24.4*OFFSET(J$112,MATCH($N$1,$C$112:$C$113,0)-1,0)</f>
        <v>24.4</v>
      </c>
      <c r="K35" s="28">
        <f ca="1">27.2*OFFSET(K$112,MATCH($N$1,$C$112:$C$113,0)-1,0)</f>
        <v>27.2</v>
      </c>
      <c r="L35" s="28">
        <f ca="1">26.2*OFFSET(L$112,MATCH($N$1,$C$112:$C$113,0)-1,0)</f>
        <v>26.2</v>
      </c>
      <c r="M35" s="28">
        <f ca="1">26.1*OFFSET(M$112,MATCH($N$1,$C$112:$C$113,0)-1,0)</f>
        <v>26.1</v>
      </c>
      <c r="N35" s="28">
        <v>27.900000000000002</v>
      </c>
      <c r="O35" s="23">
        <f t="shared" ca="1" si="0"/>
        <v>-0.21629213483146065</v>
      </c>
      <c r="P35" s="23">
        <f t="shared" ca="1" si="1"/>
        <v>0.14344262295081983</v>
      </c>
    </row>
    <row r="36" spans="1:16" ht="18" customHeight="1" x14ac:dyDescent="0.2">
      <c r="A36" s="231"/>
      <c r="B36" s="41" t="s">
        <v>74</v>
      </c>
      <c r="C36" s="42"/>
      <c r="D36" s="43">
        <f ca="1">24.6*OFFSET(D$112,MATCH($N$1,$C$112:$C$113,0)-1,0)</f>
        <v>24.6</v>
      </c>
      <c r="E36" s="43">
        <f ca="1">23*OFFSET(E$112,MATCH($N$1,$C$112:$C$113,0)-1,0)</f>
        <v>23</v>
      </c>
      <c r="F36" s="43">
        <f ca="1">22.4*OFFSET(F$112,MATCH($N$1,$C$112:$C$113,0)-1,0)</f>
        <v>22.4</v>
      </c>
      <c r="G36" s="43">
        <f ca="1">13.1*OFFSET(G$112,MATCH($N$1,$C$112:$C$113,0)-1,0)</f>
        <v>13.1</v>
      </c>
      <c r="H36" s="43">
        <f ca="1">20.6*OFFSET(H$112,MATCH($N$1,$C$112:$C$113,0)-1,0)</f>
        <v>20.6</v>
      </c>
      <c r="I36" s="43">
        <f ca="1">21.5*OFFSET(I$112,MATCH($N$1,$C$112:$C$113,0)-1,0)</f>
        <v>21.5</v>
      </c>
      <c r="J36" s="43">
        <f ca="1">19.3*OFFSET(J$112,MATCH($N$1,$C$112:$C$113,0)-1,0)</f>
        <v>19.3</v>
      </c>
      <c r="K36" s="43">
        <f ca="1">21.1*OFFSET(K$112,MATCH($N$1,$C$112:$C$113,0)-1,0)</f>
        <v>21.1</v>
      </c>
      <c r="L36" s="43">
        <f ca="1">23.3*OFFSET(L$112,MATCH($N$1,$C$112:$C$113,0)-1,0)</f>
        <v>23.3</v>
      </c>
      <c r="M36" s="43">
        <f ca="1">19*OFFSET(M$112,MATCH($N$1,$C$112:$C$113,0)-1,0)</f>
        <v>19</v>
      </c>
      <c r="N36" s="43">
        <v>19.7</v>
      </c>
      <c r="O36" s="23">
        <f t="shared" ca="1" si="0"/>
        <v>-0.19918699186991878</v>
      </c>
      <c r="P36" s="23">
        <f t="shared" ca="1" si="1"/>
        <v>2.0725388601036194E-2</v>
      </c>
    </row>
    <row r="37" spans="1:16" ht="18" customHeight="1" x14ac:dyDescent="0.2">
      <c r="A37" s="231"/>
      <c r="B37" s="41" t="s">
        <v>75</v>
      </c>
      <c r="C37" s="42"/>
      <c r="D37" s="43">
        <f ca="1">6.2*OFFSET(D$112,MATCH($N$1,$C$112:$C$113,0)-1,0)</f>
        <v>6.2</v>
      </c>
      <c r="E37" s="43">
        <f ca="1">12.1*OFFSET(E$112,MATCH($N$1,$C$112:$C$113,0)-1,0)</f>
        <v>12.1</v>
      </c>
      <c r="F37" s="43">
        <f ca="1">8.5*OFFSET(F$112,MATCH($N$1,$C$112:$C$113,0)-1,0)</f>
        <v>8.5</v>
      </c>
      <c r="G37" s="43">
        <f ca="1">2.6*OFFSET(G$112,MATCH($N$1,$C$112:$C$113,0)-1,0)</f>
        <v>2.6</v>
      </c>
      <c r="H37" s="43">
        <f ca="1">7.7*OFFSET(H$112,MATCH($N$1,$C$112:$C$113,0)-1,0)</f>
        <v>7.7</v>
      </c>
      <c r="I37" s="43">
        <f ca="1">11.9*OFFSET(I$112,MATCH($N$1,$C$112:$C$113,0)-1,0)</f>
        <v>11.9</v>
      </c>
      <c r="J37" s="43">
        <f ca="1">9.7*OFFSET(J$112,MATCH($N$1,$C$112:$C$113,0)-1,0)</f>
        <v>9.6999999999999993</v>
      </c>
      <c r="K37" s="43">
        <f ca="1">13.3*OFFSET(K$112,MATCH($N$1,$C$112:$C$113,0)-1,0)</f>
        <v>13.3</v>
      </c>
      <c r="L37" s="43">
        <f ca="1">15.2*OFFSET(L$112,MATCH($N$1,$C$112:$C$113,0)-1,0)</f>
        <v>15.2</v>
      </c>
      <c r="M37" s="43">
        <f ca="1">12.6*OFFSET(M$112,MATCH($N$1,$C$112:$C$113,0)-1,0)</f>
        <v>12.6</v>
      </c>
      <c r="N37" s="43">
        <v>13</v>
      </c>
      <c r="O37" s="23">
        <f t="shared" ca="1" si="0"/>
        <v>1.096774193548387</v>
      </c>
      <c r="P37" s="23">
        <f t="shared" ca="1" si="1"/>
        <v>0.34020618556701043</v>
      </c>
    </row>
    <row r="38" spans="1:16" ht="18" customHeight="1" x14ac:dyDescent="0.2">
      <c r="A38" s="231"/>
      <c r="B38" s="33" t="s">
        <v>76</v>
      </c>
      <c r="C38" s="27"/>
      <c r="D38" s="28">
        <f ca="1">1.2*OFFSET(D$112,MATCH($N$1,$C$112:$C$113,0)-1,0)</f>
        <v>1.2</v>
      </c>
      <c r="E38" s="28">
        <f ca="1">2.6*OFFSET(E$112,MATCH($N$1,$C$112:$C$113,0)-1,0)</f>
        <v>2.6</v>
      </c>
      <c r="F38" s="28">
        <f ca="1">1.6*OFFSET(F$112,MATCH($N$1,$C$112:$C$113,0)-1,0)</f>
        <v>1.6</v>
      </c>
      <c r="G38" s="28">
        <f ca="1">2.8*OFFSET(G$112,MATCH($N$1,$C$112:$C$113,0)-1,0)</f>
        <v>2.8</v>
      </c>
      <c r="H38" s="28">
        <f ca="1">2.7*OFFSET(H$112,MATCH($N$1,$C$112:$C$113,0)-1,0)</f>
        <v>2.7</v>
      </c>
      <c r="I38" s="28">
        <f ca="1">3.9*OFFSET(I$112,MATCH($N$1,$C$112:$C$113,0)-1,0)</f>
        <v>3.9</v>
      </c>
      <c r="J38" s="28">
        <f ca="1">2.5*OFFSET(J$112,MATCH($N$1,$C$112:$C$113,0)-1,0)</f>
        <v>2.5</v>
      </c>
      <c r="K38" s="28">
        <f ca="1">1.8*OFFSET(K$112,MATCH($N$1,$C$112:$C$113,0)-1,0)</f>
        <v>1.8</v>
      </c>
      <c r="L38" s="28">
        <f ca="1">1.4*OFFSET(L$112,MATCH($N$1,$C$112:$C$113,0)-1,0)</f>
        <v>1.4</v>
      </c>
      <c r="M38" s="28">
        <f ca="1">2*OFFSET(M$112,MATCH($N$1,$C$112:$C$113,0)-1,0)</f>
        <v>2</v>
      </c>
      <c r="N38" s="28"/>
      <c r="O38" s="23" t="str">
        <f t="shared" si="0"/>
        <v/>
      </c>
      <c r="P38" s="23" t="str">
        <f t="shared" si="1"/>
        <v/>
      </c>
    </row>
    <row r="39" spans="1:16" ht="18" customHeight="1" x14ac:dyDescent="0.2">
      <c r="A39" s="231"/>
      <c r="B39" s="33" t="s">
        <v>77</v>
      </c>
      <c r="C39" s="27"/>
      <c r="D39" s="28">
        <f ca="1">1.7*OFFSET(D$112,MATCH($N$1,$C$112:$C$113,0)-1,0)</f>
        <v>1.7</v>
      </c>
      <c r="E39" s="28">
        <f ca="1">0.2*OFFSET(E$112,MATCH($N$1,$C$112:$C$113,0)-1,0)</f>
        <v>0.2</v>
      </c>
      <c r="F39" s="28">
        <f ca="1">0.4*OFFSET(F$112,MATCH($N$1,$C$112:$C$113,0)-1,0)</f>
        <v>0.4</v>
      </c>
      <c r="G39" s="28">
        <f ca="1">0.2*OFFSET(G$112,MATCH($N$1,$C$112:$C$113,0)-1,0)</f>
        <v>0.2</v>
      </c>
      <c r="H39" s="28">
        <f ca="1">0.1*OFFSET(H$112,MATCH($N$1,$C$112:$C$113,0)-1,0)</f>
        <v>0.1</v>
      </c>
      <c r="I39" s="28">
        <f ca="1">0.4*OFFSET(I$112,MATCH($N$1,$C$112:$C$113,0)-1,0)</f>
        <v>0.4</v>
      </c>
      <c r="J39" s="28">
        <f ca="1">0.3*OFFSET(J$112,MATCH($N$1,$C$112:$C$113,0)-1,0)</f>
        <v>0.3</v>
      </c>
      <c r="K39" s="28">
        <f ca="1">0.3*OFFSET(K$112,MATCH($N$1,$C$112:$C$113,0)-1,0)</f>
        <v>0.3</v>
      </c>
      <c r="L39" s="28">
        <f ca="1">0.1*OFFSET(L$112,MATCH($N$1,$C$112:$C$113,0)-1,0)</f>
        <v>0.1</v>
      </c>
      <c r="M39" s="28">
        <f ca="1">0.1*OFFSET(M$112,MATCH($N$1,$C$112:$C$113,0)-1,0)</f>
        <v>0.1</v>
      </c>
      <c r="N39" s="28"/>
      <c r="O39" s="23" t="str">
        <f t="shared" si="0"/>
        <v/>
      </c>
      <c r="P39" s="23" t="str">
        <f t="shared" si="1"/>
        <v/>
      </c>
    </row>
    <row r="40" spans="1:16" ht="18" customHeight="1" x14ac:dyDescent="0.2">
      <c r="A40" s="231"/>
      <c r="B40" s="33" t="s">
        <v>78</v>
      </c>
      <c r="C40" s="27"/>
      <c r="D40" s="28"/>
      <c r="E40" s="28">
        <f ca="1">0.3*OFFSET(E$112,MATCH($N$1,$C$112:$C$113,0)-1,0)</f>
        <v>0.3</v>
      </c>
      <c r="F40" s="28">
        <f ca="1">1*OFFSET(F$112,MATCH($N$1,$C$112:$C$113,0)-1,0)</f>
        <v>1</v>
      </c>
      <c r="G40" s="28">
        <f ca="1">0.3*OFFSET(G$112,MATCH($N$1,$C$112:$C$113,0)-1,0)</f>
        <v>0.3</v>
      </c>
      <c r="H40" s="28">
        <f ca="1">0.2*OFFSET(H$112,MATCH($N$1,$C$112:$C$113,0)-1,0)</f>
        <v>0.2</v>
      </c>
      <c r="I40" s="28">
        <f ca="1">0.3*OFFSET(I$112,MATCH($N$1,$C$112:$C$113,0)-1,0)</f>
        <v>0.3</v>
      </c>
      <c r="J40" s="28">
        <f ca="1">0.2*OFFSET(J$112,MATCH($N$1,$C$112:$C$113,0)-1,0)</f>
        <v>0.2</v>
      </c>
      <c r="K40" s="28">
        <f ca="1">0.1*OFFSET(K$112,MATCH($N$1,$C$112:$C$113,0)-1,0)</f>
        <v>0.1</v>
      </c>
      <c r="L40" s="28">
        <f ca="1">0.1*OFFSET(L$112,MATCH($N$1,$C$112:$C$113,0)-1,0)</f>
        <v>0.1</v>
      </c>
      <c r="M40" s="28">
        <f ca="1">0.1*OFFSET(M$112,MATCH($N$1,$C$112:$C$113,0)-1,0)</f>
        <v>0.1</v>
      </c>
      <c r="N40" s="28"/>
      <c r="O40" s="23" t="str">
        <f t="shared" si="0"/>
        <v/>
      </c>
      <c r="P40" s="23" t="str">
        <f t="shared" si="1"/>
        <v/>
      </c>
    </row>
    <row r="41" spans="1:16" ht="18" customHeight="1" thickBot="1" x14ac:dyDescent="0.25">
      <c r="A41" s="232"/>
      <c r="B41" s="44" t="s">
        <v>79</v>
      </c>
      <c r="C41" s="45"/>
      <c r="D41" s="46">
        <f ca="1">3.4*OFFSET(D$112,MATCH($N$1,$C$112:$C$113,0)-1,0)</f>
        <v>3.4</v>
      </c>
      <c r="E41" s="46">
        <f ca="1">9.1*OFFSET(E$112,MATCH($N$1,$C$112:$C$113,0)-1,0)</f>
        <v>9.1</v>
      </c>
      <c r="F41" s="46">
        <f ca="1">5.5*OFFSET(F$112,MATCH($N$1,$C$112:$C$113,0)-1,0)</f>
        <v>5.5</v>
      </c>
      <c r="G41" s="46">
        <f ca="1">-0.7*OFFSET(G$112,MATCH($N$1,$C$112:$C$113,0)-1,0)</f>
        <v>-0.7</v>
      </c>
      <c r="H41" s="46">
        <f ca="1">4.7*OFFSET(H$112,MATCH($N$1,$C$112:$C$113,0)-1,0)</f>
        <v>4.7</v>
      </c>
      <c r="I41" s="46">
        <f ca="1">7.3*OFFSET(I$112,MATCH($N$1,$C$112:$C$113,0)-1,0)</f>
        <v>7.3</v>
      </c>
      <c r="J41" s="46">
        <f ca="1">6.6*OFFSET(J$112,MATCH($N$1,$C$112:$C$113,0)-1,0)</f>
        <v>6.6</v>
      </c>
      <c r="K41" s="46">
        <f ca="1">11.2*OFFSET(K$112,MATCH($N$1,$C$112:$C$113,0)-1,0)</f>
        <v>11.2</v>
      </c>
      <c r="L41" s="46">
        <f ca="1">13.6*OFFSET(L$112,MATCH($N$1,$C$112:$C$113,0)-1,0)</f>
        <v>13.6</v>
      </c>
      <c r="M41" s="46">
        <f ca="1">10.3*OFFSET(M$112,MATCH($N$1,$C$112:$C$113,0)-1,0)</f>
        <v>10.3</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17</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Under 10m using hooks</v>
      </c>
      <c r="C48" s="97"/>
      <c r="D48" s="97"/>
      <c r="E48" s="97"/>
      <c r="F48" s="97"/>
      <c r="G48" s="97"/>
      <c r="K48" s="97" t="str">
        <f>$B24&amp;CHAR(10)&amp;$A$1</f>
        <v>Operating profit per kW day at sea (£)
Under 10m using hooks</v>
      </c>
    </row>
    <row r="49" spans="1:11" s="83" customFormat="1" x14ac:dyDescent="0.2">
      <c r="A49" s="97" t="str">
        <f>$B22&amp;CHAR(10)&amp;$A$1</f>
        <v>Fishing income per kW day at sea (£)
Under 10m using hooks</v>
      </c>
    </row>
    <row r="50" spans="1:11" s="83" customFormat="1" x14ac:dyDescent="0.2">
      <c r="A50" s="97" t="str">
        <f>$B20&amp;CHAR(10)&amp;$A$1</f>
        <v>Average price per tonne landed (£)
Under 10m using hooks</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Under 10m using hooks</v>
      </c>
      <c r="F62" s="97" t="str">
        <f>$B20&amp;CHAR(10)&amp;$A$1</f>
        <v>Average price per tonne landed (£)
Under 10m using hooks</v>
      </c>
      <c r="K62" s="97" t="str">
        <f>"Average annual operating profit per vessel (£'000)"&amp;CHAR(10)&amp;$A$1</f>
        <v>Average annual operating profit per vessel (£'000)
Under 10m using hooks</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Under 10m using hooks</v>
      </c>
      <c r="F76" s="97" t="str">
        <f>"Top 5 landed species by value in "&amp;A77&amp;CHAR(10)&amp;A1</f>
        <v>Top 5 landed species by value in 2017
Under 10m using hooks</v>
      </c>
    </row>
    <row r="77" spans="1:9" s="97" customFormat="1" x14ac:dyDescent="0.2">
      <c r="A77" s="97">
        <v>2017</v>
      </c>
      <c r="B77" s="97" t="s">
        <v>497</v>
      </c>
      <c r="C77" s="98">
        <v>0.42745348416734918</v>
      </c>
      <c r="D77" s="99">
        <v>1692097</v>
      </c>
      <c r="G77" s="97" t="s">
        <v>498</v>
      </c>
      <c r="H77" s="98">
        <v>0.2689824786913198</v>
      </c>
      <c r="I77" s="99">
        <v>12153634</v>
      </c>
    </row>
    <row r="78" spans="1:9" s="97" customFormat="1" x14ac:dyDescent="0.2">
      <c r="B78" s="97" t="s">
        <v>499</v>
      </c>
      <c r="C78" s="98">
        <v>0.16600836645989192</v>
      </c>
      <c r="D78" s="99">
        <v>3050596</v>
      </c>
      <c r="G78" s="97" t="s">
        <v>500</v>
      </c>
      <c r="H78" s="98">
        <v>0.22099032315257186</v>
      </c>
      <c r="I78" s="99">
        <v>553960</v>
      </c>
    </row>
    <row r="79" spans="1:9" s="97" customFormat="1" x14ac:dyDescent="0.2">
      <c r="B79" s="97" t="s">
        <v>501</v>
      </c>
      <c r="C79" s="98">
        <v>0.14237331374273715</v>
      </c>
      <c r="D79" s="99">
        <v>12153634</v>
      </c>
      <c r="G79" s="97" t="s">
        <v>502</v>
      </c>
      <c r="H79" s="98">
        <v>0.16390086654042094</v>
      </c>
      <c r="I79" s="99">
        <v>3050596</v>
      </c>
    </row>
    <row r="80" spans="1:9" s="97" customFormat="1" x14ac:dyDescent="0.2">
      <c r="B80" s="97" t="s">
        <v>503</v>
      </c>
      <c r="C80" s="98">
        <v>7.3193060877938421E-2</v>
      </c>
      <c r="D80" s="99">
        <v>3689192</v>
      </c>
      <c r="G80" s="97" t="s">
        <v>504</v>
      </c>
      <c r="H80" s="98">
        <v>0.16030454048413473</v>
      </c>
      <c r="I80" s="99">
        <v>1692097</v>
      </c>
    </row>
    <row r="81" spans="1:18" s="97" customFormat="1" x14ac:dyDescent="0.2">
      <c r="B81" s="97" t="s">
        <v>505</v>
      </c>
      <c r="C81" s="98">
        <v>6.4378464758494722E-2</v>
      </c>
      <c r="D81" s="99">
        <v>553960</v>
      </c>
      <c r="G81" s="97" t="s">
        <v>506</v>
      </c>
      <c r="H81" s="98">
        <v>6.8237553118451547E-2</v>
      </c>
      <c r="I81" s="99">
        <v>3689192</v>
      </c>
    </row>
    <row r="82" spans="1:18" s="97" customFormat="1" x14ac:dyDescent="0.2">
      <c r="B82" s="97" t="s">
        <v>507</v>
      </c>
      <c r="C82" s="98">
        <v>0.12659330999358853</v>
      </c>
      <c r="D82" s="99">
        <v>5920853</v>
      </c>
      <c r="G82" s="97" t="s">
        <v>508</v>
      </c>
      <c r="H82" s="98">
        <v>0.11758423801310114</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154</v>
      </c>
      <c r="D92" s="102">
        <v>0.16528416212954675</v>
      </c>
      <c r="E92" s="102">
        <v>0.1905871303943262</v>
      </c>
      <c r="F92" s="102">
        <v>0.2185681392982925</v>
      </c>
      <c r="G92" s="102">
        <v>0.27843096396648614</v>
      </c>
      <c r="H92" s="102">
        <v>0.31039222299122649</v>
      </c>
      <c r="I92" s="102">
        <v>0.13783119231677812</v>
      </c>
      <c r="J92" s="102">
        <v>0.21859195914844093</v>
      </c>
      <c r="K92" s="102">
        <v>0.28741259088271609</v>
      </c>
      <c r="L92" s="102">
        <v>0.2689824786913198</v>
      </c>
      <c r="M92" s="102">
        <v>0.28310214716919335</v>
      </c>
      <c r="O92" s="97">
        <v>12153634</v>
      </c>
    </row>
    <row r="93" spans="1:18" s="97" customFormat="1" hidden="1" x14ac:dyDescent="0.2">
      <c r="B93" s="97">
        <v>2</v>
      </c>
      <c r="C93" s="97" t="s">
        <v>189</v>
      </c>
      <c r="D93" s="102">
        <v>0.22248790510151653</v>
      </c>
      <c r="E93" s="102">
        <v>0.2027400462229022</v>
      </c>
      <c r="F93" s="102">
        <v>0.16785493551084807</v>
      </c>
      <c r="G93" s="102">
        <v>0.211783174248106</v>
      </c>
      <c r="H93" s="102">
        <v>0.22612944975905583</v>
      </c>
      <c r="I93" s="102">
        <v>0.32116198684164082</v>
      </c>
      <c r="J93" s="102">
        <v>0.25458513133870647</v>
      </c>
      <c r="K93" s="102">
        <v>0.2262429138774022</v>
      </c>
      <c r="L93" s="102">
        <v>0.22099032315257186</v>
      </c>
      <c r="M93" s="102">
        <v>0.2559044589196921</v>
      </c>
      <c r="O93" s="97">
        <v>553960</v>
      </c>
    </row>
    <row r="94" spans="1:18" s="97" customFormat="1" hidden="1" x14ac:dyDescent="0.2">
      <c r="B94" s="97">
        <v>3</v>
      </c>
      <c r="C94" s="97" t="s">
        <v>94</v>
      </c>
      <c r="D94" s="102">
        <v>0.29360284086946342</v>
      </c>
      <c r="E94" s="102">
        <v>0.22165543806908383</v>
      </c>
      <c r="F94" s="102">
        <v>0.20961170180664462</v>
      </c>
      <c r="G94" s="102">
        <v>0.16669803190472476</v>
      </c>
      <c r="H94" s="102">
        <v>0.16940846839695609</v>
      </c>
      <c r="I94" s="102">
        <v>0.26057548135537073</v>
      </c>
      <c r="J94" s="102">
        <v>0.289731815883218</v>
      </c>
      <c r="K94" s="102">
        <v>0.21521991971403304</v>
      </c>
      <c r="L94" s="102">
        <v>0.16390086654042094</v>
      </c>
      <c r="M94" s="102">
        <v>0.14583254039338336</v>
      </c>
      <c r="O94" s="97">
        <v>3050596</v>
      </c>
    </row>
    <row r="95" spans="1:18" s="97" customFormat="1" hidden="1" x14ac:dyDescent="0.2">
      <c r="B95" s="97">
        <v>4</v>
      </c>
      <c r="C95" s="97" t="s">
        <v>263</v>
      </c>
      <c r="D95" s="102">
        <v>0.12824717471105654</v>
      </c>
      <c r="E95" s="102">
        <v>0.12713646716334198</v>
      </c>
      <c r="F95" s="102">
        <v>0.17955078790138679</v>
      </c>
      <c r="G95" s="102">
        <v>0.13089084952649011</v>
      </c>
      <c r="H95" s="102">
        <v>0.10641792376997501</v>
      </c>
      <c r="I95" s="102">
        <v>0.10508980186432716</v>
      </c>
      <c r="J95" s="102">
        <v>8.0592152990605431E-2</v>
      </c>
      <c r="K95" s="102">
        <v>0.10358897568382357</v>
      </c>
      <c r="L95" s="102">
        <v>0.16030454048413473</v>
      </c>
      <c r="M95" s="102">
        <v>0.12634034112952941</v>
      </c>
      <c r="O95" s="97">
        <v>1692097</v>
      </c>
    </row>
    <row r="96" spans="1:18" s="97" customFormat="1" hidden="1" x14ac:dyDescent="0.2">
      <c r="B96" s="97">
        <v>5</v>
      </c>
      <c r="C96" s="97" t="s">
        <v>119</v>
      </c>
      <c r="D96" s="102">
        <v>7.7785420848399303E-2</v>
      </c>
      <c r="E96" s="102"/>
      <c r="F96" s="102">
        <v>0.10030689330192218</v>
      </c>
      <c r="G96" s="102">
        <v>7.7915985602835483E-2</v>
      </c>
      <c r="H96" s="102">
        <v>7.344898614192015E-2</v>
      </c>
      <c r="I96" s="102">
        <v>5.4083653060282448E-2</v>
      </c>
      <c r="J96" s="102">
        <v>6.912197334418746E-2</v>
      </c>
      <c r="K96" s="102">
        <v>5.6030024507622109E-2</v>
      </c>
      <c r="L96" s="102">
        <v>6.8237553118451547E-2</v>
      </c>
      <c r="M96" s="102">
        <v>6.1576219715696663E-2</v>
      </c>
      <c r="O96" s="97">
        <v>3689192</v>
      </c>
    </row>
    <row r="97" spans="1:15" s="97" customFormat="1" hidden="1" x14ac:dyDescent="0.2">
      <c r="B97" s="97">
        <v>6</v>
      </c>
      <c r="C97" s="97" t="s">
        <v>97</v>
      </c>
      <c r="D97" s="102"/>
      <c r="E97" s="102">
        <v>8.4408228302888064E-2</v>
      </c>
      <c r="F97" s="102"/>
      <c r="G97" s="102"/>
      <c r="H97" s="102"/>
      <c r="I97" s="102"/>
      <c r="J97" s="102"/>
      <c r="K97" s="102"/>
      <c r="L97" s="102"/>
      <c r="M97" s="102"/>
      <c r="O97" s="97">
        <v>11115023</v>
      </c>
    </row>
    <row r="98" spans="1:15" s="97" customFormat="1" hidden="1" x14ac:dyDescent="0.2">
      <c r="B98" s="97">
        <v>7</v>
      </c>
      <c r="C98" s="97" t="s">
        <v>101</v>
      </c>
      <c r="D98" s="102">
        <v>0.1125924963400175</v>
      </c>
      <c r="E98" s="102">
        <v>0.1734726898474577</v>
      </c>
      <c r="F98" s="102">
        <v>0.12410754218090586</v>
      </c>
      <c r="G98" s="102">
        <v>0.13428099475135749</v>
      </c>
      <c r="H98" s="102">
        <v>0.11420294894086643</v>
      </c>
      <c r="I98" s="102">
        <v>0.12125788456160072</v>
      </c>
      <c r="J98" s="102">
        <v>8.7376967294841665E-2</v>
      </c>
      <c r="K98" s="102">
        <v>0.11150557533440301</v>
      </c>
      <c r="L98" s="102">
        <v>0.11758423801310114</v>
      </c>
      <c r="M98" s="102">
        <v>0.12724429267250509</v>
      </c>
      <c r="O98" s="97">
        <v>5920853</v>
      </c>
    </row>
    <row r="99" spans="1:15" s="97" customFormat="1" hidden="1" x14ac:dyDescent="0.2">
      <c r="B99" s="97">
        <v>8</v>
      </c>
      <c r="D99" s="102"/>
      <c r="E99" s="102"/>
      <c r="F99" s="102"/>
      <c r="G99" s="102"/>
      <c r="H99" s="102"/>
      <c r="I99" s="102"/>
      <c r="J99" s="102"/>
      <c r="K99" s="102"/>
      <c r="L99" s="102"/>
      <c r="M99" s="102"/>
      <c r="O99" s="97">
        <v>7434864</v>
      </c>
    </row>
    <row r="100" spans="1:15" s="97" customFormat="1" hidden="1" x14ac:dyDescent="0.2">
      <c r="B100" s="97">
        <v>9</v>
      </c>
      <c r="D100" s="102"/>
      <c r="E100" s="102"/>
      <c r="F100" s="102"/>
      <c r="G100" s="102"/>
      <c r="H100" s="102"/>
      <c r="I100" s="102"/>
      <c r="J100" s="102"/>
      <c r="K100" s="102"/>
      <c r="L100" s="102"/>
      <c r="M100" s="102"/>
      <c r="O100" s="97">
        <v>8497745</v>
      </c>
    </row>
    <row r="101" spans="1:15" s="97" customFormat="1" hidden="1" x14ac:dyDescent="0.2">
      <c r="B101" s="97">
        <v>10</v>
      </c>
      <c r="D101" s="102"/>
      <c r="E101" s="102"/>
      <c r="F101" s="102"/>
      <c r="G101" s="102"/>
      <c r="H101" s="102"/>
      <c r="I101" s="102"/>
      <c r="J101" s="102"/>
      <c r="K101" s="102"/>
      <c r="L101" s="102"/>
      <c r="M101" s="102"/>
      <c r="O101" s="97">
        <v>14393110</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8</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59</v>
      </c>
      <c r="D120" s="56">
        <v>117</v>
      </c>
      <c r="E120" s="56">
        <v>59</v>
      </c>
      <c r="F120" s="57">
        <v>235</v>
      </c>
    </row>
    <row r="121" spans="1:14" ht="18" customHeight="1" x14ac:dyDescent="0.2">
      <c r="A121" s="225" t="s">
        <v>23</v>
      </c>
      <c r="B121" s="30" t="s">
        <v>58</v>
      </c>
      <c r="C121" s="58">
        <v>6.7615256309509277</v>
      </c>
      <c r="D121" s="58">
        <v>6.906324794149806</v>
      </c>
      <c r="E121" s="58">
        <v>8.0079660415649414</v>
      </c>
      <c r="F121" s="59">
        <v>7.1465530395507812</v>
      </c>
    </row>
    <row r="122" spans="1:14" ht="18" customHeight="1" x14ac:dyDescent="0.2">
      <c r="A122" s="226"/>
      <c r="B122" s="33" t="s">
        <v>51</v>
      </c>
      <c r="C122" s="60">
        <v>36.593219757080078</v>
      </c>
      <c r="D122" s="60">
        <v>56.581194364107574</v>
      </c>
      <c r="E122" s="60">
        <v>101.69491577148437</v>
      </c>
      <c r="F122" s="61">
        <v>62.889362335205078</v>
      </c>
    </row>
    <row r="123" spans="1:14" ht="18" customHeight="1" x14ac:dyDescent="0.2">
      <c r="A123" s="226"/>
      <c r="B123" s="33" t="s">
        <v>52</v>
      </c>
      <c r="C123" s="60">
        <v>2.4827585220336914</v>
      </c>
      <c r="D123" s="60">
        <v>2.8247008914621468</v>
      </c>
      <c r="E123" s="60">
        <v>3.5932202339172363</v>
      </c>
      <c r="F123" s="61">
        <v>2.9337179660797119</v>
      </c>
    </row>
    <row r="124" spans="1:14" ht="18" customHeight="1" x14ac:dyDescent="0.2">
      <c r="A124" s="226"/>
      <c r="B124" s="33" t="s">
        <v>53</v>
      </c>
      <c r="C124" s="60">
        <v>34.265979766845703</v>
      </c>
      <c r="D124" s="60">
        <v>44.259989485781418</v>
      </c>
      <c r="E124" s="60">
        <v>69.5963134765625</v>
      </c>
      <c r="F124" s="61">
        <v>48.111888885498047</v>
      </c>
    </row>
    <row r="125" spans="1:14" ht="18" customHeight="1" x14ac:dyDescent="0.2">
      <c r="A125" s="226"/>
      <c r="B125" s="33" t="s">
        <v>54</v>
      </c>
      <c r="C125" s="28">
        <v>12.592830657958984</v>
      </c>
      <c r="D125" s="28">
        <v>11.412975376487797</v>
      </c>
      <c r="E125" s="28">
        <v>11.10844898223877</v>
      </c>
      <c r="F125" s="62">
        <v>11.632739067077637</v>
      </c>
    </row>
    <row r="126" spans="1:14" ht="18" customHeight="1" x14ac:dyDescent="0.2">
      <c r="A126" s="226"/>
      <c r="B126" s="33" t="s">
        <v>59</v>
      </c>
      <c r="C126" s="28">
        <f ca="1">49.92968359375*OFFSET($L$112,MATCH($N$1,$C$112:$C$113,0)-1,0)</f>
        <v>49.929683593749999</v>
      </c>
      <c r="D126" s="28">
        <f ca="1">34.2474548277244*OFFSET($L$112,MATCH($N$1,$C$112:$C$113,0)-1,0)</f>
        <v>34.247454827724397</v>
      </c>
      <c r="E126" s="28">
        <f ca="1">28.597046875*OFFSET($L$112,MATCH($N$1,$C$112:$C$113,0)-1,0)</f>
        <v>28.597046875</v>
      </c>
      <c r="F126" s="62">
        <f ca="1">36.76608203125*OFFSET($L$112,MATCH($N$1,$C$112:$C$113,0)-1,0)</f>
        <v>36.766082031250001</v>
      </c>
    </row>
    <row r="127" spans="1:14" ht="18" customHeight="1" x14ac:dyDescent="0.2">
      <c r="A127" s="226"/>
      <c r="B127" s="33" t="s">
        <v>56</v>
      </c>
      <c r="C127" s="60">
        <v>41.542373657226563</v>
      </c>
      <c r="D127" s="60">
        <v>63.589743654952088</v>
      </c>
      <c r="E127" s="60">
        <v>66.559318542480469</v>
      </c>
      <c r="F127" s="61">
        <v>58.799999237060547</v>
      </c>
    </row>
    <row r="128" spans="1:14" ht="18" customHeight="1" x14ac:dyDescent="0.2">
      <c r="A128" s="226"/>
      <c r="B128" s="33" t="s">
        <v>60</v>
      </c>
      <c r="C128" s="60">
        <v>26.525423049926758</v>
      </c>
      <c r="D128" s="60">
        <v>23.153845615876026</v>
      </c>
      <c r="E128" s="60">
        <v>16.915254592895508</v>
      </c>
      <c r="F128" s="61">
        <v>22.434041976928711</v>
      </c>
    </row>
    <row r="129" spans="1:14" ht="18" customHeight="1" x14ac:dyDescent="0.2">
      <c r="A129" s="226"/>
      <c r="B129" s="33" t="s">
        <v>61</v>
      </c>
      <c r="C129" s="63">
        <v>0.30313217639923096</v>
      </c>
      <c r="D129" s="63">
        <v>0.17947824162362391</v>
      </c>
      <c r="E129" s="63">
        <v>0.16689547896385193</v>
      </c>
      <c r="F129" s="64">
        <v>0.19783569872379303</v>
      </c>
    </row>
    <row r="130" spans="1:14" ht="18" customHeight="1" x14ac:dyDescent="0.2">
      <c r="A130" s="227"/>
      <c r="B130" s="35" t="s">
        <v>24</v>
      </c>
      <c r="C130" s="37">
        <f ca="1">3964.92932764034*OFFSET($L$112,MATCH($N$1,$C$112:$C$113,0)-1,0)</f>
        <v>3964.92932764034</v>
      </c>
      <c r="D130" s="37">
        <f ca="1">3000.74728087809*OFFSET($L$112,MATCH($N$1,$C$112:$C$113,0)-1,0)</f>
        <v>3000.7472808780899</v>
      </c>
      <c r="E130" s="37">
        <f ca="1">2574.351011624*OFFSET($L$112,MATCH($N$1,$C$112:$C$113,0)-1,0)</f>
        <v>2574.351011624</v>
      </c>
      <c r="F130" s="65">
        <f ca="1">3161*OFFSET($L$112,MATCH($N$1,$C$112:$C$113,0)-1,0)</f>
        <v>3161</v>
      </c>
    </row>
    <row r="131" spans="1:14" ht="18" customHeight="1" x14ac:dyDescent="0.2">
      <c r="A131" s="239" t="s">
        <v>25</v>
      </c>
      <c r="B131" s="30" t="s">
        <v>62</v>
      </c>
      <c r="C131" s="66">
        <v>8.383379460943674</v>
      </c>
      <c r="D131" s="66">
        <v>3.6708565858675613</v>
      </c>
      <c r="E131" s="66">
        <v>1.6366427549302289</v>
      </c>
      <c r="F131" s="67">
        <v>3.2054003491969634</v>
      </c>
    </row>
    <row r="132" spans="1:14" ht="18" customHeight="1" x14ac:dyDescent="0.2">
      <c r="A132" s="228"/>
      <c r="B132" s="33" t="s">
        <v>63</v>
      </c>
      <c r="C132" s="63">
        <f ca="1">33.2395070894333*OFFSET($L$112,MATCH($N$1,$C$112:$C$113,0)-1,0)</f>
        <v>33.239507089433303</v>
      </c>
      <c r="D132" s="63">
        <f ca="1">11.0153129185355*OFFSET($L$112,MATCH($N$1,$C$112:$C$113,0)-1,0)</f>
        <v>11.0153129185355</v>
      </c>
      <c r="E132" s="63">
        <f ca="1">4.21329293182173*OFFSET($L$112,MATCH($N$1,$C$112:$C$113,0)-1,0)</f>
        <v>4.21329293182173</v>
      </c>
      <c r="F132" s="64">
        <f ca="1">10.1308910568712*OFFSET($L$112,MATCH($N$1,$C$112:$C$113,0)-1,0)</f>
        <v>10.130891056871199</v>
      </c>
    </row>
    <row r="133" spans="1:14" ht="18" customHeight="1" x14ac:dyDescent="0.2">
      <c r="A133" s="228"/>
      <c r="B133" s="33" t="s">
        <v>11</v>
      </c>
      <c r="C133" s="63">
        <f ca="1">20.5831750011946*OFFSET($L$112,MATCH($N$1,$C$112:$C$113,0)-1,0)</f>
        <v>20.583175001194601</v>
      </c>
      <c r="D133" s="63">
        <f ca="1">7.17414224880964*OFFSET($L$112,MATCH($N$1,$C$112:$C$113,0)-1,0)</f>
        <v>7.1741422488096402</v>
      </c>
      <c r="E133" s="63">
        <f ca="1">3.11761631081539*OFFSET($L$112,MATCH($N$1,$C$112:$C$113,0)-1,0)</f>
        <v>3.1176163108153898</v>
      </c>
      <c r="F133" s="64">
        <f ca="1">6.66282403688709*OFFSET($L$112,MATCH($N$1,$C$112:$C$113,0)-1,0)</f>
        <v>6.6628240368870904</v>
      </c>
    </row>
    <row r="134" spans="1:14" ht="18" customHeight="1" x14ac:dyDescent="0.2">
      <c r="A134" s="229"/>
      <c r="B134" s="35" t="s">
        <v>12</v>
      </c>
      <c r="C134" s="68">
        <f ca="1">12.6563320882386*OFFSET($L$112,MATCH($N$1,$C$112:$C$113,0)-1,0)</f>
        <v>12.656332088238599</v>
      </c>
      <c r="D134" s="68">
        <f ca="1">3.84117066972587*OFFSET($L$112,MATCH($N$1,$C$112:$C$113,0)-1,0)</f>
        <v>3.8411706697258698</v>
      </c>
      <c r="E134" s="68">
        <f ca="1">1.09567662100634*OFFSET($L$112,MATCH($N$1,$C$112:$C$113,0)-1,0)</f>
        <v>1.09567662100634</v>
      </c>
      <c r="F134" s="69">
        <f ca="1">3.4680670199841*OFFSET($L$112,MATCH($N$1,$C$112:$C$113,0)-1,0)</f>
        <v>3.4680670199841002</v>
      </c>
    </row>
    <row r="135" spans="1:14" ht="18" customHeight="1" x14ac:dyDescent="0.2">
      <c r="A135" s="240" t="s">
        <v>45</v>
      </c>
      <c r="B135" s="33" t="s">
        <v>102</v>
      </c>
      <c r="C135" s="70">
        <f ca="1">0.593192016601563*OFFSET($L$112,MATCH($N$1,$C$112:$C$113,0)-1,0)</f>
        <v>0.59319201660156295</v>
      </c>
      <c r="D135" s="70">
        <f ca="1">1.50450370592949*OFFSET($L$112,MATCH($N$1,$C$112:$C$113,0)-1,0)</f>
        <v>1.5045037059294899</v>
      </c>
      <c r="E135" s="70">
        <f ca="1">3.791681640625*OFFSET($L$112,MATCH($N$1,$C$112:$C$113,0)-1,0)</f>
        <v>3.7916816406249998</v>
      </c>
      <c r="F135" s="71">
        <f ca="1">1.84993395996094*OFFSET($L$112,MATCH($N$1,$C$112:$C$113,0)-1,0)</f>
        <v>1.8499339599609399</v>
      </c>
    </row>
    <row r="136" spans="1:14" ht="18" customHeight="1" x14ac:dyDescent="0.2">
      <c r="A136" s="241"/>
      <c r="B136" s="33" t="s">
        <v>103</v>
      </c>
      <c r="C136" s="26">
        <v>1419.3220157292089</v>
      </c>
      <c r="D136" s="26">
        <v>3584.9574344883476</v>
      </c>
      <c r="E136" s="26">
        <v>9016.6101847998798</v>
      </c>
      <c r="F136" s="72">
        <v>4404.9361702127662</v>
      </c>
    </row>
    <row r="137" spans="1:14" ht="18" customHeight="1" x14ac:dyDescent="0.2">
      <c r="A137" s="241"/>
      <c r="B137" s="33" t="s">
        <v>104</v>
      </c>
      <c r="C137" s="26">
        <v>34.165645599365234</v>
      </c>
      <c r="D137" s="26">
        <v>56.376346694223024</v>
      </c>
      <c r="E137" s="26">
        <v>135.46728515625</v>
      </c>
      <c r="F137" s="72">
        <v>74.91387939453125</v>
      </c>
    </row>
    <row r="138" spans="1:14" ht="18" customHeight="1" x14ac:dyDescent="0.2">
      <c r="A138" s="241"/>
      <c r="B138" s="33" t="s">
        <v>105</v>
      </c>
      <c r="C138" s="26">
        <f ca="1">14.2792037233138*OFFSET($L$112,MATCH($N$1,$C$112:$C$113,0)-1,0)</f>
        <v>14.279203723313801</v>
      </c>
      <c r="D138" s="26">
        <f ca="1">23.6595340609196*OFFSET($L$112,MATCH($N$1,$C$112:$C$113,0)-1,0)</f>
        <v>23.659534060919601</v>
      </c>
      <c r="E138" s="26">
        <f ca="1">56.9669540442337*OFFSET($L$112,MATCH($N$1,$C$112:$C$113,0)-1,0)</f>
        <v>56.966954044233702</v>
      </c>
      <c r="F138" s="72">
        <f ca="1">31.4614623123151*OFFSET($L$112,MATCH($N$1,$C$112:$C$113,0)-1,0)</f>
        <v>31.461462312315099</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47.1055343086544*OFFSET($L$112,MATCH($N$1,$C$112:$C$113,0)-1,0)</f>
        <v>47.105534308654399</v>
      </c>
      <c r="D139" s="26">
        <f ca="1">131.823968448137*OFFSET($L$112,MATCH($N$1,$C$112:$C$113,0)-1,0)</f>
        <v>131.82396844813701</v>
      </c>
      <c r="E139" s="26">
        <f ca="1">341.333128206062*OFFSET($L$112,MATCH($N$1,$C$112:$C$113,0)-1,0)</f>
        <v>341.33312820606199</v>
      </c>
      <c r="F139" s="72">
        <f ca="1">159.028234820166*OFFSET($L$112,MATCH($N$1,$C$112:$C$113,0)-1,0)</f>
        <v>159.02823482016601</v>
      </c>
      <c r="I139" s="49"/>
      <c r="K139" s="73" t="s">
        <v>107</v>
      </c>
      <c r="L139" s="74">
        <f t="shared" ref="L139:M141" ca="1" si="2">C140</f>
        <v>52.472499999999997</v>
      </c>
      <c r="M139" s="74">
        <f t="shared" ca="1" si="2"/>
        <v>35.991608039529901</v>
      </c>
      <c r="N139" s="74">
        <f ca="1">E140</f>
        <v>30.053437500000001</v>
      </c>
    </row>
    <row r="140" spans="1:14" ht="18" customHeight="1" x14ac:dyDescent="0.2">
      <c r="A140" s="230" t="s">
        <v>46</v>
      </c>
      <c r="B140" s="30" t="s">
        <v>108</v>
      </c>
      <c r="C140" s="75">
        <f ca="1">52.4725*OFFSET($L$112,MATCH($N$1,$C$112:$C$113,0)-1,0)</f>
        <v>52.472499999999997</v>
      </c>
      <c r="D140" s="75">
        <f ca="1">35.9916080395299*OFFSET($L$112,MATCH($N$1,$C$112:$C$113,0)-1,0)</f>
        <v>35.991608039529901</v>
      </c>
      <c r="E140" s="75">
        <f ca="1">30.0534375*OFFSET($L$112,MATCH($N$1,$C$112:$C$113,0)-1,0)</f>
        <v>30.053437500000001</v>
      </c>
      <c r="F140" s="76">
        <f ca="1">38.63850390625*OFFSET($L$112,MATCH($N$1,$C$112:$C$113,0)-1,0)</f>
        <v>38.638503906250001</v>
      </c>
      <c r="I140" s="49"/>
      <c r="K140" s="73" t="s">
        <v>109</v>
      </c>
      <c r="L140" s="74">
        <f t="shared" ca="1" si="2"/>
        <v>33.461187500000001</v>
      </c>
      <c r="M140" s="74">
        <f t="shared" ca="1" si="2"/>
        <v>24.049113080929502</v>
      </c>
      <c r="N140" s="74">
        <f ca="1">E141</f>
        <v>22.616708984374998</v>
      </c>
    </row>
    <row r="141" spans="1:14" ht="18" customHeight="1" x14ac:dyDescent="0.2">
      <c r="A141" s="237"/>
      <c r="B141" s="33" t="s">
        <v>110</v>
      </c>
      <c r="C141" s="26">
        <f ca="1">33.4611875*OFFSET($L$112,MATCH($N$1,$C$112:$C$113,0)-1,0)</f>
        <v>33.461187500000001</v>
      </c>
      <c r="D141" s="26">
        <f ca="1">24.0491130809295*OFFSET($L$112,MATCH($N$1,$C$112:$C$113,0)-1,0)</f>
        <v>24.049113080929502</v>
      </c>
      <c r="E141" s="26">
        <f ca="1">22.616708984375*OFFSET($L$112,MATCH($N$1,$C$112:$C$113,0)-1,0)</f>
        <v>22.616708984374998</v>
      </c>
      <c r="F141" s="72">
        <f ca="1">26.05251953125*OFFSET($L$112,MATCH($N$1,$C$112:$C$113,0)-1,0)</f>
        <v>26.052519531249999</v>
      </c>
      <c r="I141" s="49"/>
      <c r="K141" s="73" t="s">
        <v>111</v>
      </c>
      <c r="L141" s="74">
        <f t="shared" ca="1" si="2"/>
        <v>19.011312499999999</v>
      </c>
      <c r="M141" s="74">
        <f t="shared" ca="1" si="2"/>
        <v>11.942494958600401</v>
      </c>
      <c r="N141" s="74">
        <f ca="1">E142</f>
        <v>7.436728515625</v>
      </c>
    </row>
    <row r="142" spans="1:14" ht="18" customHeight="1" x14ac:dyDescent="0.2">
      <c r="A142" s="238"/>
      <c r="B142" s="35" t="s">
        <v>112</v>
      </c>
      <c r="C142" s="37">
        <f ca="1">19.0113125*OFFSET($L$112,MATCH($N$1,$C$112:$C$113,0)-1,0)</f>
        <v>19.011312499999999</v>
      </c>
      <c r="D142" s="37">
        <f ca="1">11.9424949586004*OFFSET($L$112,MATCH($N$1,$C$112:$C$113,0)-1,0)</f>
        <v>11.942494958600401</v>
      </c>
      <c r="E142" s="37">
        <f ca="1">7.436728515625*OFFSET($L$112,MATCH($N$1,$C$112:$C$113,0)-1,0)</f>
        <v>7.436728515625</v>
      </c>
      <c r="F142" s="65">
        <f ca="1">12.585984375*OFFSET($L$112,MATCH($N$1,$C$112:$C$113,0)-1,0)</f>
        <v>12.585984375000001</v>
      </c>
      <c r="I142" s="49"/>
      <c r="K142" s="73" t="s">
        <v>113</v>
      </c>
      <c r="L142" s="77">
        <f ca="1">IFERROR(L140/L$139,"")</f>
        <v>0.63768998046595837</v>
      </c>
      <c r="M142" s="77">
        <f t="shared" ref="M142:N143" ca="1" si="3">IFERROR(M140/M$139,"")</f>
        <v>0.66818667992039005</v>
      </c>
      <c r="N142" s="77">
        <f t="shared" ca="1" si="3"/>
        <v>0.75254982011209193</v>
      </c>
    </row>
    <row r="143" spans="1:14" ht="18" customHeight="1" x14ac:dyDescent="0.2">
      <c r="I143" s="49"/>
      <c r="K143" s="73" t="s">
        <v>114</v>
      </c>
      <c r="L143" s="77">
        <f ca="1">IFERROR(L141/L$139,"")</f>
        <v>0.36231001953404163</v>
      </c>
      <c r="M143" s="77">
        <f t="shared" ca="1" si="3"/>
        <v>0.33181332007961006</v>
      </c>
      <c r="N143" s="77">
        <f t="shared" ca="1" si="3"/>
        <v>0.24745017988790799</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9</v>
      </c>
      <c r="B161" s="53"/>
      <c r="C161" s="79" t="s">
        <v>41</v>
      </c>
      <c r="D161" s="79" t="s">
        <v>115</v>
      </c>
      <c r="E161" s="79" t="s">
        <v>43</v>
      </c>
      <c r="F161" s="79" t="s">
        <v>116</v>
      </c>
      <c r="G161" s="80">
        <v>9</v>
      </c>
      <c r="H161" s="79"/>
      <c r="I161" s="79" t="s">
        <v>41</v>
      </c>
      <c r="J161" s="79" t="s">
        <v>115</v>
      </c>
      <c r="K161" s="79" t="s">
        <v>43</v>
      </c>
      <c r="L161" s="53" t="s">
        <v>116</v>
      </c>
    </row>
    <row r="162" spans="1:14" s="49" customFormat="1" x14ac:dyDescent="0.2">
      <c r="A162" s="50">
        <v>1</v>
      </c>
      <c r="B162" s="53" t="s">
        <v>263</v>
      </c>
      <c r="C162" s="53">
        <v>0.33786767529769934</v>
      </c>
      <c r="D162" s="53">
        <v>0.39759357172215348</v>
      </c>
      <c r="E162" s="53">
        <v>0.48917294007505463</v>
      </c>
      <c r="F162" s="50">
        <v>1692097</v>
      </c>
      <c r="G162" s="50">
        <v>1</v>
      </c>
      <c r="H162" s="53" t="s">
        <v>189</v>
      </c>
      <c r="I162" s="53">
        <v>0.11503325482567947</v>
      </c>
      <c r="J162" s="53">
        <v>0.27764823151656592</v>
      </c>
      <c r="K162" s="53">
        <v>0.29048888738978673</v>
      </c>
      <c r="L162" s="50">
        <v>553960</v>
      </c>
    </row>
    <row r="163" spans="1:14" s="49" customFormat="1" x14ac:dyDescent="0.2">
      <c r="A163" s="50">
        <v>2</v>
      </c>
      <c r="B163" s="53" t="s">
        <v>94</v>
      </c>
      <c r="C163" s="53">
        <v>5.257390165149161E-2</v>
      </c>
      <c r="D163" s="53">
        <v>0.26080936429496554</v>
      </c>
      <c r="E163" s="53">
        <v>0.1346666186753292</v>
      </c>
      <c r="F163" s="50">
        <v>3050596</v>
      </c>
      <c r="G163" s="50">
        <v>2</v>
      </c>
      <c r="H163" s="53" t="s">
        <v>94</v>
      </c>
      <c r="I163" s="53">
        <v>3.7904835883333848E-2</v>
      </c>
      <c r="J163" s="53">
        <v>0.2737519770004479</v>
      </c>
      <c r="K163" s="53">
        <v>0.14179226111662835</v>
      </c>
      <c r="L163" s="50">
        <v>3050596</v>
      </c>
      <c r="N163" s="49" t="s">
        <v>117</v>
      </c>
    </row>
    <row r="164" spans="1:14" s="49" customFormat="1" x14ac:dyDescent="0.2">
      <c r="A164" s="50">
        <v>3</v>
      </c>
      <c r="B164" s="53" t="s">
        <v>154</v>
      </c>
      <c r="C164" s="53">
        <v>0.41754860269934901</v>
      </c>
      <c r="D164" s="53">
        <v>0.11053827058727686</v>
      </c>
      <c r="E164" s="53">
        <v>0</v>
      </c>
      <c r="F164" s="50">
        <v>12153634</v>
      </c>
      <c r="G164" s="50">
        <v>3</v>
      </c>
      <c r="H164" s="53" t="s">
        <v>263</v>
      </c>
      <c r="I164" s="53">
        <v>0.10856850694623321</v>
      </c>
      <c r="J164" s="53">
        <v>0.18110314136425248</v>
      </c>
      <c r="K164" s="53">
        <v>0.21366987597772083</v>
      </c>
      <c r="L164" s="50">
        <v>1692097</v>
      </c>
      <c r="N164" s="49" t="s">
        <v>118</v>
      </c>
    </row>
    <row r="165" spans="1:14" s="49" customFormat="1" x14ac:dyDescent="0.2">
      <c r="A165" s="50">
        <v>4</v>
      </c>
      <c r="B165" s="53" t="s">
        <v>119</v>
      </c>
      <c r="C165" s="53">
        <v>0</v>
      </c>
      <c r="D165" s="53">
        <v>8.7647287464063181E-2</v>
      </c>
      <c r="E165" s="53">
        <v>0.13217622214240221</v>
      </c>
      <c r="F165" s="50">
        <v>3689192</v>
      </c>
      <c r="G165" s="50">
        <v>4</v>
      </c>
      <c r="H165" s="53" t="s">
        <v>154</v>
      </c>
      <c r="I165" s="53">
        <v>0.63847990361952323</v>
      </c>
      <c r="J165" s="53">
        <v>0.11388647707596534</v>
      </c>
      <c r="K165" s="53">
        <v>0</v>
      </c>
      <c r="L165" s="50">
        <v>12153634</v>
      </c>
    </row>
    <row r="166" spans="1:14" s="49" customFormat="1" x14ac:dyDescent="0.2">
      <c r="A166" s="50">
        <v>5</v>
      </c>
      <c r="B166" s="53" t="s">
        <v>189</v>
      </c>
      <c r="C166" s="53">
        <v>4.1558352607649673E-2</v>
      </c>
      <c r="D166" s="53">
        <v>6.713221591690291E-2</v>
      </c>
      <c r="E166" s="53">
        <v>6.9365126290632503E-2</v>
      </c>
      <c r="F166" s="50">
        <v>553960</v>
      </c>
      <c r="G166" s="50">
        <v>5</v>
      </c>
      <c r="H166" s="53" t="s">
        <v>119</v>
      </c>
      <c r="I166" s="53">
        <v>0</v>
      </c>
      <c r="J166" s="53">
        <v>8.2648642905426117E-2</v>
      </c>
      <c r="K166" s="53">
        <v>0.14290291092684732</v>
      </c>
      <c r="L166" s="50">
        <v>3689192</v>
      </c>
    </row>
    <row r="167" spans="1:14" s="49" customFormat="1" x14ac:dyDescent="0.2">
      <c r="A167" s="50">
        <v>6</v>
      </c>
      <c r="B167" s="53" t="s">
        <v>100</v>
      </c>
      <c r="C167" s="53">
        <v>0</v>
      </c>
      <c r="D167" s="53">
        <v>0</v>
      </c>
      <c r="E167" s="53">
        <v>3.2412492949138151E-2</v>
      </c>
      <c r="F167" s="50">
        <v>11115023</v>
      </c>
      <c r="G167" s="50">
        <v>6</v>
      </c>
      <c r="H167" s="53" t="s">
        <v>230</v>
      </c>
      <c r="I167" s="53">
        <v>0</v>
      </c>
      <c r="J167" s="53">
        <v>0</v>
      </c>
      <c r="K167" s="53">
        <v>4.0193544146834945E-2</v>
      </c>
      <c r="L167" s="50">
        <v>2480382</v>
      </c>
    </row>
    <row r="168" spans="1:14" s="49" customFormat="1" x14ac:dyDescent="0.2">
      <c r="A168" s="50">
        <v>7</v>
      </c>
      <c r="B168" s="53" t="s">
        <v>97</v>
      </c>
      <c r="C168" s="53">
        <v>8.7476325553369011E-2</v>
      </c>
      <c r="D168" s="53">
        <v>0</v>
      </c>
      <c r="E168" s="53">
        <v>0</v>
      </c>
      <c r="F168" s="50">
        <v>7434864</v>
      </c>
      <c r="G168" s="50">
        <v>7</v>
      </c>
      <c r="H168" s="53" t="s">
        <v>97</v>
      </c>
      <c r="I168" s="53">
        <v>5.0221929696119369E-2</v>
      </c>
      <c r="J168" s="53">
        <v>0</v>
      </c>
      <c r="K168" s="53">
        <v>0</v>
      </c>
      <c r="L168" s="50">
        <v>7434864</v>
      </c>
    </row>
    <row r="169" spans="1:14" s="49" customFormat="1" x14ac:dyDescent="0.2">
      <c r="A169" s="50">
        <v>8</v>
      </c>
      <c r="B169" s="53" t="s">
        <v>101</v>
      </c>
      <c r="C169" s="53">
        <v>6.2975142190441424E-2</v>
      </c>
      <c r="D169" s="53">
        <v>7.6279290014638068E-2</v>
      </c>
      <c r="E169" s="53">
        <v>0.14220659986744333</v>
      </c>
      <c r="F169" s="50">
        <v>5920853</v>
      </c>
      <c r="G169" s="50">
        <v>8</v>
      </c>
      <c r="H169" s="53" t="s">
        <v>101</v>
      </c>
      <c r="I169" s="53">
        <v>4.979156902911086E-2</v>
      </c>
      <c r="J169" s="53">
        <v>7.0961530137342299E-2</v>
      </c>
      <c r="K169" s="53">
        <v>0.17095252044218179</v>
      </c>
      <c r="L169" s="50">
        <v>5920853</v>
      </c>
    </row>
    <row r="170" spans="1:14" s="49" customFormat="1" x14ac:dyDescent="0.2">
      <c r="A170" s="50">
        <v>9</v>
      </c>
      <c r="B170" s="53"/>
      <c r="C170" s="53">
        <v>0</v>
      </c>
      <c r="D170" s="53">
        <v>0</v>
      </c>
      <c r="E170" s="53">
        <v>0</v>
      </c>
      <c r="F170" s="50"/>
      <c r="G170" s="50">
        <v>9</v>
      </c>
      <c r="H170" s="53"/>
      <c r="I170" s="53">
        <v>0</v>
      </c>
      <c r="J170" s="53">
        <v>0</v>
      </c>
      <c r="K170" s="53">
        <v>0</v>
      </c>
      <c r="L170" s="50"/>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'U10m using hooks'!D3:N3</xm:f>
              <xm:sqref>C3</xm:sqref>
            </x14:sparkline>
            <x14:sparkline>
              <xm:f>'U10m using hooks'!D4:N4</xm:f>
              <xm:sqref>C4</xm:sqref>
            </x14:sparkline>
            <x14:sparkline>
              <xm:f>'U10m using hooks'!D5:N5</xm:f>
              <xm:sqref>C5</xm:sqref>
            </x14:sparkline>
            <x14:sparkline>
              <xm:f>'U10m using hooks'!D6:N6</xm:f>
              <xm:sqref>C6</xm:sqref>
            </x14:sparkline>
            <x14:sparkline>
              <xm:f>'U10m using hooks'!D7:N7</xm:f>
              <xm:sqref>C7</xm:sqref>
            </x14:sparkline>
            <x14:sparkline>
              <xm:f>'U10m using hooks'!D8:N8</xm:f>
              <xm:sqref>C8</xm:sqref>
            </x14:sparkline>
            <x14:sparkline>
              <xm:f>'U10m using hooks'!D9:N9</xm:f>
              <xm:sqref>C9</xm:sqref>
            </x14:sparkline>
            <x14:sparkline>
              <xm:f>'U10m using hooks'!F10:M10</xm:f>
              <xm:sqref>C10</xm:sqref>
            </x14:sparkline>
            <x14:sparkline>
              <xm:f>'U10m using hooks'!D11:N11</xm:f>
              <xm:sqref>C11</xm:sqref>
            </x14:sparkline>
            <x14:sparkline>
              <xm:f>'U10m using hooks'!D12:N12</xm:f>
              <xm:sqref>C12</xm:sqref>
            </x14:sparkline>
            <x14:sparkline>
              <xm:f>'U10m using hooks'!D13:N13</xm:f>
              <xm:sqref>C13</xm:sqref>
            </x14:sparkline>
            <x14:sparkline>
              <xm:f>'U10m using hooks'!D14:N14</xm:f>
              <xm:sqref>C14</xm:sqref>
            </x14:sparkline>
            <x14:sparkline>
              <xm:f>'U10m using hooks'!D15:N15</xm:f>
              <xm:sqref>C15</xm:sqref>
            </x14:sparkline>
            <x14:sparkline>
              <xm:f>'U10m using hooks'!D16:N16</xm:f>
              <xm:sqref>C16</xm:sqref>
            </x14:sparkline>
            <x14:sparkline>
              <xm:f>'U10m using hooks'!D17:N17</xm:f>
              <xm:sqref>C17</xm:sqref>
            </x14:sparkline>
            <x14:sparkline>
              <xm:f>'U10m using hooks'!D18:N18</xm:f>
              <xm:sqref>C18</xm:sqref>
            </x14:sparkline>
            <x14:sparkline>
              <xm:f>'U10m using hooks'!D19:N19</xm:f>
              <xm:sqref>C19</xm:sqref>
            </x14:sparkline>
            <x14:sparkline>
              <xm:f>'U10m using hooks'!D20:N20</xm:f>
              <xm:sqref>C20</xm:sqref>
            </x14:sparkline>
            <x14:sparkline>
              <xm:f>'U10m using hooks'!D21:N21</xm:f>
              <xm:sqref>C21</xm:sqref>
            </x14:sparkline>
            <x14:sparkline>
              <xm:f>'U10m using hooks'!D22:N22</xm:f>
              <xm:sqref>C22</xm:sqref>
            </x14:sparkline>
            <x14:sparkline>
              <xm:f>'U10m using hooks'!D23:N23</xm:f>
              <xm:sqref>C23</xm:sqref>
            </x14:sparkline>
            <x14:sparkline>
              <xm:f>'U10m using hooks'!D24:N24</xm:f>
              <xm:sqref>C24</xm:sqref>
            </x14:sparkline>
            <x14:sparkline>
              <xm:f>'U10m using hooks'!F25:M25</xm:f>
              <xm:sqref>C25</xm:sqref>
            </x14:sparkline>
            <x14:sparkline>
              <xm:f>'U10m using hooks'!F26:M26</xm:f>
              <xm:sqref>C26</xm:sqref>
            </x14:sparkline>
            <x14:sparkline>
              <xm:f>'U10m using hooks'!D27:N27</xm:f>
              <xm:sqref>C27</xm:sqref>
            </x14:sparkline>
            <x14:sparkline>
              <xm:f>'U10m using hooks'!D28:N28</xm:f>
              <xm:sqref>C28</xm:sqref>
            </x14:sparkline>
            <x14:sparkline>
              <xm:f>'U10m using hooks'!D29:N29</xm:f>
              <xm:sqref>C29</xm:sqref>
            </x14:sparkline>
            <x14:sparkline>
              <xm:f>'U10m using hooks'!D30:N30</xm:f>
              <xm:sqref>C30</xm:sqref>
            </x14:sparkline>
            <x14:sparkline>
              <xm:f>'U10m using hooks'!D31:N31</xm:f>
              <xm:sqref>C31</xm:sqref>
            </x14:sparkline>
            <x14:sparkline>
              <xm:f>'U10m using hooks'!D32:N32</xm:f>
              <xm:sqref>C32</xm:sqref>
            </x14:sparkline>
            <x14:sparkline>
              <xm:f>'U10m using hooks'!D33:N33</xm:f>
              <xm:sqref>C33</xm:sqref>
            </x14:sparkline>
            <x14:sparkline>
              <xm:f>'U10m using hooks'!D34:N34</xm:f>
              <xm:sqref>C34</xm:sqref>
            </x14:sparkline>
            <x14:sparkline>
              <xm:f>'U10m using hooks'!D35:N35</xm:f>
              <xm:sqref>C35</xm:sqref>
            </x14:sparkline>
            <x14:sparkline>
              <xm:f>'U10m using hooks'!D36:N36</xm:f>
              <xm:sqref>C36</xm:sqref>
            </x14:sparkline>
            <x14:sparkline>
              <xm:f>'U10m using hooks'!D37:N37</xm:f>
              <xm:sqref>C37</xm:sqref>
            </x14:sparkline>
            <x14:sparkline>
              <xm:f>'U10m using hooks'!D38:M38</xm:f>
              <xm:sqref>C38</xm:sqref>
            </x14:sparkline>
            <x14:sparkline>
              <xm:f>'U10m using hooks'!D39:M39</xm:f>
              <xm:sqref>C39</xm:sqref>
            </x14:sparkline>
            <x14:sparkline>
              <xm:f>'U10m using hooks'!D40:M40</xm:f>
              <xm:sqref>C40</xm:sqref>
            </x14:sparkline>
            <x14:sparkline>
              <xm:f>'U10m using hooks'!D41:M41</xm:f>
              <xm:sqref>C41</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509</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36</v>
      </c>
      <c r="E3" s="22">
        <v>31</v>
      </c>
      <c r="F3" s="22">
        <v>28</v>
      </c>
      <c r="G3" s="22">
        <v>29</v>
      </c>
      <c r="H3" s="22">
        <v>32</v>
      </c>
      <c r="I3" s="22">
        <v>37</v>
      </c>
      <c r="J3" s="22">
        <v>40</v>
      </c>
      <c r="K3" s="22">
        <v>41</v>
      </c>
      <c r="L3" s="22">
        <v>51</v>
      </c>
      <c r="M3" s="22">
        <v>43</v>
      </c>
      <c r="N3" s="22">
        <v>30</v>
      </c>
      <c r="O3" s="23">
        <f t="shared" ref="O3:O41" si="0">IF(N3=0,"",IFERROR(IF(AND(N3&gt;0,D3&lt;0),"na",IF(AND(N3&lt;0,D3&lt;0),-1,1)*(N3-D3)/D3),""))</f>
        <v>-0.16666666666666666</v>
      </c>
      <c r="P3" s="23">
        <f>IF(N3=0,"",IFERROR(IF(AND(N3&gt;0,J3&lt;0),"na",IF(AND(N3&lt;0,J3&lt;0),-1,1)*(N3-J3)/J3),""))</f>
        <v>-0.25</v>
      </c>
    </row>
    <row r="4" spans="1:17" ht="18" customHeight="1" x14ac:dyDescent="0.2">
      <c r="A4" s="224"/>
      <c r="B4" s="24" t="s">
        <v>51</v>
      </c>
      <c r="C4" s="25"/>
      <c r="D4" s="26">
        <v>10961</v>
      </c>
      <c r="E4" s="26">
        <v>9545</v>
      </c>
      <c r="F4" s="26">
        <v>8580</v>
      </c>
      <c r="G4" s="26">
        <v>8782</v>
      </c>
      <c r="H4" s="26">
        <v>10249</v>
      </c>
      <c r="I4" s="26">
        <v>11646</v>
      </c>
      <c r="J4" s="26">
        <v>12968</v>
      </c>
      <c r="K4" s="26">
        <v>13418</v>
      </c>
      <c r="L4" s="26">
        <v>16978</v>
      </c>
      <c r="M4" s="26">
        <v>13984</v>
      </c>
      <c r="N4" s="26">
        <v>9323</v>
      </c>
      <c r="O4" s="23">
        <f t="shared" si="0"/>
        <v>-0.149438919806587</v>
      </c>
      <c r="P4" s="23">
        <f t="shared" ref="P4:P41" si="1">IF(N4=0,"",IFERROR(IF(AND(N4&gt;0,J4&lt;0),"na",IF(AND(N4&lt;0,J4&lt;0),-1,1)*(N4-J4)/J4),""))</f>
        <v>-0.28107649599012957</v>
      </c>
    </row>
    <row r="5" spans="1:17" ht="18" customHeight="1" x14ac:dyDescent="0.2">
      <c r="A5" s="224"/>
      <c r="B5" s="24" t="s">
        <v>52</v>
      </c>
      <c r="C5" s="25"/>
      <c r="D5" s="26">
        <v>2978</v>
      </c>
      <c r="E5" s="26">
        <v>2649</v>
      </c>
      <c r="F5" s="26">
        <v>2289</v>
      </c>
      <c r="G5" s="26">
        <v>2507</v>
      </c>
      <c r="H5" s="26">
        <v>3040</v>
      </c>
      <c r="I5" s="26">
        <v>3701</v>
      </c>
      <c r="J5" s="26">
        <v>4108</v>
      </c>
      <c r="K5" s="26">
        <v>4148</v>
      </c>
      <c r="L5" s="26">
        <v>5065</v>
      </c>
      <c r="M5" s="26">
        <v>4123</v>
      </c>
      <c r="N5" s="26">
        <v>2696</v>
      </c>
      <c r="O5" s="23">
        <f t="shared" si="0"/>
        <v>-9.4694425789120212E-2</v>
      </c>
      <c r="P5" s="23">
        <f t="shared" si="1"/>
        <v>-0.34371957156767285</v>
      </c>
      <c r="Q5" s="27"/>
    </row>
    <row r="6" spans="1:17" ht="18" customHeight="1" x14ac:dyDescent="0.2">
      <c r="A6" s="224"/>
      <c r="B6" s="24" t="s">
        <v>53</v>
      </c>
      <c r="C6" s="25"/>
      <c r="D6" s="26">
        <v>8829.67578125</v>
      </c>
      <c r="E6" s="26">
        <v>7664.3994140625</v>
      </c>
      <c r="F6" s="26">
        <v>6859.64892578125</v>
      </c>
      <c r="G6" s="26">
        <v>7140.51708984375</v>
      </c>
      <c r="H6" s="26">
        <v>8233.9072265625</v>
      </c>
      <c r="I6" s="26">
        <v>9464.501953125</v>
      </c>
      <c r="J6" s="26">
        <v>10478.9404296875</v>
      </c>
      <c r="K6" s="26">
        <v>10653.1201171875</v>
      </c>
      <c r="L6" s="26">
        <v>13334.0439453125</v>
      </c>
      <c r="M6" s="26">
        <v>11062.603515625</v>
      </c>
      <c r="N6" s="26">
        <v>7404.1376953125</v>
      </c>
      <c r="O6" s="23">
        <f t="shared" si="0"/>
        <v>-0.1614485198838965</v>
      </c>
      <c r="P6" s="23">
        <f t="shared" si="1"/>
        <v>-0.29342687412020108</v>
      </c>
    </row>
    <row r="7" spans="1:17" ht="18" customHeight="1" x14ac:dyDescent="0.2">
      <c r="A7" s="224"/>
      <c r="B7" s="24" t="s">
        <v>54</v>
      </c>
      <c r="C7" s="25"/>
      <c r="D7" s="26">
        <v>4117.06298828125</v>
      </c>
      <c r="E7" s="26">
        <v>3767.807373046875</v>
      </c>
      <c r="F7" s="26">
        <v>3577.25341796875</v>
      </c>
      <c r="G7" s="26">
        <v>4173.052734375</v>
      </c>
      <c r="H7" s="26">
        <v>5670.25732421875</v>
      </c>
      <c r="I7" s="26">
        <v>5625.6298828125</v>
      </c>
      <c r="J7" s="26">
        <v>6562.93017578125</v>
      </c>
      <c r="K7" s="26">
        <v>5542.46044921875</v>
      </c>
      <c r="L7" s="26">
        <v>8657.26953125</v>
      </c>
      <c r="M7" s="26">
        <v>6365.66650390625</v>
      </c>
      <c r="N7" s="26">
        <v>3000.417724609375</v>
      </c>
      <c r="O7" s="23">
        <f t="shared" si="0"/>
        <v>-0.27122375024387002</v>
      </c>
      <c r="P7" s="23">
        <f t="shared" si="1"/>
        <v>-0.54282345777780494</v>
      </c>
    </row>
    <row r="8" spans="1:17" ht="18" customHeight="1" x14ac:dyDescent="0.2">
      <c r="A8" s="224"/>
      <c r="B8" s="24" t="s">
        <v>55</v>
      </c>
      <c r="C8" s="27"/>
      <c r="D8" s="28">
        <f ca="1">10.766942*OFFSET(D$112,MATCH($N$1,$C$112:$C$113,0)-1,0)</f>
        <v>10.766942</v>
      </c>
      <c r="E8" s="28">
        <f ca="1">8.15055*OFFSET(E$112,MATCH($N$1,$C$112:$C$113,0)-1,0)</f>
        <v>8.1505500000000008</v>
      </c>
      <c r="F8" s="28">
        <f ca="1">7.7379425*OFFSET(F$112,MATCH($N$1,$C$112:$C$113,0)-1,0)</f>
        <v>7.7379424999999999</v>
      </c>
      <c r="G8" s="28">
        <f ca="1">10.362298*OFFSET(G$112,MATCH($N$1,$C$112:$C$113,0)-1,0)</f>
        <v>10.362297999999999</v>
      </c>
      <c r="H8" s="28">
        <f ca="1">13.074855*OFFSET(H$112,MATCH($N$1,$C$112:$C$113,0)-1,0)</f>
        <v>13.074854999999999</v>
      </c>
      <c r="I8" s="28">
        <f ca="1">13.219952*OFFSET(I$112,MATCH($N$1,$C$112:$C$113,0)-1,0)</f>
        <v>13.219951999999999</v>
      </c>
      <c r="J8" s="28">
        <f ca="1">14.855191*OFFSET(J$112,MATCH($N$1,$C$112:$C$113,0)-1,0)</f>
        <v>14.855191</v>
      </c>
      <c r="K8" s="28">
        <f ca="1">13.516792*OFFSET(K$112,MATCH($N$1,$C$112:$C$113,0)-1,0)</f>
        <v>13.516792000000001</v>
      </c>
      <c r="L8" s="28">
        <f ca="1">19.210046*OFFSET(L$112,MATCH($N$1,$C$112:$C$113,0)-1,0)</f>
        <v>19.210045999999998</v>
      </c>
      <c r="M8" s="28">
        <f ca="1">14.474005*OFFSET(M$112,MATCH($N$1,$C$112:$C$113,0)-1,0)</f>
        <v>14.474005</v>
      </c>
      <c r="N8" s="28">
        <v>8.7063419999999994</v>
      </c>
      <c r="O8" s="23">
        <f t="shared" ca="1" si="0"/>
        <v>-0.1913821027363202</v>
      </c>
      <c r="P8" s="23">
        <f t="shared" ca="1" si="1"/>
        <v>-0.41391921517535524</v>
      </c>
    </row>
    <row r="9" spans="1:17" ht="18" customHeight="1" x14ac:dyDescent="0.2">
      <c r="A9" s="224"/>
      <c r="B9" s="24" t="s">
        <v>56</v>
      </c>
      <c r="C9" s="27"/>
      <c r="D9" s="26">
        <v>6388</v>
      </c>
      <c r="E9" s="26">
        <v>5742</v>
      </c>
      <c r="F9" s="26">
        <v>5182</v>
      </c>
      <c r="G9" s="26">
        <v>5142</v>
      </c>
      <c r="H9" s="26">
        <v>5818</v>
      </c>
      <c r="I9" s="26">
        <v>6906</v>
      </c>
      <c r="J9" s="26">
        <v>7637</v>
      </c>
      <c r="K9" s="26">
        <v>7159</v>
      </c>
      <c r="L9" s="26">
        <v>9431</v>
      </c>
      <c r="M9" s="26">
        <v>7679</v>
      </c>
      <c r="N9" s="26">
        <v>5211</v>
      </c>
      <c r="O9" s="23">
        <f t="shared" si="0"/>
        <v>-0.18425172197871009</v>
      </c>
      <c r="P9" s="23">
        <f t="shared" si="1"/>
        <v>-0.31766400419012703</v>
      </c>
    </row>
    <row r="10" spans="1:17" ht="18" customHeight="1" x14ac:dyDescent="0.2">
      <c r="A10" s="224"/>
      <c r="B10" s="24" t="s">
        <v>57</v>
      </c>
      <c r="C10" s="27"/>
      <c r="D10" s="26"/>
      <c r="E10" s="26">
        <v>234.88056945800781</v>
      </c>
      <c r="F10" s="26">
        <v>192.23533630371094</v>
      </c>
      <c r="G10" s="26">
        <v>184.45869445800781</v>
      </c>
      <c r="H10" s="26">
        <v>170.65992736816406</v>
      </c>
      <c r="I10" s="26">
        <v>192.62937927246094</v>
      </c>
      <c r="J10" s="26">
        <v>272.633544921875</v>
      </c>
      <c r="K10" s="26">
        <v>248.47474670410156</v>
      </c>
      <c r="L10" s="26">
        <v>310.18389892578125</v>
      </c>
      <c r="M10" s="26">
        <v>313.73883056640625</v>
      </c>
      <c r="N10" s="26">
        <v>240.72520446777344</v>
      </c>
      <c r="O10" s="29" t="str">
        <f t="shared" si="0"/>
        <v/>
      </c>
      <c r="P10" s="29">
        <f t="shared" si="1"/>
        <v>-0.11703747043763493</v>
      </c>
    </row>
    <row r="11" spans="1:17" ht="18" customHeight="1" x14ac:dyDescent="0.2">
      <c r="A11" s="225" t="s">
        <v>23</v>
      </c>
      <c r="B11" s="30" t="s">
        <v>58</v>
      </c>
      <c r="C11" s="31"/>
      <c r="D11" s="32">
        <v>18.094999313354492</v>
      </c>
      <c r="E11" s="32">
        <v>18.076774597167969</v>
      </c>
      <c r="F11" s="32">
        <v>18.004642486572266</v>
      </c>
      <c r="G11" s="32">
        <v>18.241378784179688</v>
      </c>
      <c r="H11" s="32">
        <v>18.539688110351563</v>
      </c>
      <c r="I11" s="32">
        <v>18.221622467041016</v>
      </c>
      <c r="J11" s="32">
        <v>18.362749099731445</v>
      </c>
      <c r="K11" s="32">
        <v>18.181951522827148</v>
      </c>
      <c r="L11" s="32">
        <v>18.203332901000977</v>
      </c>
      <c r="M11" s="32">
        <v>18.056047439575195</v>
      </c>
      <c r="N11" s="32">
        <v>17.590000152587891</v>
      </c>
      <c r="O11" s="23">
        <f t="shared" si="0"/>
        <v>-2.7908216630541761E-2</v>
      </c>
      <c r="P11" s="23">
        <f t="shared" si="1"/>
        <v>-4.2082421479845637E-2</v>
      </c>
    </row>
    <row r="12" spans="1:17" ht="18" customHeight="1" x14ac:dyDescent="0.2">
      <c r="A12" s="226"/>
      <c r="B12" s="33" t="s">
        <v>51</v>
      </c>
      <c r="C12" s="25"/>
      <c r="D12" s="26">
        <v>304.47222900390625</v>
      </c>
      <c r="E12" s="26">
        <v>307.90322875976562</v>
      </c>
      <c r="F12" s="26">
        <v>306.42855834960937</v>
      </c>
      <c r="G12" s="26">
        <v>302.82757568359375</v>
      </c>
      <c r="H12" s="26">
        <v>320.28125</v>
      </c>
      <c r="I12" s="26">
        <v>314.75674438476562</v>
      </c>
      <c r="J12" s="26">
        <v>324.20001220703125</v>
      </c>
      <c r="K12" s="26">
        <v>327.26828002929687</v>
      </c>
      <c r="L12" s="26">
        <v>332.90194702148437</v>
      </c>
      <c r="M12" s="26">
        <v>325.20928955078125</v>
      </c>
      <c r="N12" s="26">
        <v>310.76666259765625</v>
      </c>
      <c r="O12" s="23">
        <f t="shared" si="0"/>
        <v>2.0673260133912724E-2</v>
      </c>
      <c r="P12" s="23">
        <f t="shared" si="1"/>
        <v>-4.1435376630388841E-2</v>
      </c>
    </row>
    <row r="13" spans="1:17" ht="18" customHeight="1" x14ac:dyDescent="0.2">
      <c r="A13" s="226"/>
      <c r="B13" s="33" t="s">
        <v>52</v>
      </c>
      <c r="C13" s="25"/>
      <c r="D13" s="26">
        <v>82.722221374511719</v>
      </c>
      <c r="E13" s="26">
        <v>85.451614379882812</v>
      </c>
      <c r="F13" s="26">
        <v>81.75</v>
      </c>
      <c r="G13" s="26">
        <v>86.448272705078125</v>
      </c>
      <c r="H13" s="26">
        <v>95</v>
      </c>
      <c r="I13" s="26">
        <v>100.02702331542969</v>
      </c>
      <c r="J13" s="26">
        <v>102.69999694824219</v>
      </c>
      <c r="K13" s="26">
        <v>101.17073059082031</v>
      </c>
      <c r="L13" s="26">
        <v>99.313728332519531</v>
      </c>
      <c r="M13" s="26">
        <v>95.883720397949219</v>
      </c>
      <c r="N13" s="26">
        <v>89.866668701171875</v>
      </c>
      <c r="O13" s="23">
        <f t="shared" si="0"/>
        <v>8.6366724780211179E-2</v>
      </c>
      <c r="P13" s="23">
        <f t="shared" si="1"/>
        <v>-0.12495938294465517</v>
      </c>
    </row>
    <row r="14" spans="1:17" ht="18" customHeight="1" x14ac:dyDescent="0.2">
      <c r="A14" s="226"/>
      <c r="B14" s="33" t="s">
        <v>53</v>
      </c>
      <c r="C14" s="25"/>
      <c r="D14" s="26">
        <v>245.26876831054687</v>
      </c>
      <c r="E14" s="26">
        <v>247.23869323730469</v>
      </c>
      <c r="F14" s="26">
        <v>244.98745727539062</v>
      </c>
      <c r="G14" s="26">
        <v>246.22471618652344</v>
      </c>
      <c r="H14" s="26">
        <v>257.30960083007812</v>
      </c>
      <c r="I14" s="26">
        <v>255.79736328125</v>
      </c>
      <c r="J14" s="26">
        <v>261.9735107421875</v>
      </c>
      <c r="K14" s="26">
        <v>259.83218383789062</v>
      </c>
      <c r="L14" s="26">
        <v>261.45184326171875</v>
      </c>
      <c r="M14" s="26">
        <v>257.26986694335937</v>
      </c>
      <c r="N14" s="26">
        <v>246.80459594726562</v>
      </c>
      <c r="O14" s="23">
        <f t="shared" si="0"/>
        <v>6.2618149359080361E-3</v>
      </c>
      <c r="P14" s="23">
        <f t="shared" si="1"/>
        <v>-5.7902475528718078E-2</v>
      </c>
    </row>
    <row r="15" spans="1:17" ht="18" customHeight="1" x14ac:dyDescent="0.2">
      <c r="A15" s="226"/>
      <c r="B15" s="33" t="s">
        <v>54</v>
      </c>
      <c r="C15" s="27"/>
      <c r="D15" s="28">
        <v>114.36285400390625</v>
      </c>
      <c r="E15" s="28">
        <v>121.54216766357422</v>
      </c>
      <c r="F15" s="28">
        <v>127.75904846191406</v>
      </c>
      <c r="G15" s="28">
        <v>143.89836120605469</v>
      </c>
      <c r="H15" s="28">
        <v>177.19554138183594</v>
      </c>
      <c r="I15" s="28">
        <v>152.04405212402344</v>
      </c>
      <c r="J15" s="28">
        <v>164.07325744628906</v>
      </c>
      <c r="K15" s="28">
        <v>135.18196105957031</v>
      </c>
      <c r="L15" s="28">
        <v>169.75038146972656</v>
      </c>
      <c r="M15" s="28">
        <v>148.03875732421875</v>
      </c>
      <c r="N15" s="28">
        <v>100.01393127441406</v>
      </c>
      <c r="O15" s="23">
        <f t="shared" si="0"/>
        <v>-0.12546838616848507</v>
      </c>
      <c r="P15" s="23">
        <f t="shared" si="1"/>
        <v>-0.39043124497510162</v>
      </c>
    </row>
    <row r="16" spans="1:17" ht="18" customHeight="1" x14ac:dyDescent="0.2">
      <c r="A16" s="226"/>
      <c r="B16" s="33" t="s">
        <v>59</v>
      </c>
      <c r="C16" s="27"/>
      <c r="D16" s="28">
        <f ca="1">299.08171875*OFFSET(D$112,MATCH($N$1,$C$112:$C$113,0)-1,0)</f>
        <v>299.08171874999999</v>
      </c>
      <c r="E16" s="28">
        <f ca="1">262.92096875*OFFSET(E$112,MATCH($N$1,$C$112:$C$113,0)-1,0)</f>
        <v>262.92096874999999</v>
      </c>
      <c r="F16" s="28">
        <f ca="1">276.35509375*OFFSET(F$112,MATCH($N$1,$C$112:$C$113,0)-1,0)</f>
        <v>276.35509374999998</v>
      </c>
      <c r="G16" s="28">
        <f ca="1">357.320625*OFFSET(G$112,MATCH($N$1,$C$112:$C$113,0)-1,0)</f>
        <v>357.32062500000001</v>
      </c>
      <c r="H16" s="28">
        <f ca="1">408.58921875*OFFSET(H$112,MATCH($N$1,$C$112:$C$113,0)-1,0)</f>
        <v>408.58921874999999</v>
      </c>
      <c r="I16" s="28">
        <f ca="1">357.296*OFFSET(I$112,MATCH($N$1,$C$112:$C$113,0)-1,0)</f>
        <v>357.29599999999999</v>
      </c>
      <c r="J16" s="28">
        <f ca="1">371.37978125*OFFSET(J$112,MATCH($N$1,$C$112:$C$113,0)-1,0)</f>
        <v>371.37978125000001</v>
      </c>
      <c r="K16" s="28">
        <f ca="1">329.677875*OFFSET(K$112,MATCH($N$1,$C$112:$C$113,0)-1,0)</f>
        <v>329.67787499999997</v>
      </c>
      <c r="L16" s="28">
        <f ca="1">376.6675625*OFFSET(L$112,MATCH($N$1,$C$112:$C$113,0)-1,0)</f>
        <v>376.66756249999997</v>
      </c>
      <c r="M16" s="28">
        <f ca="1">336.60478125*OFFSET(M$112,MATCH($N$1,$C$112:$C$113,0)-1,0)</f>
        <v>336.60478124999997</v>
      </c>
      <c r="N16" s="28">
        <v>290.21140624999998</v>
      </c>
      <c r="O16" s="23">
        <f t="shared" ca="1" si="0"/>
        <v>-2.9658491120999057E-2</v>
      </c>
      <c r="P16" s="23">
        <f t="shared" ca="1" si="1"/>
        <v>-0.21855894988898247</v>
      </c>
    </row>
    <row r="17" spans="1:16" ht="18" customHeight="1" x14ac:dyDescent="0.2">
      <c r="A17" s="226"/>
      <c r="B17" s="33" t="s">
        <v>56</v>
      </c>
      <c r="C17" s="25"/>
      <c r="D17" s="26">
        <v>177.44444274902344</v>
      </c>
      <c r="E17" s="26">
        <v>185.22579956054687</v>
      </c>
      <c r="F17" s="26">
        <v>185.07142639160156</v>
      </c>
      <c r="G17" s="26">
        <v>177.31034851074219</v>
      </c>
      <c r="H17" s="26">
        <v>181.8125</v>
      </c>
      <c r="I17" s="26">
        <v>186.64865112304687</v>
      </c>
      <c r="J17" s="26">
        <v>190.92500305175781</v>
      </c>
      <c r="K17" s="26">
        <v>174.60975646972656</v>
      </c>
      <c r="L17" s="26">
        <v>184.92156982421875</v>
      </c>
      <c r="M17" s="26">
        <v>178.58139038085937</v>
      </c>
      <c r="N17" s="26">
        <v>173.69999694824219</v>
      </c>
      <c r="O17" s="23">
        <f t="shared" si="0"/>
        <v>-2.110207421980172E-2</v>
      </c>
      <c r="P17" s="23">
        <f t="shared" si="1"/>
        <v>-9.0218702779573098E-2</v>
      </c>
    </row>
    <row r="18" spans="1:16" ht="18" customHeight="1" x14ac:dyDescent="0.2">
      <c r="A18" s="226"/>
      <c r="B18" s="33" t="s">
        <v>60</v>
      </c>
      <c r="C18" s="25"/>
      <c r="D18" s="26">
        <v>30.55555534362793</v>
      </c>
      <c r="E18" s="26">
        <v>31.032258987426758</v>
      </c>
      <c r="F18" s="26">
        <v>32.428569793701172</v>
      </c>
      <c r="G18" s="26">
        <v>33</v>
      </c>
      <c r="H18" s="26">
        <v>33.21875</v>
      </c>
      <c r="I18" s="26">
        <v>31.45945930480957</v>
      </c>
      <c r="J18" s="26">
        <v>31.100000381469727</v>
      </c>
      <c r="K18" s="26">
        <v>32.365852355957031</v>
      </c>
      <c r="L18" s="26">
        <v>32.215686798095703</v>
      </c>
      <c r="M18" s="26">
        <v>35.162792205810547</v>
      </c>
      <c r="N18" s="26">
        <v>36.366664886474609</v>
      </c>
      <c r="O18" s="23">
        <f t="shared" si="0"/>
        <v>0.19018176817586566</v>
      </c>
      <c r="P18" s="23">
        <f t="shared" si="1"/>
        <v>0.16934612348567407</v>
      </c>
    </row>
    <row r="19" spans="1:16" ht="18" customHeight="1" x14ac:dyDescent="0.2">
      <c r="A19" s="226"/>
      <c r="B19" s="33" t="s">
        <v>61</v>
      </c>
      <c r="C19" s="25"/>
      <c r="D19" s="34">
        <v>0.64449948072433472</v>
      </c>
      <c r="E19" s="34">
        <v>0.65618377923965454</v>
      </c>
      <c r="F19" s="34">
        <v>0.69032293558120728</v>
      </c>
      <c r="G19" s="34">
        <v>0.81156212091445923</v>
      </c>
      <c r="H19" s="34">
        <v>0.97460591793060303</v>
      </c>
      <c r="I19" s="34">
        <v>0.81460034847259521</v>
      </c>
      <c r="J19" s="34">
        <v>0.8593597412109375</v>
      </c>
      <c r="K19" s="34">
        <v>0.77419477701187134</v>
      </c>
      <c r="L19" s="34">
        <v>0.91795879602432251</v>
      </c>
      <c r="M19" s="34">
        <v>0.82897078990936279</v>
      </c>
      <c r="N19" s="34">
        <v>0.57578545808792114</v>
      </c>
      <c r="O19" s="23">
        <f t="shared" si="0"/>
        <v>-0.10661610240428407</v>
      </c>
      <c r="P19" s="23">
        <f t="shared" si="1"/>
        <v>-0.32998320671087911</v>
      </c>
    </row>
    <row r="20" spans="1:16" ht="18" customHeight="1" x14ac:dyDescent="0.2">
      <c r="A20" s="227"/>
      <c r="B20" s="35" t="s">
        <v>24</v>
      </c>
      <c r="C20" s="36"/>
      <c r="D20" s="37">
        <f ca="1">2615*OFFSET(D$112,MATCH($N$1,$C$112:$C$113,0)-1,0)</f>
        <v>2615</v>
      </c>
      <c r="E20" s="37">
        <f ca="1">2163*OFFSET(E$112,MATCH($N$1,$C$112:$C$113,0)-1,0)</f>
        <v>2163</v>
      </c>
      <c r="F20" s="37">
        <f ca="1">2163*OFFSET(F$112,MATCH($N$1,$C$112:$C$113,0)-1,0)</f>
        <v>2163</v>
      </c>
      <c r="G20" s="37">
        <f ca="1">2483*OFFSET(G$112,MATCH($N$1,$C$112:$C$113,0)-1,0)</f>
        <v>2483</v>
      </c>
      <c r="H20" s="37">
        <f ca="1">2306*OFFSET(H$112,MATCH($N$1,$C$112:$C$113,0)-1,0)</f>
        <v>2306</v>
      </c>
      <c r="I20" s="37">
        <f ca="1">2350*OFFSET(I$112,MATCH($N$1,$C$112:$C$113,0)-1,0)</f>
        <v>2350</v>
      </c>
      <c r="J20" s="37">
        <f ca="1">2263*OFFSET(J$112,MATCH($N$1,$C$112:$C$113,0)-1,0)</f>
        <v>2263</v>
      </c>
      <c r="K20" s="37">
        <f ca="1">2439*OFFSET(K$112,MATCH($N$1,$C$112:$C$113,0)-1,0)</f>
        <v>2439</v>
      </c>
      <c r="L20" s="37">
        <f ca="1">2219*OFFSET(L$112,MATCH($N$1,$C$112:$C$113,0)-1,0)</f>
        <v>2219</v>
      </c>
      <c r="M20" s="37">
        <f ca="1">2274*OFFSET(M$112,MATCH($N$1,$C$112:$C$113,0)-1,0)</f>
        <v>2274</v>
      </c>
      <c r="N20" s="37">
        <v>2902</v>
      </c>
      <c r="O20" s="29">
        <f t="shared" ca="1" si="0"/>
        <v>0.10975143403441683</v>
      </c>
      <c r="P20" s="29">
        <f t="shared" ca="1" si="1"/>
        <v>0.28236853733981443</v>
      </c>
    </row>
    <row r="21" spans="1:16" ht="18" customHeight="1" x14ac:dyDescent="0.2">
      <c r="A21" s="228" t="s">
        <v>25</v>
      </c>
      <c r="B21" s="30" t="s">
        <v>62</v>
      </c>
      <c r="C21" s="38"/>
      <c r="D21" s="39">
        <v>2.120283587993546</v>
      </c>
      <c r="E21" s="39">
        <v>2.1249182139693721</v>
      </c>
      <c r="F21" s="39">
        <v>2.2435628804617034</v>
      </c>
      <c r="G21" s="39">
        <v>2.6858890184899766</v>
      </c>
      <c r="H21" s="39">
        <v>2.9922154868455353</v>
      </c>
      <c r="I21" s="39">
        <v>2.5581684467125867</v>
      </c>
      <c r="J21" s="39">
        <v>2.6258873452062752</v>
      </c>
      <c r="K21" s="39">
        <v>2.3105281310881853</v>
      </c>
      <c r="L21" s="39">
        <v>2.7314686058598219</v>
      </c>
      <c r="M21" s="39">
        <v>2.5523452675374929</v>
      </c>
      <c r="N21" s="39">
        <v>1.8661265764750952</v>
      </c>
      <c r="O21" s="23">
        <f t="shared" si="0"/>
        <v>-0.11986934811817468</v>
      </c>
      <c r="P21" s="23">
        <f t="shared" si="1"/>
        <v>-0.28933486812302583</v>
      </c>
    </row>
    <row r="22" spans="1:16" ht="18" customHeight="1" x14ac:dyDescent="0.2">
      <c r="A22" s="228"/>
      <c r="B22" s="33" t="s">
        <v>63</v>
      </c>
      <c r="C22" s="25"/>
      <c r="D22" s="34">
        <f ca="1">5.54496532338085*OFFSET(D$112,MATCH($N$1,$C$112:$C$113,0)-1,0)</f>
        <v>5.5449653233808496</v>
      </c>
      <c r="E22" s="34">
        <f ca="1">4.59663971830563*OFFSET(E$112,MATCH($N$1,$C$112:$C$113,0)-1,0)</f>
        <v>4.5966397183056298</v>
      </c>
      <c r="F22" s="34">
        <f ca="1">4.85304201642396*OFFSET(F$112,MATCH($N$1,$C$112:$C$113,0)-1,0)</f>
        <v>4.8530420164239603</v>
      </c>
      <c r="G22" s="34">
        <f ca="1">6.66945429206941*OFFSET(G$112,MATCH($N$1,$C$112:$C$113,0)-1,0)</f>
        <v>6.6694542920694104</v>
      </c>
      <c r="H22" s="34">
        <f ca="1">6.89964870768015*OFFSET(H$112,MATCH($N$1,$C$112:$C$113,0)-1,0)</f>
        <v>6.89964870768015</v>
      </c>
      <c r="I22" s="34">
        <f ca="1">6.01156928250666*OFFSET(I$112,MATCH($N$1,$C$112:$C$113,0)-1,0)</f>
        <v>6.0115692825066596</v>
      </c>
      <c r="J22" s="34">
        <f ca="1">5.9436954140384*OFFSET(J$112,MATCH($N$1,$C$112:$C$113,0)-1,0)</f>
        <v>5.9436954140384</v>
      </c>
      <c r="K22" s="34">
        <f ca="1">5.63484949037841*OFFSET(K$112,MATCH($N$1,$C$112:$C$113,0)-1,0)</f>
        <v>5.6348494903784099</v>
      </c>
      <c r="L22" s="34">
        <f ca="1">6.06099151534443*OFFSET(L$112,MATCH($N$1,$C$112:$C$113,0)-1,0)</f>
        <v>6.0609915153444298</v>
      </c>
      <c r="M22" s="34">
        <f ca="1">5.80342361677862*OFFSET(M$112,MATCH($N$1,$C$112:$C$113,0)-1,0)</f>
        <v>5.8034236167786197</v>
      </c>
      <c r="N22" s="34">
        <v>5.4149578073618061</v>
      </c>
      <c r="O22" s="23">
        <f t="shared" ca="1" si="0"/>
        <v>-2.3446046717524992E-2</v>
      </c>
      <c r="P22" s="23">
        <f t="shared" ca="1" si="1"/>
        <v>-8.8957722400742442E-2</v>
      </c>
    </row>
    <row r="23" spans="1:16" ht="18" customHeight="1" x14ac:dyDescent="0.2">
      <c r="A23" s="228"/>
      <c r="B23" s="33" t="s">
        <v>11</v>
      </c>
      <c r="C23" s="25"/>
      <c r="D23" s="34">
        <f ca="1">5.15732226960777*OFFSET(D$112,MATCH($N$1,$C$112:$C$113,0)-1,0)</f>
        <v>5.1573222696077696</v>
      </c>
      <c r="E23" s="34">
        <f ca="1">4.62786026274311*OFFSET(E$112,MATCH($N$1,$C$112:$C$113,0)-1,0)</f>
        <v>4.62786026274311</v>
      </c>
      <c r="F23" s="34">
        <f ca="1">4.46594891550172*OFFSET(F$112,MATCH($N$1,$C$112:$C$113,0)-1,0)</f>
        <v>4.4659489155017198</v>
      </c>
      <c r="G23" s="34">
        <f ca="1">5.27640211785648*OFFSET(G$112,MATCH($N$1,$C$112:$C$113,0)-1,0)</f>
        <v>5.2764021178564802</v>
      </c>
      <c r="H23" s="34">
        <f ca="1">5.70832354882816*OFFSET(H$112,MATCH($N$1,$C$112:$C$113,0)-1,0)</f>
        <v>5.7083235488281598</v>
      </c>
      <c r="I23" s="34">
        <f ca="1">5.33746628638256*OFFSET(I$112,MATCH($N$1,$C$112:$C$113,0)-1,0)</f>
        <v>5.3374662863825604</v>
      </c>
      <c r="J23" s="34">
        <f ca="1">5.199638814122*OFFSET(J$112,MATCH($N$1,$C$112:$C$113,0)-1,0)</f>
        <v>5.1996388141220002</v>
      </c>
      <c r="K23" s="34">
        <f ca="1">4.88851301728294*OFFSET(K$112,MATCH($N$1,$C$112:$C$113,0)-1,0)</f>
        <v>4.8885130172829401</v>
      </c>
      <c r="L23" s="34">
        <f ca="1">5.11262053074699*OFFSET(L$112,MATCH($N$1,$C$112:$C$113,0)-1,0)</f>
        <v>5.1126205307469901</v>
      </c>
      <c r="M23" s="34">
        <f ca="1">5.5331170478131*OFFSET(M$112,MATCH($N$1,$C$112:$C$113,0)-1,0)</f>
        <v>5.5331170478131</v>
      </c>
      <c r="N23" s="34">
        <v>5.3218398742405881</v>
      </c>
      <c r="O23" s="23">
        <f t="shared" ca="1" si="0"/>
        <v>3.1899810799554819E-2</v>
      </c>
      <c r="P23" s="23">
        <f t="shared" ca="1" si="1"/>
        <v>2.3501836278838242E-2</v>
      </c>
    </row>
    <row r="24" spans="1:16" ht="18" customHeight="1" x14ac:dyDescent="0.2">
      <c r="A24" s="228"/>
      <c r="B24" s="33" t="s">
        <v>12</v>
      </c>
      <c r="C24" s="25"/>
      <c r="D24" s="34">
        <f ca="1">0.493037626646626*OFFSET(D$112,MATCH($N$1,$C$112:$C$113,0)-1,0)</f>
        <v>0.49303762664662598</v>
      </c>
      <c r="E24" s="34">
        <f ca="1">-0.0222426545911238*OFFSET(E$112,MATCH($N$1,$C$112:$C$113,0)-1,0)</f>
        <v>-2.22426545911238E-2</v>
      </c>
      <c r="F24" s="34">
        <f ca="1">0.504815354420992*OFFSET(F$112,MATCH($N$1,$C$112:$C$113,0)-1,0)</f>
        <v>0.50481535442099201</v>
      </c>
      <c r="G24" s="34">
        <f ca="1">1.46180057609791*OFFSET(G$112,MATCH($N$1,$C$112:$C$113,0)-1,0)</f>
        <v>1.46180057609791</v>
      </c>
      <c r="H24" s="34">
        <f ca="1">1.57069461103756*OFFSET(H$112,MATCH($N$1,$C$112:$C$113,0)-1,0)</f>
        <v>1.5706946110375599</v>
      </c>
      <c r="I24" s="34">
        <f ca="1">0.788878635314961*OFFSET(I$112,MATCH($N$1,$C$112:$C$113,0)-1,0)</f>
        <v>0.78887863531496105</v>
      </c>
      <c r="J24" s="34">
        <f ca="1">1.23401223908362*OFFSET(J$112,MATCH($N$1,$C$112:$C$113,0)-1,0)</f>
        <v>1.2340122390836199</v>
      </c>
      <c r="K24" s="34">
        <f ca="1">0.893714822890976*OFFSET(K$112,MATCH($N$1,$C$112:$C$113,0)-1,0)</f>
        <v>0.89371482289097604</v>
      </c>
      <c r="L24" s="34">
        <f ca="1">1.06114111219349*OFFSET(L$112,MATCH($N$1,$C$112:$C$113,0)-1,0)</f>
        <v>1.0611411121934899</v>
      </c>
      <c r="M24" s="34">
        <f ca="1">0.801658428447643*OFFSET(M$112,MATCH($N$1,$C$112:$C$113,0)-1,0)</f>
        <v>0.80165842844764301</v>
      </c>
      <c r="N24" s="34">
        <v>0.58890253222883748</v>
      </c>
      <c r="O24" s="23">
        <f t="shared" ca="1" si="0"/>
        <v>0.19443730133586862</v>
      </c>
      <c r="P24" s="23">
        <f t="shared" ca="1" si="1"/>
        <v>-0.52277415606010702</v>
      </c>
    </row>
    <row r="25" spans="1:16" ht="18" customHeight="1" x14ac:dyDescent="0.2">
      <c r="A25" s="228"/>
      <c r="B25" s="33" t="s">
        <v>64</v>
      </c>
      <c r="C25" s="25"/>
      <c r="D25" s="28"/>
      <c r="E25" s="28">
        <f ca="1">34.7*OFFSET(E$112,MATCH($N$1,$C$112:$C$113,0)-1,0)</f>
        <v>34.700000000000003</v>
      </c>
      <c r="F25" s="28">
        <f ca="1">40.26*OFFSET(F$112,MATCH($N$1,$C$112:$C$113,0)-1,0)</f>
        <v>40.26</v>
      </c>
      <c r="G25" s="28">
        <f ca="1">56.17*OFFSET(G$112,MATCH($N$1,$C$112:$C$113,0)-1,0)</f>
        <v>56.17</v>
      </c>
      <c r="H25" s="28">
        <f ca="1">76.62*OFFSET(H$112,MATCH($N$1,$C$112:$C$113,0)-1,0)</f>
        <v>76.62</v>
      </c>
      <c r="I25" s="28">
        <f ca="1">68.63*OFFSET(I$112,MATCH($N$1,$C$112:$C$113,0)-1,0)</f>
        <v>68.63</v>
      </c>
      <c r="J25" s="28">
        <f ca="1">54.49*OFFSET(J$112,MATCH($N$1,$C$112:$C$113,0)-1,0)</f>
        <v>54.49</v>
      </c>
      <c r="K25" s="28">
        <f ca="1">54.4*OFFSET(K$112,MATCH($N$1,$C$112:$C$113,0)-1,0)</f>
        <v>54.4</v>
      </c>
      <c r="L25" s="28">
        <f ca="1">61.94*OFFSET(L$112,MATCH($N$1,$C$112:$C$113,0)-1,0)</f>
        <v>61.94</v>
      </c>
      <c r="M25" s="28">
        <f ca="1">46.13*OFFSET(M$112,MATCH($N$1,$C$112:$C$113,0)-1,0)</f>
        <v>46.13</v>
      </c>
      <c r="N25" s="28">
        <v>36.17</v>
      </c>
      <c r="O25" s="23" t="str">
        <f t="shared" si="0"/>
        <v/>
      </c>
      <c r="P25" s="23">
        <f t="shared" ca="1" si="1"/>
        <v>-0.33620847861993025</v>
      </c>
    </row>
    <row r="26" spans="1:16" ht="18" customHeight="1" x14ac:dyDescent="0.2">
      <c r="A26" s="229"/>
      <c r="B26" s="33" t="s">
        <v>65</v>
      </c>
      <c r="C26" s="40"/>
      <c r="D26" s="28"/>
      <c r="E26" s="28">
        <f ca="1">-0.17*OFFSET(E$112,MATCH($N$1,$C$112:$C$113,0)-1,0)</f>
        <v>-0.17</v>
      </c>
      <c r="F26" s="28">
        <f ca="1">4.18*OFFSET(F$112,MATCH($N$1,$C$112:$C$113,0)-1,0)</f>
        <v>4.18</v>
      </c>
      <c r="G26" s="28">
        <f ca="1">12.31*OFFSET(G$112,MATCH($N$1,$C$112:$C$113,0)-1,0)</f>
        <v>12.31</v>
      </c>
      <c r="H26" s="28">
        <f ca="1">17.44*OFFSET(H$112,MATCH($N$1,$C$112:$C$113,0)-1,0)</f>
        <v>17.440000000000001</v>
      </c>
      <c r="I26" s="28">
        <f ca="1">9.01*OFFSET(I$112,MATCH($N$1,$C$112:$C$113,0)-1,0)</f>
        <v>9.01</v>
      </c>
      <c r="J26" s="28">
        <f ca="1">11.31*OFFSET(J$112,MATCH($N$1,$C$112:$C$113,0)-1,0)</f>
        <v>11.31</v>
      </c>
      <c r="K26" s="28">
        <f ca="1">8.63*OFFSET(K$112,MATCH($N$1,$C$112:$C$113,0)-1,0)</f>
        <v>8.6300000000000008</v>
      </c>
      <c r="L26" s="28">
        <f ca="1">10.84*OFFSET(L$112,MATCH($N$1,$C$112:$C$113,0)-1,0)</f>
        <v>10.84</v>
      </c>
      <c r="M26" s="28">
        <f ca="1">6.37*OFFSET(M$112,MATCH($N$1,$C$112:$C$113,0)-1,0)</f>
        <v>6.37</v>
      </c>
      <c r="N26" s="28">
        <v>3.94</v>
      </c>
      <c r="O26" s="29" t="str">
        <f t="shared" si="0"/>
        <v/>
      </c>
      <c r="P26" s="29">
        <f t="shared" ca="1" si="1"/>
        <v>-0.65163572060123787</v>
      </c>
    </row>
    <row r="27" spans="1:16" ht="18" customHeight="1" x14ac:dyDescent="0.2">
      <c r="A27" s="230" t="s">
        <v>26</v>
      </c>
      <c r="B27" s="30" t="s">
        <v>59</v>
      </c>
      <c r="C27" s="31"/>
      <c r="D27" s="32">
        <f ca="1">299.1*OFFSET(D$112,MATCH($N$1,$C$112:$C$113,0)-1,0)</f>
        <v>299.10000000000002</v>
      </c>
      <c r="E27" s="32">
        <f ca="1">262.9*OFFSET(E$112,MATCH($N$1,$C$112:$C$113,0)-1,0)</f>
        <v>262.89999999999998</v>
      </c>
      <c r="F27" s="32">
        <f ca="1">276.4*OFFSET(F$112,MATCH($N$1,$C$112:$C$113,0)-1,0)</f>
        <v>276.39999999999998</v>
      </c>
      <c r="G27" s="32">
        <f ca="1">357.3*OFFSET(G$112,MATCH($N$1,$C$112:$C$113,0)-1,0)</f>
        <v>357.3</v>
      </c>
      <c r="H27" s="32">
        <f ca="1">408.6*OFFSET(H$112,MATCH($N$1,$C$112:$C$113,0)-1,0)</f>
        <v>408.6</v>
      </c>
      <c r="I27" s="32">
        <f ca="1">357.3*OFFSET(I$112,MATCH($N$1,$C$112:$C$113,0)-1,0)</f>
        <v>357.3</v>
      </c>
      <c r="J27" s="32">
        <f ca="1">371.4*OFFSET(J$112,MATCH($N$1,$C$112:$C$113,0)-1,0)</f>
        <v>371.4</v>
      </c>
      <c r="K27" s="32">
        <f ca="1">329.7*OFFSET(K$112,MATCH($N$1,$C$112:$C$113,0)-1,0)</f>
        <v>329.7</v>
      </c>
      <c r="L27" s="32">
        <f ca="1">376.7*OFFSET(L$112,MATCH($N$1,$C$112:$C$113,0)-1,0)</f>
        <v>376.7</v>
      </c>
      <c r="M27" s="32">
        <f ca="1">336.6*OFFSET(M$112,MATCH($N$1,$C$112:$C$113,0)-1,0)</f>
        <v>336.6</v>
      </c>
      <c r="N27" s="32">
        <v>290.2</v>
      </c>
      <c r="O27" s="23">
        <f t="shared" ca="1" si="0"/>
        <v>-2.975593447007701E-2</v>
      </c>
      <c r="P27" s="23">
        <f t="shared" ca="1" si="1"/>
        <v>-0.2186322024771136</v>
      </c>
    </row>
    <row r="28" spans="1:16" ht="18" customHeight="1" x14ac:dyDescent="0.2">
      <c r="A28" s="231"/>
      <c r="B28" s="33" t="s">
        <v>66</v>
      </c>
      <c r="C28" s="27"/>
      <c r="D28" s="28">
        <f ca="1">5.7*OFFSET(D$112,MATCH($N$1,$C$112:$C$113,0)-1,0)</f>
        <v>5.7</v>
      </c>
      <c r="E28" s="28">
        <f ca="1">0.5*OFFSET(E$112,MATCH($N$1,$C$112:$C$113,0)-1,0)</f>
        <v>0.5</v>
      </c>
      <c r="F28" s="28">
        <f ca="1">6.7*OFFSET(F$112,MATCH($N$1,$C$112:$C$113,0)-1,0)</f>
        <v>6.7</v>
      </c>
      <c r="G28" s="28">
        <f ca="1">3.7*OFFSET(G$112,MATCH($N$1,$C$112:$C$113,0)-1,0)</f>
        <v>3.7</v>
      </c>
      <c r="H28" s="28">
        <f ca="1">22.5*OFFSET(H$112,MATCH($N$1,$C$112:$C$113,0)-1,0)</f>
        <v>22.5</v>
      </c>
      <c r="I28" s="28">
        <f ca="1">6.8*OFFSET(I$112,MATCH($N$1,$C$112:$C$113,0)-1,0)</f>
        <v>6.8</v>
      </c>
      <c r="J28" s="28">
        <f ca="1">30.6*OFFSET(J$112,MATCH($N$1,$C$112:$C$113,0)-1,0)</f>
        <v>30.6</v>
      </c>
      <c r="K28" s="28">
        <f ca="1">8.6*OFFSET(K$112,MATCH($N$1,$C$112:$C$113,0)-1,0)</f>
        <v>8.6</v>
      </c>
      <c r="L28" s="28">
        <f ca="1">7*OFFSET(L$112,MATCH($N$1,$C$112:$C$113,0)-1,0)</f>
        <v>7</v>
      </c>
      <c r="M28" s="28">
        <f ca="1">30.8*OFFSET(M$112,MATCH($N$1,$C$112:$C$113,0)-1,0)</f>
        <v>30.8</v>
      </c>
      <c r="N28" s="28">
        <v>26.6</v>
      </c>
      <c r="O28" s="23">
        <f t="shared" ca="1" si="0"/>
        <v>3.666666666666667</v>
      </c>
      <c r="P28" s="23">
        <f t="shared" ca="1" si="1"/>
        <v>-0.13071895424836602</v>
      </c>
    </row>
    <row r="29" spans="1:16" ht="18" customHeight="1" x14ac:dyDescent="0.2">
      <c r="A29" s="231"/>
      <c r="B29" s="41" t="s">
        <v>67</v>
      </c>
      <c r="C29" s="42"/>
      <c r="D29" s="43">
        <f ca="1">304.8*OFFSET(D$112,MATCH($N$1,$C$112:$C$113,0)-1,0)</f>
        <v>304.8</v>
      </c>
      <c r="E29" s="43">
        <f ca="1">263.4*OFFSET(E$112,MATCH($N$1,$C$112:$C$113,0)-1,0)</f>
        <v>263.39999999999998</v>
      </c>
      <c r="F29" s="43">
        <f ca="1">283.1*OFFSET(F$112,MATCH($N$1,$C$112:$C$113,0)-1,0)</f>
        <v>283.10000000000002</v>
      </c>
      <c r="G29" s="43">
        <f ca="1">361*OFFSET(G$112,MATCH($N$1,$C$112:$C$113,0)-1,0)</f>
        <v>361</v>
      </c>
      <c r="H29" s="43">
        <f ca="1">431.1*OFFSET(H$112,MATCH($N$1,$C$112:$C$113,0)-1,0)</f>
        <v>431.1</v>
      </c>
      <c r="I29" s="43">
        <f ca="1">364.1*OFFSET(I$112,MATCH($N$1,$C$112:$C$113,0)-1,0)</f>
        <v>364.1</v>
      </c>
      <c r="J29" s="43">
        <f ca="1">402*OFFSET(J$112,MATCH($N$1,$C$112:$C$113,0)-1,0)</f>
        <v>402</v>
      </c>
      <c r="K29" s="43">
        <f ca="1">338.3*OFFSET(K$112,MATCH($N$1,$C$112:$C$113,0)-1,0)</f>
        <v>338.3</v>
      </c>
      <c r="L29" s="43">
        <f ca="1">383.7*OFFSET(L$112,MATCH($N$1,$C$112:$C$113,0)-1,0)</f>
        <v>383.7</v>
      </c>
      <c r="M29" s="43">
        <f ca="1">367.4*OFFSET(M$112,MATCH($N$1,$C$112:$C$113,0)-1,0)</f>
        <v>367.4</v>
      </c>
      <c r="N29" s="43">
        <v>316.8</v>
      </c>
      <c r="O29" s="23">
        <f t="shared" ca="1" si="0"/>
        <v>3.937007874015748E-2</v>
      </c>
      <c r="P29" s="23">
        <f t="shared" ca="1" si="1"/>
        <v>-0.21194029850746265</v>
      </c>
    </row>
    <row r="30" spans="1:16" ht="18" customHeight="1" x14ac:dyDescent="0.2">
      <c r="A30" s="231"/>
      <c r="B30" s="33" t="s">
        <v>68</v>
      </c>
      <c r="C30" s="27"/>
      <c r="D30" s="28">
        <f ca="1">75.2*OFFSET(D$112,MATCH($N$1,$C$112:$C$113,0)-1,0)</f>
        <v>75.2</v>
      </c>
      <c r="E30" s="28">
        <f ca="1">53.4*OFFSET(E$112,MATCH($N$1,$C$112:$C$113,0)-1,0)</f>
        <v>53.4</v>
      </c>
      <c r="F30" s="28">
        <f ca="1">67.6*OFFSET(F$112,MATCH($N$1,$C$112:$C$113,0)-1,0)</f>
        <v>67.599999999999994</v>
      </c>
      <c r="G30" s="28">
        <f ca="1">84.2*OFFSET(G$112,MATCH($N$1,$C$112:$C$113,0)-1,0)</f>
        <v>84.2</v>
      </c>
      <c r="H30" s="28">
        <f ca="1">88.5*OFFSET(H$112,MATCH($N$1,$C$112:$C$113,0)-1,0)</f>
        <v>88.5</v>
      </c>
      <c r="I30" s="28">
        <f ca="1">87.2*OFFSET(I$112,MATCH($N$1,$C$112:$C$113,0)-1,0)</f>
        <v>87.2</v>
      </c>
      <c r="J30" s="28">
        <f ca="1">80.8*OFFSET(J$112,MATCH($N$1,$C$112:$C$113,0)-1,0)</f>
        <v>80.8</v>
      </c>
      <c r="K30" s="28">
        <f ca="1">51.4*OFFSET(K$112,MATCH($N$1,$C$112:$C$113,0)-1,0)</f>
        <v>51.4</v>
      </c>
      <c r="L30" s="28">
        <f ca="1">50.5*OFFSET(L$112,MATCH($N$1,$C$112:$C$113,0)-1,0)</f>
        <v>50.5</v>
      </c>
      <c r="M30" s="28">
        <f ca="1">58.8*OFFSET(M$112,MATCH($N$1,$C$112:$C$113,0)-1,0)</f>
        <v>58.8</v>
      </c>
      <c r="N30" s="28">
        <v>67.5</v>
      </c>
      <c r="O30" s="23">
        <f t="shared" ca="1" si="0"/>
        <v>-0.10239361702127663</v>
      </c>
      <c r="P30" s="23">
        <f t="shared" ca="1" si="1"/>
        <v>-0.16460396039603958</v>
      </c>
    </row>
    <row r="31" spans="1:16" ht="18" customHeight="1" x14ac:dyDescent="0.2">
      <c r="A31" s="231"/>
      <c r="B31" s="33" t="s">
        <v>69</v>
      </c>
      <c r="C31" s="27"/>
      <c r="D31" s="28">
        <f ca="1">79.8*OFFSET(D$112,MATCH($N$1,$C$112:$C$113,0)-1,0)</f>
        <v>79.8</v>
      </c>
      <c r="E31" s="28">
        <f ca="1">72.8*OFFSET(E$112,MATCH($N$1,$C$112:$C$113,0)-1,0)</f>
        <v>72.8</v>
      </c>
      <c r="F31" s="28">
        <f ca="1">58.2*OFFSET(F$112,MATCH($N$1,$C$112:$C$113,0)-1,0)</f>
        <v>58.2</v>
      </c>
      <c r="G31" s="28">
        <f ca="1">68.5*OFFSET(G$112,MATCH($N$1,$C$112:$C$113,0)-1,0)</f>
        <v>68.5</v>
      </c>
      <c r="H31" s="28">
        <f ca="1">95.7*OFFSET(H$112,MATCH($N$1,$C$112:$C$113,0)-1,0)</f>
        <v>95.7</v>
      </c>
      <c r="I31" s="28">
        <f ca="1">83.2*OFFSET(I$112,MATCH($N$1,$C$112:$C$113,0)-1,0)</f>
        <v>83.2</v>
      </c>
      <c r="J31" s="28">
        <f ca="1">98.3*OFFSET(J$112,MATCH($N$1,$C$112:$C$113,0)-1,0)</f>
        <v>98.3</v>
      </c>
      <c r="K31" s="28">
        <f ca="1">95.1*OFFSET(K$112,MATCH($N$1,$C$112:$C$113,0)-1,0)</f>
        <v>95.1</v>
      </c>
      <c r="L31" s="28">
        <f ca="1">119.6*OFFSET(L$112,MATCH($N$1,$C$112:$C$113,0)-1,0)</f>
        <v>119.6</v>
      </c>
      <c r="M31" s="28">
        <f ca="1">109.5*OFFSET(M$112,MATCH($N$1,$C$112:$C$113,0)-1,0)</f>
        <v>109.5</v>
      </c>
      <c r="N31" s="28">
        <v>86.100000000000009</v>
      </c>
      <c r="O31" s="23">
        <f t="shared" ca="1" si="0"/>
        <v>7.894736842105278E-2</v>
      </c>
      <c r="P31" s="23">
        <f t="shared" ca="1" si="1"/>
        <v>-0.12410986775178015</v>
      </c>
    </row>
    <row r="32" spans="1:16" ht="18" customHeight="1" x14ac:dyDescent="0.2">
      <c r="A32" s="231"/>
      <c r="B32" s="33" t="s">
        <v>70</v>
      </c>
      <c r="C32" s="27"/>
      <c r="D32" s="28">
        <f ca="1">47.4*OFFSET(D$112,MATCH($N$1,$C$112:$C$113,0)-1,0)</f>
        <v>47.4</v>
      </c>
      <c r="E32" s="28">
        <f ca="1">38.7*OFFSET(E$112,MATCH($N$1,$C$112:$C$113,0)-1,0)</f>
        <v>38.700000000000003</v>
      </c>
      <c r="F32" s="28">
        <f ca="1">42.7*OFFSET(F$112,MATCH($N$1,$C$112:$C$113,0)-1,0)</f>
        <v>42.7</v>
      </c>
      <c r="G32" s="28">
        <f ca="1">48*OFFSET(G$112,MATCH($N$1,$C$112:$C$113,0)-1,0)</f>
        <v>48</v>
      </c>
      <c r="H32" s="28">
        <f ca="1">56.9*OFFSET(H$112,MATCH($N$1,$C$112:$C$113,0)-1,0)</f>
        <v>56.9</v>
      </c>
      <c r="I32" s="28">
        <f ca="1">58.1*OFFSET(I$112,MATCH($N$1,$C$112:$C$113,0)-1,0)</f>
        <v>58.1</v>
      </c>
      <c r="J32" s="28">
        <f ca="1">57.3*OFFSET(J$112,MATCH($N$1,$C$112:$C$113,0)-1,0)</f>
        <v>57.3</v>
      </c>
      <c r="K32" s="28">
        <f ca="1">55.9*OFFSET(K$112,MATCH($N$1,$C$112:$C$113,0)-1,0)</f>
        <v>55.9</v>
      </c>
      <c r="L32" s="28">
        <f ca="1">58.8*OFFSET(L$112,MATCH($N$1,$C$112:$C$113,0)-1,0)</f>
        <v>58.8</v>
      </c>
      <c r="M32" s="28">
        <f ca="1">55.7*OFFSET(M$112,MATCH($N$1,$C$112:$C$113,0)-1,0)</f>
        <v>55.7</v>
      </c>
      <c r="N32" s="28">
        <v>48</v>
      </c>
      <c r="O32" s="23">
        <f t="shared" ca="1" si="0"/>
        <v>1.2658227848101297E-2</v>
      </c>
      <c r="P32" s="23">
        <f t="shared" ca="1" si="1"/>
        <v>-0.16230366492146592</v>
      </c>
    </row>
    <row r="33" spans="1:16" ht="18" customHeight="1" x14ac:dyDescent="0.2">
      <c r="A33" s="231"/>
      <c r="B33" s="33" t="s">
        <v>71</v>
      </c>
      <c r="C33" s="27"/>
      <c r="D33" s="28">
        <f ca="1">202.5*OFFSET(D$112,MATCH($N$1,$C$112:$C$113,0)-1,0)</f>
        <v>202.5</v>
      </c>
      <c r="E33" s="28">
        <f ca="1">164.9*OFFSET(E$112,MATCH($N$1,$C$112:$C$113,0)-1,0)</f>
        <v>164.9</v>
      </c>
      <c r="F33" s="28">
        <f ca="1">168.5*OFFSET(F$112,MATCH($N$1,$C$112:$C$113,0)-1,0)</f>
        <v>168.5</v>
      </c>
      <c r="G33" s="28">
        <f ca="1">200.7*OFFSET(G$112,MATCH($N$1,$C$112:$C$113,0)-1,0)</f>
        <v>200.7</v>
      </c>
      <c r="H33" s="28">
        <f ca="1">241.1*OFFSET(H$112,MATCH($N$1,$C$112:$C$113,0)-1,0)</f>
        <v>241.1</v>
      </c>
      <c r="I33" s="28">
        <f ca="1">228.4*OFFSET(I$112,MATCH($N$1,$C$112:$C$113,0)-1,0)</f>
        <v>228.4</v>
      </c>
      <c r="J33" s="28">
        <f ca="1">236.4*OFFSET(J$112,MATCH($N$1,$C$112:$C$113,0)-1,0)</f>
        <v>236.4</v>
      </c>
      <c r="K33" s="28">
        <f ca="1">202.4*OFFSET(K$112,MATCH($N$1,$C$112:$C$113,0)-1,0)</f>
        <v>202.4</v>
      </c>
      <c r="L33" s="28">
        <f ca="1">229*OFFSET(L$112,MATCH($N$1,$C$112:$C$113,0)-1,0)</f>
        <v>229</v>
      </c>
      <c r="M33" s="28">
        <f ca="1">224*OFFSET(M$112,MATCH($N$1,$C$112:$C$113,0)-1,0)</f>
        <v>224</v>
      </c>
      <c r="N33" s="28">
        <v>201.6</v>
      </c>
      <c r="O33" s="23">
        <f t="shared" ca="1" si="0"/>
        <v>-4.4444444444444722E-3</v>
      </c>
      <c r="P33" s="23">
        <f t="shared" ca="1" si="1"/>
        <v>-0.14720812182741122</v>
      </c>
    </row>
    <row r="34" spans="1:16" ht="18" customHeight="1" x14ac:dyDescent="0.2">
      <c r="A34" s="231"/>
      <c r="B34" s="33" t="s">
        <v>72</v>
      </c>
      <c r="C34" s="27"/>
      <c r="D34" s="28">
        <f ca="1">75.7*OFFSET(D$112,MATCH($N$1,$C$112:$C$113,0)-1,0)</f>
        <v>75.7</v>
      </c>
      <c r="E34" s="28">
        <f ca="1">99.8*OFFSET(E$112,MATCH($N$1,$C$112:$C$113,0)-1,0)</f>
        <v>99.8</v>
      </c>
      <c r="F34" s="28">
        <f ca="1">85.8*OFFSET(F$112,MATCH($N$1,$C$112:$C$113,0)-1,0)</f>
        <v>85.8</v>
      </c>
      <c r="G34" s="28">
        <f ca="1">81.9*OFFSET(G$112,MATCH($N$1,$C$112:$C$113,0)-1,0)</f>
        <v>81.900000000000006</v>
      </c>
      <c r="H34" s="28">
        <f ca="1">97*OFFSET(H$112,MATCH($N$1,$C$112:$C$113,0)-1,0)</f>
        <v>97</v>
      </c>
      <c r="I34" s="28">
        <f ca="1">88.8*OFFSET(I$112,MATCH($N$1,$C$112:$C$113,0)-1,0)</f>
        <v>88.8</v>
      </c>
      <c r="J34" s="28">
        <f ca="1">88.5*OFFSET(J$112,MATCH($N$1,$C$112:$C$113,0)-1,0)</f>
        <v>88.5</v>
      </c>
      <c r="K34" s="28">
        <f ca="1">83.6*OFFSET(K$112,MATCH($N$1,$C$112:$C$113,0)-1,0)</f>
        <v>83.6</v>
      </c>
      <c r="L34" s="28">
        <f ca="1">88.8*OFFSET(L$112,MATCH($N$1,$C$112:$C$113,0)-1,0)</f>
        <v>88.8</v>
      </c>
      <c r="M34" s="28">
        <f ca="1">97*OFFSET(M$112,MATCH($N$1,$C$112:$C$113,0)-1,0)</f>
        <v>97</v>
      </c>
      <c r="N34" s="28">
        <v>83.600000000000009</v>
      </c>
      <c r="O34" s="23">
        <f t="shared" ca="1" si="0"/>
        <v>0.1043593130779393</v>
      </c>
      <c r="P34" s="23">
        <f t="shared" ca="1" si="1"/>
        <v>-5.5367231638417981E-2</v>
      </c>
    </row>
    <row r="35" spans="1:16" ht="18" customHeight="1" x14ac:dyDescent="0.2">
      <c r="A35" s="231"/>
      <c r="B35" s="33" t="s">
        <v>73</v>
      </c>
      <c r="C35" s="27"/>
      <c r="D35" s="28">
        <f ca="1">278.2*OFFSET(D$112,MATCH($N$1,$C$112:$C$113,0)-1,0)</f>
        <v>278.2</v>
      </c>
      <c r="E35" s="28">
        <f ca="1">264.7*OFFSET(E$112,MATCH($N$1,$C$112:$C$113,0)-1,0)</f>
        <v>264.7</v>
      </c>
      <c r="F35" s="28">
        <f ca="1">254.3*OFFSET(F$112,MATCH($N$1,$C$112:$C$113,0)-1,0)</f>
        <v>254.3</v>
      </c>
      <c r="G35" s="28">
        <f ca="1">282.7*OFFSET(G$112,MATCH($N$1,$C$112:$C$113,0)-1,0)</f>
        <v>282.7</v>
      </c>
      <c r="H35" s="28">
        <f ca="1">338*OFFSET(H$112,MATCH($N$1,$C$112:$C$113,0)-1,0)</f>
        <v>338</v>
      </c>
      <c r="I35" s="28">
        <f ca="1">317.2*OFFSET(I$112,MATCH($N$1,$C$112:$C$113,0)-1,0)</f>
        <v>317.2</v>
      </c>
      <c r="J35" s="28">
        <f ca="1">324.9*OFFSET(J$112,MATCH($N$1,$C$112:$C$113,0)-1,0)</f>
        <v>324.89999999999998</v>
      </c>
      <c r="K35" s="28">
        <f ca="1">286*OFFSET(K$112,MATCH($N$1,$C$112:$C$113,0)-1,0)</f>
        <v>286</v>
      </c>
      <c r="L35" s="28">
        <f ca="1">317.7*OFFSET(L$112,MATCH($N$1,$C$112:$C$113,0)-1,0)</f>
        <v>317.7</v>
      </c>
      <c r="M35" s="28">
        <f ca="1">320.9*OFFSET(M$112,MATCH($N$1,$C$112:$C$113,0)-1,0)</f>
        <v>320.89999999999998</v>
      </c>
      <c r="N35" s="28">
        <v>285.2</v>
      </c>
      <c r="O35" s="23">
        <f t="shared" ca="1" si="0"/>
        <v>2.5161754133716751E-2</v>
      </c>
      <c r="P35" s="23">
        <f t="shared" ca="1" si="1"/>
        <v>-0.12219144352108338</v>
      </c>
    </row>
    <row r="36" spans="1:16" ht="18" customHeight="1" x14ac:dyDescent="0.2">
      <c r="A36" s="231"/>
      <c r="B36" s="41" t="s">
        <v>74</v>
      </c>
      <c r="C36" s="42"/>
      <c r="D36" s="43">
        <f ca="1">106.4*OFFSET(D$112,MATCH($N$1,$C$112:$C$113,0)-1,0)</f>
        <v>106.4</v>
      </c>
      <c r="E36" s="43">
        <f ca="1">71.5*OFFSET(E$112,MATCH($N$1,$C$112:$C$113,0)-1,0)</f>
        <v>71.5</v>
      </c>
      <c r="F36" s="43">
        <f ca="1">86.9*OFFSET(F$112,MATCH($N$1,$C$112:$C$113,0)-1,0)</f>
        <v>86.9</v>
      </c>
      <c r="G36" s="43">
        <f ca="1">146.8*OFFSET(G$112,MATCH($N$1,$C$112:$C$113,0)-1,0)</f>
        <v>146.80000000000001</v>
      </c>
      <c r="H36" s="43">
        <f ca="1">188.7*OFFSET(H$112,MATCH($N$1,$C$112:$C$113,0)-1,0)</f>
        <v>188.7</v>
      </c>
      <c r="I36" s="43">
        <f ca="1">130.1*OFFSET(I$112,MATCH($N$1,$C$112:$C$113,0)-1,0)</f>
        <v>130.1</v>
      </c>
      <c r="J36" s="43">
        <f ca="1">175.4*OFFSET(J$112,MATCH($N$1,$C$112:$C$113,0)-1,0)</f>
        <v>175.4</v>
      </c>
      <c r="K36" s="43">
        <f ca="1">147.4*OFFSET(K$112,MATCH($N$1,$C$112:$C$113,0)-1,0)</f>
        <v>147.4</v>
      </c>
      <c r="L36" s="43">
        <f ca="1">185.5*OFFSET(L$112,MATCH($N$1,$C$112:$C$113,0)-1,0)</f>
        <v>185.5</v>
      </c>
      <c r="M36" s="43">
        <f ca="1">156*OFFSET(M$112,MATCH($N$1,$C$112:$C$113,0)-1,0)</f>
        <v>156</v>
      </c>
      <c r="N36" s="43">
        <v>117.70000000000002</v>
      </c>
      <c r="O36" s="23">
        <f t="shared" ca="1" si="0"/>
        <v>0.10620300751879709</v>
      </c>
      <c r="P36" s="23">
        <f t="shared" ca="1" si="1"/>
        <v>-0.32896237172177872</v>
      </c>
    </row>
    <row r="37" spans="1:16" ht="18" customHeight="1" x14ac:dyDescent="0.2">
      <c r="A37" s="231"/>
      <c r="B37" s="41" t="s">
        <v>75</v>
      </c>
      <c r="C37" s="42"/>
      <c r="D37" s="43">
        <f ca="1">26.6*OFFSET(D$112,MATCH($N$1,$C$112:$C$113,0)-1,0)</f>
        <v>26.6</v>
      </c>
      <c r="E37" s="43">
        <f ca="1">-1.3*OFFSET(E$112,MATCH($N$1,$C$112:$C$113,0)-1,0)</f>
        <v>-1.3</v>
      </c>
      <c r="F37" s="43">
        <f ca="1">28.7*OFFSET(F$112,MATCH($N$1,$C$112:$C$113,0)-1,0)</f>
        <v>28.7</v>
      </c>
      <c r="G37" s="43">
        <f ca="1">78.3*OFFSET(G$112,MATCH($N$1,$C$112:$C$113,0)-1,0)</f>
        <v>78.3</v>
      </c>
      <c r="H37" s="43">
        <f ca="1">93*OFFSET(H$112,MATCH($N$1,$C$112:$C$113,0)-1,0)</f>
        <v>93</v>
      </c>
      <c r="I37" s="43">
        <f ca="1">46.9*OFFSET(I$112,MATCH($N$1,$C$112:$C$113,0)-1,0)</f>
        <v>46.9</v>
      </c>
      <c r="J37" s="43">
        <f ca="1">77.1*OFFSET(J$112,MATCH($N$1,$C$112:$C$113,0)-1,0)</f>
        <v>77.099999999999994</v>
      </c>
      <c r="K37" s="43">
        <f ca="1">52.3*OFFSET(K$112,MATCH($N$1,$C$112:$C$113,0)-1,0)</f>
        <v>52.3</v>
      </c>
      <c r="L37" s="43">
        <f ca="1">65.9*OFFSET(L$112,MATCH($N$1,$C$112:$C$113,0)-1,0)</f>
        <v>65.900000000000006</v>
      </c>
      <c r="M37" s="43">
        <f ca="1">46.5*OFFSET(M$112,MATCH($N$1,$C$112:$C$113,0)-1,0)</f>
        <v>46.5</v>
      </c>
      <c r="N37" s="43">
        <v>31.6</v>
      </c>
      <c r="O37" s="23">
        <f t="shared" ca="1" si="0"/>
        <v>0.18796992481203006</v>
      </c>
      <c r="P37" s="23">
        <f t="shared" ca="1" si="1"/>
        <v>-0.59014267185473401</v>
      </c>
    </row>
    <row r="38" spans="1:16" ht="18" customHeight="1" x14ac:dyDescent="0.2">
      <c r="A38" s="231"/>
      <c r="B38" s="33" t="s">
        <v>76</v>
      </c>
      <c r="C38" s="27"/>
      <c r="D38" s="28">
        <f ca="1">6.5*OFFSET(D$112,MATCH($N$1,$C$112:$C$113,0)-1,0)</f>
        <v>6.5</v>
      </c>
      <c r="E38" s="28">
        <f ca="1">28.8*OFFSET(E$112,MATCH($N$1,$C$112:$C$113,0)-1,0)</f>
        <v>28.8</v>
      </c>
      <c r="F38" s="28">
        <f ca="1">8.7*OFFSET(F$112,MATCH($N$1,$C$112:$C$113,0)-1,0)</f>
        <v>8.6999999999999993</v>
      </c>
      <c r="G38" s="28">
        <f ca="1">24.7*OFFSET(G$112,MATCH($N$1,$C$112:$C$113,0)-1,0)</f>
        <v>24.7</v>
      </c>
      <c r="H38" s="28">
        <f ca="1">17.2*OFFSET(H$112,MATCH($N$1,$C$112:$C$113,0)-1,0)</f>
        <v>17.2</v>
      </c>
      <c r="I38" s="28">
        <f ca="1">18.2*OFFSET(I$112,MATCH($N$1,$C$112:$C$113,0)-1,0)</f>
        <v>18.2</v>
      </c>
      <c r="J38" s="28">
        <f ca="1">18.7*OFFSET(J$112,MATCH($N$1,$C$112:$C$113,0)-1,0)</f>
        <v>18.7</v>
      </c>
      <c r="K38" s="28">
        <f ca="1">18.7*OFFSET(K$112,MATCH($N$1,$C$112:$C$113,0)-1,0)</f>
        <v>18.7</v>
      </c>
      <c r="L38" s="28">
        <f ca="1">22.7*OFFSET(L$112,MATCH($N$1,$C$112:$C$113,0)-1,0)</f>
        <v>22.7</v>
      </c>
      <c r="M38" s="28">
        <f ca="1">18.4*OFFSET(M$112,MATCH($N$1,$C$112:$C$113,0)-1,0)</f>
        <v>18.399999999999999</v>
      </c>
      <c r="N38" s="28"/>
      <c r="O38" s="23" t="str">
        <f t="shared" si="0"/>
        <v/>
      </c>
      <c r="P38" s="23" t="str">
        <f t="shared" si="1"/>
        <v/>
      </c>
    </row>
    <row r="39" spans="1:16" ht="18" customHeight="1" x14ac:dyDescent="0.2">
      <c r="A39" s="231"/>
      <c r="B39" s="33" t="s">
        <v>77</v>
      </c>
      <c r="C39" s="27"/>
      <c r="D39" s="28">
        <f ca="1">7.2*OFFSET(D$112,MATCH($N$1,$C$112:$C$113,0)-1,0)</f>
        <v>7.2</v>
      </c>
      <c r="E39" s="28">
        <f ca="1">4.9*OFFSET(E$112,MATCH($N$1,$C$112:$C$113,0)-1,0)</f>
        <v>4.9000000000000004</v>
      </c>
      <c r="F39" s="28">
        <f ca="1">2.4*OFFSET(F$112,MATCH($N$1,$C$112:$C$113,0)-1,0)</f>
        <v>2.4</v>
      </c>
      <c r="G39" s="28">
        <f ca="1">3.8*OFFSET(G$112,MATCH($N$1,$C$112:$C$113,0)-1,0)</f>
        <v>3.8</v>
      </c>
      <c r="H39" s="28">
        <f ca="1">8.3*OFFSET(H$112,MATCH($N$1,$C$112:$C$113,0)-1,0)</f>
        <v>8.3000000000000007</v>
      </c>
      <c r="I39" s="28">
        <f ca="1">4.3*OFFSET(I$112,MATCH($N$1,$C$112:$C$113,0)-1,0)</f>
        <v>4.3</v>
      </c>
      <c r="J39" s="28">
        <f ca="1">4.5*OFFSET(J$112,MATCH($N$1,$C$112:$C$113,0)-1,0)</f>
        <v>4.5</v>
      </c>
      <c r="K39" s="28">
        <f ca="1">4*OFFSET(K$112,MATCH($N$1,$C$112:$C$113,0)-1,0)</f>
        <v>4</v>
      </c>
      <c r="L39" s="28">
        <f ca="1">3.9*OFFSET(L$112,MATCH($N$1,$C$112:$C$113,0)-1,0)</f>
        <v>3.9</v>
      </c>
      <c r="M39" s="28">
        <f ca="1">2.1*OFFSET(M$112,MATCH($N$1,$C$112:$C$113,0)-1,0)</f>
        <v>2.1</v>
      </c>
      <c r="N39" s="28"/>
      <c r="O39" s="23" t="str">
        <f t="shared" si="0"/>
        <v/>
      </c>
      <c r="P39" s="23" t="str">
        <f t="shared" si="1"/>
        <v/>
      </c>
    </row>
    <row r="40" spans="1:16" ht="18" customHeight="1" x14ac:dyDescent="0.2">
      <c r="A40" s="231"/>
      <c r="B40" s="33" t="s">
        <v>78</v>
      </c>
      <c r="C40" s="27"/>
      <c r="D40" s="28"/>
      <c r="E40" s="28">
        <f ca="1">0.1*OFFSET(E$112,MATCH($N$1,$C$112:$C$113,0)-1,0)</f>
        <v>0.1</v>
      </c>
      <c r="F40" s="28">
        <f ca="1">0.7*OFFSET(F$112,MATCH($N$1,$C$112:$C$113,0)-1,0)</f>
        <v>0.7</v>
      </c>
      <c r="G40" s="28">
        <f ca="1">0.1*OFFSET(G$112,MATCH($N$1,$C$112:$C$113,0)-1,0)</f>
        <v>0.1</v>
      </c>
      <c r="H40" s="28">
        <f ca="1">0.6*OFFSET(H$112,MATCH($N$1,$C$112:$C$113,0)-1,0)</f>
        <v>0.6</v>
      </c>
      <c r="I40" s="28">
        <f ca="1">3.1*OFFSET(I$112,MATCH($N$1,$C$112:$C$113,0)-1,0)</f>
        <v>3.1</v>
      </c>
      <c r="J40" s="28">
        <f ca="1">3.8*OFFSET(J$112,MATCH($N$1,$C$112:$C$113,0)-1,0)</f>
        <v>3.8</v>
      </c>
      <c r="K40" s="28">
        <f ca="1">3.3*OFFSET(K$112,MATCH($N$1,$C$112:$C$113,0)-1,0)</f>
        <v>3.3</v>
      </c>
      <c r="L40" s="28">
        <f ca="1">1.6*OFFSET(L$112,MATCH($N$1,$C$112:$C$113,0)-1,0)</f>
        <v>1.6</v>
      </c>
      <c r="M40" s="28">
        <f ca="1">1.3*OFFSET(M$112,MATCH($N$1,$C$112:$C$113,0)-1,0)</f>
        <v>1.3</v>
      </c>
      <c r="N40" s="28"/>
      <c r="O40" s="23" t="str">
        <f t="shared" si="0"/>
        <v/>
      </c>
      <c r="P40" s="23" t="str">
        <f t="shared" si="1"/>
        <v/>
      </c>
    </row>
    <row r="41" spans="1:16" ht="18" customHeight="1" thickBot="1" x14ac:dyDescent="0.25">
      <c r="A41" s="232"/>
      <c r="B41" s="44" t="s">
        <v>79</v>
      </c>
      <c r="C41" s="45"/>
      <c r="D41" s="46">
        <f ca="1">12.8*OFFSET(D$112,MATCH($N$1,$C$112:$C$113,0)-1,0)</f>
        <v>12.8</v>
      </c>
      <c r="E41" s="46">
        <f ca="1">-35*OFFSET(E$112,MATCH($N$1,$C$112:$C$113,0)-1,0)</f>
        <v>-35</v>
      </c>
      <c r="F41" s="46">
        <f ca="1">17*OFFSET(F$112,MATCH($N$1,$C$112:$C$113,0)-1,0)</f>
        <v>17</v>
      </c>
      <c r="G41" s="46">
        <f ca="1">49.6*OFFSET(G$112,MATCH($N$1,$C$112:$C$113,0)-1,0)</f>
        <v>49.6</v>
      </c>
      <c r="H41" s="46">
        <f ca="1">66.9*OFFSET(H$112,MATCH($N$1,$C$112:$C$113,0)-1,0)</f>
        <v>66.900000000000006</v>
      </c>
      <c r="I41" s="46">
        <f ca="1">21.3*OFFSET(I$112,MATCH($N$1,$C$112:$C$113,0)-1,0)</f>
        <v>21.3</v>
      </c>
      <c r="J41" s="46">
        <f ca="1">50.1*OFFSET(J$112,MATCH($N$1,$C$112:$C$113,0)-1,0)</f>
        <v>50.1</v>
      </c>
      <c r="K41" s="46">
        <f ca="1">26.3*OFFSET(K$112,MATCH($N$1,$C$112:$C$113,0)-1,0)</f>
        <v>26.3</v>
      </c>
      <c r="L41" s="46">
        <f ca="1">37.8*OFFSET(L$112,MATCH($N$1,$C$112:$C$113,0)-1,0)</f>
        <v>37.799999999999997</v>
      </c>
      <c r="M41" s="46">
        <f ca="1">24.6*OFFSET(M$112,MATCH($N$1,$C$112:$C$113,0)-1,0)</f>
        <v>24.6</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174</v>
      </c>
      <c r="F46" s="95" t="s">
        <v>18</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WOS nephrops over 250kW</v>
      </c>
      <c r="C48" s="97"/>
      <c r="D48" s="97"/>
      <c r="E48" s="97"/>
      <c r="F48" s="97"/>
      <c r="G48" s="97"/>
      <c r="K48" s="97" t="str">
        <f>$B24&amp;CHAR(10)&amp;$A$1</f>
        <v>Operating profit per kW day at sea (£)
WOS nephrops over 250kW</v>
      </c>
    </row>
    <row r="49" spans="1:11" s="83" customFormat="1" x14ac:dyDescent="0.2">
      <c r="A49" s="97" t="str">
        <f>$B22&amp;CHAR(10)&amp;$A$1</f>
        <v>Fishing income per kW day at sea (£)
WOS nephrops over 250kW</v>
      </c>
    </row>
    <row r="50" spans="1:11" s="83" customFormat="1" x14ac:dyDescent="0.2">
      <c r="A50" s="97" t="str">
        <f>$B20&amp;CHAR(10)&amp;$A$1</f>
        <v>Average price per tonne landed (£)
WOS nephrops over 250kW</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WOS nephrops over 250kW</v>
      </c>
      <c r="F62" s="97" t="str">
        <f>$B20&amp;CHAR(10)&amp;$A$1</f>
        <v>Average price per tonne landed (£)
WOS nephrops over 250kW</v>
      </c>
      <c r="K62" s="97" t="str">
        <f>"Average annual operating profit per vessel (£'000)"&amp;CHAR(10)&amp;$A$1</f>
        <v>Average annual operating profit per vessel (£'000)
WOS nephrops over 250kW</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WOS nephrops over 250kW</v>
      </c>
      <c r="F76" s="97" t="str">
        <f>"Top 5 landed species by value in "&amp;A77&amp;CHAR(10)&amp;A1</f>
        <v>Top 5 landed species by value in 2017
WOS nephrops over 250kW</v>
      </c>
    </row>
    <row r="77" spans="1:9" s="97" customFormat="1" x14ac:dyDescent="0.2">
      <c r="A77" s="97">
        <v>2017</v>
      </c>
      <c r="B77" s="97" t="s">
        <v>510</v>
      </c>
      <c r="C77" s="98">
        <v>0.66503156237091909</v>
      </c>
      <c r="D77" s="99">
        <v>12153634</v>
      </c>
      <c r="G77" s="97" t="s">
        <v>511</v>
      </c>
      <c r="H77" s="98">
        <v>0.88825370800076697</v>
      </c>
      <c r="I77" s="99">
        <v>12153634</v>
      </c>
    </row>
    <row r="78" spans="1:9" s="97" customFormat="1" x14ac:dyDescent="0.2">
      <c r="B78" s="97" t="s">
        <v>512</v>
      </c>
      <c r="C78" s="98">
        <v>0.21275540514471056</v>
      </c>
      <c r="D78" s="99">
        <v>3050596</v>
      </c>
      <c r="G78" s="97" t="s">
        <v>513</v>
      </c>
      <c r="H78" s="98">
        <v>2.3892472815617672E-2</v>
      </c>
      <c r="I78" s="99">
        <v>553960</v>
      </c>
    </row>
    <row r="79" spans="1:9" s="97" customFormat="1" x14ac:dyDescent="0.2">
      <c r="B79" s="97" t="s">
        <v>514</v>
      </c>
      <c r="C79" s="98">
        <v>3.6043797559769837E-2</v>
      </c>
      <c r="D79" s="99">
        <v>3689192</v>
      </c>
      <c r="G79" s="97" t="s">
        <v>515</v>
      </c>
      <c r="H79" s="98">
        <v>2.1193190314425799E-2</v>
      </c>
      <c r="I79" s="99">
        <v>3050596</v>
      </c>
    </row>
    <row r="80" spans="1:9" s="97" customFormat="1" x14ac:dyDescent="0.2">
      <c r="B80" s="97" t="s">
        <v>516</v>
      </c>
      <c r="C80" s="98">
        <v>1.9845887025543296E-2</v>
      </c>
      <c r="D80" s="99">
        <v>553960</v>
      </c>
      <c r="G80" s="97" t="s">
        <v>517</v>
      </c>
      <c r="H80" s="98">
        <v>1.664083431996383E-2</v>
      </c>
      <c r="I80" s="99">
        <v>1692097</v>
      </c>
    </row>
    <row r="81" spans="1:18" s="97" customFormat="1" x14ac:dyDescent="0.2">
      <c r="B81" s="97" t="s">
        <v>518</v>
      </c>
      <c r="C81" s="98">
        <v>1.18154159333307E-2</v>
      </c>
      <c r="D81" s="99">
        <v>11115023</v>
      </c>
      <c r="G81" s="97" t="s">
        <v>519</v>
      </c>
      <c r="H81" s="98">
        <v>1.6492427427682772E-2</v>
      </c>
      <c r="I81" s="99">
        <v>3689192</v>
      </c>
    </row>
    <row r="82" spans="1:18" s="97" customFormat="1" x14ac:dyDescent="0.2">
      <c r="B82" s="97" t="s">
        <v>520</v>
      </c>
      <c r="C82" s="98">
        <v>5.4507931965726564E-2</v>
      </c>
      <c r="D82" s="99">
        <v>5920853</v>
      </c>
      <c r="G82" s="97" t="s">
        <v>521</v>
      </c>
      <c r="H82" s="98">
        <v>3.3527367121542917E-2</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93</v>
      </c>
      <c r="D92" s="102">
        <v>0.90225419373692517</v>
      </c>
      <c r="E92" s="102">
        <v>0.90013991240851732</v>
      </c>
      <c r="F92" s="102">
        <v>0.93359581975012895</v>
      </c>
      <c r="G92" s="102">
        <v>0.91943293830689354</v>
      </c>
      <c r="H92" s="102">
        <v>0.93151145129164914</v>
      </c>
      <c r="I92" s="102">
        <v>0.91807383408086729</v>
      </c>
      <c r="J92" s="102">
        <v>0.9174952671797485</v>
      </c>
      <c r="K92" s="102">
        <v>0.90393682729957858</v>
      </c>
      <c r="L92" s="102">
        <v>0.88825370800076697</v>
      </c>
      <c r="M92" s="102">
        <v>0.92009847534130862</v>
      </c>
      <c r="O92" s="97">
        <v>12153634</v>
      </c>
    </row>
    <row r="93" spans="1:18" s="97" customFormat="1" hidden="1" x14ac:dyDescent="0.2">
      <c r="B93" s="97">
        <v>2</v>
      </c>
      <c r="C93" s="97" t="s">
        <v>121</v>
      </c>
      <c r="D93" s="102">
        <v>1.3607384433903427E-2</v>
      </c>
      <c r="E93" s="102">
        <v>1.581195403676618E-2</v>
      </c>
      <c r="F93" s="102">
        <v>1.3342215442388613E-2</v>
      </c>
      <c r="G93" s="102">
        <v>1.2745998916651595E-2</v>
      </c>
      <c r="H93" s="102">
        <v>1.5019061626402199E-2</v>
      </c>
      <c r="I93" s="102">
        <v>1.5684346272758675E-2</v>
      </c>
      <c r="J93" s="102">
        <v>3.0322621399217063E-2</v>
      </c>
      <c r="K93" s="102">
        <v>2.9032363209429996E-2</v>
      </c>
      <c r="L93" s="102">
        <v>2.3892472815617672E-2</v>
      </c>
      <c r="M93" s="102">
        <v>3.0635476701926023E-2</v>
      </c>
      <c r="O93" s="97">
        <v>553960</v>
      </c>
    </row>
    <row r="94" spans="1:18" s="97" customFormat="1" hidden="1" x14ac:dyDescent="0.2">
      <c r="B94" s="97">
        <v>3</v>
      </c>
      <c r="C94" s="97" t="s">
        <v>190</v>
      </c>
      <c r="D94" s="102"/>
      <c r="E94" s="102">
        <v>1.2865579029658162E-2</v>
      </c>
      <c r="F94" s="102">
        <v>1.1553252102466572E-2</v>
      </c>
      <c r="G94" s="102">
        <v>2.8373222509970788E-2</v>
      </c>
      <c r="H94" s="102">
        <v>1.8500513439783012E-2</v>
      </c>
      <c r="I94" s="102">
        <v>2.6568068637269692E-2</v>
      </c>
      <c r="J94" s="102">
        <v>1.9552337169447306E-2</v>
      </c>
      <c r="K94" s="102">
        <v>2.7197899656840215E-2</v>
      </c>
      <c r="L94" s="102">
        <v>2.1193190314425799E-2</v>
      </c>
      <c r="M94" s="102"/>
      <c r="O94" s="97">
        <v>3050596</v>
      </c>
    </row>
    <row r="95" spans="1:18" s="97" customFormat="1" hidden="1" x14ac:dyDescent="0.2">
      <c r="B95" s="97">
        <v>4</v>
      </c>
      <c r="C95" s="97" t="s">
        <v>137</v>
      </c>
      <c r="D95" s="102">
        <v>2.624207047830162E-2</v>
      </c>
      <c r="E95" s="102">
        <v>2.690566092881105E-2</v>
      </c>
      <c r="F95" s="102"/>
      <c r="G95" s="102"/>
      <c r="H95" s="102"/>
      <c r="I95" s="102">
        <v>8.671942962357633E-3</v>
      </c>
      <c r="J95" s="102"/>
      <c r="K95" s="102"/>
      <c r="L95" s="102">
        <v>1.664083431996383E-2</v>
      </c>
      <c r="M95" s="102">
        <v>1.5018235952309248E-2</v>
      </c>
      <c r="O95" s="97">
        <v>1692097</v>
      </c>
    </row>
    <row r="96" spans="1:18" s="97" customFormat="1" hidden="1" x14ac:dyDescent="0.2">
      <c r="B96" s="97">
        <v>5</v>
      </c>
      <c r="C96" s="97" t="s">
        <v>16</v>
      </c>
      <c r="D96" s="102"/>
      <c r="E96" s="102">
        <v>7.0792389980641789E-3</v>
      </c>
      <c r="F96" s="102"/>
      <c r="G96" s="102">
        <v>1.1051857303685169E-2</v>
      </c>
      <c r="H96" s="102">
        <v>1.1524149618438055E-2</v>
      </c>
      <c r="I96" s="102">
        <v>9.7292073950730786E-3</v>
      </c>
      <c r="J96" s="102">
        <v>9.0728109939999333E-3</v>
      </c>
      <c r="K96" s="102">
        <v>1.2197501906653993E-2</v>
      </c>
      <c r="L96" s="102">
        <v>1.6492427427682772E-2</v>
      </c>
      <c r="M96" s="102">
        <v>1.2082600247038309E-2</v>
      </c>
      <c r="O96" s="97">
        <v>3689192</v>
      </c>
    </row>
    <row r="97" spans="1:15" s="97" customFormat="1" hidden="1" x14ac:dyDescent="0.2">
      <c r="B97" s="97">
        <v>6</v>
      </c>
      <c r="C97" s="97" t="s">
        <v>100</v>
      </c>
      <c r="D97" s="102"/>
      <c r="E97" s="102"/>
      <c r="F97" s="102"/>
      <c r="G97" s="102"/>
      <c r="H97" s="102"/>
      <c r="I97" s="102"/>
      <c r="J97" s="102"/>
      <c r="K97" s="102"/>
      <c r="L97" s="102"/>
      <c r="M97" s="102">
        <v>4.1382454845846853E-3</v>
      </c>
      <c r="O97" s="97">
        <v>11115023</v>
      </c>
    </row>
    <row r="98" spans="1:15" s="97" customFormat="1" hidden="1" x14ac:dyDescent="0.2">
      <c r="B98" s="97">
        <v>7</v>
      </c>
      <c r="C98" s="97" t="s">
        <v>97</v>
      </c>
      <c r="D98" s="102"/>
      <c r="E98" s="102"/>
      <c r="F98" s="102"/>
      <c r="G98" s="102"/>
      <c r="H98" s="102"/>
      <c r="I98" s="102"/>
      <c r="J98" s="102"/>
      <c r="K98" s="102">
        <v>3.571773980461687E-3</v>
      </c>
      <c r="L98" s="102"/>
      <c r="M98" s="102"/>
      <c r="O98" s="97">
        <v>2480382</v>
      </c>
    </row>
    <row r="99" spans="1:15" s="97" customFormat="1" hidden="1" x14ac:dyDescent="0.2">
      <c r="B99" s="97">
        <v>8</v>
      </c>
      <c r="C99" s="97" t="s">
        <v>94</v>
      </c>
      <c r="D99" s="102"/>
      <c r="E99" s="102"/>
      <c r="F99" s="102"/>
      <c r="G99" s="102"/>
      <c r="H99" s="102"/>
      <c r="I99" s="102"/>
      <c r="J99" s="102">
        <v>3.7888634672335413E-3</v>
      </c>
      <c r="K99" s="102"/>
      <c r="L99" s="102"/>
      <c r="M99" s="102"/>
      <c r="O99" s="97">
        <v>7434864</v>
      </c>
    </row>
    <row r="100" spans="1:15" s="97" customFormat="1" hidden="1" x14ac:dyDescent="0.2">
      <c r="B100" s="97">
        <v>9</v>
      </c>
      <c r="C100" s="97" t="s">
        <v>191</v>
      </c>
      <c r="D100" s="102"/>
      <c r="E100" s="102"/>
      <c r="F100" s="102"/>
      <c r="G100" s="102"/>
      <c r="H100" s="102">
        <v>3.0757763262472238E-3</v>
      </c>
      <c r="I100" s="102"/>
      <c r="J100" s="102"/>
      <c r="K100" s="102"/>
      <c r="L100" s="102"/>
      <c r="M100" s="102"/>
      <c r="O100" s="97">
        <v>8497745</v>
      </c>
    </row>
    <row r="101" spans="1:15" s="97" customFormat="1" hidden="1" x14ac:dyDescent="0.2">
      <c r="B101" s="97">
        <v>10</v>
      </c>
      <c r="C101" s="97" t="s">
        <v>247</v>
      </c>
      <c r="D101" s="102">
        <v>1.1844950231114374E-2</v>
      </c>
      <c r="E101" s="102"/>
      <c r="F101" s="102">
        <v>8.1102367305195561E-3</v>
      </c>
      <c r="G101" s="102">
        <v>9.4313789906088109E-3</v>
      </c>
      <c r="H101" s="102"/>
      <c r="I101" s="102"/>
      <c r="J101" s="102"/>
      <c r="K101" s="102"/>
      <c r="L101" s="102"/>
      <c r="M101" s="102"/>
      <c r="O101" s="97">
        <v>14393110</v>
      </c>
    </row>
    <row r="102" spans="1:15" s="97" customFormat="1" hidden="1" x14ac:dyDescent="0.2">
      <c r="B102" s="97">
        <v>11</v>
      </c>
      <c r="C102" s="97" t="s">
        <v>168</v>
      </c>
      <c r="D102" s="102"/>
      <c r="E102" s="102"/>
      <c r="F102" s="102">
        <v>5.7296097088858269E-3</v>
      </c>
      <c r="G102" s="102"/>
      <c r="H102" s="102"/>
      <c r="I102" s="102"/>
      <c r="J102" s="102"/>
      <c r="K102" s="102"/>
      <c r="L102" s="102"/>
      <c r="M102" s="102"/>
      <c r="O102" s="97">
        <v>2887140</v>
      </c>
    </row>
    <row r="103" spans="1:15" s="97" customFormat="1" hidden="1" x14ac:dyDescent="0.2">
      <c r="B103" s="97">
        <v>12</v>
      </c>
      <c r="C103" s="97" t="s">
        <v>379</v>
      </c>
      <c r="D103" s="102">
        <v>8.1242326628581212E-3</v>
      </c>
      <c r="E103" s="102"/>
      <c r="F103" s="102"/>
      <c r="G103" s="102"/>
      <c r="H103" s="102"/>
      <c r="I103" s="102"/>
      <c r="J103" s="102"/>
      <c r="K103" s="102"/>
      <c r="L103" s="102"/>
      <c r="M103" s="102"/>
      <c r="O103" s="97">
        <v>15057844</v>
      </c>
    </row>
    <row r="104" spans="1:15" s="97" customFormat="1" hidden="1" x14ac:dyDescent="0.2">
      <c r="B104" s="97">
        <v>13</v>
      </c>
      <c r="C104" s="97" t="s">
        <v>101</v>
      </c>
      <c r="D104" s="102">
        <v>3.792716845689726E-2</v>
      </c>
      <c r="E104" s="102">
        <v>3.7197654598183111E-2</v>
      </c>
      <c r="F104" s="102">
        <v>2.7668866265610437E-2</v>
      </c>
      <c r="G104" s="102">
        <v>1.8964603972190113E-2</v>
      </c>
      <c r="H104" s="102">
        <v>2.0369047697480359E-2</v>
      </c>
      <c r="I104" s="102">
        <v>2.1272600651673659E-2</v>
      </c>
      <c r="J104" s="102">
        <v>1.9768099790353707E-2</v>
      </c>
      <c r="K104" s="102">
        <v>2.40636339470355E-2</v>
      </c>
      <c r="L104" s="102">
        <v>3.352736712154291E-2</v>
      </c>
      <c r="M104" s="102">
        <v>1.8026966272833067E-2</v>
      </c>
      <c r="O104" s="97">
        <v>5920853</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14</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11</v>
      </c>
      <c r="D120" s="56">
        <v>21</v>
      </c>
      <c r="E120" s="56">
        <v>11</v>
      </c>
      <c r="F120" s="57">
        <v>43</v>
      </c>
    </row>
    <row r="121" spans="1:14" ht="18" customHeight="1" x14ac:dyDescent="0.2">
      <c r="A121" s="225" t="s">
        <v>23</v>
      </c>
      <c r="B121" s="30" t="s">
        <v>58</v>
      </c>
      <c r="C121" s="58">
        <v>17.892726898193359</v>
      </c>
      <c r="D121" s="58">
        <v>17.859047753470286</v>
      </c>
      <c r="E121" s="58">
        <v>18.595455169677734</v>
      </c>
      <c r="F121" s="59">
        <v>18.056047439575195</v>
      </c>
    </row>
    <row r="122" spans="1:14" ht="18" customHeight="1" x14ac:dyDescent="0.2">
      <c r="A122" s="226"/>
      <c r="B122" s="33" t="s">
        <v>51</v>
      </c>
      <c r="C122" s="60">
        <v>339.54544067382812</v>
      </c>
      <c r="D122" s="60">
        <v>323.38094947451634</v>
      </c>
      <c r="E122" s="60">
        <v>314.3636474609375</v>
      </c>
      <c r="F122" s="61">
        <v>325.20928955078125</v>
      </c>
    </row>
    <row r="123" spans="1:14" ht="18" customHeight="1" x14ac:dyDescent="0.2">
      <c r="A123" s="226"/>
      <c r="B123" s="33" t="s">
        <v>52</v>
      </c>
      <c r="C123" s="60">
        <v>104.36363983154297</v>
      </c>
      <c r="D123" s="60">
        <v>94.714285714285708</v>
      </c>
      <c r="E123" s="60">
        <v>89.636360168457031</v>
      </c>
      <c r="F123" s="61">
        <v>95.883720397949219</v>
      </c>
    </row>
    <row r="124" spans="1:14" ht="18" customHeight="1" x14ac:dyDescent="0.2">
      <c r="A124" s="226"/>
      <c r="B124" s="33" t="s">
        <v>53</v>
      </c>
      <c r="C124" s="60">
        <v>266.57852172851563</v>
      </c>
      <c r="D124" s="60">
        <v>254.41875857398622</v>
      </c>
      <c r="E124" s="60">
        <v>253.40422058105469</v>
      </c>
      <c r="F124" s="61">
        <v>257.26986694335937</v>
      </c>
    </row>
    <row r="125" spans="1:14" ht="18" customHeight="1" x14ac:dyDescent="0.2">
      <c r="A125" s="226"/>
      <c r="B125" s="33" t="s">
        <v>54</v>
      </c>
      <c r="C125" s="28">
        <v>259.74603271484375</v>
      </c>
      <c r="D125" s="28">
        <v>116.24263908749535</v>
      </c>
      <c r="E125" s="28">
        <v>97.033164978027344</v>
      </c>
      <c r="F125" s="62">
        <v>148.03875732421875</v>
      </c>
    </row>
    <row r="126" spans="1:14" ht="18" customHeight="1" x14ac:dyDescent="0.2">
      <c r="A126" s="226"/>
      <c r="B126" s="33" t="s">
        <v>59</v>
      </c>
      <c r="C126" s="28">
        <f ca="1">486.13603125*OFFSET($L$112,MATCH($N$1,$C$112:$C$113,0)-1,0)</f>
        <v>486.13603124999997</v>
      </c>
      <c r="D126" s="28">
        <f ca="1">315.464227678571*OFFSET($L$112,MATCH($N$1,$C$112:$C$113,0)-1,0)</f>
        <v>315.46422767857098</v>
      </c>
      <c r="E126" s="28">
        <f ca="1">227.43271875*OFFSET($L$112,MATCH($N$1,$C$112:$C$113,0)-1,0)</f>
        <v>227.43271874999999</v>
      </c>
      <c r="F126" s="62">
        <f ca="1">336.60478125*OFFSET($L$112,MATCH($N$1,$C$112:$C$113,0)-1,0)</f>
        <v>336.60478124999997</v>
      </c>
    </row>
    <row r="127" spans="1:14" ht="18" customHeight="1" x14ac:dyDescent="0.2">
      <c r="A127" s="226"/>
      <c r="B127" s="33" t="s">
        <v>56</v>
      </c>
      <c r="C127" s="60">
        <v>191.09091186523438</v>
      </c>
      <c r="D127" s="60">
        <v>171.76190912155877</v>
      </c>
      <c r="E127" s="60">
        <v>179.09091186523437</v>
      </c>
      <c r="F127" s="61">
        <v>178.58139038085937</v>
      </c>
    </row>
    <row r="128" spans="1:14" ht="18" customHeight="1" x14ac:dyDescent="0.2">
      <c r="A128" s="226"/>
      <c r="B128" s="33" t="s">
        <v>60</v>
      </c>
      <c r="C128" s="60">
        <v>29.363636016845703</v>
      </c>
      <c r="D128" s="60">
        <v>36.619046710786364</v>
      </c>
      <c r="E128" s="60">
        <v>38.181819915771484</v>
      </c>
      <c r="F128" s="61">
        <v>35.162792205810547</v>
      </c>
    </row>
    <row r="129" spans="1:14" ht="18" customHeight="1" x14ac:dyDescent="0.2">
      <c r="A129" s="226"/>
      <c r="B129" s="33" t="s">
        <v>61</v>
      </c>
      <c r="C129" s="63">
        <v>1.3592798709869385</v>
      </c>
      <c r="D129" s="63">
        <v>0.67676611002983489</v>
      </c>
      <c r="E129" s="63">
        <v>0.5418095588684082</v>
      </c>
      <c r="F129" s="64">
        <v>0.82897078990936279</v>
      </c>
    </row>
    <row r="130" spans="1:14" ht="18" customHeight="1" x14ac:dyDescent="0.2">
      <c r="A130" s="227"/>
      <c r="B130" s="35" t="s">
        <v>24</v>
      </c>
      <c r="C130" s="37">
        <f ca="1">1871.5821226178*OFFSET($L$112,MATCH($N$1,$C$112:$C$113,0)-1,0)</f>
        <v>1871.5821226178</v>
      </c>
      <c r="D130" s="37">
        <f ca="1">2713.84261536873*OFFSET($L$112,MATCH($N$1,$C$112:$C$113,0)-1,0)</f>
        <v>2713.8426153687301</v>
      </c>
      <c r="E130" s="37">
        <f ca="1">2343.865819501*OFFSET($L$112,MATCH($N$1,$C$112:$C$113,0)-1,0)</f>
        <v>2343.8658195009998</v>
      </c>
      <c r="F130" s="65">
        <f ca="1">2274*OFFSET($L$112,MATCH($N$1,$C$112:$C$113,0)-1,0)</f>
        <v>2274</v>
      </c>
    </row>
    <row r="131" spans="1:14" ht="18" customHeight="1" x14ac:dyDescent="0.2">
      <c r="A131" s="239" t="s">
        <v>25</v>
      </c>
      <c r="B131" s="30" t="s">
        <v>62</v>
      </c>
      <c r="C131" s="66">
        <v>3.9942493113154507</v>
      </c>
      <c r="D131" s="66">
        <v>2.1043871617895835</v>
      </c>
      <c r="E131" s="66">
        <v>1.7251371928818104</v>
      </c>
      <c r="F131" s="67">
        <v>2.5523452675374929</v>
      </c>
    </row>
    <row r="132" spans="1:14" ht="18" customHeight="1" x14ac:dyDescent="0.2">
      <c r="A132" s="228"/>
      <c r="B132" s="33" t="s">
        <v>63</v>
      </c>
      <c r="C132" s="63">
        <f ca="1">7.47556560433646*OFFSET($L$112,MATCH($N$1,$C$112:$C$113,0)-1,0)</f>
        <v>7.4755656043364596</v>
      </c>
      <c r="D132" s="63">
        <f ca="1">5.71097555889942*OFFSET($L$112,MATCH($N$1,$C$112:$C$113,0)-1,0)</f>
        <v>5.7109755588994204</v>
      </c>
      <c r="E132" s="63">
        <f ca="1">4.04349010034558*OFFSET($L$112,MATCH($N$1,$C$112:$C$113,0)-1,0)</f>
        <v>4.0434901003455801</v>
      </c>
      <c r="F132" s="64">
        <f ca="1">5.80342361677862*OFFSET($L$112,MATCH($N$1,$C$112:$C$113,0)-1,0)</f>
        <v>5.8034236167786197</v>
      </c>
    </row>
    <row r="133" spans="1:14" ht="18" customHeight="1" x14ac:dyDescent="0.2">
      <c r="A133" s="228"/>
      <c r="B133" s="33" t="s">
        <v>11</v>
      </c>
      <c r="C133" s="63">
        <f ca="1">6.08224569429494*OFFSET($L$112,MATCH($N$1,$C$112:$C$113,0)-1,0)</f>
        <v>6.0822456942949401</v>
      </c>
      <c r="D133" s="63">
        <f ca="1">4.95079422747182*OFFSET($L$112,MATCH($N$1,$C$112:$C$113,0)-1,0)</f>
        <v>4.9507942274718202</v>
      </c>
      <c r="E133" s="63">
        <f ca="1">3.84812242940359*OFFSET($L$112,MATCH($N$1,$C$112:$C$113,0)-1,0)</f>
        <v>3.8481224294035901</v>
      </c>
      <c r="F133" s="64">
        <f ca="1">5.00176518833098*OFFSET($L$112,MATCH($N$1,$C$112:$C$113,0)-1,0)</f>
        <v>5.0017651883309799</v>
      </c>
    </row>
    <row r="134" spans="1:14" ht="18" customHeight="1" x14ac:dyDescent="0.2">
      <c r="A134" s="229"/>
      <c r="B134" s="35" t="s">
        <v>12</v>
      </c>
      <c r="C134" s="68">
        <f ca="1">1.39331991004152*OFFSET($L$112,MATCH($N$1,$C$112:$C$113,0)-1,0)</f>
        <v>1.3933199100415199</v>
      </c>
      <c r="D134" s="68">
        <f ca="1">0.760181331427592*OFFSET($L$112,MATCH($N$1,$C$112:$C$113,0)-1,0)</f>
        <v>0.76018133142759203</v>
      </c>
      <c r="E134" s="68">
        <f ca="1">0.195367670941992*OFFSET($L$112,MATCH($N$1,$C$112:$C$113,0)-1,0)</f>
        <v>0.19536767094199201</v>
      </c>
      <c r="F134" s="69">
        <f ca="1">0.801658428447643*OFFSET($L$112,MATCH($N$1,$C$112:$C$113,0)-1,0)</f>
        <v>0.80165842844764301</v>
      </c>
    </row>
    <row r="135" spans="1:14" ht="18" customHeight="1" x14ac:dyDescent="0.2">
      <c r="A135" s="240" t="s">
        <v>45</v>
      </c>
      <c r="B135" s="33" t="s">
        <v>102</v>
      </c>
      <c r="C135" s="70">
        <f ca="1">61.4809609375*OFFSET($L$112,MATCH($N$1,$C$112:$C$113,0)-1,0)</f>
        <v>61.480960937500001</v>
      </c>
      <c r="D135" s="70">
        <f ca="1">56.7024642857143*OFFSET($L$112,MATCH($N$1,$C$112:$C$113,0)-1,0)</f>
        <v>56.702464285714299</v>
      </c>
      <c r="E135" s="70">
        <f ca="1">60.16397265625*OFFSET($L$112,MATCH($N$1,$C$112:$C$113,0)-1,0)</f>
        <v>60.163972656250003</v>
      </c>
      <c r="F135" s="71">
        <f ca="1">58.81037109375*OFFSET($L$112,MATCH($N$1,$C$112:$C$113,0)-1,0)</f>
        <v>58.81037109375</v>
      </c>
    </row>
    <row r="136" spans="1:14" ht="18" customHeight="1" x14ac:dyDescent="0.2">
      <c r="A136" s="241"/>
      <c r="B136" s="33" t="s">
        <v>103</v>
      </c>
      <c r="C136" s="26">
        <v>146018.182784006</v>
      </c>
      <c r="D136" s="26">
        <v>134180.95611901316</v>
      </c>
      <c r="E136" s="26">
        <v>142072.73074978776</v>
      </c>
      <c r="F136" s="72">
        <v>139227.90697674418</v>
      </c>
    </row>
    <row r="137" spans="1:14" ht="18" customHeight="1" x14ac:dyDescent="0.2">
      <c r="A137" s="241"/>
      <c r="B137" s="33" t="s">
        <v>104</v>
      </c>
      <c r="C137" s="26">
        <v>764.12939453125</v>
      </c>
      <c r="D137" s="26">
        <v>781.20321790351693</v>
      </c>
      <c r="E137" s="26">
        <v>793.29949951171875</v>
      </c>
      <c r="F137" s="72">
        <v>779.63275146484375</v>
      </c>
    </row>
    <row r="138" spans="1:14" ht="18" customHeight="1" x14ac:dyDescent="0.2">
      <c r="A138" s="241"/>
      <c r="B138" s="33" t="s">
        <v>105</v>
      </c>
      <c r="C138" s="26">
        <f ca="1">321.736708132195*OFFSET($L$112,MATCH($N$1,$C$112:$C$113,0)-1,0)</f>
        <v>321.73670813219502</v>
      </c>
      <c r="D138" s="26">
        <f ca="1">330.122461817684*OFFSET($L$112,MATCH($N$1,$C$112:$C$113,0)-1,0)</f>
        <v>330.12246181768398</v>
      </c>
      <c r="E138" s="26">
        <f ca="1">335.940958866318*OFFSET($L$112,MATCH($N$1,$C$112:$C$113,0)-1,0)</f>
        <v>335.940958866318</v>
      </c>
      <c r="F138" s="72">
        <f ca="1">329.319706652107*OFFSET($L$112,MATCH($N$1,$C$112:$C$113,0)-1,0)</f>
        <v>329.31970665210702</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236.696438805652*OFFSET($L$112,MATCH($N$1,$C$112:$C$113,0)-1,0)</f>
        <v>236.69643880565201</v>
      </c>
      <c r="D139" s="26">
        <f ca="1">487.794020600604*OFFSET($L$112,MATCH($N$1,$C$112:$C$113,0)-1,0)</f>
        <v>487.79402060060397</v>
      </c>
      <c r="E139" s="26">
        <f ca="1">620.035146435487*OFFSET($L$112,MATCH($N$1,$C$112:$C$113,0)-1,0)</f>
        <v>620.03514643548704</v>
      </c>
      <c r="F139" s="72">
        <f ca="1">397.263339389899*OFFSET($L$112,MATCH($N$1,$C$112:$C$113,0)-1,0)</f>
        <v>397.26333938989899</v>
      </c>
      <c r="I139" s="49"/>
      <c r="K139" s="73" t="s">
        <v>107</v>
      </c>
      <c r="L139" s="74">
        <f t="shared" ref="L139:M141" ca="1" si="2">C140</f>
        <v>530.64587500000005</v>
      </c>
      <c r="M139" s="74">
        <f t="shared" ca="1" si="2"/>
        <v>344.34760714285699</v>
      </c>
      <c r="N139" s="74">
        <f ca="1">E140</f>
        <v>248.25607812499999</v>
      </c>
    </row>
    <row r="140" spans="1:14" ht="18" customHeight="1" x14ac:dyDescent="0.2">
      <c r="A140" s="230" t="s">
        <v>46</v>
      </c>
      <c r="B140" s="30" t="s">
        <v>108</v>
      </c>
      <c r="C140" s="75">
        <f ca="1">530.645875*OFFSET($L$112,MATCH($N$1,$C$112:$C$113,0)-1,0)</f>
        <v>530.64587500000005</v>
      </c>
      <c r="D140" s="75">
        <f ca="1">344.347607142857*OFFSET($L$112,MATCH($N$1,$C$112:$C$113,0)-1,0)</f>
        <v>344.34760714285699</v>
      </c>
      <c r="E140" s="75">
        <f ca="1">248.256078125*OFFSET($L$112,MATCH($N$1,$C$112:$C$113,0)-1,0)</f>
        <v>248.25607812499999</v>
      </c>
      <c r="F140" s="76">
        <f ca="1">367.42375*OFFSET($L$112,MATCH($N$1,$C$112:$C$113,0)-1,0)</f>
        <v>367.42374999999998</v>
      </c>
      <c r="I140" s="49"/>
      <c r="K140" s="73" t="s">
        <v>109</v>
      </c>
      <c r="L140" s="74">
        <f t="shared" ca="1" si="2"/>
        <v>440.03825000000001</v>
      </c>
      <c r="M140" s="74">
        <f t="shared" ca="1" si="2"/>
        <v>302.35652976190499</v>
      </c>
      <c r="N140" s="74">
        <f ca="1">E141</f>
        <v>237.2673125</v>
      </c>
    </row>
    <row r="141" spans="1:14" ht="18" customHeight="1" x14ac:dyDescent="0.2">
      <c r="A141" s="237"/>
      <c r="B141" s="33" t="s">
        <v>110</v>
      </c>
      <c r="C141" s="26">
        <f ca="1">440.03825*OFFSET($L$112,MATCH($N$1,$C$112:$C$113,0)-1,0)</f>
        <v>440.03825000000001</v>
      </c>
      <c r="D141" s="26">
        <f ca="1">302.356529761905*OFFSET($L$112,MATCH($N$1,$C$112:$C$113,0)-1,0)</f>
        <v>302.35652976190499</v>
      </c>
      <c r="E141" s="26">
        <f ca="1">237.2673125*OFFSET($L$112,MATCH($N$1,$C$112:$C$113,0)-1,0)</f>
        <v>237.2673125</v>
      </c>
      <c r="F141" s="72">
        <f ca="1">320.9266875*OFFSET($L$112,MATCH($N$1,$C$112:$C$113,0)-1,0)</f>
        <v>320.92668750000001</v>
      </c>
      <c r="I141" s="49"/>
      <c r="K141" s="73" t="s">
        <v>111</v>
      </c>
      <c r="L141" s="74">
        <f t="shared" ca="1" si="2"/>
        <v>90.607624999999999</v>
      </c>
      <c r="M141" s="74">
        <f t="shared" ca="1" si="2"/>
        <v>41.991077380952397</v>
      </c>
      <c r="N141" s="74">
        <f ca="1">E142</f>
        <v>10.988765624999999</v>
      </c>
    </row>
    <row r="142" spans="1:14" ht="18" customHeight="1" x14ac:dyDescent="0.2">
      <c r="A142" s="238"/>
      <c r="B142" s="35" t="s">
        <v>112</v>
      </c>
      <c r="C142" s="37">
        <f ca="1">90.607625*OFFSET($L$112,MATCH($N$1,$C$112:$C$113,0)-1,0)</f>
        <v>90.607624999999999</v>
      </c>
      <c r="D142" s="37">
        <f ca="1">41.9910773809524*OFFSET($L$112,MATCH($N$1,$C$112:$C$113,0)-1,0)</f>
        <v>41.991077380952397</v>
      </c>
      <c r="E142" s="37">
        <f ca="1">10.988765625*OFFSET($L$112,MATCH($N$1,$C$112:$C$113,0)-1,0)</f>
        <v>10.988765624999999</v>
      </c>
      <c r="F142" s="65">
        <f ca="1">46.497046875*OFFSET($L$112,MATCH($N$1,$C$112:$C$113,0)-1,0)</f>
        <v>46.497046875000002</v>
      </c>
      <c r="I142" s="49"/>
      <c r="K142" s="73" t="s">
        <v>113</v>
      </c>
      <c r="L142" s="77">
        <f ca="1">IFERROR(L140/L$139,"")</f>
        <v>0.82925029804481187</v>
      </c>
      <c r="M142" s="77">
        <f t="shared" ref="M142:N143" ca="1" si="3">IFERROR(M140/M$139,"")</f>
        <v>0.87805613714187514</v>
      </c>
      <c r="N142" s="77">
        <f t="shared" ca="1" si="3"/>
        <v>0.95573616683226981</v>
      </c>
    </row>
    <row r="143" spans="1:14" ht="18" customHeight="1" x14ac:dyDescent="0.2">
      <c r="I143" s="49"/>
      <c r="K143" s="73" t="s">
        <v>114</v>
      </c>
      <c r="L143" s="77">
        <f ca="1">IFERROR(L141/L$139,"")</f>
        <v>0.17074970195518807</v>
      </c>
      <c r="M143" s="77">
        <f t="shared" ca="1" si="3"/>
        <v>0.12194386285812599</v>
      </c>
      <c r="N143" s="77">
        <f t="shared" ca="1" si="3"/>
        <v>4.4263833167730221E-2</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10</v>
      </c>
      <c r="B161" s="53"/>
      <c r="C161" s="79" t="s">
        <v>41</v>
      </c>
      <c r="D161" s="79" t="s">
        <v>115</v>
      </c>
      <c r="E161" s="79" t="s">
        <v>43</v>
      </c>
      <c r="F161" s="79" t="s">
        <v>116</v>
      </c>
      <c r="G161" s="80">
        <v>10</v>
      </c>
      <c r="H161" s="79"/>
      <c r="I161" s="79" t="s">
        <v>41</v>
      </c>
      <c r="J161" s="79" t="s">
        <v>115</v>
      </c>
      <c r="K161" s="79" t="s">
        <v>43</v>
      </c>
      <c r="L161" s="53" t="s">
        <v>116</v>
      </c>
    </row>
    <row r="162" spans="1:14" s="49" customFormat="1" x14ac:dyDescent="0.2">
      <c r="A162" s="50">
        <v>1</v>
      </c>
      <c r="B162" s="53" t="s">
        <v>93</v>
      </c>
      <c r="C162" s="53">
        <v>0.46442434951304001</v>
      </c>
      <c r="D162" s="53">
        <v>0.94003563410840496</v>
      </c>
      <c r="E162" s="53">
        <v>0.94627367892320224</v>
      </c>
      <c r="F162" s="50">
        <v>12153634</v>
      </c>
      <c r="G162" s="50">
        <v>1</v>
      </c>
      <c r="H162" s="53" t="s">
        <v>93</v>
      </c>
      <c r="I162" s="53">
        <v>0.82749302273048031</v>
      </c>
      <c r="J162" s="53">
        <v>0.91697094268140489</v>
      </c>
      <c r="K162" s="53">
        <v>0.96343053421844216</v>
      </c>
      <c r="L162" s="50">
        <v>12153634</v>
      </c>
    </row>
    <row r="163" spans="1:14" s="49" customFormat="1" x14ac:dyDescent="0.2">
      <c r="A163" s="50">
        <v>2</v>
      </c>
      <c r="B163" s="53" t="s">
        <v>16</v>
      </c>
      <c r="C163" s="53">
        <v>2.2505305103759966E-2</v>
      </c>
      <c r="D163" s="53">
        <v>1.9122925105557159E-2</v>
      </c>
      <c r="E163" s="53">
        <v>2.1226014003896679E-2</v>
      </c>
      <c r="F163" s="50">
        <v>3689192</v>
      </c>
      <c r="G163" s="50">
        <v>2</v>
      </c>
      <c r="H163" s="53" t="s">
        <v>16</v>
      </c>
      <c r="I163" s="53">
        <v>0</v>
      </c>
      <c r="J163" s="53">
        <v>2.3463611686021683E-2</v>
      </c>
      <c r="K163" s="53">
        <v>7.1297480646980863E-3</v>
      </c>
      <c r="L163" s="50">
        <v>3689192</v>
      </c>
      <c r="N163" s="49" t="s">
        <v>117</v>
      </c>
    </row>
    <row r="164" spans="1:14" s="49" customFormat="1" x14ac:dyDescent="0.2">
      <c r="A164" s="50">
        <v>3</v>
      </c>
      <c r="B164" s="53" t="s">
        <v>121</v>
      </c>
      <c r="C164" s="53">
        <v>1.8203165981336426E-2</v>
      </c>
      <c r="D164" s="53">
        <v>1.56739021747688E-2</v>
      </c>
      <c r="E164" s="53">
        <v>8.9783745339010769E-3</v>
      </c>
      <c r="F164" s="50">
        <v>553960</v>
      </c>
      <c r="G164" s="50">
        <v>3</v>
      </c>
      <c r="H164" s="53" t="s">
        <v>121</v>
      </c>
      <c r="I164" s="53">
        <v>3.2803490629897972E-2</v>
      </c>
      <c r="J164" s="53">
        <v>2.2760743269051913E-2</v>
      </c>
      <c r="K164" s="53">
        <v>8.3719196313068941E-3</v>
      </c>
      <c r="L164" s="50">
        <v>553960</v>
      </c>
      <c r="N164" s="49" t="s">
        <v>118</v>
      </c>
    </row>
    <row r="165" spans="1:14" s="49" customFormat="1" x14ac:dyDescent="0.2">
      <c r="A165" s="50">
        <v>4</v>
      </c>
      <c r="B165" s="53" t="s">
        <v>100</v>
      </c>
      <c r="C165" s="53">
        <v>0</v>
      </c>
      <c r="D165" s="53">
        <v>7.4363052814078161E-3</v>
      </c>
      <c r="E165" s="53">
        <v>0</v>
      </c>
      <c r="F165" s="50">
        <v>2480382</v>
      </c>
      <c r="G165" s="50">
        <v>4</v>
      </c>
      <c r="H165" s="53" t="s">
        <v>96</v>
      </c>
      <c r="I165" s="53">
        <v>0</v>
      </c>
      <c r="J165" s="53">
        <v>1.3567833635119656E-2</v>
      </c>
      <c r="K165" s="53">
        <v>0</v>
      </c>
      <c r="L165" s="50">
        <v>8497745</v>
      </c>
    </row>
    <row r="166" spans="1:14" s="49" customFormat="1" x14ac:dyDescent="0.2">
      <c r="A166" s="50">
        <v>5</v>
      </c>
      <c r="B166" s="53" t="s">
        <v>169</v>
      </c>
      <c r="C166" s="53">
        <v>0</v>
      </c>
      <c r="D166" s="53">
        <v>5.4028835458844729E-3</v>
      </c>
      <c r="E166" s="53">
        <v>2.2767287124999371E-3</v>
      </c>
      <c r="F166" s="50">
        <v>7434864</v>
      </c>
      <c r="G166" s="50">
        <v>5</v>
      </c>
      <c r="H166" s="53" t="s">
        <v>190</v>
      </c>
      <c r="I166" s="53">
        <v>5.0205734931754849E-2</v>
      </c>
      <c r="J166" s="53">
        <v>5.8288716040273388E-3</v>
      </c>
      <c r="K166" s="53">
        <v>0</v>
      </c>
      <c r="L166" s="50">
        <v>3050596</v>
      </c>
    </row>
    <row r="167" spans="1:14" s="49" customFormat="1" x14ac:dyDescent="0.2">
      <c r="A167" s="50">
        <v>6</v>
      </c>
      <c r="B167" s="53" t="s">
        <v>137</v>
      </c>
      <c r="C167" s="53">
        <v>0</v>
      </c>
      <c r="D167" s="53">
        <v>0</v>
      </c>
      <c r="E167" s="53">
        <v>7.0081008776223565E-3</v>
      </c>
      <c r="F167" s="50">
        <v>1692097</v>
      </c>
      <c r="G167" s="50">
        <v>6</v>
      </c>
      <c r="H167" s="53" t="s">
        <v>137</v>
      </c>
      <c r="I167" s="53">
        <v>3.5614442076520737E-2</v>
      </c>
      <c r="J167" s="53">
        <v>0</v>
      </c>
      <c r="K167" s="53">
        <v>1.2275899453052911E-2</v>
      </c>
      <c r="L167" s="50">
        <v>1692097</v>
      </c>
    </row>
    <row r="168" spans="1:14" s="49" customFormat="1" x14ac:dyDescent="0.2">
      <c r="A168" s="50">
        <v>7</v>
      </c>
      <c r="B168" s="53" t="s">
        <v>190</v>
      </c>
      <c r="C168" s="53">
        <v>0.40832788393040931</v>
      </c>
      <c r="D168" s="53">
        <v>0</v>
      </c>
      <c r="E168" s="53">
        <v>0</v>
      </c>
      <c r="F168" s="50">
        <v>3050596</v>
      </c>
      <c r="G168" s="50">
        <v>7</v>
      </c>
      <c r="H168" s="53" t="s">
        <v>97</v>
      </c>
      <c r="I168" s="53">
        <v>0</v>
      </c>
      <c r="J168" s="53">
        <v>0</v>
      </c>
      <c r="K168" s="53">
        <v>1.7680096556700494E-3</v>
      </c>
      <c r="L168" s="50">
        <v>14393110</v>
      </c>
    </row>
    <row r="169" spans="1:14" s="49" customFormat="1" x14ac:dyDescent="0.2">
      <c r="A169" s="50">
        <v>8</v>
      </c>
      <c r="B169" s="53" t="s">
        <v>247</v>
      </c>
      <c r="C169" s="53">
        <v>2.4346507964502107E-2</v>
      </c>
      <c r="D169" s="53">
        <v>0</v>
      </c>
      <c r="E169" s="53">
        <v>0</v>
      </c>
      <c r="F169" s="50">
        <v>11115023</v>
      </c>
      <c r="G169" s="50">
        <v>8</v>
      </c>
      <c r="H169" s="53" t="s">
        <v>94</v>
      </c>
      <c r="I169" s="53">
        <v>1.4566076856530805E-2</v>
      </c>
      <c r="J169" s="53">
        <v>0</v>
      </c>
      <c r="K169" s="53">
        <v>0</v>
      </c>
      <c r="L169" s="50">
        <v>2887140</v>
      </c>
    </row>
    <row r="170" spans="1:14" s="49" customFormat="1" x14ac:dyDescent="0.2">
      <c r="A170" s="50">
        <v>9</v>
      </c>
      <c r="B170" s="53" t="s">
        <v>101</v>
      </c>
      <c r="C170" s="53">
        <v>6.219278750695223E-2</v>
      </c>
      <c r="D170" s="53">
        <v>1.2328349783976789E-2</v>
      </c>
      <c r="E170" s="53">
        <v>1.42371029488777E-2</v>
      </c>
      <c r="F170" s="50">
        <v>5920853</v>
      </c>
      <c r="G170" s="50">
        <v>9</v>
      </c>
      <c r="H170" s="53" t="s">
        <v>101</v>
      </c>
      <c r="I170" s="53">
        <v>3.9317232774815358E-2</v>
      </c>
      <c r="J170" s="53">
        <v>1.7407997124374464E-2</v>
      </c>
      <c r="K170" s="53">
        <v>7.0238889768298174E-3</v>
      </c>
      <c r="L170" s="50">
        <v>5920853</v>
      </c>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'WOS nephrops over 250kW'!D3:N3</xm:f>
              <xm:sqref>C3</xm:sqref>
            </x14:sparkline>
            <x14:sparkline>
              <xm:f>'WOS nephrops over 250kW'!D4:N4</xm:f>
              <xm:sqref>C4</xm:sqref>
            </x14:sparkline>
            <x14:sparkline>
              <xm:f>'WOS nephrops over 250kW'!D5:N5</xm:f>
              <xm:sqref>C5</xm:sqref>
            </x14:sparkline>
            <x14:sparkline>
              <xm:f>'WOS nephrops over 250kW'!D6:N6</xm:f>
              <xm:sqref>C6</xm:sqref>
            </x14:sparkline>
            <x14:sparkline>
              <xm:f>'WOS nephrops over 250kW'!D7:N7</xm:f>
              <xm:sqref>C7</xm:sqref>
            </x14:sparkline>
            <x14:sparkline>
              <xm:f>'WOS nephrops over 250kW'!D8:N8</xm:f>
              <xm:sqref>C8</xm:sqref>
            </x14:sparkline>
            <x14:sparkline>
              <xm:f>'WOS nephrops over 250kW'!D9:N9</xm:f>
              <xm:sqref>C9</xm:sqref>
            </x14:sparkline>
            <x14:sparkline>
              <xm:f>'WOS nephrops over 250kW'!F10:M10</xm:f>
              <xm:sqref>C10</xm:sqref>
            </x14:sparkline>
            <x14:sparkline>
              <xm:f>'WOS nephrops over 250kW'!D11:N11</xm:f>
              <xm:sqref>C11</xm:sqref>
            </x14:sparkline>
            <x14:sparkline>
              <xm:f>'WOS nephrops over 250kW'!D12:N12</xm:f>
              <xm:sqref>C12</xm:sqref>
            </x14:sparkline>
            <x14:sparkline>
              <xm:f>'WOS nephrops over 250kW'!D13:N13</xm:f>
              <xm:sqref>C13</xm:sqref>
            </x14:sparkline>
            <x14:sparkline>
              <xm:f>'WOS nephrops over 250kW'!D14:N14</xm:f>
              <xm:sqref>C14</xm:sqref>
            </x14:sparkline>
            <x14:sparkline>
              <xm:f>'WOS nephrops over 250kW'!D15:N15</xm:f>
              <xm:sqref>C15</xm:sqref>
            </x14:sparkline>
            <x14:sparkline>
              <xm:f>'WOS nephrops over 250kW'!D16:N16</xm:f>
              <xm:sqref>C16</xm:sqref>
            </x14:sparkline>
            <x14:sparkline>
              <xm:f>'WOS nephrops over 250kW'!D17:N17</xm:f>
              <xm:sqref>C17</xm:sqref>
            </x14:sparkline>
            <x14:sparkline>
              <xm:f>'WOS nephrops over 250kW'!D18:N18</xm:f>
              <xm:sqref>C18</xm:sqref>
            </x14:sparkline>
            <x14:sparkline>
              <xm:f>'WOS nephrops over 250kW'!D19:N19</xm:f>
              <xm:sqref>C19</xm:sqref>
            </x14:sparkline>
            <x14:sparkline>
              <xm:f>'WOS nephrops over 250kW'!D20:N20</xm:f>
              <xm:sqref>C20</xm:sqref>
            </x14:sparkline>
            <x14:sparkline>
              <xm:f>'WOS nephrops over 250kW'!D21:N21</xm:f>
              <xm:sqref>C21</xm:sqref>
            </x14:sparkline>
            <x14:sparkline>
              <xm:f>'WOS nephrops over 250kW'!D22:N22</xm:f>
              <xm:sqref>C22</xm:sqref>
            </x14:sparkline>
            <x14:sparkline>
              <xm:f>'WOS nephrops over 250kW'!D23:N23</xm:f>
              <xm:sqref>C23</xm:sqref>
            </x14:sparkline>
            <x14:sparkline>
              <xm:f>'WOS nephrops over 250kW'!D24:N24</xm:f>
              <xm:sqref>C24</xm:sqref>
            </x14:sparkline>
            <x14:sparkline>
              <xm:f>'WOS nephrops over 250kW'!F25:M25</xm:f>
              <xm:sqref>C25</xm:sqref>
            </x14:sparkline>
            <x14:sparkline>
              <xm:f>'WOS nephrops over 250kW'!F26:M26</xm:f>
              <xm:sqref>C26</xm:sqref>
            </x14:sparkline>
            <x14:sparkline>
              <xm:f>'WOS nephrops over 250kW'!D27:N27</xm:f>
              <xm:sqref>C27</xm:sqref>
            </x14:sparkline>
            <x14:sparkline>
              <xm:f>'WOS nephrops over 250kW'!D28:N28</xm:f>
              <xm:sqref>C28</xm:sqref>
            </x14:sparkline>
            <x14:sparkline>
              <xm:f>'WOS nephrops over 250kW'!D29:N29</xm:f>
              <xm:sqref>C29</xm:sqref>
            </x14:sparkline>
            <x14:sparkline>
              <xm:f>'WOS nephrops over 250kW'!D30:N30</xm:f>
              <xm:sqref>C30</xm:sqref>
            </x14:sparkline>
            <x14:sparkline>
              <xm:f>'WOS nephrops over 250kW'!D31:N31</xm:f>
              <xm:sqref>C31</xm:sqref>
            </x14:sparkline>
            <x14:sparkline>
              <xm:f>'WOS nephrops over 250kW'!D32:N32</xm:f>
              <xm:sqref>C32</xm:sqref>
            </x14:sparkline>
            <x14:sparkline>
              <xm:f>'WOS nephrops over 250kW'!D33:N33</xm:f>
              <xm:sqref>C33</xm:sqref>
            </x14:sparkline>
            <x14:sparkline>
              <xm:f>'WOS nephrops over 250kW'!D34:N34</xm:f>
              <xm:sqref>C34</xm:sqref>
            </x14:sparkline>
            <x14:sparkline>
              <xm:f>'WOS nephrops over 250kW'!D35:N35</xm:f>
              <xm:sqref>C35</xm:sqref>
            </x14:sparkline>
            <x14:sparkline>
              <xm:f>'WOS nephrops over 250kW'!D36:N36</xm:f>
              <xm:sqref>C36</xm:sqref>
            </x14:sparkline>
            <x14:sparkline>
              <xm:f>'WOS nephrops over 250kW'!D37:N37</xm:f>
              <xm:sqref>C37</xm:sqref>
            </x14:sparkline>
            <x14:sparkline>
              <xm:f>'WOS nephrops over 250kW'!D38:M38</xm:f>
              <xm:sqref>C38</xm:sqref>
            </x14:sparkline>
            <x14:sparkline>
              <xm:f>'WOS nephrops over 250kW'!D39:M39</xm:f>
              <xm:sqref>C39</xm:sqref>
            </x14:sparkline>
            <x14:sparkline>
              <xm:f>'WOS nephrops over 250kW'!D40:M40</xm:f>
              <xm:sqref>C40</xm:sqref>
            </x14:sparkline>
            <x14:sparkline>
              <xm:f>'WOS nephrops over 250kW'!D41:M41</xm:f>
              <xm:sqref>C41</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522</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139</v>
      </c>
      <c r="E3" s="22">
        <v>121</v>
      </c>
      <c r="F3" s="22">
        <v>105</v>
      </c>
      <c r="G3" s="22">
        <v>95</v>
      </c>
      <c r="H3" s="22">
        <v>100</v>
      </c>
      <c r="I3" s="22">
        <v>98</v>
      </c>
      <c r="J3" s="22">
        <v>92</v>
      </c>
      <c r="K3" s="22">
        <v>91</v>
      </c>
      <c r="L3" s="22">
        <v>82</v>
      </c>
      <c r="M3" s="22">
        <v>75</v>
      </c>
      <c r="N3" s="22">
        <v>62</v>
      </c>
      <c r="O3" s="23">
        <f t="shared" ref="O3:O41" si="0">IF(N3=0,"",IFERROR(IF(AND(N3&gt;0,D3&lt;0),"na",IF(AND(N3&lt;0,D3&lt;0),-1,1)*(N3-D3)/D3),""))</f>
        <v>-0.5539568345323741</v>
      </c>
      <c r="P3" s="23">
        <f>IF(N3=0,"",IFERROR(IF(AND(N3&gt;0,J3&lt;0),"na",IF(AND(N3&lt;0,J3&lt;0),-1,1)*(N3-J3)/J3),""))</f>
        <v>-0.32608695652173914</v>
      </c>
    </row>
    <row r="4" spans="1:17" ht="18" customHeight="1" x14ac:dyDescent="0.2">
      <c r="A4" s="224"/>
      <c r="B4" s="24" t="s">
        <v>51</v>
      </c>
      <c r="C4" s="25"/>
      <c r="D4" s="26">
        <v>22071</v>
      </c>
      <c r="E4" s="26">
        <v>19673</v>
      </c>
      <c r="F4" s="26">
        <v>17324</v>
      </c>
      <c r="G4" s="26">
        <v>15363</v>
      </c>
      <c r="H4" s="26">
        <v>15932</v>
      </c>
      <c r="I4" s="26">
        <v>15864</v>
      </c>
      <c r="J4" s="26">
        <v>14922</v>
      </c>
      <c r="K4" s="26">
        <v>14602</v>
      </c>
      <c r="L4" s="26">
        <v>13470</v>
      </c>
      <c r="M4" s="26">
        <v>12397</v>
      </c>
      <c r="N4" s="26">
        <v>10245</v>
      </c>
      <c r="O4" s="23">
        <f t="shared" si="0"/>
        <v>-0.53581622944134832</v>
      </c>
      <c r="P4" s="23">
        <f t="shared" ref="P4:P41" si="1">IF(N4=0,"",IFERROR(IF(AND(N4&gt;0,J4&lt;0),"na",IF(AND(N4&lt;0,J4&lt;0),-1,1)*(N4-J4)/J4),""))</f>
        <v>-0.31342983514274225</v>
      </c>
    </row>
    <row r="5" spans="1:17" ht="18" customHeight="1" x14ac:dyDescent="0.2">
      <c r="A5" s="224"/>
      <c r="B5" s="24" t="s">
        <v>52</v>
      </c>
      <c r="C5" s="25"/>
      <c r="D5" s="26">
        <v>4893</v>
      </c>
      <c r="E5" s="26">
        <v>4443</v>
      </c>
      <c r="F5" s="26">
        <v>3976</v>
      </c>
      <c r="G5" s="26">
        <v>3515</v>
      </c>
      <c r="H5" s="26">
        <v>3693</v>
      </c>
      <c r="I5" s="26">
        <v>3709</v>
      </c>
      <c r="J5" s="26">
        <v>3478</v>
      </c>
      <c r="K5" s="26">
        <v>3322</v>
      </c>
      <c r="L5" s="26">
        <v>3061</v>
      </c>
      <c r="M5" s="26">
        <v>2959</v>
      </c>
      <c r="N5" s="26">
        <v>2400</v>
      </c>
      <c r="O5" s="23">
        <f t="shared" si="0"/>
        <v>-0.5095033721643164</v>
      </c>
      <c r="P5" s="23">
        <f t="shared" si="1"/>
        <v>-0.30994824611845889</v>
      </c>
      <c r="Q5" s="27"/>
    </row>
    <row r="6" spans="1:17" ht="18" customHeight="1" x14ac:dyDescent="0.2">
      <c r="A6" s="224"/>
      <c r="B6" s="24" t="s">
        <v>53</v>
      </c>
      <c r="C6" s="25"/>
      <c r="D6" s="26">
        <v>20254.15234375</v>
      </c>
      <c r="E6" s="26">
        <v>17905.478515625</v>
      </c>
      <c r="F6" s="26">
        <v>15765.4833984375</v>
      </c>
      <c r="G6" s="26">
        <v>14069.6376953125</v>
      </c>
      <c r="H6" s="26">
        <v>14656.115234375</v>
      </c>
      <c r="I6" s="26">
        <v>14573.900390625</v>
      </c>
      <c r="J6" s="26">
        <v>13766.9560546875</v>
      </c>
      <c r="K6" s="26">
        <v>13418.69140625</v>
      </c>
      <c r="L6" s="26">
        <v>12306.958984375</v>
      </c>
      <c r="M6" s="26">
        <v>11480.736328125</v>
      </c>
      <c r="N6" s="26">
        <v>9410.759765625</v>
      </c>
      <c r="O6" s="23">
        <f t="shared" si="0"/>
        <v>-0.53536639766961369</v>
      </c>
      <c r="P6" s="23">
        <f t="shared" si="1"/>
        <v>-0.31642407165084702</v>
      </c>
    </row>
    <row r="7" spans="1:17" ht="18" customHeight="1" x14ac:dyDescent="0.2">
      <c r="A7" s="224"/>
      <c r="B7" s="24" t="s">
        <v>54</v>
      </c>
      <c r="C7" s="25"/>
      <c r="D7" s="26">
        <v>8545.91015625</v>
      </c>
      <c r="E7" s="26">
        <v>7163.4208984375</v>
      </c>
      <c r="F7" s="26">
        <v>6545.3447265625</v>
      </c>
      <c r="G7" s="26">
        <v>5882.0810546875</v>
      </c>
      <c r="H7" s="26">
        <v>6594.90234375</v>
      </c>
      <c r="I7" s="26">
        <v>6426.18798828125</v>
      </c>
      <c r="J7" s="26">
        <v>5637.7841796875</v>
      </c>
      <c r="K7" s="26">
        <v>4949.75732421875</v>
      </c>
      <c r="L7" s="26">
        <v>5820.11669921875</v>
      </c>
      <c r="M7" s="26">
        <v>4985.35693359375</v>
      </c>
      <c r="N7" s="26">
        <v>3802.832275390625</v>
      </c>
      <c r="O7" s="23">
        <f t="shared" si="0"/>
        <v>-0.55501143753431037</v>
      </c>
      <c r="P7" s="23">
        <f t="shared" si="1"/>
        <v>-0.32547395320808215</v>
      </c>
    </row>
    <row r="8" spans="1:17" ht="18" customHeight="1" x14ac:dyDescent="0.2">
      <c r="A8" s="224"/>
      <c r="B8" s="24" t="s">
        <v>55</v>
      </c>
      <c r="C8" s="27"/>
      <c r="D8" s="28">
        <f ca="1">23.752526*OFFSET(D$112,MATCH($N$1,$C$112:$C$113,0)-1,0)</f>
        <v>23.752526</v>
      </c>
      <c r="E8" s="28">
        <f ca="1">16.900386*OFFSET(E$112,MATCH($N$1,$C$112:$C$113,0)-1,0)</f>
        <v>16.900386000000001</v>
      </c>
      <c r="F8" s="28">
        <f ca="1">15.889241*OFFSET(F$112,MATCH($N$1,$C$112:$C$113,0)-1,0)</f>
        <v>15.889241</v>
      </c>
      <c r="G8" s="28">
        <f ca="1">17.054444*OFFSET(G$112,MATCH($N$1,$C$112:$C$113,0)-1,0)</f>
        <v>17.054444</v>
      </c>
      <c r="H8" s="28">
        <f ca="1">20.162886*OFFSET(H$112,MATCH($N$1,$C$112:$C$113,0)-1,0)</f>
        <v>20.162886</v>
      </c>
      <c r="I8" s="28">
        <f ca="1">17.571536*OFFSET(I$112,MATCH($N$1,$C$112:$C$113,0)-1,0)</f>
        <v>17.571535999999998</v>
      </c>
      <c r="J8" s="28">
        <f ca="1">16.217658*OFFSET(J$112,MATCH($N$1,$C$112:$C$113,0)-1,0)</f>
        <v>16.217658</v>
      </c>
      <c r="K8" s="28">
        <f ca="1">14.376213*OFFSET(K$112,MATCH($N$1,$C$112:$C$113,0)-1,0)</f>
        <v>14.376213</v>
      </c>
      <c r="L8" s="28">
        <f ca="1">15.60251*OFFSET(L$112,MATCH($N$1,$C$112:$C$113,0)-1,0)</f>
        <v>15.602510000000001</v>
      </c>
      <c r="M8" s="28">
        <f ca="1">13.348937*OFFSET(M$112,MATCH($N$1,$C$112:$C$113,0)-1,0)</f>
        <v>13.348936999999999</v>
      </c>
      <c r="N8" s="28">
        <v>10.732661999999999</v>
      </c>
      <c r="O8" s="23">
        <f t="shared" ca="1" si="0"/>
        <v>-0.54814650029222156</v>
      </c>
      <c r="P8" s="23">
        <f t="shared" ca="1" si="1"/>
        <v>-0.33821134962890453</v>
      </c>
    </row>
    <row r="9" spans="1:17" ht="18" customHeight="1" x14ac:dyDescent="0.2">
      <c r="A9" s="224"/>
      <c r="B9" s="24" t="s">
        <v>56</v>
      </c>
      <c r="C9" s="27"/>
      <c r="D9" s="26">
        <v>22538</v>
      </c>
      <c r="E9" s="26">
        <v>19797</v>
      </c>
      <c r="F9" s="26">
        <v>17693</v>
      </c>
      <c r="G9" s="26">
        <v>15085</v>
      </c>
      <c r="H9" s="26">
        <v>16548</v>
      </c>
      <c r="I9" s="26">
        <v>15434</v>
      </c>
      <c r="J9" s="26">
        <v>14784</v>
      </c>
      <c r="K9" s="26">
        <v>13677</v>
      </c>
      <c r="L9" s="26">
        <v>12962</v>
      </c>
      <c r="M9" s="26">
        <v>11257</v>
      </c>
      <c r="N9" s="26">
        <v>9505</v>
      </c>
      <c r="O9" s="23">
        <f t="shared" si="0"/>
        <v>-0.57826781435797325</v>
      </c>
      <c r="P9" s="23">
        <f t="shared" si="1"/>
        <v>-0.35707521645021645</v>
      </c>
    </row>
    <row r="10" spans="1:17" ht="18" customHeight="1" x14ac:dyDescent="0.2">
      <c r="A10" s="224"/>
      <c r="B10" s="24" t="s">
        <v>57</v>
      </c>
      <c r="C10" s="27"/>
      <c r="D10" s="26"/>
      <c r="E10" s="26">
        <v>572.41168212890625</v>
      </c>
      <c r="F10" s="26">
        <v>519.632080078125</v>
      </c>
      <c r="G10" s="26">
        <v>491.835205078125</v>
      </c>
      <c r="H10" s="26">
        <v>394.8394775390625</v>
      </c>
      <c r="I10" s="26">
        <v>472.6583251953125</v>
      </c>
      <c r="J10" s="26">
        <v>324.42343139648437</v>
      </c>
      <c r="K10" s="26">
        <v>340.50350952148437</v>
      </c>
      <c r="L10" s="26">
        <v>356.32391357421875</v>
      </c>
      <c r="M10" s="26">
        <v>308.19839477539062</v>
      </c>
      <c r="N10" s="26">
        <v>281.24612426757812</v>
      </c>
      <c r="O10" s="29" t="str">
        <f t="shared" si="0"/>
        <v/>
      </c>
      <c r="P10" s="29">
        <f t="shared" si="1"/>
        <v>-0.13308936084871872</v>
      </c>
    </row>
    <row r="11" spans="1:17" ht="18" customHeight="1" x14ac:dyDescent="0.2">
      <c r="A11" s="225" t="s">
        <v>23</v>
      </c>
      <c r="B11" s="30" t="s">
        <v>58</v>
      </c>
      <c r="C11" s="31"/>
      <c r="D11" s="32">
        <v>14.407913208007813</v>
      </c>
      <c r="E11" s="32">
        <v>14.512313842773438</v>
      </c>
      <c r="F11" s="32">
        <v>14.623714447021484</v>
      </c>
      <c r="G11" s="32">
        <v>14.578104972839355</v>
      </c>
      <c r="H11" s="32">
        <v>14.524700164794922</v>
      </c>
      <c r="I11" s="32">
        <v>14.543979644775391</v>
      </c>
      <c r="J11" s="32">
        <v>14.704238891601563</v>
      </c>
      <c r="K11" s="32">
        <v>14.59351634979248</v>
      </c>
      <c r="L11" s="32">
        <v>14.695243835449219</v>
      </c>
      <c r="M11" s="32">
        <v>15.029867172241211</v>
      </c>
      <c r="N11" s="32">
        <v>14.840322494506836</v>
      </c>
      <c r="O11" s="23">
        <f t="shared" si="0"/>
        <v>3.0011930267506991E-2</v>
      </c>
      <c r="P11" s="23">
        <f t="shared" si="1"/>
        <v>9.2547192621441031E-3</v>
      </c>
    </row>
    <row r="12" spans="1:17" ht="18" customHeight="1" x14ac:dyDescent="0.2">
      <c r="A12" s="226"/>
      <c r="B12" s="33" t="s">
        <v>51</v>
      </c>
      <c r="C12" s="25"/>
      <c r="D12" s="26">
        <v>158.7841796875</v>
      </c>
      <c r="E12" s="26">
        <v>162.58677673339844</v>
      </c>
      <c r="F12" s="26">
        <v>164.990478515625</v>
      </c>
      <c r="G12" s="26">
        <v>161.71578979492187</v>
      </c>
      <c r="H12" s="26">
        <v>159.32000732421875</v>
      </c>
      <c r="I12" s="26">
        <v>161.87754821777344</v>
      </c>
      <c r="J12" s="26">
        <v>162.19564819335937</v>
      </c>
      <c r="K12" s="26">
        <v>160.46153259277344</v>
      </c>
      <c r="L12" s="26">
        <v>164.26829528808594</v>
      </c>
      <c r="M12" s="26">
        <v>165.2933349609375</v>
      </c>
      <c r="N12" s="26">
        <v>165.24192810058594</v>
      </c>
      <c r="O12" s="23">
        <f t="shared" si="0"/>
        <v>4.0669973707678587E-2</v>
      </c>
      <c r="P12" s="23">
        <f t="shared" si="1"/>
        <v>1.8781514431231723E-2</v>
      </c>
    </row>
    <row r="13" spans="1:17" ht="18" customHeight="1" x14ac:dyDescent="0.2">
      <c r="A13" s="226"/>
      <c r="B13" s="33" t="s">
        <v>52</v>
      </c>
      <c r="C13" s="25"/>
      <c r="D13" s="26">
        <v>35.201438903808594</v>
      </c>
      <c r="E13" s="26">
        <v>36.719009399414063</v>
      </c>
      <c r="F13" s="26">
        <v>37.866664886474609</v>
      </c>
      <c r="G13" s="26">
        <v>37</v>
      </c>
      <c r="H13" s="26">
        <v>36.930000305175781</v>
      </c>
      <c r="I13" s="26">
        <v>37.846939086914063</v>
      </c>
      <c r="J13" s="26">
        <v>37.804347991943359</v>
      </c>
      <c r="K13" s="26">
        <v>36.5054931640625</v>
      </c>
      <c r="L13" s="26">
        <v>37.329269409179688</v>
      </c>
      <c r="M13" s="26">
        <v>39.453334808349609</v>
      </c>
      <c r="N13" s="26">
        <v>38.709678649902344</v>
      </c>
      <c r="O13" s="23">
        <f t="shared" si="0"/>
        <v>9.9661827906534203E-2</v>
      </c>
      <c r="P13" s="23">
        <f t="shared" si="1"/>
        <v>2.39477918823497E-2</v>
      </c>
    </row>
    <row r="14" spans="1:17" ht="18" customHeight="1" x14ac:dyDescent="0.2">
      <c r="A14" s="226"/>
      <c r="B14" s="33" t="s">
        <v>53</v>
      </c>
      <c r="C14" s="25"/>
      <c r="D14" s="26">
        <v>145.71333312988281</v>
      </c>
      <c r="E14" s="26">
        <v>147.97917175292969</v>
      </c>
      <c r="F14" s="26">
        <v>150.1474609375</v>
      </c>
      <c r="G14" s="26">
        <v>148.10145568847656</v>
      </c>
      <c r="H14" s="26">
        <v>146.5611572265625</v>
      </c>
      <c r="I14" s="26">
        <v>148.71327209472656</v>
      </c>
      <c r="J14" s="26">
        <v>149.64082336425781</v>
      </c>
      <c r="K14" s="26">
        <v>147.45814514160156</v>
      </c>
      <c r="L14" s="26">
        <v>150.08486938476562</v>
      </c>
      <c r="M14" s="26">
        <v>153.07647705078125</v>
      </c>
      <c r="N14" s="26">
        <v>151.78643798828125</v>
      </c>
      <c r="O14" s="23">
        <f t="shared" si="0"/>
        <v>4.1678443063169271E-2</v>
      </c>
      <c r="P14" s="23">
        <f t="shared" si="1"/>
        <v>1.4338431022933843E-2</v>
      </c>
    </row>
    <row r="15" spans="1:17" ht="18" customHeight="1" x14ac:dyDescent="0.2">
      <c r="A15" s="226"/>
      <c r="B15" s="33" t="s">
        <v>54</v>
      </c>
      <c r="C15" s="27"/>
      <c r="D15" s="28">
        <v>61.481365203857422</v>
      </c>
      <c r="E15" s="28">
        <v>59.201824188232422</v>
      </c>
      <c r="F15" s="28">
        <v>62.336616516113281</v>
      </c>
      <c r="G15" s="28">
        <v>61.916641235351562</v>
      </c>
      <c r="H15" s="28">
        <v>65.949028015136719</v>
      </c>
      <c r="I15" s="28">
        <v>65.573348999023438</v>
      </c>
      <c r="J15" s="28">
        <v>61.280261993408203</v>
      </c>
      <c r="K15" s="28">
        <v>54.392936706542969</v>
      </c>
      <c r="L15" s="28">
        <v>70.977027893066406</v>
      </c>
      <c r="M15" s="28">
        <v>66.471427917480469</v>
      </c>
      <c r="N15" s="28">
        <v>61.336006164550781</v>
      </c>
      <c r="O15" s="23">
        <f t="shared" si="0"/>
        <v>-2.3642780023616101E-3</v>
      </c>
      <c r="P15" s="23">
        <f t="shared" si="1"/>
        <v>9.0965947809711414E-4</v>
      </c>
    </row>
    <row r="16" spans="1:17" ht="18" customHeight="1" x14ac:dyDescent="0.2">
      <c r="A16" s="226"/>
      <c r="B16" s="33" t="s">
        <v>59</v>
      </c>
      <c r="C16" s="27"/>
      <c r="D16" s="28">
        <f ca="1">170.881484375*OFFSET(D$112,MATCH($N$1,$C$112:$C$113,0)-1,0)</f>
        <v>170.88148437500001</v>
      </c>
      <c r="E16" s="28">
        <f ca="1">139.672609375*OFFSET(E$112,MATCH($N$1,$C$112:$C$113,0)-1,0)</f>
        <v>139.67260937500001</v>
      </c>
      <c r="F16" s="28">
        <f ca="1">151.326109375*OFFSET(F$112,MATCH($N$1,$C$112:$C$113,0)-1,0)</f>
        <v>151.32610937499999</v>
      </c>
      <c r="G16" s="28">
        <f ca="1">179.52046875*OFFSET(G$112,MATCH($N$1,$C$112:$C$113,0)-1,0)</f>
        <v>179.52046874999999</v>
      </c>
      <c r="H16" s="28">
        <f ca="1">201.628859375*OFFSET(H$112,MATCH($N$1,$C$112:$C$113,0)-1,0)</f>
        <v>201.62885937499999</v>
      </c>
      <c r="I16" s="28">
        <f ca="1">179.301390625*OFFSET(I$112,MATCH($N$1,$C$112:$C$113,0)-1,0)</f>
        <v>179.30139062500001</v>
      </c>
      <c r="J16" s="28">
        <f ca="1">176.278890625*OFFSET(J$112,MATCH($N$1,$C$112:$C$113,0)-1,0)</f>
        <v>176.278890625</v>
      </c>
      <c r="K16" s="28">
        <f ca="1">157.980375*OFFSET(K$112,MATCH($N$1,$C$112:$C$113,0)-1,0)</f>
        <v>157.98037500000001</v>
      </c>
      <c r="L16" s="28">
        <f ca="1">190.274515625*OFFSET(L$112,MATCH($N$1,$C$112:$C$113,0)-1,0)</f>
        <v>190.27451562499999</v>
      </c>
      <c r="M16" s="28">
        <f ca="1">177.985828125*OFFSET(M$112,MATCH($N$1,$C$112:$C$113,0)-1,0)</f>
        <v>177.98582812500001</v>
      </c>
      <c r="N16" s="28">
        <v>173.10745312500001</v>
      </c>
      <c r="O16" s="23">
        <f t="shared" ca="1" si="0"/>
        <v>1.3026389360681678E-2</v>
      </c>
      <c r="P16" s="23">
        <f t="shared" ca="1" si="1"/>
        <v>-1.7991022570856937E-2</v>
      </c>
    </row>
    <row r="17" spans="1:16" ht="18" customHeight="1" x14ac:dyDescent="0.2">
      <c r="A17" s="226"/>
      <c r="B17" s="33" t="s">
        <v>56</v>
      </c>
      <c r="C17" s="25"/>
      <c r="D17" s="26">
        <v>162.14389038085937</v>
      </c>
      <c r="E17" s="26">
        <v>163.611572265625</v>
      </c>
      <c r="F17" s="26">
        <v>168.5047607421875</v>
      </c>
      <c r="G17" s="26">
        <v>158.78947448730469</v>
      </c>
      <c r="H17" s="26">
        <v>165.47999572753906</v>
      </c>
      <c r="I17" s="26">
        <v>157.48979187011719</v>
      </c>
      <c r="J17" s="26">
        <v>160.69564819335937</v>
      </c>
      <c r="K17" s="26">
        <v>150.29670715332031</v>
      </c>
      <c r="L17" s="26">
        <v>158.07316589355469</v>
      </c>
      <c r="M17" s="26">
        <v>150.09333801269531</v>
      </c>
      <c r="N17" s="26">
        <v>153.30645751953125</v>
      </c>
      <c r="O17" s="23">
        <f t="shared" si="0"/>
        <v>-5.4503643896602588E-2</v>
      </c>
      <c r="P17" s="23">
        <f t="shared" si="1"/>
        <v>-4.5982518860355037E-2</v>
      </c>
    </row>
    <row r="18" spans="1:16" ht="18" customHeight="1" x14ac:dyDescent="0.2">
      <c r="A18" s="226"/>
      <c r="B18" s="33" t="s">
        <v>60</v>
      </c>
      <c r="C18" s="25"/>
      <c r="D18" s="26">
        <v>31.784172058105469</v>
      </c>
      <c r="E18" s="26">
        <v>32.033058166503906</v>
      </c>
      <c r="F18" s="26">
        <v>33.047618865966797</v>
      </c>
      <c r="G18" s="26">
        <v>34.547367095947266</v>
      </c>
      <c r="H18" s="26">
        <v>35.009998321533203</v>
      </c>
      <c r="I18" s="26">
        <v>35.561225891113281</v>
      </c>
      <c r="J18" s="26">
        <v>36.576087951660156</v>
      </c>
      <c r="K18" s="26">
        <v>38.098899841308594</v>
      </c>
      <c r="L18" s="26">
        <v>38.743904113769531</v>
      </c>
      <c r="M18" s="26">
        <v>39.653331756591797</v>
      </c>
      <c r="N18" s="26">
        <v>40.306449890136719</v>
      </c>
      <c r="O18" s="23">
        <f t="shared" si="0"/>
        <v>0.26812961547185982</v>
      </c>
      <c r="P18" s="23">
        <f t="shared" si="1"/>
        <v>0.10198909034248549</v>
      </c>
    </row>
    <row r="19" spans="1:16" ht="18" customHeight="1" x14ac:dyDescent="0.2">
      <c r="A19" s="226"/>
      <c r="B19" s="33" t="s">
        <v>61</v>
      </c>
      <c r="C19" s="25"/>
      <c r="D19" s="34">
        <v>0.37917780876159668</v>
      </c>
      <c r="E19" s="34">
        <v>0.36184373497962952</v>
      </c>
      <c r="F19" s="34">
        <v>0.36993980407714844</v>
      </c>
      <c r="G19" s="34">
        <v>0.38992911577224731</v>
      </c>
      <c r="H19" s="34">
        <v>0.39853173494338989</v>
      </c>
      <c r="I19" s="34">
        <v>0.41636571288108826</v>
      </c>
      <c r="J19" s="34">
        <v>0.38134363293647766</v>
      </c>
      <c r="K19" s="34">
        <v>0.36190372705459595</v>
      </c>
      <c r="L19" s="34">
        <v>0.44901376962661743</v>
      </c>
      <c r="M19" s="34">
        <v>0.44286727905273438</v>
      </c>
      <c r="N19" s="34">
        <v>0.40008756518363953</v>
      </c>
      <c r="O19" s="23">
        <f t="shared" si="0"/>
        <v>5.5144989867246148E-2</v>
      </c>
      <c r="P19" s="23">
        <f t="shared" si="1"/>
        <v>4.9152340902684319E-2</v>
      </c>
    </row>
    <row r="20" spans="1:16" ht="18" customHeight="1" x14ac:dyDescent="0.2">
      <c r="A20" s="227"/>
      <c r="B20" s="35" t="s">
        <v>24</v>
      </c>
      <c r="C20" s="36"/>
      <c r="D20" s="37">
        <f ca="1">2779*OFFSET(D$112,MATCH($N$1,$C$112:$C$113,0)-1,0)</f>
        <v>2779</v>
      </c>
      <c r="E20" s="37">
        <f ca="1">2359*OFFSET(E$112,MATCH($N$1,$C$112:$C$113,0)-1,0)</f>
        <v>2359</v>
      </c>
      <c r="F20" s="37">
        <f ca="1">2428*OFFSET(F$112,MATCH($N$1,$C$112:$C$113,0)-1,0)</f>
        <v>2428</v>
      </c>
      <c r="G20" s="37">
        <f ca="1">2899*OFFSET(G$112,MATCH($N$1,$C$112:$C$113,0)-1,0)</f>
        <v>2899</v>
      </c>
      <c r="H20" s="37">
        <f ca="1">3057*OFFSET(H$112,MATCH($N$1,$C$112:$C$113,0)-1,0)</f>
        <v>3057</v>
      </c>
      <c r="I20" s="37">
        <f ca="1">2734*OFFSET(I$112,MATCH($N$1,$C$112:$C$113,0)-1,0)</f>
        <v>2734</v>
      </c>
      <c r="J20" s="37">
        <f ca="1">2877*OFFSET(J$112,MATCH($N$1,$C$112:$C$113,0)-1,0)</f>
        <v>2877</v>
      </c>
      <c r="K20" s="37">
        <f ca="1">2904*OFFSET(K$112,MATCH($N$1,$C$112:$C$113,0)-1,0)</f>
        <v>2904</v>
      </c>
      <c r="L20" s="37">
        <f ca="1">2681*OFFSET(L$112,MATCH($N$1,$C$112:$C$113,0)-1,0)</f>
        <v>2681</v>
      </c>
      <c r="M20" s="37">
        <f ca="1">2678*OFFSET(M$112,MATCH($N$1,$C$112:$C$113,0)-1,0)</f>
        <v>2678</v>
      </c>
      <c r="N20" s="37">
        <v>2822</v>
      </c>
      <c r="O20" s="29">
        <f t="shared" ca="1" si="0"/>
        <v>1.5473191795609931E-2</v>
      </c>
      <c r="P20" s="29">
        <f t="shared" ca="1" si="1"/>
        <v>-1.9117135905457074E-2</v>
      </c>
    </row>
    <row r="21" spans="1:16" ht="18" customHeight="1" x14ac:dyDescent="0.2">
      <c r="A21" s="228" t="s">
        <v>25</v>
      </c>
      <c r="B21" s="30" t="s">
        <v>62</v>
      </c>
      <c r="C21" s="38"/>
      <c r="D21" s="39">
        <v>2.320924771914477</v>
      </c>
      <c r="E21" s="39">
        <v>2.1779881968707619</v>
      </c>
      <c r="F21" s="39">
        <v>2.2000049668624242</v>
      </c>
      <c r="G21" s="39">
        <v>2.3413848243591371</v>
      </c>
      <c r="H21" s="39">
        <v>2.432466362316934</v>
      </c>
      <c r="I21" s="39">
        <v>2.490275431312762</v>
      </c>
      <c r="J21" s="39">
        <v>2.3079651784571489</v>
      </c>
      <c r="K21" s="39">
        <v>2.2092416750993156</v>
      </c>
      <c r="L21" s="39">
        <v>2.6478014562120338</v>
      </c>
      <c r="M21" s="39">
        <v>2.6264226437522993</v>
      </c>
      <c r="N21" s="39">
        <v>2.3971415055572187</v>
      </c>
      <c r="O21" s="23">
        <f t="shared" si="0"/>
        <v>3.2838950475707285E-2</v>
      </c>
      <c r="P21" s="23">
        <f t="shared" si="1"/>
        <v>3.8638506305230871E-2</v>
      </c>
    </row>
    <row r="22" spans="1:16" ht="18" customHeight="1" x14ac:dyDescent="0.2">
      <c r="A22" s="228"/>
      <c r="B22" s="33" t="s">
        <v>63</v>
      </c>
      <c r="C22" s="25"/>
      <c r="D22" s="34">
        <f ca="1">6.45078502782776*OFFSET(D$112,MATCH($N$1,$C$112:$C$113,0)-1,0)</f>
        <v>6.4507850278277603</v>
      </c>
      <c r="E22" s="34">
        <f ca="1">5.13844461409954*OFFSET(E$112,MATCH($N$1,$C$112:$C$113,0)-1,0)</f>
        <v>5.1384446140995399</v>
      </c>
      <c r="F22" s="34">
        <f ca="1">5.34065226583016*OFFSET(F$112,MATCH($N$1,$C$112:$C$113,0)-1,0)</f>
        <v>5.3406522658301601</v>
      </c>
      <c r="G22" s="34">
        <f ca="1">6.78858692601532*OFFSET(G$112,MATCH($N$1,$C$112:$C$113,0)-1,0)</f>
        <v>6.78858692601532</v>
      </c>
      <c r="H22" s="34">
        <f ca="1">7.43688622657864*OFFSET(H$112,MATCH($N$1,$C$112:$C$113,0)-1,0)</f>
        <v>7.4368862265786397</v>
      </c>
      <c r="I22" s="34">
        <f ca="1">6.80931894877444*OFFSET(I$112,MATCH($N$1,$C$112:$C$113,0)-1,0)</f>
        <v>6.8093189487744397</v>
      </c>
      <c r="J22" s="34">
        <f ca="1">6.6390959833579*OFFSET(J$112,MATCH($N$1,$C$112:$C$113,0)-1,0)</f>
        <v>6.6390959833579002</v>
      </c>
      <c r="K22" s="34">
        <f ca="1">6.41658364910153*OFFSET(K$112,MATCH($N$1,$C$112:$C$113,0)-1,0)</f>
        <v>6.41658364910153</v>
      </c>
      <c r="L22" s="34">
        <f ca="1">7.09820000227328*OFFSET(L$112,MATCH($N$1,$C$112:$C$113,0)-1,0)</f>
        <v>7.0982000022732796</v>
      </c>
      <c r="M22" s="34">
        <f ca="1">7.03258563716775*OFFSET(M$112,MATCH($N$1,$C$112:$C$113,0)-1,0)</f>
        <v>7.0325856371677498</v>
      </c>
      <c r="N22" s="34">
        <v>6.7654072502533849</v>
      </c>
      <c r="O22" s="23">
        <f t="shared" ca="1" si="0"/>
        <v>4.8772703022715753E-2</v>
      </c>
      <c r="P22" s="23">
        <f t="shared" ca="1" si="1"/>
        <v>1.902537140781016E-2</v>
      </c>
    </row>
    <row r="23" spans="1:16" ht="18" customHeight="1" x14ac:dyDescent="0.2">
      <c r="A23" s="228"/>
      <c r="B23" s="33" t="s">
        <v>11</v>
      </c>
      <c r="C23" s="25"/>
      <c r="D23" s="34">
        <f ca="1">5.50344236978905*OFFSET(D$112,MATCH($N$1,$C$112:$C$113,0)-1,0)</f>
        <v>5.5034423697890498</v>
      </c>
      <c r="E23" s="34">
        <f ca="1">4.3072173670927*OFFSET(E$112,MATCH($N$1,$C$112:$C$113,0)-1,0)</f>
        <v>4.3072173670926999</v>
      </c>
      <c r="F23" s="34">
        <f ca="1">4.58659644720576*OFFSET(F$112,MATCH($N$1,$C$112:$C$113,0)-1,0)</f>
        <v>4.5865964472057597</v>
      </c>
      <c r="G23" s="34">
        <f ca="1">5.70827437339175*OFFSET(G$112,MATCH($N$1,$C$112:$C$113,0)-1,0)</f>
        <v>5.7082743733917498</v>
      </c>
      <c r="H23" s="34">
        <f ca="1">6.17260929489248*OFFSET(H$112,MATCH($N$1,$C$112:$C$113,0)-1,0)</f>
        <v>6.1726092948924798</v>
      </c>
      <c r="I23" s="34">
        <f ca="1">6.00448498812924*OFFSET(I$112,MATCH($N$1,$C$112:$C$113,0)-1,0)</f>
        <v>6.0044849881292404</v>
      </c>
      <c r="J23" s="34">
        <f ca="1">5.89086700150944*OFFSET(J$112,MATCH($N$1,$C$112:$C$113,0)-1,0)</f>
        <v>5.8908670015094398</v>
      </c>
      <c r="K23" s="34">
        <f ca="1">5.27453632131518*OFFSET(K$112,MATCH($N$1,$C$112:$C$113,0)-1,0)</f>
        <v>5.2745363213151801</v>
      </c>
      <c r="L23" s="34">
        <f ca="1">5.86491015020819*OFFSET(L$112,MATCH($N$1,$C$112:$C$113,0)-1,0)</f>
        <v>5.86491015020819</v>
      </c>
      <c r="M23" s="34">
        <f ca="1">5.71772707334294*OFFSET(M$112,MATCH($N$1,$C$112:$C$113,0)-1,0)</f>
        <v>5.7177270733429397</v>
      </c>
      <c r="N23" s="34">
        <v>5.6291897355529326</v>
      </c>
      <c r="O23" s="23">
        <f t="shared" ca="1" si="0"/>
        <v>2.284885664546402E-2</v>
      </c>
      <c r="P23" s="23">
        <f t="shared" ca="1" si="1"/>
        <v>-4.4420840920268038E-2</v>
      </c>
    </row>
    <row r="24" spans="1:16" ht="18" customHeight="1" x14ac:dyDescent="0.2">
      <c r="A24" s="228"/>
      <c r="B24" s="33" t="s">
        <v>12</v>
      </c>
      <c r="C24" s="25"/>
      <c r="D24" s="34">
        <f ca="1">1.15180298896364*OFFSET(D$112,MATCH($N$1,$C$112:$C$113,0)-1,0)</f>
        <v>1.1518029889636401</v>
      </c>
      <c r="E24" s="34">
        <f ca="1">0.902819655640084*OFFSET(E$112,MATCH($N$1,$C$112:$C$113,0)-1,0)</f>
        <v>0.90281965564008404</v>
      </c>
      <c r="F24" s="34">
        <f ca="1">0.851284565295582*OFFSET(F$112,MATCH($N$1,$C$112:$C$113,0)-1,0)</f>
        <v>0.85128456529558205</v>
      </c>
      <c r="G24" s="34">
        <f ca="1">1.20435597611739*OFFSET(G$112,MATCH($N$1,$C$112:$C$113,0)-1,0)</f>
        <v>1.2043559761173901</v>
      </c>
      <c r="H24" s="34">
        <f ca="1">1.69164671662917*OFFSET(H$112,MATCH($N$1,$C$112:$C$113,0)-1,0)</f>
        <v>1.69164671662917</v>
      </c>
      <c r="I24" s="34">
        <f ca="1">1.1220524847306*OFFSET(I$112,MATCH($N$1,$C$112:$C$113,0)-1,0)</f>
        <v>1.1220524847305999</v>
      </c>
      <c r="J24" s="34">
        <f ca="1">1.21419536222161*OFFSET(J$112,MATCH($N$1,$C$112:$C$113,0)-1,0)</f>
        <v>1.21419536222161</v>
      </c>
      <c r="K24" s="34">
        <f ca="1">1.30569939184973*OFFSET(K$112,MATCH($N$1,$C$112:$C$113,0)-1,0)</f>
        <v>1.3056993918497299</v>
      </c>
      <c r="L24" s="34">
        <f ca="1">1.48476963112593*OFFSET(L$112,MATCH($N$1,$C$112:$C$113,0)-1,0)</f>
        <v>1.48476963112593</v>
      </c>
      <c r="M24" s="34">
        <f ca="1">1.44426311601472*OFFSET(M$112,MATCH($N$1,$C$112:$C$113,0)-1,0)</f>
        <v>1.4442631160147199</v>
      </c>
      <c r="N24" s="34">
        <v>1.2607057926580258</v>
      </c>
      <c r="O24" s="23">
        <f t="shared" ca="1" si="0"/>
        <v>9.454985334981067E-2</v>
      </c>
      <c r="P24" s="23">
        <f t="shared" ca="1" si="1"/>
        <v>3.8305557642153966E-2</v>
      </c>
    </row>
    <row r="25" spans="1:16" ht="18" customHeight="1" x14ac:dyDescent="0.2">
      <c r="A25" s="228"/>
      <c r="B25" s="33" t="s">
        <v>64</v>
      </c>
      <c r="C25" s="25"/>
      <c r="D25" s="28"/>
      <c r="E25" s="28">
        <f ca="1">29.53*OFFSET(E$112,MATCH($N$1,$C$112:$C$113,0)-1,0)</f>
        <v>29.53</v>
      </c>
      <c r="F25" s="28">
        <f ca="1">30.57*OFFSET(F$112,MATCH($N$1,$C$112:$C$113,0)-1,0)</f>
        <v>30.57</v>
      </c>
      <c r="G25" s="28">
        <f ca="1">34.67*OFFSET(G$112,MATCH($N$1,$C$112:$C$113,0)-1,0)</f>
        <v>34.67</v>
      </c>
      <c r="H25" s="28">
        <f ca="1">51.06*OFFSET(H$112,MATCH($N$1,$C$112:$C$113,0)-1,0)</f>
        <v>51.06</v>
      </c>
      <c r="I25" s="28">
        <f ca="1">37.18*OFFSET(I$112,MATCH($N$1,$C$112:$C$113,0)-1,0)</f>
        <v>37.18</v>
      </c>
      <c r="J25" s="28">
        <f ca="1">50*OFFSET(J$112,MATCH($N$1,$C$112:$C$113,0)-1,0)</f>
        <v>50</v>
      </c>
      <c r="K25" s="28">
        <f ca="1">42.23*OFFSET(K$112,MATCH($N$1,$C$112:$C$113,0)-1,0)</f>
        <v>42.23</v>
      </c>
      <c r="L25" s="28">
        <f ca="1">43.79*OFFSET(L$112,MATCH($N$1,$C$112:$C$113,0)-1,0)</f>
        <v>43.79</v>
      </c>
      <c r="M25" s="28">
        <f ca="1">43.32*OFFSET(M$112,MATCH($N$1,$C$112:$C$113,0)-1,0)</f>
        <v>43.32</v>
      </c>
      <c r="N25" s="28">
        <v>38.159999999999997</v>
      </c>
      <c r="O25" s="23" t="str">
        <f t="shared" si="0"/>
        <v/>
      </c>
      <c r="P25" s="23">
        <f t="shared" ca="1" si="1"/>
        <v>-0.23680000000000007</v>
      </c>
    </row>
    <row r="26" spans="1:16" ht="18" customHeight="1" x14ac:dyDescent="0.2">
      <c r="A26" s="229"/>
      <c r="B26" s="33" t="s">
        <v>65</v>
      </c>
      <c r="C26" s="40"/>
      <c r="D26" s="28"/>
      <c r="E26" s="28">
        <f ca="1">5.18*OFFSET(E$112,MATCH($N$1,$C$112:$C$113,0)-1,0)</f>
        <v>5.18</v>
      </c>
      <c r="F26" s="28">
        <f ca="1">4.87*OFFSET(F$112,MATCH($N$1,$C$112:$C$113,0)-1,0)</f>
        <v>4.87</v>
      </c>
      <c r="G26" s="28">
        <f ca="1">6.14*OFFSET(G$112,MATCH($N$1,$C$112:$C$113,0)-1,0)</f>
        <v>6.14</v>
      </c>
      <c r="H26" s="28">
        <f ca="1">11.62*OFFSET(H$112,MATCH($N$1,$C$112:$C$113,0)-1,0)</f>
        <v>11.62</v>
      </c>
      <c r="I26" s="28">
        <f ca="1">6.12*OFFSET(I$112,MATCH($N$1,$C$112:$C$113,0)-1,0)</f>
        <v>6.12</v>
      </c>
      <c r="J26" s="28">
        <f ca="1">9.13*OFFSET(J$112,MATCH($N$1,$C$112:$C$113,0)-1,0)</f>
        <v>9.1300000000000008</v>
      </c>
      <c r="K26" s="28">
        <f ca="1">8.58*OFFSET(K$112,MATCH($N$1,$C$112:$C$113,0)-1,0)</f>
        <v>8.58</v>
      </c>
      <c r="L26" s="28">
        <f ca="1">9.16*OFFSET(L$112,MATCH($N$1,$C$112:$C$113,0)-1,0)</f>
        <v>9.16</v>
      </c>
      <c r="M26" s="28">
        <f ca="1">8.91*OFFSET(M$112,MATCH($N$1,$C$112:$C$113,0)-1,0)</f>
        <v>8.91</v>
      </c>
      <c r="N26" s="28">
        <v>7.12</v>
      </c>
      <c r="O26" s="29" t="str">
        <f t="shared" si="0"/>
        <v/>
      </c>
      <c r="P26" s="29">
        <f t="shared" ca="1" si="1"/>
        <v>-0.2201533406352684</v>
      </c>
    </row>
    <row r="27" spans="1:16" ht="18" customHeight="1" x14ac:dyDescent="0.2">
      <c r="A27" s="230" t="s">
        <v>26</v>
      </c>
      <c r="B27" s="30" t="s">
        <v>59</v>
      </c>
      <c r="C27" s="31"/>
      <c r="D27" s="32">
        <f ca="1">170.9*OFFSET(D$112,MATCH($N$1,$C$112:$C$113,0)-1,0)</f>
        <v>170.9</v>
      </c>
      <c r="E27" s="32">
        <f ca="1">139.7*OFFSET(E$112,MATCH($N$1,$C$112:$C$113,0)-1,0)</f>
        <v>139.69999999999999</v>
      </c>
      <c r="F27" s="32">
        <f ca="1">151.3*OFFSET(F$112,MATCH($N$1,$C$112:$C$113,0)-1,0)</f>
        <v>151.30000000000001</v>
      </c>
      <c r="G27" s="32">
        <f ca="1">179.5*OFFSET(G$112,MATCH($N$1,$C$112:$C$113,0)-1,0)</f>
        <v>179.5</v>
      </c>
      <c r="H27" s="32">
        <f ca="1">201.6*OFFSET(H$112,MATCH($N$1,$C$112:$C$113,0)-1,0)</f>
        <v>201.6</v>
      </c>
      <c r="I27" s="32">
        <f ca="1">179.3*OFFSET(I$112,MATCH($N$1,$C$112:$C$113,0)-1,0)</f>
        <v>179.3</v>
      </c>
      <c r="J27" s="32">
        <f ca="1">176.3*OFFSET(J$112,MATCH($N$1,$C$112:$C$113,0)-1,0)</f>
        <v>176.3</v>
      </c>
      <c r="K27" s="32">
        <f ca="1">158*OFFSET(K$112,MATCH($N$1,$C$112:$C$113,0)-1,0)</f>
        <v>158</v>
      </c>
      <c r="L27" s="32">
        <f ca="1">190.3*OFFSET(L$112,MATCH($N$1,$C$112:$C$113,0)-1,0)</f>
        <v>190.3</v>
      </c>
      <c r="M27" s="32">
        <f ca="1">178*OFFSET(M$112,MATCH($N$1,$C$112:$C$113,0)-1,0)</f>
        <v>178</v>
      </c>
      <c r="N27" s="32">
        <v>173.1</v>
      </c>
      <c r="O27" s="23">
        <f t="shared" ca="1" si="0"/>
        <v>1.2873025160912748E-2</v>
      </c>
      <c r="P27" s="23">
        <f t="shared" ca="1" si="1"/>
        <v>-1.8150879183210532E-2</v>
      </c>
    </row>
    <row r="28" spans="1:16" ht="18" customHeight="1" x14ac:dyDescent="0.2">
      <c r="A28" s="231"/>
      <c r="B28" s="33" t="s">
        <v>66</v>
      </c>
      <c r="C28" s="27"/>
      <c r="D28" s="28">
        <f ca="1">5.4*OFFSET(D$112,MATCH($N$1,$C$112:$C$113,0)-1,0)</f>
        <v>5.4</v>
      </c>
      <c r="E28" s="28">
        <f ca="1">1.9*OFFSET(E$112,MATCH($N$1,$C$112:$C$113,0)-1,0)</f>
        <v>1.9</v>
      </c>
      <c r="F28" s="28">
        <f ca="1">2.8*OFFSET(F$112,MATCH($N$1,$C$112:$C$113,0)-1,0)</f>
        <v>2.8</v>
      </c>
      <c r="G28" s="28">
        <f ca="1">3.3*OFFSET(G$112,MATCH($N$1,$C$112:$C$113,0)-1,0)</f>
        <v>3.3</v>
      </c>
      <c r="H28" s="28">
        <f ca="1">11.6*OFFSET(H$112,MATCH($N$1,$C$112:$C$113,0)-1,0)</f>
        <v>11.6</v>
      </c>
      <c r="I28" s="28">
        <f ca="1">8.4*OFFSET(I$112,MATCH($N$1,$C$112:$C$113,0)-1,0)</f>
        <v>8.4</v>
      </c>
      <c r="J28" s="28">
        <f ca="1">12.4*OFFSET(J$112,MATCH($N$1,$C$112:$C$113,0)-1,0)</f>
        <v>12.4</v>
      </c>
      <c r="K28" s="28">
        <f ca="1">4*OFFSET(K$112,MATCH($N$1,$C$112:$C$113,0)-1,0)</f>
        <v>4</v>
      </c>
      <c r="L28" s="28">
        <f ca="1">6.7*OFFSET(L$112,MATCH($N$1,$C$112:$C$113,0)-1,0)</f>
        <v>6.7</v>
      </c>
      <c r="M28" s="28">
        <f ca="1">3.3*OFFSET(M$112,MATCH($N$1,$C$112:$C$113,0)-1,0)</f>
        <v>3.3</v>
      </c>
      <c r="N28" s="28">
        <v>3.2</v>
      </c>
      <c r="O28" s="23">
        <f t="shared" ca="1" si="0"/>
        <v>-0.40740740740740744</v>
      </c>
      <c r="P28" s="23">
        <f t="shared" ca="1" si="1"/>
        <v>-0.74193548387096764</v>
      </c>
    </row>
    <row r="29" spans="1:16" ht="18" customHeight="1" x14ac:dyDescent="0.2">
      <c r="A29" s="231"/>
      <c r="B29" s="41" t="s">
        <v>67</v>
      </c>
      <c r="C29" s="42"/>
      <c r="D29" s="43">
        <f ca="1">176.3*OFFSET(D$112,MATCH($N$1,$C$112:$C$113,0)-1,0)</f>
        <v>176.3</v>
      </c>
      <c r="E29" s="43">
        <f ca="1">141.6*OFFSET(E$112,MATCH($N$1,$C$112:$C$113,0)-1,0)</f>
        <v>141.6</v>
      </c>
      <c r="F29" s="43">
        <f ca="1">154.1*OFFSET(F$112,MATCH($N$1,$C$112:$C$113,0)-1,0)</f>
        <v>154.1</v>
      </c>
      <c r="G29" s="43">
        <f ca="1">182.8*OFFSET(G$112,MATCH($N$1,$C$112:$C$113,0)-1,0)</f>
        <v>182.8</v>
      </c>
      <c r="H29" s="43">
        <f ca="1">213.2*OFFSET(H$112,MATCH($N$1,$C$112:$C$113,0)-1,0)</f>
        <v>213.2</v>
      </c>
      <c r="I29" s="43">
        <f ca="1">187.7*OFFSET(I$112,MATCH($N$1,$C$112:$C$113,0)-1,0)</f>
        <v>187.7</v>
      </c>
      <c r="J29" s="43">
        <f ca="1">188.7*OFFSET(J$112,MATCH($N$1,$C$112:$C$113,0)-1,0)</f>
        <v>188.7</v>
      </c>
      <c r="K29" s="43">
        <f ca="1">162*OFFSET(K$112,MATCH($N$1,$C$112:$C$113,0)-1,0)</f>
        <v>162</v>
      </c>
      <c r="L29" s="43">
        <f ca="1">197*OFFSET(L$112,MATCH($N$1,$C$112:$C$113,0)-1,0)</f>
        <v>197</v>
      </c>
      <c r="M29" s="43">
        <f ca="1">181.3*OFFSET(M$112,MATCH($N$1,$C$112:$C$113,0)-1,0)</f>
        <v>181.3</v>
      </c>
      <c r="N29" s="43">
        <v>176.3</v>
      </c>
      <c r="O29" s="23">
        <f t="shared" ca="1" si="0"/>
        <v>0</v>
      </c>
      <c r="P29" s="23">
        <f t="shared" ca="1" si="1"/>
        <v>-6.5712771595124425E-2</v>
      </c>
    </row>
    <row r="30" spans="1:16" ht="18" customHeight="1" x14ac:dyDescent="0.2">
      <c r="A30" s="231"/>
      <c r="B30" s="33" t="s">
        <v>68</v>
      </c>
      <c r="C30" s="27"/>
      <c r="D30" s="28">
        <f ca="1">35.1*OFFSET(D$112,MATCH($N$1,$C$112:$C$113,0)-1,0)</f>
        <v>35.1</v>
      </c>
      <c r="E30" s="28">
        <f ca="1">24.1*OFFSET(E$112,MATCH($N$1,$C$112:$C$113,0)-1,0)</f>
        <v>24.1</v>
      </c>
      <c r="F30" s="28">
        <f ca="1">32.2*OFFSET(F$112,MATCH($N$1,$C$112:$C$113,0)-1,0)</f>
        <v>32.200000000000003</v>
      </c>
      <c r="G30" s="28">
        <f ca="1">39.3*OFFSET(G$112,MATCH($N$1,$C$112:$C$113,0)-1,0)</f>
        <v>39.299999999999997</v>
      </c>
      <c r="H30" s="28">
        <f ca="1">41.2*OFFSET(H$112,MATCH($N$1,$C$112:$C$113,0)-1,0)</f>
        <v>41.2</v>
      </c>
      <c r="I30" s="28">
        <f ca="1">38.2*OFFSET(I$112,MATCH($N$1,$C$112:$C$113,0)-1,0)</f>
        <v>38.200000000000003</v>
      </c>
      <c r="J30" s="28">
        <f ca="1">34.7*OFFSET(J$112,MATCH($N$1,$C$112:$C$113,0)-1,0)</f>
        <v>34.700000000000003</v>
      </c>
      <c r="K30" s="28">
        <f ca="1">22.2*OFFSET(K$112,MATCH($N$1,$C$112:$C$113,0)-1,0)</f>
        <v>22.2</v>
      </c>
      <c r="L30" s="28">
        <f ca="1">22.5*OFFSET(L$112,MATCH($N$1,$C$112:$C$113,0)-1,0)</f>
        <v>22.5</v>
      </c>
      <c r="M30" s="28">
        <f ca="1">25.9*OFFSET(M$112,MATCH($N$1,$C$112:$C$113,0)-1,0)</f>
        <v>25.9</v>
      </c>
      <c r="N30" s="28">
        <v>30.900000000000002</v>
      </c>
      <c r="O30" s="23">
        <f t="shared" ca="1" si="0"/>
        <v>-0.11965811965811964</v>
      </c>
      <c r="P30" s="23">
        <f t="shared" ca="1" si="1"/>
        <v>-0.10951008645533142</v>
      </c>
    </row>
    <row r="31" spans="1:16" ht="18" customHeight="1" x14ac:dyDescent="0.2">
      <c r="A31" s="231"/>
      <c r="B31" s="33" t="s">
        <v>69</v>
      </c>
      <c r="C31" s="27"/>
      <c r="D31" s="28">
        <f ca="1">43.3*OFFSET(D$112,MATCH($N$1,$C$112:$C$113,0)-1,0)</f>
        <v>43.3</v>
      </c>
      <c r="E31" s="28">
        <f ca="1">33.2*OFFSET(E$112,MATCH($N$1,$C$112:$C$113,0)-1,0)</f>
        <v>33.200000000000003</v>
      </c>
      <c r="F31" s="28">
        <f ca="1">37.4*OFFSET(F$112,MATCH($N$1,$C$112:$C$113,0)-1,0)</f>
        <v>37.4</v>
      </c>
      <c r="G31" s="28">
        <f ca="1">44*OFFSET(G$112,MATCH($N$1,$C$112:$C$113,0)-1,0)</f>
        <v>44</v>
      </c>
      <c r="H31" s="28">
        <f ca="1">50*OFFSET(H$112,MATCH($N$1,$C$112:$C$113,0)-1,0)</f>
        <v>50</v>
      </c>
      <c r="I31" s="28">
        <f ca="1">47*OFFSET(I$112,MATCH($N$1,$C$112:$C$113,0)-1,0)</f>
        <v>47</v>
      </c>
      <c r="J31" s="28">
        <f ca="1">49.5*OFFSET(J$112,MATCH($N$1,$C$112:$C$113,0)-1,0)</f>
        <v>49.5</v>
      </c>
      <c r="K31" s="28">
        <f ca="1">43.1*OFFSET(K$112,MATCH($N$1,$C$112:$C$113,0)-1,0)</f>
        <v>43.1</v>
      </c>
      <c r="L31" s="28">
        <f ca="1">59.3*OFFSET(L$112,MATCH($N$1,$C$112:$C$113,0)-1,0)</f>
        <v>59.3</v>
      </c>
      <c r="M31" s="28">
        <f ca="1">54.3*OFFSET(M$112,MATCH($N$1,$C$112:$C$113,0)-1,0)</f>
        <v>54.3</v>
      </c>
      <c r="N31" s="28">
        <v>50.4</v>
      </c>
      <c r="O31" s="23">
        <f t="shared" ca="1" si="0"/>
        <v>0.163972286374134</v>
      </c>
      <c r="P31" s="23">
        <f t="shared" ca="1" si="1"/>
        <v>1.8181818181818153E-2</v>
      </c>
    </row>
    <row r="32" spans="1:16" ht="18" customHeight="1" x14ac:dyDescent="0.2">
      <c r="A32" s="231"/>
      <c r="B32" s="33" t="s">
        <v>70</v>
      </c>
      <c r="C32" s="27"/>
      <c r="D32" s="28">
        <f ca="1">25.1*OFFSET(D$112,MATCH($N$1,$C$112:$C$113,0)-1,0)</f>
        <v>25.1</v>
      </c>
      <c r="E32" s="28">
        <f ca="1">20*OFFSET(E$112,MATCH($N$1,$C$112:$C$113,0)-1,0)</f>
        <v>20</v>
      </c>
      <c r="F32" s="28">
        <f ca="1">25.2*OFFSET(F$112,MATCH($N$1,$C$112:$C$113,0)-1,0)</f>
        <v>25.2</v>
      </c>
      <c r="G32" s="28">
        <f ca="1">27.5*OFFSET(G$112,MATCH($N$1,$C$112:$C$113,0)-1,0)</f>
        <v>27.5</v>
      </c>
      <c r="H32" s="28">
        <f ca="1">28.4*OFFSET(H$112,MATCH($N$1,$C$112:$C$113,0)-1,0)</f>
        <v>28.4</v>
      </c>
      <c r="I32" s="28">
        <f ca="1">26.2*OFFSET(I$112,MATCH($N$1,$C$112:$C$113,0)-1,0)</f>
        <v>26.2</v>
      </c>
      <c r="J32" s="28">
        <f ca="1">25*OFFSET(J$112,MATCH($N$1,$C$112:$C$113,0)-1,0)</f>
        <v>25</v>
      </c>
      <c r="K32" s="28">
        <f ca="1">22.9*OFFSET(K$112,MATCH($N$1,$C$112:$C$113,0)-1,0)</f>
        <v>22.9</v>
      </c>
      <c r="L32" s="28">
        <f ca="1">25.5*OFFSET(L$112,MATCH($N$1,$C$112:$C$113,0)-1,0)</f>
        <v>25.5</v>
      </c>
      <c r="M32" s="28">
        <f ca="1">22.7*OFFSET(M$112,MATCH($N$1,$C$112:$C$113,0)-1,0)</f>
        <v>22.7</v>
      </c>
      <c r="N32" s="28">
        <v>22.1</v>
      </c>
      <c r="O32" s="23">
        <f t="shared" ca="1" si="0"/>
        <v>-0.1195219123505976</v>
      </c>
      <c r="P32" s="23">
        <f t="shared" ca="1" si="1"/>
        <v>-0.11599999999999994</v>
      </c>
    </row>
    <row r="33" spans="1:16" ht="18" customHeight="1" x14ac:dyDescent="0.2">
      <c r="A33" s="231"/>
      <c r="B33" s="33" t="s">
        <v>71</v>
      </c>
      <c r="C33" s="27"/>
      <c r="D33" s="28">
        <f ca="1">103.5*OFFSET(D$112,MATCH($N$1,$C$112:$C$113,0)-1,0)</f>
        <v>103.5</v>
      </c>
      <c r="E33" s="28">
        <f ca="1">77.3*OFFSET(E$112,MATCH($N$1,$C$112:$C$113,0)-1,0)</f>
        <v>77.3</v>
      </c>
      <c r="F33" s="28">
        <f ca="1">94.8*OFFSET(F$112,MATCH($N$1,$C$112:$C$113,0)-1,0)</f>
        <v>94.8</v>
      </c>
      <c r="G33" s="28">
        <f ca="1">110.7*OFFSET(G$112,MATCH($N$1,$C$112:$C$113,0)-1,0)</f>
        <v>110.7</v>
      </c>
      <c r="H33" s="28">
        <f ca="1">119.6*OFFSET(H$112,MATCH($N$1,$C$112:$C$113,0)-1,0)</f>
        <v>119.6</v>
      </c>
      <c r="I33" s="28">
        <f ca="1">111.4*OFFSET(I$112,MATCH($N$1,$C$112:$C$113,0)-1,0)</f>
        <v>111.4</v>
      </c>
      <c r="J33" s="28">
        <f ca="1">109.3*OFFSET(J$112,MATCH($N$1,$C$112:$C$113,0)-1,0)</f>
        <v>109.3</v>
      </c>
      <c r="K33" s="28">
        <f ca="1">88.2*OFFSET(K$112,MATCH($N$1,$C$112:$C$113,0)-1,0)</f>
        <v>88.2</v>
      </c>
      <c r="L33" s="28">
        <f ca="1">107.3*OFFSET(L$112,MATCH($N$1,$C$112:$C$113,0)-1,0)</f>
        <v>107.3</v>
      </c>
      <c r="M33" s="28">
        <f ca="1">102.9*OFFSET(M$112,MATCH($N$1,$C$112:$C$113,0)-1,0)</f>
        <v>102.9</v>
      </c>
      <c r="N33" s="28">
        <v>103.4</v>
      </c>
      <c r="O33" s="23">
        <f t="shared" ca="1" si="0"/>
        <v>-9.6618357487917217E-4</v>
      </c>
      <c r="P33" s="23">
        <f t="shared" ca="1" si="1"/>
        <v>-5.397987191216827E-2</v>
      </c>
    </row>
    <row r="34" spans="1:16" ht="18" customHeight="1" x14ac:dyDescent="0.2">
      <c r="A34" s="231"/>
      <c r="B34" s="33" t="s">
        <v>72</v>
      </c>
      <c r="C34" s="27"/>
      <c r="D34" s="28">
        <f ca="1">42.3*OFFSET(D$112,MATCH($N$1,$C$112:$C$113,0)-1,0)</f>
        <v>42.3</v>
      </c>
      <c r="E34" s="28">
        <f ca="1">39.7*OFFSET(E$112,MATCH($N$1,$C$112:$C$113,0)-1,0)</f>
        <v>39.700000000000003</v>
      </c>
      <c r="F34" s="28">
        <f ca="1">35.2*OFFSET(F$112,MATCH($N$1,$C$112:$C$113,0)-1,0)</f>
        <v>35.200000000000003</v>
      </c>
      <c r="G34" s="28">
        <f ca="1">40.2*OFFSET(G$112,MATCH($N$1,$C$112:$C$113,0)-1,0)</f>
        <v>40.200000000000003</v>
      </c>
      <c r="H34" s="28">
        <f ca="1">47.7*OFFSET(H$112,MATCH($N$1,$C$112:$C$113,0)-1,0)</f>
        <v>47.7</v>
      </c>
      <c r="I34" s="28">
        <f ca="1">46.7*OFFSET(I$112,MATCH($N$1,$C$112:$C$113,0)-1,0)</f>
        <v>46.7</v>
      </c>
      <c r="J34" s="28">
        <f ca="1">47.1*OFFSET(J$112,MATCH($N$1,$C$112:$C$113,0)-1,0)</f>
        <v>47.1</v>
      </c>
      <c r="K34" s="28">
        <f ca="1">41.7*OFFSET(K$112,MATCH($N$1,$C$112:$C$113,0)-1,0)</f>
        <v>41.7</v>
      </c>
      <c r="L34" s="28">
        <f ca="1">49.9*OFFSET(L$112,MATCH($N$1,$C$112:$C$113,0)-1,0)</f>
        <v>49.9</v>
      </c>
      <c r="M34" s="28">
        <f ca="1">41.8*OFFSET(M$112,MATCH($N$1,$C$112:$C$113,0)-1,0)</f>
        <v>41.8</v>
      </c>
      <c r="N34" s="28">
        <v>40.700000000000003</v>
      </c>
      <c r="O34" s="23">
        <f t="shared" ca="1" si="0"/>
        <v>-3.7825059101654714E-2</v>
      </c>
      <c r="P34" s="23">
        <f t="shared" ca="1" si="1"/>
        <v>-0.13588110403397025</v>
      </c>
    </row>
    <row r="35" spans="1:16" ht="18" customHeight="1" x14ac:dyDescent="0.2">
      <c r="A35" s="231"/>
      <c r="B35" s="33" t="s">
        <v>73</v>
      </c>
      <c r="C35" s="27"/>
      <c r="D35" s="28">
        <f ca="1">145.8*OFFSET(D$112,MATCH($N$1,$C$112:$C$113,0)-1,0)</f>
        <v>145.80000000000001</v>
      </c>
      <c r="E35" s="28">
        <f ca="1">117.1*OFFSET(E$112,MATCH($N$1,$C$112:$C$113,0)-1,0)</f>
        <v>117.1</v>
      </c>
      <c r="F35" s="28">
        <f ca="1">130*OFFSET(F$112,MATCH($N$1,$C$112:$C$113,0)-1,0)</f>
        <v>130</v>
      </c>
      <c r="G35" s="28">
        <f ca="1">151*OFFSET(G$112,MATCH($N$1,$C$112:$C$113,0)-1,0)</f>
        <v>151</v>
      </c>
      <c r="H35" s="28">
        <f ca="1">167.4*OFFSET(H$112,MATCH($N$1,$C$112:$C$113,0)-1,0)</f>
        <v>167.4</v>
      </c>
      <c r="I35" s="28">
        <f ca="1">158.1*OFFSET(I$112,MATCH($N$1,$C$112:$C$113,0)-1,0)</f>
        <v>158.1</v>
      </c>
      <c r="J35" s="28">
        <f ca="1">156.4*OFFSET(J$112,MATCH($N$1,$C$112:$C$113,0)-1,0)</f>
        <v>156.4</v>
      </c>
      <c r="K35" s="28">
        <f ca="1">129.9*OFFSET(K$112,MATCH($N$1,$C$112:$C$113,0)-1,0)</f>
        <v>129.9</v>
      </c>
      <c r="L35" s="28">
        <f ca="1">157.2*OFFSET(L$112,MATCH($N$1,$C$112:$C$113,0)-1,0)</f>
        <v>157.19999999999999</v>
      </c>
      <c r="M35" s="28">
        <f ca="1">144.7*OFFSET(M$112,MATCH($N$1,$C$112:$C$113,0)-1,0)</f>
        <v>144.69999999999999</v>
      </c>
      <c r="N35" s="28">
        <v>144</v>
      </c>
      <c r="O35" s="23">
        <f t="shared" ca="1" si="0"/>
        <v>-1.2345679012345756E-2</v>
      </c>
      <c r="P35" s="23">
        <f t="shared" ca="1" si="1"/>
        <v>-7.9283887468030723E-2</v>
      </c>
    </row>
    <row r="36" spans="1:16" ht="18" customHeight="1" x14ac:dyDescent="0.2">
      <c r="A36" s="231"/>
      <c r="B36" s="41" t="s">
        <v>74</v>
      </c>
      <c r="C36" s="42"/>
      <c r="D36" s="43">
        <f ca="1">73.8*OFFSET(D$112,MATCH($N$1,$C$112:$C$113,0)-1,0)</f>
        <v>73.8</v>
      </c>
      <c r="E36" s="43">
        <f ca="1">57.7*OFFSET(E$112,MATCH($N$1,$C$112:$C$113,0)-1,0)</f>
        <v>57.7</v>
      </c>
      <c r="F36" s="43">
        <f ca="1">61.5*OFFSET(F$112,MATCH($N$1,$C$112:$C$113,0)-1,0)</f>
        <v>61.5</v>
      </c>
      <c r="G36" s="43">
        <f ca="1">75.8*OFFSET(G$112,MATCH($N$1,$C$112:$C$113,0)-1,0)</f>
        <v>75.8</v>
      </c>
      <c r="H36" s="43">
        <f ca="1">95.9*OFFSET(H$112,MATCH($N$1,$C$112:$C$113,0)-1,0)</f>
        <v>95.9</v>
      </c>
      <c r="I36" s="43">
        <f ca="1">76.5*OFFSET(I$112,MATCH($N$1,$C$112:$C$113,0)-1,0)</f>
        <v>76.5</v>
      </c>
      <c r="J36" s="43">
        <f ca="1">81.7*OFFSET(J$112,MATCH($N$1,$C$112:$C$113,0)-1,0)</f>
        <v>81.7</v>
      </c>
      <c r="K36" s="43">
        <f ca="1">75.2*OFFSET(K$112,MATCH($N$1,$C$112:$C$113,0)-1,0)</f>
        <v>75.2</v>
      </c>
      <c r="L36" s="43">
        <f ca="1">99.1*OFFSET(L$112,MATCH($N$1,$C$112:$C$113,0)-1,0)</f>
        <v>99.1</v>
      </c>
      <c r="M36" s="43">
        <f ca="1">90.9*OFFSET(M$112,MATCH($N$1,$C$112:$C$113,0)-1,0)</f>
        <v>90.9</v>
      </c>
      <c r="N36" s="43">
        <v>82.699999999999989</v>
      </c>
      <c r="O36" s="23">
        <f t="shared" ca="1" si="0"/>
        <v>0.12059620596205951</v>
      </c>
      <c r="P36" s="23">
        <f t="shared" ca="1" si="1"/>
        <v>1.2239902080783179E-2</v>
      </c>
    </row>
    <row r="37" spans="1:16" ht="18" customHeight="1" x14ac:dyDescent="0.2">
      <c r="A37" s="231"/>
      <c r="B37" s="41" t="s">
        <v>75</v>
      </c>
      <c r="C37" s="42"/>
      <c r="D37" s="43">
        <f ca="1">30.5*OFFSET(D$112,MATCH($N$1,$C$112:$C$113,0)-1,0)</f>
        <v>30.5</v>
      </c>
      <c r="E37" s="43">
        <f ca="1">24.5*OFFSET(E$112,MATCH($N$1,$C$112:$C$113,0)-1,0)</f>
        <v>24.5</v>
      </c>
      <c r="F37" s="43">
        <f ca="1">24.1*OFFSET(F$112,MATCH($N$1,$C$112:$C$113,0)-1,0)</f>
        <v>24.1</v>
      </c>
      <c r="G37" s="43">
        <f ca="1">31.8*OFFSET(G$112,MATCH($N$1,$C$112:$C$113,0)-1,0)</f>
        <v>31.8</v>
      </c>
      <c r="H37" s="43">
        <f ca="1">45.9*OFFSET(H$112,MATCH($N$1,$C$112:$C$113,0)-1,0)</f>
        <v>45.9</v>
      </c>
      <c r="I37" s="43">
        <f ca="1">29.5*OFFSET(I$112,MATCH($N$1,$C$112:$C$113,0)-1,0)</f>
        <v>29.5</v>
      </c>
      <c r="J37" s="43">
        <f ca="1">32.2*OFFSET(J$112,MATCH($N$1,$C$112:$C$113,0)-1,0)</f>
        <v>32.200000000000003</v>
      </c>
      <c r="K37" s="43">
        <f ca="1">32.1*OFFSET(K$112,MATCH($N$1,$C$112:$C$113,0)-1,0)</f>
        <v>32.1</v>
      </c>
      <c r="L37" s="43">
        <f ca="1">39.8*OFFSET(L$112,MATCH($N$1,$C$112:$C$113,0)-1,0)</f>
        <v>39.799999999999997</v>
      </c>
      <c r="M37" s="43">
        <f ca="1">36.6*OFFSET(M$112,MATCH($N$1,$C$112:$C$113,0)-1,0)</f>
        <v>36.6</v>
      </c>
      <c r="N37" s="43">
        <v>32.299999999999997</v>
      </c>
      <c r="O37" s="23">
        <f t="shared" ca="1" si="0"/>
        <v>5.9016393442622855E-2</v>
      </c>
      <c r="P37" s="23">
        <f t="shared" ca="1" si="1"/>
        <v>3.1055900621116245E-3</v>
      </c>
    </row>
    <row r="38" spans="1:16" ht="18" customHeight="1" x14ac:dyDescent="0.2">
      <c r="A38" s="231"/>
      <c r="B38" s="33" t="s">
        <v>76</v>
      </c>
      <c r="C38" s="27"/>
      <c r="D38" s="28">
        <f ca="1">6.4*OFFSET(D$112,MATCH($N$1,$C$112:$C$113,0)-1,0)</f>
        <v>6.4</v>
      </c>
      <c r="E38" s="28">
        <f ca="1">10.8*OFFSET(E$112,MATCH($N$1,$C$112:$C$113,0)-1,0)</f>
        <v>10.8</v>
      </c>
      <c r="F38" s="28">
        <f ca="1">11.4*OFFSET(F$112,MATCH($N$1,$C$112:$C$113,0)-1,0)</f>
        <v>11.4</v>
      </c>
      <c r="G38" s="28">
        <f ca="1">9.7*OFFSET(G$112,MATCH($N$1,$C$112:$C$113,0)-1,0)</f>
        <v>9.6999999999999993</v>
      </c>
      <c r="H38" s="28">
        <f ca="1">5.5*OFFSET(H$112,MATCH($N$1,$C$112:$C$113,0)-1,0)</f>
        <v>5.5</v>
      </c>
      <c r="I38" s="28">
        <f ca="1">6.2*OFFSET(I$112,MATCH($N$1,$C$112:$C$113,0)-1,0)</f>
        <v>6.2</v>
      </c>
      <c r="J38" s="28">
        <f ca="1">9.4*OFFSET(J$112,MATCH($N$1,$C$112:$C$113,0)-1,0)</f>
        <v>9.4</v>
      </c>
      <c r="K38" s="28">
        <f ca="1">8.4*OFFSET(K$112,MATCH($N$1,$C$112:$C$113,0)-1,0)</f>
        <v>8.4</v>
      </c>
      <c r="L38" s="28">
        <f ca="1">12.2*OFFSET(L$112,MATCH($N$1,$C$112:$C$113,0)-1,0)</f>
        <v>12.2</v>
      </c>
      <c r="M38" s="28">
        <f ca="1">7.4*OFFSET(M$112,MATCH($N$1,$C$112:$C$113,0)-1,0)</f>
        <v>7.4</v>
      </c>
      <c r="N38" s="28"/>
      <c r="O38" s="23" t="str">
        <f t="shared" si="0"/>
        <v/>
      </c>
      <c r="P38" s="23" t="str">
        <f t="shared" si="1"/>
        <v/>
      </c>
    </row>
    <row r="39" spans="1:16" ht="18" customHeight="1" x14ac:dyDescent="0.2">
      <c r="A39" s="231"/>
      <c r="B39" s="33" t="s">
        <v>77</v>
      </c>
      <c r="C39" s="27"/>
      <c r="D39" s="28">
        <f ca="1">4.5*OFFSET(D$112,MATCH($N$1,$C$112:$C$113,0)-1,0)</f>
        <v>4.5</v>
      </c>
      <c r="E39" s="28">
        <f ca="1">3.4*OFFSET(E$112,MATCH($N$1,$C$112:$C$113,0)-1,0)</f>
        <v>3.4</v>
      </c>
      <c r="F39" s="28">
        <f ca="1">2.8*OFFSET(F$112,MATCH($N$1,$C$112:$C$113,0)-1,0)</f>
        <v>2.8</v>
      </c>
      <c r="G39" s="28">
        <f ca="1">2.5*OFFSET(G$112,MATCH($N$1,$C$112:$C$113,0)-1,0)</f>
        <v>2.5</v>
      </c>
      <c r="H39" s="28">
        <f ca="1">2.2*OFFSET(H$112,MATCH($N$1,$C$112:$C$113,0)-1,0)</f>
        <v>2.2000000000000002</v>
      </c>
      <c r="I39" s="28">
        <f ca="1">1.5*OFFSET(I$112,MATCH($N$1,$C$112:$C$113,0)-1,0)</f>
        <v>1.5</v>
      </c>
      <c r="J39" s="28">
        <f ca="1">2.1*OFFSET(J$112,MATCH($N$1,$C$112:$C$113,0)-1,0)</f>
        <v>2.1</v>
      </c>
      <c r="K39" s="28">
        <f ca="1">2.1*OFFSET(K$112,MATCH($N$1,$C$112:$C$113,0)-1,0)</f>
        <v>2.1</v>
      </c>
      <c r="L39" s="28">
        <f ca="1">2.3*OFFSET(L$112,MATCH($N$1,$C$112:$C$113,0)-1,0)</f>
        <v>2.2999999999999998</v>
      </c>
      <c r="M39" s="28">
        <f ca="1">2.3*OFFSET(M$112,MATCH($N$1,$C$112:$C$113,0)-1,0)</f>
        <v>2.2999999999999998</v>
      </c>
      <c r="N39" s="28"/>
      <c r="O39" s="23" t="str">
        <f t="shared" si="0"/>
        <v/>
      </c>
      <c r="P39" s="23" t="str">
        <f t="shared" si="1"/>
        <v/>
      </c>
    </row>
    <row r="40" spans="1:16" ht="18" customHeight="1" x14ac:dyDescent="0.2">
      <c r="A40" s="231"/>
      <c r="B40" s="33" t="s">
        <v>78</v>
      </c>
      <c r="C40" s="27"/>
      <c r="D40" s="28"/>
      <c r="E40" s="28">
        <f ca="1">0.4*OFFSET(E$112,MATCH($N$1,$C$112:$C$113,0)-1,0)</f>
        <v>0.4</v>
      </c>
      <c r="F40" s="28">
        <f ca="1">0.2*OFFSET(F$112,MATCH($N$1,$C$112:$C$113,0)-1,0)</f>
        <v>0.2</v>
      </c>
      <c r="G40" s="28">
        <f ca="1">0.1*OFFSET(G$112,MATCH($N$1,$C$112:$C$113,0)-1,0)</f>
        <v>0.1</v>
      </c>
      <c r="H40" s="28">
        <f ca="1">2.8*OFFSET(H$112,MATCH($N$1,$C$112:$C$113,0)-1,0)</f>
        <v>2.8</v>
      </c>
      <c r="I40" s="28">
        <f ca="1">0.8*OFFSET(I$112,MATCH($N$1,$C$112:$C$113,0)-1,0)</f>
        <v>0.8</v>
      </c>
      <c r="J40" s="28">
        <f ca="1">5.8*OFFSET(J$112,MATCH($N$1,$C$112:$C$113,0)-1,0)</f>
        <v>5.8</v>
      </c>
      <c r="K40" s="28">
        <f ca="1">0.9*OFFSET(K$112,MATCH($N$1,$C$112:$C$113,0)-1,0)</f>
        <v>0.9</v>
      </c>
      <c r="L40" s="28">
        <f ca="1">0.6*OFFSET(L$112,MATCH($N$1,$C$112:$C$113,0)-1,0)</f>
        <v>0.6</v>
      </c>
      <c r="M40" s="28">
        <f ca="1">5.3*OFFSET(M$112,MATCH($N$1,$C$112:$C$113,0)-1,0)</f>
        <v>5.3</v>
      </c>
      <c r="N40" s="28"/>
      <c r="O40" s="23" t="str">
        <f t="shared" si="0"/>
        <v/>
      </c>
      <c r="P40" s="23" t="str">
        <f t="shared" si="1"/>
        <v/>
      </c>
    </row>
    <row r="41" spans="1:16" ht="18" customHeight="1" thickBot="1" x14ac:dyDescent="0.25">
      <c r="A41" s="232"/>
      <c r="B41" s="44" t="s">
        <v>79</v>
      </c>
      <c r="C41" s="45"/>
      <c r="D41" s="46">
        <f ca="1">19.7*OFFSET(D$112,MATCH($N$1,$C$112:$C$113,0)-1,0)</f>
        <v>19.7</v>
      </c>
      <c r="E41" s="46">
        <f ca="1">10*OFFSET(E$112,MATCH($N$1,$C$112:$C$113,0)-1,0)</f>
        <v>10</v>
      </c>
      <c r="F41" s="46">
        <f ca="1">9.8*OFFSET(F$112,MATCH($N$1,$C$112:$C$113,0)-1,0)</f>
        <v>9.8000000000000007</v>
      </c>
      <c r="G41" s="46">
        <f ca="1">19.5*OFFSET(G$112,MATCH($N$1,$C$112:$C$113,0)-1,0)</f>
        <v>19.5</v>
      </c>
      <c r="H41" s="46">
        <f ca="1">35.3*OFFSET(H$112,MATCH($N$1,$C$112:$C$113,0)-1,0)</f>
        <v>35.299999999999997</v>
      </c>
      <c r="I41" s="46">
        <f ca="1">21*OFFSET(I$112,MATCH($N$1,$C$112:$C$113,0)-1,0)</f>
        <v>21</v>
      </c>
      <c r="J41" s="46">
        <f ca="1">14.9*OFFSET(J$112,MATCH($N$1,$C$112:$C$113,0)-1,0)</f>
        <v>14.9</v>
      </c>
      <c r="K41" s="46">
        <f ca="1">20.8*OFFSET(K$112,MATCH($N$1,$C$112:$C$113,0)-1,0)</f>
        <v>20.8</v>
      </c>
      <c r="L41" s="46">
        <f ca="1">24.7*OFFSET(L$112,MATCH($N$1,$C$112:$C$113,0)-1,0)</f>
        <v>24.7</v>
      </c>
      <c r="M41" s="46">
        <f ca="1">21.5*OFFSET(M$112,MATCH($N$1,$C$112:$C$113,0)-1,0)</f>
        <v>21.5</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WOS nephrops under 250kW</v>
      </c>
      <c r="C48" s="97"/>
      <c r="D48" s="97"/>
      <c r="E48" s="97"/>
      <c r="F48" s="97"/>
      <c r="G48" s="97"/>
      <c r="K48" s="97" t="str">
        <f>$B24&amp;CHAR(10)&amp;$A$1</f>
        <v>Operating profit per kW day at sea (£)
WOS nephrops under 250kW</v>
      </c>
    </row>
    <row r="49" spans="1:11" s="83" customFormat="1" x14ac:dyDescent="0.2">
      <c r="A49" s="97" t="str">
        <f>$B22&amp;CHAR(10)&amp;$A$1</f>
        <v>Fishing income per kW day at sea (£)
WOS nephrops under 250kW</v>
      </c>
    </row>
    <row r="50" spans="1:11" s="83" customFormat="1" x14ac:dyDescent="0.2">
      <c r="A50" s="97" t="str">
        <f>$B20&amp;CHAR(10)&amp;$A$1</f>
        <v>Average price per tonne landed (£)
WOS nephrops under 250kW</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WOS nephrops under 250kW</v>
      </c>
      <c r="F62" s="97" t="str">
        <f>$B20&amp;CHAR(10)&amp;$A$1</f>
        <v>Average price per tonne landed (£)
WOS nephrops under 250kW</v>
      </c>
      <c r="K62" s="97" t="str">
        <f>"Average annual operating profit per vessel (£'000)"&amp;CHAR(10)&amp;$A$1</f>
        <v>Average annual operating profit per vessel (£'000)
WOS nephrops under 250kW</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WOS nephrops under 250kW</v>
      </c>
      <c r="F76" s="97" t="str">
        <f>"Top 5 landed species by value in "&amp;A77&amp;CHAR(10)&amp;A1</f>
        <v>Top 5 landed species by value in 2017
WOS nephrops under 250kW</v>
      </c>
    </row>
    <row r="77" spans="1:9" s="97" customFormat="1" x14ac:dyDescent="0.2">
      <c r="A77" s="97">
        <v>2017</v>
      </c>
      <c r="B77" s="97" t="s">
        <v>523</v>
      </c>
      <c r="C77" s="98">
        <v>0.94996685116206048</v>
      </c>
      <c r="D77" s="99">
        <v>12153634</v>
      </c>
      <c r="G77" s="97" t="s">
        <v>524</v>
      </c>
      <c r="H77" s="98">
        <v>0.96561066376605786</v>
      </c>
      <c r="I77" s="99">
        <v>12153634</v>
      </c>
    </row>
    <row r="78" spans="1:9" s="97" customFormat="1" x14ac:dyDescent="0.2">
      <c r="B78" s="97" t="s">
        <v>525</v>
      </c>
      <c r="C78" s="98">
        <v>1.2734254155064084E-2</v>
      </c>
      <c r="D78" s="99">
        <v>1692097</v>
      </c>
      <c r="G78" s="97" t="s">
        <v>526</v>
      </c>
      <c r="H78" s="98">
        <v>9.3146977361273052E-3</v>
      </c>
      <c r="I78" s="99">
        <v>553960</v>
      </c>
    </row>
    <row r="79" spans="1:9" s="97" customFormat="1" x14ac:dyDescent="0.2">
      <c r="B79" s="97" t="s">
        <v>527</v>
      </c>
      <c r="C79" s="98">
        <v>8.3745663018874317E-3</v>
      </c>
      <c r="D79" s="99">
        <v>3050596</v>
      </c>
      <c r="G79" s="97" t="s">
        <v>528</v>
      </c>
      <c r="H79" s="98">
        <v>8.9290052127181802E-3</v>
      </c>
      <c r="I79" s="99">
        <v>3050596</v>
      </c>
    </row>
    <row r="80" spans="1:9" s="97" customFormat="1" x14ac:dyDescent="0.2">
      <c r="B80" s="97" t="s">
        <v>529</v>
      </c>
      <c r="C80" s="98">
        <v>8.3333047155874761E-3</v>
      </c>
      <c r="D80" s="99">
        <v>553960</v>
      </c>
      <c r="G80" s="97" t="s">
        <v>530</v>
      </c>
      <c r="H80" s="98">
        <v>7.8040521942492318E-3</v>
      </c>
      <c r="I80" s="99">
        <v>1692097</v>
      </c>
    </row>
    <row r="81" spans="1:18" s="97" customFormat="1" x14ac:dyDescent="0.2">
      <c r="B81" s="97" t="s">
        <v>531</v>
      </c>
      <c r="C81" s="98">
        <v>7.837212265246335E-3</v>
      </c>
      <c r="D81" s="99">
        <v>11115023</v>
      </c>
      <c r="G81" s="97" t="s">
        <v>532</v>
      </c>
      <c r="H81" s="98">
        <v>2.8278219066543548E-3</v>
      </c>
      <c r="I81" s="99">
        <v>3689192</v>
      </c>
    </row>
    <row r="82" spans="1:18" s="97" customFormat="1" x14ac:dyDescent="0.2">
      <c r="B82" s="97" t="s">
        <v>533</v>
      </c>
      <c r="C82" s="98">
        <v>1.275381140015408E-2</v>
      </c>
      <c r="D82" s="99">
        <v>5920853</v>
      </c>
      <c r="G82" s="97" t="s">
        <v>534</v>
      </c>
      <c r="H82" s="98">
        <v>5.5137591841931677E-3</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93</v>
      </c>
      <c r="D92" s="102">
        <v>0.9587650234912366</v>
      </c>
      <c r="E92" s="102">
        <v>0.96620790644760102</v>
      </c>
      <c r="F92" s="102">
        <v>0.98157068400627689</v>
      </c>
      <c r="G92" s="102">
        <v>0.958895395030122</v>
      </c>
      <c r="H92" s="102">
        <v>0.95686832877374328</v>
      </c>
      <c r="I92" s="102">
        <v>0.97667636891857212</v>
      </c>
      <c r="J92" s="102">
        <v>0.97751762348819993</v>
      </c>
      <c r="K92" s="102">
        <v>0.97630561696280249</v>
      </c>
      <c r="L92" s="102">
        <v>0.96561066376605786</v>
      </c>
      <c r="M92" s="102">
        <v>0.9610785283278277</v>
      </c>
      <c r="O92" s="97">
        <v>12153634</v>
      </c>
    </row>
    <row r="93" spans="1:18" s="97" customFormat="1" hidden="1" x14ac:dyDescent="0.2">
      <c r="B93" s="97">
        <v>2</v>
      </c>
      <c r="C93" s="97" t="s">
        <v>137</v>
      </c>
      <c r="D93" s="102">
        <v>9.8178290937000565E-3</v>
      </c>
      <c r="E93" s="102">
        <v>9.0853793956398518E-3</v>
      </c>
      <c r="F93" s="102">
        <v>6.6073433024652854E-4</v>
      </c>
      <c r="G93" s="102"/>
      <c r="H93" s="102">
        <v>3.7225217258412759E-3</v>
      </c>
      <c r="I93" s="102"/>
      <c r="J93" s="102"/>
      <c r="K93" s="102">
        <v>2.9143313590627288E-3</v>
      </c>
      <c r="L93" s="102">
        <v>9.3146977361273052E-3</v>
      </c>
      <c r="M93" s="102">
        <v>7.2558427548077079E-3</v>
      </c>
      <c r="O93" s="97">
        <v>553960</v>
      </c>
    </row>
    <row r="94" spans="1:18" s="97" customFormat="1" hidden="1" x14ac:dyDescent="0.2">
      <c r="B94" s="97">
        <v>3</v>
      </c>
      <c r="C94" s="97" t="s">
        <v>94</v>
      </c>
      <c r="D94" s="102">
        <v>1.3792767807281317E-2</v>
      </c>
      <c r="E94" s="102">
        <v>7.8876987281942933E-3</v>
      </c>
      <c r="F94" s="102">
        <v>1.0140327053287832E-2</v>
      </c>
      <c r="G94" s="102">
        <v>2.1433350884196109E-2</v>
      </c>
      <c r="H94" s="102">
        <v>1.2863799209848122E-2</v>
      </c>
      <c r="I94" s="102">
        <v>3.8048753227787817E-3</v>
      </c>
      <c r="J94" s="102">
        <v>9.3074370368271056E-3</v>
      </c>
      <c r="K94" s="102">
        <v>9.3843116517454504E-3</v>
      </c>
      <c r="L94" s="102">
        <v>8.9290052127181802E-3</v>
      </c>
      <c r="M94" s="102">
        <v>8.3421172678315968E-3</v>
      </c>
      <c r="O94" s="97">
        <v>3050596</v>
      </c>
    </row>
    <row r="95" spans="1:18" s="97" customFormat="1" hidden="1" x14ac:dyDescent="0.2">
      <c r="B95" s="97">
        <v>4</v>
      </c>
      <c r="C95" s="97" t="s">
        <v>98</v>
      </c>
      <c r="D95" s="102"/>
      <c r="E95" s="102"/>
      <c r="F95" s="102"/>
      <c r="G95" s="102"/>
      <c r="H95" s="102"/>
      <c r="I95" s="102">
        <v>3.378448104257966E-3</v>
      </c>
      <c r="J95" s="102">
        <v>2.9346165003633295E-3</v>
      </c>
      <c r="K95" s="102">
        <v>4.0863740943088995E-3</v>
      </c>
      <c r="L95" s="102">
        <v>7.8040521942492318E-3</v>
      </c>
      <c r="M95" s="102">
        <v>1.3041143706938688E-2</v>
      </c>
      <c r="O95" s="97">
        <v>1692097</v>
      </c>
    </row>
    <row r="96" spans="1:18" s="97" customFormat="1" hidden="1" x14ac:dyDescent="0.2">
      <c r="B96" s="97">
        <v>5</v>
      </c>
      <c r="C96" s="97" t="s">
        <v>121</v>
      </c>
      <c r="D96" s="102">
        <v>1.4415841510155244E-3</v>
      </c>
      <c r="E96" s="102"/>
      <c r="F96" s="102">
        <v>8.8346688257512037E-4</v>
      </c>
      <c r="G96" s="102">
        <v>2.0406881152511833E-3</v>
      </c>
      <c r="H96" s="102"/>
      <c r="I96" s="102">
        <v>4.5561749192062021E-3</v>
      </c>
      <c r="J96" s="102">
        <v>3.5171205801977994E-3</v>
      </c>
      <c r="K96" s="102">
        <v>2.4533184887049735E-3</v>
      </c>
      <c r="L96" s="102">
        <v>2.8278219066543548E-3</v>
      </c>
      <c r="M96" s="102">
        <v>5.0757601393531257E-3</v>
      </c>
      <c r="O96" s="97">
        <v>3689192</v>
      </c>
    </row>
    <row r="97" spans="1:15" s="97" customFormat="1" hidden="1" x14ac:dyDescent="0.2">
      <c r="B97" s="97">
        <v>6</v>
      </c>
      <c r="C97" s="97" t="s">
        <v>16</v>
      </c>
      <c r="D97" s="102"/>
      <c r="E97" s="102"/>
      <c r="F97" s="102">
        <v>1.3943719163772874E-3</v>
      </c>
      <c r="G97" s="102">
        <v>3.2937935435945883E-3</v>
      </c>
      <c r="H97" s="102"/>
      <c r="I97" s="102"/>
      <c r="J97" s="102">
        <v>1.5340162826834776E-3</v>
      </c>
      <c r="K97" s="102"/>
      <c r="L97" s="102"/>
      <c r="M97" s="102"/>
      <c r="O97" s="97">
        <v>11115023</v>
      </c>
    </row>
    <row r="98" spans="1:15" s="97" customFormat="1" hidden="1" x14ac:dyDescent="0.2">
      <c r="B98" s="97">
        <v>7</v>
      </c>
      <c r="C98" s="97" t="s">
        <v>168</v>
      </c>
      <c r="D98" s="102"/>
      <c r="E98" s="102"/>
      <c r="F98" s="102"/>
      <c r="G98" s="102"/>
      <c r="H98" s="102"/>
      <c r="I98" s="102">
        <v>2.0934494093297158E-3</v>
      </c>
      <c r="J98" s="102"/>
      <c r="K98" s="102"/>
      <c r="L98" s="102"/>
      <c r="M98" s="102"/>
      <c r="O98" s="97">
        <v>2480382</v>
      </c>
    </row>
    <row r="99" spans="1:15" s="97" customFormat="1" hidden="1" x14ac:dyDescent="0.2">
      <c r="B99" s="97">
        <v>8</v>
      </c>
      <c r="C99" s="97" t="s">
        <v>99</v>
      </c>
      <c r="D99" s="102">
        <v>6.2418851310877621E-3</v>
      </c>
      <c r="E99" s="102">
        <v>5.7616598664800628E-3</v>
      </c>
      <c r="F99" s="102"/>
      <c r="G99" s="102">
        <v>4.0106842876232287E-3</v>
      </c>
      <c r="H99" s="102">
        <v>7.4518382298895645E-3</v>
      </c>
      <c r="I99" s="102"/>
      <c r="J99" s="102"/>
      <c r="K99" s="102"/>
      <c r="L99" s="102"/>
      <c r="M99" s="102"/>
      <c r="O99" s="97">
        <v>7434864</v>
      </c>
    </row>
    <row r="100" spans="1:15" s="97" customFormat="1" hidden="1" x14ac:dyDescent="0.2">
      <c r="B100" s="97">
        <v>9</v>
      </c>
      <c r="C100" s="97" t="s">
        <v>154</v>
      </c>
      <c r="D100" s="102"/>
      <c r="E100" s="102"/>
      <c r="F100" s="102"/>
      <c r="G100" s="102"/>
      <c r="H100" s="102">
        <v>5.2036337846536876E-3</v>
      </c>
      <c r="I100" s="102"/>
      <c r="J100" s="102"/>
      <c r="K100" s="102"/>
      <c r="L100" s="102"/>
      <c r="M100" s="102"/>
      <c r="O100" s="97">
        <v>8497745</v>
      </c>
    </row>
    <row r="101" spans="1:15" s="97" customFormat="1" hidden="1" x14ac:dyDescent="0.2">
      <c r="B101" s="97">
        <v>10</v>
      </c>
      <c r="C101" s="97" t="s">
        <v>535</v>
      </c>
      <c r="D101" s="102"/>
      <c r="E101" s="102">
        <v>1.8907820380995065E-3</v>
      </c>
      <c r="F101" s="102"/>
      <c r="G101" s="102"/>
      <c r="H101" s="102"/>
      <c r="I101" s="102"/>
      <c r="J101" s="102"/>
      <c r="K101" s="102"/>
      <c r="L101" s="102"/>
      <c r="M101" s="102"/>
      <c r="O101" s="97">
        <v>14393110</v>
      </c>
    </row>
    <row r="102" spans="1:15" s="97" customFormat="1" hidden="1" x14ac:dyDescent="0.2">
      <c r="B102" s="97">
        <v>11</v>
      </c>
      <c r="C102" s="97" t="s">
        <v>101</v>
      </c>
      <c r="D102" s="102">
        <v>9.940910325678759E-3</v>
      </c>
      <c r="E102" s="102">
        <v>9.1665735239852327E-3</v>
      </c>
      <c r="F102" s="102">
        <v>5.3504158112363687E-3</v>
      </c>
      <c r="G102" s="102">
        <v>1.032608813921284E-2</v>
      </c>
      <c r="H102" s="102">
        <v>1.3889878276024068E-2</v>
      </c>
      <c r="I102" s="102">
        <v>9.4906833258552592E-3</v>
      </c>
      <c r="J102" s="102">
        <v>5.189186111728381E-3</v>
      </c>
      <c r="K102" s="102">
        <v>4.8560474433754167E-3</v>
      </c>
      <c r="L102" s="102">
        <v>5.5137591841930862E-3</v>
      </c>
      <c r="M102" s="102">
        <v>5.2066078032411717E-3</v>
      </c>
      <c r="O102" s="97">
        <v>5920853</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12</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19</v>
      </c>
      <c r="D120" s="56">
        <v>37</v>
      </c>
      <c r="E120" s="56">
        <v>19</v>
      </c>
      <c r="F120" s="57">
        <v>75</v>
      </c>
    </row>
    <row r="121" spans="1:14" ht="18" customHeight="1" x14ac:dyDescent="0.2">
      <c r="A121" s="225" t="s">
        <v>23</v>
      </c>
      <c r="B121" s="30" t="s">
        <v>58</v>
      </c>
      <c r="C121" s="58">
        <v>13.511053085327148</v>
      </c>
      <c r="D121" s="58">
        <v>15.217027200234902</v>
      </c>
      <c r="E121" s="58">
        <v>16.184209823608398</v>
      </c>
      <c r="F121" s="59">
        <v>15.029867172241211</v>
      </c>
    </row>
    <row r="122" spans="1:14" ht="18" customHeight="1" x14ac:dyDescent="0.2">
      <c r="A122" s="226"/>
      <c r="B122" s="33" t="s">
        <v>51</v>
      </c>
      <c r="C122" s="60">
        <v>137.57894897460937</v>
      </c>
      <c r="D122" s="60">
        <v>170.48648071289062</v>
      </c>
      <c r="E122" s="60">
        <v>182.89472961425781</v>
      </c>
      <c r="F122" s="61">
        <v>165.2933349609375</v>
      </c>
    </row>
    <row r="123" spans="1:14" ht="18" customHeight="1" x14ac:dyDescent="0.2">
      <c r="A123" s="226"/>
      <c r="B123" s="33" t="s">
        <v>52</v>
      </c>
      <c r="C123" s="60">
        <v>27.578947067260742</v>
      </c>
      <c r="D123" s="60">
        <v>42.864864967964792</v>
      </c>
      <c r="E123" s="60">
        <v>44.684211730957031</v>
      </c>
      <c r="F123" s="61">
        <v>39.453334808349609</v>
      </c>
    </row>
    <row r="124" spans="1:14" ht="18" customHeight="1" x14ac:dyDescent="0.2">
      <c r="A124" s="226"/>
      <c r="B124" s="33" t="s">
        <v>53</v>
      </c>
      <c r="C124" s="60">
        <v>127.23468780517578</v>
      </c>
      <c r="D124" s="60">
        <v>158.62563550794448</v>
      </c>
      <c r="E124" s="60">
        <v>168.11201477050781</v>
      </c>
      <c r="F124" s="61">
        <v>153.07647705078125</v>
      </c>
    </row>
    <row r="125" spans="1:14" ht="18" customHeight="1" x14ac:dyDescent="0.2">
      <c r="A125" s="226"/>
      <c r="B125" s="33" t="s">
        <v>54</v>
      </c>
      <c r="C125" s="28">
        <v>69.767616271972656</v>
      </c>
      <c r="D125" s="28">
        <v>71.102823205896328</v>
      </c>
      <c r="E125" s="28">
        <v>54.156196594238281</v>
      </c>
      <c r="F125" s="62">
        <v>66.471427917480469</v>
      </c>
    </row>
    <row r="126" spans="1:14" ht="18" customHeight="1" x14ac:dyDescent="0.2">
      <c r="A126" s="226"/>
      <c r="B126" s="33" t="s">
        <v>59</v>
      </c>
      <c r="C126" s="28">
        <f ca="1">198.780734375*OFFSET($L$112,MATCH($N$1,$C$112:$C$113,0)-1,0)</f>
        <v>198.78073437500001</v>
      </c>
      <c r="D126" s="28">
        <f ca="1">188.465333614865*OFFSET($L$112,MATCH($N$1,$C$112:$C$113,0)-1,0)</f>
        <v>188.46533361486499</v>
      </c>
      <c r="E126" s="28">
        <f ca="1">136.7834375*OFFSET($L$112,MATCH($N$1,$C$112:$C$113,0)-1,0)</f>
        <v>136.78343749999999</v>
      </c>
      <c r="F126" s="62">
        <f ca="1">177.985828125*OFFSET($L$112,MATCH($N$1,$C$112:$C$113,0)-1,0)</f>
        <v>177.98582812500001</v>
      </c>
    </row>
    <row r="127" spans="1:14" ht="18" customHeight="1" x14ac:dyDescent="0.2">
      <c r="A127" s="226"/>
      <c r="B127" s="33" t="s">
        <v>56</v>
      </c>
      <c r="C127" s="60">
        <v>152.3157958984375</v>
      </c>
      <c r="D127" s="60">
        <v>143.05404951765732</v>
      </c>
      <c r="E127" s="60">
        <v>161.57894897460937</v>
      </c>
      <c r="F127" s="61">
        <v>150.09333801269531</v>
      </c>
    </row>
    <row r="128" spans="1:14" ht="18" customHeight="1" x14ac:dyDescent="0.2">
      <c r="A128" s="226"/>
      <c r="B128" s="33" t="s">
        <v>60</v>
      </c>
      <c r="C128" s="60">
        <v>38.263156890869141</v>
      </c>
      <c r="D128" s="60">
        <v>38.027027130126953</v>
      </c>
      <c r="E128" s="60">
        <v>44.210525512695313</v>
      </c>
      <c r="F128" s="61">
        <v>39.653331756591797</v>
      </c>
    </row>
    <row r="129" spans="1:14" ht="18" customHeight="1" x14ac:dyDescent="0.2">
      <c r="A129" s="226"/>
      <c r="B129" s="33" t="s">
        <v>61</v>
      </c>
      <c r="C129" s="63">
        <v>0.4580458402633667</v>
      </c>
      <c r="D129" s="63">
        <v>0.49703467637328247</v>
      </c>
      <c r="E129" s="63">
        <v>0.33516862988471985</v>
      </c>
      <c r="F129" s="64">
        <v>0.44286727905273438</v>
      </c>
    </row>
    <row r="130" spans="1:14" ht="18" customHeight="1" x14ac:dyDescent="0.2">
      <c r="A130" s="227"/>
      <c r="B130" s="35" t="s">
        <v>24</v>
      </c>
      <c r="C130" s="37">
        <f ca="1">2849.18340337299*OFFSET($L$112,MATCH($N$1,$C$112:$C$113,0)-1,0)</f>
        <v>2849.1834033729901</v>
      </c>
      <c r="D130" s="37">
        <f ca="1">2650.60267816814*OFFSET($L$112,MATCH($N$1,$C$112:$C$113,0)-1,0)</f>
        <v>2650.6026781681398</v>
      </c>
      <c r="E130" s="37">
        <f ca="1">2525.72089810591*OFFSET($L$112,MATCH($N$1,$C$112:$C$113,0)-1,0)</f>
        <v>2525.7208981059098</v>
      </c>
      <c r="F130" s="65">
        <f ca="1">2678*OFFSET($L$112,MATCH($N$1,$C$112:$C$113,0)-1,0)</f>
        <v>2678</v>
      </c>
    </row>
    <row r="131" spans="1:14" ht="18" customHeight="1" x14ac:dyDescent="0.2">
      <c r="A131" s="239" t="s">
        <v>25</v>
      </c>
      <c r="B131" s="30" t="s">
        <v>62</v>
      </c>
      <c r="C131" s="66">
        <v>3.2964002648903157</v>
      </c>
      <c r="D131" s="66">
        <v>2.8163784275873671</v>
      </c>
      <c r="E131" s="66">
        <v>1.8311803441833914</v>
      </c>
      <c r="F131" s="67">
        <v>2.6264226437522993</v>
      </c>
    </row>
    <row r="132" spans="1:14" ht="18" customHeight="1" x14ac:dyDescent="0.2">
      <c r="A132" s="228"/>
      <c r="B132" s="33" t="s">
        <v>63</v>
      </c>
      <c r="C132" s="63">
        <f ca="1">9.39204892559982*OFFSET($L$112,MATCH($N$1,$C$112:$C$113,0)-1,0)</f>
        <v>9.3920489255998199</v>
      </c>
      <c r="D132" s="63">
        <f ca="1">7.46510020289806*OFFSET($L$112,MATCH($N$1,$C$112:$C$113,0)-1,0)</f>
        <v>7.4651002028980598</v>
      </c>
      <c r="E132" s="63">
        <f ca="1">4.62505046350477*OFFSET($L$112,MATCH($N$1,$C$112:$C$113,0)-1,0)</f>
        <v>4.6250504635047696</v>
      </c>
      <c r="F132" s="64">
        <f ca="1">7.03258563716775*OFFSET($L$112,MATCH($N$1,$C$112:$C$113,0)-1,0)</f>
        <v>7.0325856371677498</v>
      </c>
    </row>
    <row r="133" spans="1:14" ht="18" customHeight="1" x14ac:dyDescent="0.2">
      <c r="A133" s="228"/>
      <c r="B133" s="33" t="s">
        <v>11</v>
      </c>
      <c r="C133" s="63">
        <f ca="1">6.97446322440758*OFFSET($L$112,MATCH($N$1,$C$112:$C$113,0)-1,0)</f>
        <v>6.9744632244075797</v>
      </c>
      <c r="D133" s="63">
        <f ca="1">5.91063611561729*OFFSET($L$112,MATCH($N$1,$C$112:$C$113,0)-1,0)</f>
        <v>5.9106361156172902</v>
      </c>
      <c r="E133" s="63">
        <f ca="1">4.06053454431216*OFFSET($L$112,MATCH($N$1,$C$112:$C$113,0)-1,0)</f>
        <v>4.0605345443121603</v>
      </c>
      <c r="F133" s="64">
        <f ca="1">5.58832252115303*OFFSET($L$112,MATCH($N$1,$C$112:$C$113,0)-1,0)</f>
        <v>5.5883225211530299</v>
      </c>
    </row>
    <row r="134" spans="1:14" ht="18" customHeight="1" x14ac:dyDescent="0.2">
      <c r="A134" s="229"/>
      <c r="B134" s="35" t="s">
        <v>12</v>
      </c>
      <c r="C134" s="68">
        <f ca="1">2.41758570119224*OFFSET($L$112,MATCH($N$1,$C$112:$C$113,0)-1,0)</f>
        <v>2.4175857011922401</v>
      </c>
      <c r="D134" s="68">
        <f ca="1">1.55446408728077*OFFSET($L$112,MATCH($N$1,$C$112:$C$113,0)-1,0)</f>
        <v>1.55446408728077</v>
      </c>
      <c r="E134" s="68">
        <f ca="1">0.564515919192616*OFFSET($L$112,MATCH($N$1,$C$112:$C$113,0)-1,0)</f>
        <v>0.56451591919261601</v>
      </c>
      <c r="F134" s="69">
        <f ca="1">1.44426311601472*OFFSET($L$112,MATCH($N$1,$C$112:$C$113,0)-1,0)</f>
        <v>1.4442631160147199</v>
      </c>
    </row>
    <row r="135" spans="1:14" ht="18" customHeight="1" x14ac:dyDescent="0.2">
      <c r="A135" s="240" t="s">
        <v>45</v>
      </c>
      <c r="B135" s="33" t="s">
        <v>102</v>
      </c>
      <c r="C135" s="70">
        <f ca="1">18.6262265625*OFFSET($L$112,MATCH($N$1,$C$112:$C$113,0)-1,0)</f>
        <v>18.626226562500001</v>
      </c>
      <c r="D135" s="70">
        <f ca="1">26.9277752850507*OFFSET($L$112,MATCH($N$1,$C$112:$C$113,0)-1,0)</f>
        <v>26.9277752850507</v>
      </c>
      <c r="E135" s="70">
        <f ca="1">31.330779296875*OFFSET($L$112,MATCH($N$1,$C$112:$C$113,0)-1,0)</f>
        <v>31.330779296875001</v>
      </c>
      <c r="F135" s="71">
        <f ca="1">25.940142578125*OFFSET($L$112,MATCH($N$1,$C$112:$C$113,0)-1,0)</f>
        <v>25.940142578124998</v>
      </c>
    </row>
    <row r="136" spans="1:14" ht="18" customHeight="1" x14ac:dyDescent="0.2">
      <c r="A136" s="241"/>
      <c r="B136" s="33" t="s">
        <v>103</v>
      </c>
      <c r="C136" s="26">
        <v>44134.738311819732</v>
      </c>
      <c r="D136" s="26">
        <v>63844.050550421816</v>
      </c>
      <c r="E136" s="26">
        <v>74026.314597912133</v>
      </c>
      <c r="F136" s="72">
        <v>61430.533333333333</v>
      </c>
    </row>
    <row r="137" spans="1:14" ht="18" customHeight="1" x14ac:dyDescent="0.2">
      <c r="A137" s="241"/>
      <c r="B137" s="33" t="s">
        <v>104</v>
      </c>
      <c r="C137" s="26">
        <v>289.75811767578125</v>
      </c>
      <c r="D137" s="26">
        <v>446.29320711778576</v>
      </c>
      <c r="E137" s="26">
        <v>458.143310546875</v>
      </c>
      <c r="F137" s="72">
        <v>409.2822265625</v>
      </c>
    </row>
    <row r="138" spans="1:14" ht="18" customHeight="1" x14ac:dyDescent="0.2">
      <c r="A138" s="241"/>
      <c r="B138" s="33" t="s">
        <v>105</v>
      </c>
      <c r="C138" s="26">
        <f ca="1">122.286900400795*OFFSET($L$112,MATCH($N$1,$C$112:$C$113,0)-1,0)</f>
        <v>122.28690040079501</v>
      </c>
      <c r="D138" s="26">
        <f ca="1">188.234973954561*OFFSET($L$112,MATCH($N$1,$C$112:$C$113,0)-1,0)</f>
        <v>188.23497395456101</v>
      </c>
      <c r="E138" s="26">
        <f ca="1">193.903843883762*OFFSET($L$112,MATCH($N$1,$C$112:$C$113,0)-1,0)</f>
        <v>193.90384388376199</v>
      </c>
      <c r="F138" s="72">
        <f ca="1">172.826741823351*OFFSET($L$112,MATCH($N$1,$C$112:$C$113,0)-1,0)</f>
        <v>172.826741823351</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266.975246651542*OFFSET($L$112,MATCH($N$1,$C$112:$C$113,0)-1,0)</f>
        <v>266.97524665154202</v>
      </c>
      <c r="D139" s="26">
        <f ca="1">378.715978788556*OFFSET($L$112,MATCH($N$1,$C$112:$C$113,0)-1,0)</f>
        <v>378.71597878855601</v>
      </c>
      <c r="E139" s="26">
        <f ca="1">578.526212459468*OFFSET($L$112,MATCH($N$1,$C$112:$C$113,0)-1,0)</f>
        <v>578.52621245946796</v>
      </c>
      <c r="F139" s="72">
        <f ca="1">390.245002865409*OFFSET($L$112,MATCH($N$1,$C$112:$C$113,0)-1,0)</f>
        <v>390.24500286540899</v>
      </c>
      <c r="I139" s="49"/>
      <c r="K139" s="73" t="s">
        <v>107</v>
      </c>
      <c r="L139" s="74">
        <f t="shared" ref="L139:M141" ca="1" si="2">C140</f>
        <v>202.438453125</v>
      </c>
      <c r="M139" s="74">
        <f t="shared" ca="1" si="2"/>
        <v>191.93322170608101</v>
      </c>
      <c r="N139" s="74">
        <f ca="1">E140</f>
        <v>139.30034375</v>
      </c>
    </row>
    <row r="140" spans="1:14" ht="18" customHeight="1" x14ac:dyDescent="0.2">
      <c r="A140" s="230" t="s">
        <v>46</v>
      </c>
      <c r="B140" s="30" t="s">
        <v>108</v>
      </c>
      <c r="C140" s="75">
        <f ca="1">202.438453125*OFFSET($L$112,MATCH($N$1,$C$112:$C$113,0)-1,0)</f>
        <v>202.438453125</v>
      </c>
      <c r="D140" s="75">
        <f ca="1">191.933221706081*OFFSET($L$112,MATCH($N$1,$C$112:$C$113,0)-1,0)</f>
        <v>191.93322170608101</v>
      </c>
      <c r="E140" s="75">
        <f ca="1">139.30034375*OFFSET($L$112,MATCH($N$1,$C$112:$C$113,0)-1,0)</f>
        <v>139.30034375</v>
      </c>
      <c r="F140" s="76">
        <f ca="1">181.260890625*OFFSET($L$112,MATCH($N$1,$C$112:$C$113,0)-1,0)</f>
        <v>181.260890625</v>
      </c>
      <c r="I140" s="49"/>
      <c r="K140" s="73" t="s">
        <v>109</v>
      </c>
      <c r="L140" s="74">
        <f t="shared" ca="1" si="2"/>
        <v>151.27074999999999</v>
      </c>
      <c r="M140" s="74">
        <f t="shared" ca="1" si="2"/>
        <v>152.688926942568</v>
      </c>
      <c r="N140" s="74">
        <f ca="1">E141</f>
        <v>122.60508593749999</v>
      </c>
    </row>
    <row r="141" spans="1:14" ht="18" customHeight="1" x14ac:dyDescent="0.2">
      <c r="A141" s="237"/>
      <c r="B141" s="33" t="s">
        <v>110</v>
      </c>
      <c r="C141" s="26">
        <f ca="1">151.27075*OFFSET($L$112,MATCH($N$1,$C$112:$C$113,0)-1,0)</f>
        <v>151.27074999999999</v>
      </c>
      <c r="D141" s="26">
        <f ca="1">152.688926942568*OFFSET($L$112,MATCH($N$1,$C$112:$C$113,0)-1,0)</f>
        <v>152.688926942568</v>
      </c>
      <c r="E141" s="26">
        <f ca="1">122.6050859375*OFFSET($L$112,MATCH($N$1,$C$112:$C$113,0)-1,0)</f>
        <v>122.60508593749999</v>
      </c>
      <c r="F141" s="72">
        <f ca="1">144.708421875*OFFSET($L$112,MATCH($N$1,$C$112:$C$113,0)-1,0)</f>
        <v>144.708421875</v>
      </c>
      <c r="I141" s="49"/>
      <c r="K141" s="73" t="s">
        <v>111</v>
      </c>
      <c r="L141" s="74">
        <f t="shared" ca="1" si="2"/>
        <v>51.167703125000003</v>
      </c>
      <c r="M141" s="74">
        <f t="shared" ca="1" si="2"/>
        <v>39.244294763513501</v>
      </c>
      <c r="N141" s="74">
        <f ca="1">E142</f>
        <v>16.6952578125</v>
      </c>
    </row>
    <row r="142" spans="1:14" ht="18" customHeight="1" x14ac:dyDescent="0.2">
      <c r="A142" s="238"/>
      <c r="B142" s="35" t="s">
        <v>112</v>
      </c>
      <c r="C142" s="37">
        <f ca="1">51.167703125*OFFSET($L$112,MATCH($N$1,$C$112:$C$113,0)-1,0)</f>
        <v>51.167703125000003</v>
      </c>
      <c r="D142" s="37">
        <f ca="1">39.2442947635135*OFFSET($L$112,MATCH($N$1,$C$112:$C$113,0)-1,0)</f>
        <v>39.244294763513501</v>
      </c>
      <c r="E142" s="37">
        <f ca="1">16.6952578125*OFFSET($L$112,MATCH($N$1,$C$112:$C$113,0)-1,0)</f>
        <v>16.6952578125</v>
      </c>
      <c r="F142" s="65">
        <f ca="1">36.55246875*OFFSET($L$112,MATCH($N$1,$C$112:$C$113,0)-1,0)</f>
        <v>36.552468750000003</v>
      </c>
      <c r="I142" s="49"/>
      <c r="K142" s="73" t="s">
        <v>113</v>
      </c>
      <c r="L142" s="77">
        <f ca="1">IFERROR(L140/L$139,"")</f>
        <v>0.74724316287180181</v>
      </c>
      <c r="M142" s="77">
        <f t="shared" ref="M142:N143" ca="1" si="3">IFERROR(M140/M$139,"")</f>
        <v>0.79553151656251475</v>
      </c>
      <c r="N142" s="77">
        <f t="shared" ca="1" si="3"/>
        <v>0.88014919875242592</v>
      </c>
    </row>
    <row r="143" spans="1:14" ht="18" customHeight="1" x14ac:dyDescent="0.2">
      <c r="I143" s="49"/>
      <c r="K143" s="73" t="s">
        <v>114</v>
      </c>
      <c r="L143" s="77">
        <f ca="1">IFERROR(L141/L$139,"")</f>
        <v>0.25275683712819819</v>
      </c>
      <c r="M143" s="77">
        <f t="shared" ca="1" si="3"/>
        <v>0.2044684834374878</v>
      </c>
      <c r="N143" s="77">
        <f t="shared" ca="1" si="3"/>
        <v>0.11985080124757409</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10</v>
      </c>
      <c r="B161" s="53"/>
      <c r="C161" s="79" t="s">
        <v>41</v>
      </c>
      <c r="D161" s="79" t="s">
        <v>115</v>
      </c>
      <c r="E161" s="79" t="s">
        <v>43</v>
      </c>
      <c r="F161" s="79" t="s">
        <v>116</v>
      </c>
      <c r="G161" s="80">
        <v>10</v>
      </c>
      <c r="H161" s="79"/>
      <c r="I161" s="79" t="s">
        <v>41</v>
      </c>
      <c r="J161" s="79" t="s">
        <v>115</v>
      </c>
      <c r="K161" s="79" t="s">
        <v>43</v>
      </c>
      <c r="L161" s="53" t="s">
        <v>116</v>
      </c>
    </row>
    <row r="162" spans="1:14" s="49" customFormat="1" x14ac:dyDescent="0.2">
      <c r="A162" s="50">
        <v>1</v>
      </c>
      <c r="B162" s="53" t="s">
        <v>93</v>
      </c>
      <c r="C162" s="53">
        <v>0.97131489549404693</v>
      </c>
      <c r="D162" s="53">
        <v>0.95056146809670061</v>
      </c>
      <c r="E162" s="53">
        <v>0.9532029516556707</v>
      </c>
      <c r="F162" s="50">
        <v>12153634</v>
      </c>
      <c r="G162" s="50">
        <v>1</v>
      </c>
      <c r="H162" s="53" t="s">
        <v>93</v>
      </c>
      <c r="I162" s="53">
        <v>0.97639199924005438</v>
      </c>
      <c r="J162" s="53">
        <v>0.95645197028311824</v>
      </c>
      <c r="K162" s="53">
        <v>0.97624244110627323</v>
      </c>
      <c r="L162" s="50">
        <v>12153634</v>
      </c>
    </row>
    <row r="163" spans="1:14" s="49" customFormat="1" x14ac:dyDescent="0.2">
      <c r="A163" s="50">
        <v>2</v>
      </c>
      <c r="B163" s="53" t="s">
        <v>94</v>
      </c>
      <c r="C163" s="53">
        <v>0</v>
      </c>
      <c r="D163" s="53">
        <v>1.8995694156867558E-2</v>
      </c>
      <c r="E163" s="53">
        <v>0</v>
      </c>
      <c r="F163" s="50">
        <v>3050596</v>
      </c>
      <c r="G163" s="50">
        <v>2</v>
      </c>
      <c r="H163" s="53" t="s">
        <v>94</v>
      </c>
      <c r="I163" s="53">
        <v>0</v>
      </c>
      <c r="J163" s="53">
        <v>1.7083280378874518E-2</v>
      </c>
      <c r="K163" s="53">
        <v>0</v>
      </c>
      <c r="L163" s="50">
        <v>3050596</v>
      </c>
      <c r="N163" s="49" t="s">
        <v>117</v>
      </c>
    </row>
    <row r="164" spans="1:14" s="49" customFormat="1" x14ac:dyDescent="0.2">
      <c r="A164" s="50">
        <v>3</v>
      </c>
      <c r="B164" s="53" t="s">
        <v>98</v>
      </c>
      <c r="C164" s="53">
        <v>0</v>
      </c>
      <c r="D164" s="53">
        <v>1.3982308346408737E-2</v>
      </c>
      <c r="E164" s="53">
        <v>0</v>
      </c>
      <c r="F164" s="50">
        <v>1692097</v>
      </c>
      <c r="G164" s="50">
        <v>3</v>
      </c>
      <c r="H164" s="53" t="s">
        <v>98</v>
      </c>
      <c r="I164" s="53">
        <v>0</v>
      </c>
      <c r="J164" s="53">
        <v>1.4938433595331597E-2</v>
      </c>
      <c r="K164" s="53">
        <v>0</v>
      </c>
      <c r="L164" s="50">
        <v>1692097</v>
      </c>
      <c r="N164" s="49" t="s">
        <v>118</v>
      </c>
    </row>
    <row r="165" spans="1:14" s="49" customFormat="1" x14ac:dyDescent="0.2">
      <c r="A165" s="50">
        <v>4</v>
      </c>
      <c r="B165" s="53" t="s">
        <v>137</v>
      </c>
      <c r="C165" s="53">
        <v>1.8363141610930465E-2</v>
      </c>
      <c r="D165" s="53">
        <v>5.051236290158345E-3</v>
      </c>
      <c r="E165" s="53">
        <v>7.4228770382913038E-3</v>
      </c>
      <c r="F165" s="50">
        <v>553960</v>
      </c>
      <c r="G165" s="50">
        <v>4</v>
      </c>
      <c r="H165" s="53" t="s">
        <v>137</v>
      </c>
      <c r="I165" s="53">
        <v>1.8585178543052448E-2</v>
      </c>
      <c r="J165" s="53">
        <v>5.1515604429067654E-3</v>
      </c>
      <c r="K165" s="53">
        <v>7.022001928669125E-3</v>
      </c>
      <c r="L165" s="50">
        <v>553960</v>
      </c>
    </row>
    <row r="166" spans="1:14" s="49" customFormat="1" x14ac:dyDescent="0.2">
      <c r="A166" s="50">
        <v>5</v>
      </c>
      <c r="B166" s="53" t="s">
        <v>121</v>
      </c>
      <c r="C166" s="53">
        <v>1.5668556497422921E-3</v>
      </c>
      <c r="D166" s="53">
        <v>2.8157593891573172E-3</v>
      </c>
      <c r="E166" s="53">
        <v>9.5907775900925616E-3</v>
      </c>
      <c r="F166" s="50">
        <v>3689192</v>
      </c>
      <c r="G166" s="50">
        <v>5</v>
      </c>
      <c r="H166" s="53" t="s">
        <v>16</v>
      </c>
      <c r="I166" s="53">
        <v>4.9227644393368651E-4</v>
      </c>
      <c r="J166" s="53">
        <v>1.9935118390792669E-3</v>
      </c>
      <c r="K166" s="53">
        <v>5.8994252264728819E-3</v>
      </c>
      <c r="L166" s="50">
        <v>11115023</v>
      </c>
    </row>
    <row r="167" spans="1:14" s="49" customFormat="1" x14ac:dyDescent="0.2">
      <c r="A167" s="50">
        <v>6</v>
      </c>
      <c r="B167" s="53" t="s">
        <v>16</v>
      </c>
      <c r="C167" s="53">
        <v>1.9129671216269353E-3</v>
      </c>
      <c r="D167" s="53">
        <v>0</v>
      </c>
      <c r="E167" s="53">
        <v>1.6585166131173598E-2</v>
      </c>
      <c r="F167" s="50">
        <v>11115023</v>
      </c>
      <c r="G167" s="50">
        <v>6</v>
      </c>
      <c r="H167" s="53" t="s">
        <v>121</v>
      </c>
      <c r="I167" s="53">
        <v>1.2016768298797902E-3</v>
      </c>
      <c r="J167" s="53">
        <v>0</v>
      </c>
      <c r="K167" s="53">
        <v>7.7158713560057691E-3</v>
      </c>
      <c r="L167" s="50">
        <v>3689192</v>
      </c>
    </row>
    <row r="168" spans="1:14" s="49" customFormat="1" x14ac:dyDescent="0.2">
      <c r="A168" s="50">
        <v>7</v>
      </c>
      <c r="B168" s="53" t="s">
        <v>120</v>
      </c>
      <c r="C168" s="53">
        <v>0</v>
      </c>
      <c r="D168" s="53">
        <v>0</v>
      </c>
      <c r="E168" s="53">
        <v>6.0515021600836983E-3</v>
      </c>
      <c r="F168" s="50">
        <v>2480382</v>
      </c>
      <c r="G168" s="50">
        <v>7</v>
      </c>
      <c r="H168" s="53" t="s">
        <v>100</v>
      </c>
      <c r="I168" s="53">
        <v>0</v>
      </c>
      <c r="J168" s="53">
        <v>0</v>
      </c>
      <c r="K168" s="53">
        <v>6.3095353203148578E-4</v>
      </c>
      <c r="L168" s="50">
        <v>7434864</v>
      </c>
    </row>
    <row r="169" spans="1:14" s="49" customFormat="1" x14ac:dyDescent="0.2">
      <c r="A169" s="50">
        <v>8</v>
      </c>
      <c r="B169" s="53" t="s">
        <v>99</v>
      </c>
      <c r="C169" s="53">
        <v>4.7918478208319407E-3</v>
      </c>
      <c r="D169" s="53">
        <v>0</v>
      </c>
      <c r="E169" s="53">
        <v>0</v>
      </c>
      <c r="F169" s="50">
        <v>8497745</v>
      </c>
      <c r="G169" s="50">
        <v>8</v>
      </c>
      <c r="H169" s="53" t="s">
        <v>99</v>
      </c>
      <c r="I169" s="53">
        <v>2.02145798222144E-3</v>
      </c>
      <c r="J169" s="53">
        <v>0</v>
      </c>
      <c r="K169" s="53">
        <v>0</v>
      </c>
      <c r="L169" s="50">
        <v>8497745</v>
      </c>
    </row>
    <row r="170" spans="1:14" s="49" customFormat="1" x14ac:dyDescent="0.2">
      <c r="A170" s="50">
        <v>9</v>
      </c>
      <c r="B170" s="53" t="s">
        <v>101</v>
      </c>
      <c r="C170" s="53">
        <v>2.0502923028214992E-3</v>
      </c>
      <c r="D170" s="53">
        <v>8.5935337207073692E-3</v>
      </c>
      <c r="E170" s="53">
        <v>7.146725424688305E-3</v>
      </c>
      <c r="F170" s="50">
        <v>5920853</v>
      </c>
      <c r="G170" s="50">
        <v>9</v>
      </c>
      <c r="H170" s="53" t="s">
        <v>101</v>
      </c>
      <c r="I170" s="53">
        <v>1.3074109608582907E-3</v>
      </c>
      <c r="J170" s="53">
        <v>4.3812434606895767E-3</v>
      </c>
      <c r="K170" s="53">
        <v>2.4893068505474902E-3</v>
      </c>
      <c r="L170" s="50">
        <v>5920853</v>
      </c>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'WOS nephrops under 250kW'!D3:N3</xm:f>
              <xm:sqref>C3</xm:sqref>
            </x14:sparkline>
            <x14:sparkline>
              <xm:f>'WOS nephrops under 250kW'!D4:N4</xm:f>
              <xm:sqref>C4</xm:sqref>
            </x14:sparkline>
            <x14:sparkline>
              <xm:f>'WOS nephrops under 250kW'!D5:N5</xm:f>
              <xm:sqref>C5</xm:sqref>
            </x14:sparkline>
            <x14:sparkline>
              <xm:f>'WOS nephrops under 250kW'!D6:N6</xm:f>
              <xm:sqref>C6</xm:sqref>
            </x14:sparkline>
            <x14:sparkline>
              <xm:f>'WOS nephrops under 250kW'!D7:N7</xm:f>
              <xm:sqref>C7</xm:sqref>
            </x14:sparkline>
            <x14:sparkline>
              <xm:f>'WOS nephrops under 250kW'!D8:N8</xm:f>
              <xm:sqref>C8</xm:sqref>
            </x14:sparkline>
            <x14:sparkline>
              <xm:f>'WOS nephrops under 250kW'!D9:N9</xm:f>
              <xm:sqref>C9</xm:sqref>
            </x14:sparkline>
            <x14:sparkline>
              <xm:f>'WOS nephrops under 250kW'!F10:M10</xm:f>
              <xm:sqref>C10</xm:sqref>
            </x14:sparkline>
            <x14:sparkline>
              <xm:f>'WOS nephrops under 250kW'!D11:N11</xm:f>
              <xm:sqref>C11</xm:sqref>
            </x14:sparkline>
            <x14:sparkline>
              <xm:f>'WOS nephrops under 250kW'!D12:N12</xm:f>
              <xm:sqref>C12</xm:sqref>
            </x14:sparkline>
            <x14:sparkline>
              <xm:f>'WOS nephrops under 250kW'!D13:N13</xm:f>
              <xm:sqref>C13</xm:sqref>
            </x14:sparkline>
            <x14:sparkline>
              <xm:f>'WOS nephrops under 250kW'!D14:N14</xm:f>
              <xm:sqref>C14</xm:sqref>
            </x14:sparkline>
            <x14:sparkline>
              <xm:f>'WOS nephrops under 250kW'!D15:N15</xm:f>
              <xm:sqref>C15</xm:sqref>
            </x14:sparkline>
            <x14:sparkline>
              <xm:f>'WOS nephrops under 250kW'!D16:N16</xm:f>
              <xm:sqref>C16</xm:sqref>
            </x14:sparkline>
            <x14:sparkline>
              <xm:f>'WOS nephrops under 250kW'!D17:N17</xm:f>
              <xm:sqref>C17</xm:sqref>
            </x14:sparkline>
            <x14:sparkline>
              <xm:f>'WOS nephrops under 250kW'!D18:N18</xm:f>
              <xm:sqref>C18</xm:sqref>
            </x14:sparkline>
            <x14:sparkline>
              <xm:f>'WOS nephrops under 250kW'!D19:N19</xm:f>
              <xm:sqref>C19</xm:sqref>
            </x14:sparkline>
            <x14:sparkline>
              <xm:f>'WOS nephrops under 250kW'!D20:N20</xm:f>
              <xm:sqref>C20</xm:sqref>
            </x14:sparkline>
            <x14:sparkline>
              <xm:f>'WOS nephrops under 250kW'!D21:N21</xm:f>
              <xm:sqref>C21</xm:sqref>
            </x14:sparkline>
            <x14:sparkline>
              <xm:f>'WOS nephrops under 250kW'!D22:N22</xm:f>
              <xm:sqref>C22</xm:sqref>
            </x14:sparkline>
            <x14:sparkline>
              <xm:f>'WOS nephrops under 250kW'!D23:N23</xm:f>
              <xm:sqref>C23</xm:sqref>
            </x14:sparkline>
            <x14:sparkline>
              <xm:f>'WOS nephrops under 250kW'!D24:N24</xm:f>
              <xm:sqref>C24</xm:sqref>
            </x14:sparkline>
            <x14:sparkline>
              <xm:f>'WOS nephrops under 250kW'!F25:M25</xm:f>
              <xm:sqref>C25</xm:sqref>
            </x14:sparkline>
            <x14:sparkline>
              <xm:f>'WOS nephrops under 250kW'!F26:M26</xm:f>
              <xm:sqref>C26</xm:sqref>
            </x14:sparkline>
            <x14:sparkline>
              <xm:f>'WOS nephrops under 250kW'!D27:N27</xm:f>
              <xm:sqref>C27</xm:sqref>
            </x14:sparkline>
            <x14:sparkline>
              <xm:f>'WOS nephrops under 250kW'!D28:N28</xm:f>
              <xm:sqref>C28</xm:sqref>
            </x14:sparkline>
            <x14:sparkline>
              <xm:f>'WOS nephrops under 250kW'!D29:N29</xm:f>
              <xm:sqref>C29</xm:sqref>
            </x14:sparkline>
            <x14:sparkline>
              <xm:f>'WOS nephrops under 250kW'!D30:N30</xm:f>
              <xm:sqref>C30</xm:sqref>
            </x14:sparkline>
            <x14:sparkline>
              <xm:f>'WOS nephrops under 250kW'!D31:N31</xm:f>
              <xm:sqref>C31</xm:sqref>
            </x14:sparkline>
            <x14:sparkline>
              <xm:f>'WOS nephrops under 250kW'!D32:N32</xm:f>
              <xm:sqref>C32</xm:sqref>
            </x14:sparkline>
            <x14:sparkline>
              <xm:f>'WOS nephrops under 250kW'!D33:N33</xm:f>
              <xm:sqref>C33</xm:sqref>
            </x14:sparkline>
            <x14:sparkline>
              <xm:f>'WOS nephrops under 250kW'!D34:N34</xm:f>
              <xm:sqref>C34</xm:sqref>
            </x14:sparkline>
            <x14:sparkline>
              <xm:f>'WOS nephrops under 250kW'!D35:N35</xm:f>
              <xm:sqref>C35</xm:sqref>
            </x14:sparkline>
            <x14:sparkline>
              <xm:f>'WOS nephrops under 250kW'!D36:N36</xm:f>
              <xm:sqref>C36</xm:sqref>
            </x14:sparkline>
            <x14:sparkline>
              <xm:f>'WOS nephrops under 250kW'!D37:N37</xm:f>
              <xm:sqref>C37</xm:sqref>
            </x14:sparkline>
            <x14:sparkline>
              <xm:f>'WOS nephrops under 250kW'!D38:M38</xm:f>
              <xm:sqref>C38</xm:sqref>
            </x14:sparkline>
            <x14:sparkline>
              <xm:f>'WOS nephrops under 250kW'!D39:M39</xm:f>
              <xm:sqref>C39</xm:sqref>
            </x14:sparkline>
            <x14:sparkline>
              <xm:f>'WOS nephrops under 250kW'!D40:M40</xm:f>
              <xm:sqref>C40</xm:sqref>
            </x14:sparkline>
            <x14:sparkline>
              <xm:f>'WOS nephrops under 250kW'!D41:M41</xm:f>
              <xm:sqref>C41</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pageSetUpPr fitToPage="1"/>
  </sheetPr>
  <dimension ref="A1:K35"/>
  <sheetViews>
    <sheetView workbookViewId="0">
      <selection activeCell="J1" sqref="J1:K1"/>
    </sheetView>
  </sheetViews>
  <sheetFormatPr defaultColWidth="8.75" defaultRowHeight="15" customHeight="1" x14ac:dyDescent="0.2"/>
  <cols>
    <col min="1" max="1" width="32.125" style="109" customWidth="1"/>
    <col min="2" max="11" width="6.75" style="108" customWidth="1"/>
    <col min="12" max="23" width="6.75" style="109" customWidth="1"/>
    <col min="24" max="16384" width="8.75" style="109"/>
  </cols>
  <sheetData>
    <row r="1" spans="1:11" ht="33" customHeight="1" x14ac:dyDescent="0.2">
      <c r="A1" s="13" t="s">
        <v>541</v>
      </c>
      <c r="B1" s="13"/>
      <c r="C1" s="13"/>
      <c r="D1" s="13"/>
      <c r="E1" s="13"/>
      <c r="F1" s="13"/>
      <c r="G1" s="13"/>
      <c r="H1" s="13"/>
      <c r="I1" s="13"/>
      <c r="J1" s="245" t="s">
        <v>3</v>
      </c>
      <c r="K1" s="245"/>
    </row>
    <row r="2" spans="1:11" ht="30" customHeight="1" x14ac:dyDescent="0.2">
      <c r="A2" s="246" t="s">
        <v>542</v>
      </c>
      <c r="B2" s="246"/>
      <c r="C2" s="246"/>
      <c r="D2" s="246"/>
      <c r="E2" s="246"/>
      <c r="F2" s="246"/>
      <c r="G2" s="246"/>
      <c r="H2" s="246"/>
      <c r="I2" s="246"/>
      <c r="J2" s="246"/>
      <c r="K2" s="246"/>
    </row>
    <row r="3" spans="1:11" ht="15" customHeight="1" x14ac:dyDescent="0.2">
      <c r="A3" s="124"/>
      <c r="B3" s="33"/>
      <c r="C3" s="33"/>
      <c r="D3" s="33"/>
      <c r="E3" s="33"/>
      <c r="F3" s="33"/>
      <c r="G3" s="33"/>
      <c r="H3" s="33"/>
      <c r="I3" s="33"/>
      <c r="J3" s="33"/>
      <c r="K3" s="33"/>
    </row>
    <row r="4" spans="1:11" ht="15" customHeight="1" thickBot="1" x14ac:dyDescent="0.25">
      <c r="A4" s="125" t="s">
        <v>537</v>
      </c>
      <c r="B4" s="126">
        <v>2008</v>
      </c>
      <c r="C4" s="126">
        <v>2009</v>
      </c>
      <c r="D4" s="126">
        <v>2010</v>
      </c>
      <c r="E4" s="126">
        <v>2011</v>
      </c>
      <c r="F4" s="126">
        <v>2012</v>
      </c>
      <c r="G4" s="126">
        <v>2013</v>
      </c>
      <c r="H4" s="126">
        <v>2014</v>
      </c>
      <c r="I4" s="126">
        <v>2015</v>
      </c>
      <c r="J4" s="126">
        <v>2016</v>
      </c>
      <c r="K4" s="126">
        <v>2017</v>
      </c>
    </row>
    <row r="5" spans="1:11" ht="15" customHeight="1" x14ac:dyDescent="0.2">
      <c r="A5" s="113" t="s">
        <v>15</v>
      </c>
      <c r="B5" s="114">
        <v>0.13333333333333333</v>
      </c>
      <c r="C5" s="114">
        <v>0.26666666666666666</v>
      </c>
      <c r="D5" s="114">
        <v>0.21428571428571427</v>
      </c>
      <c r="E5" s="114">
        <v>8.3333333333333329E-2</v>
      </c>
      <c r="F5" s="114">
        <v>0</v>
      </c>
      <c r="G5" s="114">
        <v>0.4</v>
      </c>
      <c r="H5" s="114">
        <v>0.1111111111111111</v>
      </c>
      <c r="I5" s="114">
        <v>0.25</v>
      </c>
      <c r="J5" s="114">
        <v>0.13333333333333333</v>
      </c>
      <c r="K5" s="114">
        <v>0.21428571428571427</v>
      </c>
    </row>
    <row r="6" spans="1:11" ht="15" customHeight="1" x14ac:dyDescent="0.2">
      <c r="A6" s="115" t="s">
        <v>122</v>
      </c>
      <c r="B6" s="114">
        <v>0.2</v>
      </c>
      <c r="C6" s="114">
        <v>0.12121212121212122</v>
      </c>
      <c r="D6" s="114">
        <v>0.17241379310344829</v>
      </c>
      <c r="E6" s="114">
        <v>0.25806451612903225</v>
      </c>
      <c r="F6" s="114">
        <v>0.14705882352941177</v>
      </c>
      <c r="G6" s="114">
        <v>0.21951219512195122</v>
      </c>
      <c r="H6" s="114">
        <v>0.16216216216216217</v>
      </c>
      <c r="I6" s="114">
        <v>0.16666666666666666</v>
      </c>
      <c r="J6" s="114">
        <v>0.125</v>
      </c>
      <c r="K6" s="114">
        <v>0.1</v>
      </c>
    </row>
    <row r="7" spans="1:11" ht="15" customHeight="1" x14ac:dyDescent="0.2">
      <c r="A7" s="115" t="s">
        <v>140</v>
      </c>
      <c r="B7" s="114">
        <v>0.14925373134328357</v>
      </c>
      <c r="C7" s="114">
        <v>6.1538461538461542E-2</v>
      </c>
      <c r="D7" s="114">
        <v>0.23728813559322035</v>
      </c>
      <c r="E7" s="114">
        <v>0.21666666666666667</v>
      </c>
      <c r="F7" s="114">
        <v>0.12698412698412698</v>
      </c>
      <c r="G7" s="114">
        <v>0.17543859649122806</v>
      </c>
      <c r="H7" s="114">
        <v>0.2608695652173913</v>
      </c>
      <c r="I7" s="114">
        <v>0.21951219512195122</v>
      </c>
      <c r="J7" s="114">
        <v>0.21428571428571427</v>
      </c>
      <c r="K7" s="114">
        <v>0.25</v>
      </c>
    </row>
    <row r="8" spans="1:11" ht="15" customHeight="1" x14ac:dyDescent="0.2">
      <c r="A8" s="115" t="s">
        <v>155</v>
      </c>
      <c r="B8" s="114">
        <v>0</v>
      </c>
      <c r="C8" s="114">
        <v>0.21428571428571427</v>
      </c>
      <c r="D8" s="114">
        <v>6.6666666666666666E-2</v>
      </c>
      <c r="E8" s="114">
        <v>6.6666666666666666E-2</v>
      </c>
      <c r="F8" s="114">
        <v>0</v>
      </c>
      <c r="G8" s="114">
        <v>0</v>
      </c>
      <c r="H8" s="114">
        <v>8.3333333333333329E-2</v>
      </c>
      <c r="I8" s="114">
        <v>7.6923076923076927E-2</v>
      </c>
      <c r="J8" s="114">
        <v>9.0909090909090912E-2</v>
      </c>
      <c r="K8" s="114">
        <v>7.6923076923076927E-2</v>
      </c>
    </row>
    <row r="9" spans="1:11" ht="15" customHeight="1" x14ac:dyDescent="0.2">
      <c r="A9" s="115" t="s">
        <v>173</v>
      </c>
      <c r="B9" s="114">
        <v>0.16666666666666666</v>
      </c>
      <c r="C9" s="114">
        <v>0.22033898305084745</v>
      </c>
      <c r="D9" s="114">
        <v>0.17460317460317459</v>
      </c>
      <c r="E9" s="114">
        <v>4.8387096774193547E-2</v>
      </c>
      <c r="F9" s="114">
        <v>0.14754098360655737</v>
      </c>
      <c r="G9" s="114">
        <v>0.14754098360655737</v>
      </c>
      <c r="H9" s="114">
        <v>0.18461538461538463</v>
      </c>
      <c r="I9" s="114">
        <v>0.17647058823529413</v>
      </c>
      <c r="J9" s="114">
        <v>0.17460317460317459</v>
      </c>
      <c r="K9" s="114">
        <v>0.19672131147540983</v>
      </c>
    </row>
    <row r="10" spans="1:11" ht="15" customHeight="1" x14ac:dyDescent="0.2">
      <c r="A10" s="115" t="s">
        <v>193</v>
      </c>
      <c r="B10" s="114">
        <v>4.878048780487805E-2</v>
      </c>
      <c r="C10" s="114">
        <v>8.1081081081081086E-2</v>
      </c>
      <c r="D10" s="114">
        <v>7.6923076923076927E-2</v>
      </c>
      <c r="E10" s="114">
        <v>0.1951219512195122</v>
      </c>
      <c r="F10" s="114">
        <v>0.17499999999999999</v>
      </c>
      <c r="G10" s="114">
        <v>0.10810810810810811</v>
      </c>
      <c r="H10" s="114">
        <v>0.1388888888888889</v>
      </c>
      <c r="I10" s="114">
        <v>0.22580645161290322</v>
      </c>
      <c r="J10" s="114">
        <v>0.23333333333333334</v>
      </c>
      <c r="K10" s="114">
        <v>0.23333333333333334</v>
      </c>
    </row>
    <row r="11" spans="1:11" ht="15" customHeight="1" x14ac:dyDescent="0.2">
      <c r="A11" s="115" t="s">
        <v>211</v>
      </c>
      <c r="B11" s="114">
        <v>3.8461538461538464E-2</v>
      </c>
      <c r="C11" s="114">
        <v>4.1666666666666664E-2</v>
      </c>
      <c r="D11" s="114">
        <v>0.08</v>
      </c>
      <c r="E11" s="114">
        <v>0</v>
      </c>
      <c r="F11" s="114">
        <v>0.08</v>
      </c>
      <c r="G11" s="114">
        <v>0.08</v>
      </c>
      <c r="H11" s="114">
        <v>7.407407407407407E-2</v>
      </c>
      <c r="I11" s="114">
        <v>0.13043478260869565</v>
      </c>
      <c r="J11" s="114">
        <v>0.11538461538461539</v>
      </c>
      <c r="K11" s="114">
        <v>0.14285714285714285</v>
      </c>
    </row>
    <row r="12" spans="1:11" ht="15" customHeight="1" x14ac:dyDescent="0.2">
      <c r="A12" s="115" t="s">
        <v>229</v>
      </c>
      <c r="B12" s="114">
        <v>1.4705882352941176E-2</v>
      </c>
      <c r="C12" s="114">
        <v>2.8985507246376812E-2</v>
      </c>
      <c r="D12" s="114">
        <v>8.7499999999999994E-2</v>
      </c>
      <c r="E12" s="114">
        <v>4.4117647058823532E-2</v>
      </c>
      <c r="F12" s="114">
        <v>8.0645161290322578E-2</v>
      </c>
      <c r="G12" s="114">
        <v>5.7692307692307696E-2</v>
      </c>
      <c r="H12" s="114">
        <v>6.7796610169491525E-2</v>
      </c>
      <c r="I12" s="114">
        <v>6.1224489795918366E-2</v>
      </c>
      <c r="J12" s="114">
        <v>3.7037037037037035E-2</v>
      </c>
      <c r="K12" s="114">
        <v>2.1276595744680851E-2</v>
      </c>
    </row>
    <row r="13" spans="1:11" ht="15" customHeight="1" x14ac:dyDescent="0.2">
      <c r="A13" s="115" t="s">
        <v>250</v>
      </c>
      <c r="B13" s="114">
        <v>0</v>
      </c>
      <c r="C13" s="114">
        <v>7.034632034632035E-3</v>
      </c>
      <c r="D13" s="114">
        <v>8.5567598402738164E-3</v>
      </c>
      <c r="E13" s="114">
        <v>5.3128689492325859E-3</v>
      </c>
      <c r="F13" s="114">
        <v>1.9883040935672516E-2</v>
      </c>
      <c r="G13" s="114">
        <v>1.7889087656529516E-2</v>
      </c>
      <c r="H13" s="114">
        <v>2.7301587301587302E-2</v>
      </c>
      <c r="I13" s="114">
        <v>2.9114676173499703E-2</v>
      </c>
      <c r="J13" s="114">
        <v>2.5763930497303775E-2</v>
      </c>
      <c r="K13" s="114">
        <v>1.9595835884874464E-2</v>
      </c>
    </row>
    <row r="14" spans="1:11" ht="15" customHeight="1" x14ac:dyDescent="0.2">
      <c r="A14" s="115" t="s">
        <v>265</v>
      </c>
      <c r="B14" s="114">
        <v>0.35714285714285715</v>
      </c>
      <c r="C14" s="114">
        <v>0.55555555555555558</v>
      </c>
      <c r="D14" s="114">
        <v>0.7</v>
      </c>
      <c r="E14" s="114">
        <v>0.55555555555555558</v>
      </c>
      <c r="F14" s="114">
        <v>0.625</v>
      </c>
      <c r="G14" s="114">
        <v>0.18181818181818182</v>
      </c>
      <c r="H14" s="114">
        <v>9.0909090909090912E-2</v>
      </c>
      <c r="I14" s="114">
        <v>0.4</v>
      </c>
      <c r="J14" s="114">
        <v>0.22222222222222221</v>
      </c>
      <c r="K14" s="114">
        <v>0</v>
      </c>
    </row>
    <row r="15" spans="1:11" ht="15" customHeight="1" x14ac:dyDescent="0.2">
      <c r="A15" s="115" t="s">
        <v>279</v>
      </c>
      <c r="B15" s="114">
        <v>0.17241379310344829</v>
      </c>
      <c r="C15" s="114">
        <v>0.18518518518518517</v>
      </c>
      <c r="D15" s="114">
        <v>0.55555555555555558</v>
      </c>
      <c r="E15" s="114">
        <v>0.69230769230769229</v>
      </c>
      <c r="F15" s="114">
        <v>0.64</v>
      </c>
      <c r="G15" s="114">
        <v>0.3888888888888889</v>
      </c>
      <c r="H15" s="114">
        <v>0.35</v>
      </c>
      <c r="I15" s="114">
        <v>0.5</v>
      </c>
      <c r="J15" s="114">
        <v>0.36363636363636365</v>
      </c>
      <c r="K15" s="114">
        <v>0.35</v>
      </c>
    </row>
    <row r="16" spans="1:11" ht="15" customHeight="1" x14ac:dyDescent="0.2">
      <c r="A16" s="115" t="s">
        <v>288</v>
      </c>
      <c r="B16" s="114">
        <v>0.47422680412371132</v>
      </c>
      <c r="C16" s="114">
        <v>0.51807228915662651</v>
      </c>
      <c r="D16" s="114">
        <v>0.42708333333333331</v>
      </c>
      <c r="E16" s="114">
        <v>0.44578313253012047</v>
      </c>
      <c r="F16" s="114">
        <v>0.47222222222222221</v>
      </c>
      <c r="G16" s="114">
        <v>0.36363636363636365</v>
      </c>
      <c r="H16" s="114">
        <v>0.4576271186440678</v>
      </c>
      <c r="I16" s="114">
        <v>0.44186046511627908</v>
      </c>
      <c r="J16" s="114">
        <v>0.55102040816326525</v>
      </c>
      <c r="K16" s="114">
        <v>0.60377358490566035</v>
      </c>
    </row>
    <row r="17" spans="1:11" ht="15" customHeight="1" x14ac:dyDescent="0.2">
      <c r="A17" s="115" t="s">
        <v>300</v>
      </c>
      <c r="B17" s="114">
        <v>0.22222222222222221</v>
      </c>
      <c r="C17" s="114">
        <v>0.25301204819277107</v>
      </c>
      <c r="D17" s="114">
        <v>0.27397260273972601</v>
      </c>
      <c r="E17" s="114">
        <v>0.21875</v>
      </c>
      <c r="F17" s="114">
        <v>0.13432835820895522</v>
      </c>
      <c r="G17" s="114">
        <v>0.17241379310344829</v>
      </c>
      <c r="H17" s="114">
        <v>0.24285714285714285</v>
      </c>
      <c r="I17" s="114">
        <v>0.36206896551724138</v>
      </c>
      <c r="J17" s="114">
        <v>0.34920634920634919</v>
      </c>
      <c r="K17" s="114">
        <v>0.25714285714285712</v>
      </c>
    </row>
    <row r="18" spans="1:11" ht="15" customHeight="1" x14ac:dyDescent="0.2">
      <c r="A18" s="115" t="s">
        <v>313</v>
      </c>
      <c r="B18" s="114">
        <v>0.44680851063829785</v>
      </c>
      <c r="C18" s="114">
        <v>0.44</v>
      </c>
      <c r="D18" s="114">
        <v>0.56000000000000005</v>
      </c>
      <c r="E18" s="114">
        <v>0.51111111111111107</v>
      </c>
      <c r="F18" s="114">
        <v>0.58695652173913049</v>
      </c>
      <c r="G18" s="114">
        <v>0.51020408163265307</v>
      </c>
      <c r="H18" s="114">
        <v>0.69444444444444442</v>
      </c>
      <c r="I18" s="114">
        <v>0.72093023255813948</v>
      </c>
      <c r="J18" s="114">
        <v>0.52272727272727271</v>
      </c>
      <c r="K18" s="114">
        <v>0.48837209302325579</v>
      </c>
    </row>
    <row r="19" spans="1:11" ht="15" customHeight="1" x14ac:dyDescent="0.2">
      <c r="A19" s="115" t="s">
        <v>326</v>
      </c>
      <c r="B19" s="114">
        <v>0.58536585365853655</v>
      </c>
      <c r="C19" s="114">
        <v>0.58536585365853655</v>
      </c>
      <c r="D19" s="114">
        <v>0.60526315789473684</v>
      </c>
      <c r="E19" s="114">
        <v>0.5625</v>
      </c>
      <c r="F19" s="114">
        <v>0.46666666666666667</v>
      </c>
      <c r="G19" s="114">
        <v>0.45</v>
      </c>
      <c r="H19" s="114">
        <v>0.6</v>
      </c>
      <c r="I19" s="114">
        <v>0.42857142857142855</v>
      </c>
      <c r="J19" s="114">
        <v>0.28000000000000003</v>
      </c>
      <c r="K19" s="114">
        <v>0.36</v>
      </c>
    </row>
    <row r="20" spans="1:11" ht="15" customHeight="1" x14ac:dyDescent="0.2">
      <c r="A20" s="115" t="s">
        <v>339</v>
      </c>
      <c r="B20" s="114">
        <v>0.46153846153846156</v>
      </c>
      <c r="C20" s="114">
        <v>0.48</v>
      </c>
      <c r="D20" s="114">
        <v>0.4</v>
      </c>
      <c r="E20" s="114">
        <v>0.47058823529411764</v>
      </c>
      <c r="F20" s="114">
        <v>0.69230769230769229</v>
      </c>
      <c r="G20" s="114">
        <v>0.41176470588235292</v>
      </c>
      <c r="H20" s="114">
        <v>0.63157894736842102</v>
      </c>
      <c r="I20" s="114">
        <v>0.625</v>
      </c>
      <c r="J20" s="114">
        <v>0.8125</v>
      </c>
      <c r="K20" s="114">
        <v>0.47058823529411764</v>
      </c>
    </row>
    <row r="21" spans="1:11" ht="15" customHeight="1" x14ac:dyDescent="0.2">
      <c r="A21" s="115" t="s">
        <v>352</v>
      </c>
      <c r="B21" s="114">
        <v>0.3</v>
      </c>
      <c r="C21" s="114">
        <v>0.40476190476190477</v>
      </c>
      <c r="D21" s="114">
        <v>0.43243243243243246</v>
      </c>
      <c r="E21" s="114">
        <v>0.44117647058823528</v>
      </c>
      <c r="F21" s="114">
        <v>0.5</v>
      </c>
      <c r="G21" s="114">
        <v>0.48717948717948717</v>
      </c>
      <c r="H21" s="114">
        <v>0.47058823529411764</v>
      </c>
      <c r="I21" s="114">
        <v>0.46666666666666667</v>
      </c>
      <c r="J21" s="114">
        <v>0.39393939393939392</v>
      </c>
      <c r="K21" s="114">
        <v>0.45945945945945948</v>
      </c>
    </row>
    <row r="22" spans="1:11" ht="15" customHeight="1" x14ac:dyDescent="0.2">
      <c r="A22" s="115" t="s">
        <v>365</v>
      </c>
      <c r="B22" s="114">
        <v>8.5714285714285715E-2</v>
      </c>
      <c r="C22" s="114">
        <v>0.12121212121212122</v>
      </c>
      <c r="D22" s="114">
        <v>0.25</v>
      </c>
      <c r="E22" s="114">
        <v>0.13793103448275862</v>
      </c>
      <c r="F22" s="114">
        <v>0.36363636363636365</v>
      </c>
      <c r="G22" s="114">
        <v>0.42857142857142855</v>
      </c>
      <c r="H22" s="114">
        <v>0.26666666666666666</v>
      </c>
      <c r="I22" s="114">
        <v>0.27272727272727271</v>
      </c>
      <c r="J22" s="114">
        <v>0.25</v>
      </c>
      <c r="K22" s="114">
        <v>0.22222222222222221</v>
      </c>
    </row>
    <row r="23" spans="1:11" ht="15" customHeight="1" x14ac:dyDescent="0.2">
      <c r="A23" s="115" t="s">
        <v>380</v>
      </c>
      <c r="B23" s="114">
        <v>0.1348314606741573</v>
      </c>
      <c r="C23" s="114">
        <v>8.9385474860335198E-2</v>
      </c>
      <c r="D23" s="114">
        <v>0.10734463276836158</v>
      </c>
      <c r="E23" s="114">
        <v>0.10614525139664804</v>
      </c>
      <c r="F23" s="114">
        <v>0.13450292397660818</v>
      </c>
      <c r="G23" s="114">
        <v>0.15789473684210525</v>
      </c>
      <c r="H23" s="114">
        <v>0.17575757575757575</v>
      </c>
      <c r="I23" s="114">
        <v>0.23749999999999999</v>
      </c>
      <c r="J23" s="114">
        <v>0.18965517241379309</v>
      </c>
      <c r="K23" s="114">
        <v>0.15909090909090909</v>
      </c>
    </row>
    <row r="24" spans="1:11" ht="15" customHeight="1" x14ac:dyDescent="0.2">
      <c r="A24" s="115" t="s">
        <v>392</v>
      </c>
      <c r="B24" s="114">
        <v>0.11363636363636363</v>
      </c>
      <c r="C24" s="114">
        <v>4.9382716049382713E-2</v>
      </c>
      <c r="D24" s="114">
        <v>0.13924050632911392</v>
      </c>
      <c r="E24" s="114">
        <v>9.8765432098765427E-2</v>
      </c>
      <c r="F24" s="114">
        <v>0.22222222222222221</v>
      </c>
      <c r="G24" s="114">
        <v>0.31034482758620691</v>
      </c>
      <c r="H24" s="114">
        <v>0.27173913043478259</v>
      </c>
      <c r="I24" s="114">
        <v>0.23157894736842105</v>
      </c>
      <c r="J24" s="114">
        <v>0.18279569892473119</v>
      </c>
      <c r="K24" s="114">
        <v>0.21739130434782608</v>
      </c>
    </row>
    <row r="25" spans="1:11" ht="15" customHeight="1" x14ac:dyDescent="0.2">
      <c r="A25" s="115" t="s">
        <v>405</v>
      </c>
      <c r="B25" s="114">
        <v>0.54838709677419351</v>
      </c>
      <c r="C25" s="114">
        <v>0.54166666666666663</v>
      </c>
      <c r="D25" s="114">
        <v>0.77272727272727271</v>
      </c>
      <c r="E25" s="114">
        <v>0.81818181818181823</v>
      </c>
      <c r="F25" s="114">
        <v>0.84210526315789469</v>
      </c>
      <c r="G25" s="114">
        <v>0.15789473684210525</v>
      </c>
      <c r="H25" s="114">
        <v>0.2</v>
      </c>
      <c r="I25" s="114">
        <v>0.72727272727272729</v>
      </c>
      <c r="J25" s="114">
        <v>0.82608695652173914</v>
      </c>
      <c r="K25" s="114">
        <v>0.38461538461538464</v>
      </c>
    </row>
    <row r="26" spans="1:11" ht="15" customHeight="1" x14ac:dyDescent="0.2">
      <c r="A26" s="115" t="s">
        <v>419</v>
      </c>
      <c r="B26" s="114">
        <v>0.40909090909090912</v>
      </c>
      <c r="C26" s="114">
        <v>0.31818181818181818</v>
      </c>
      <c r="D26" s="114">
        <v>0.36842105263157893</v>
      </c>
      <c r="E26" s="114">
        <v>0.21739130434782608</v>
      </c>
      <c r="F26" s="114">
        <v>0.29629629629629628</v>
      </c>
      <c r="G26" s="114">
        <v>0.32</v>
      </c>
      <c r="H26" s="114">
        <v>0.39130434782608697</v>
      </c>
      <c r="I26" s="114">
        <v>0.375</v>
      </c>
      <c r="J26" s="114">
        <v>0.17391304347826086</v>
      </c>
      <c r="K26" s="114">
        <v>0.36363636363636365</v>
      </c>
    </row>
    <row r="27" spans="1:11" ht="15" customHeight="1" x14ac:dyDescent="0.2">
      <c r="A27" s="115" t="s">
        <v>457</v>
      </c>
      <c r="B27" s="114">
        <v>7.0588235294117646E-2</v>
      </c>
      <c r="C27" s="114">
        <v>0.1038961038961039</v>
      </c>
      <c r="D27" s="114">
        <v>0.12037037037037036</v>
      </c>
      <c r="E27" s="114">
        <v>7.0093457943925228E-2</v>
      </c>
      <c r="F27" s="114">
        <v>0.11312217194570136</v>
      </c>
      <c r="G27" s="114">
        <v>0.125</v>
      </c>
      <c r="H27" s="114">
        <v>0.11442786069651742</v>
      </c>
      <c r="I27" s="114">
        <v>0.10471204188481675</v>
      </c>
      <c r="J27" s="114">
        <v>0.14361702127659576</v>
      </c>
      <c r="K27" s="114">
        <v>9.1954022988505746E-2</v>
      </c>
    </row>
    <row r="28" spans="1:11" ht="15" customHeight="1" x14ac:dyDescent="0.2">
      <c r="A28" s="115" t="s">
        <v>470</v>
      </c>
      <c r="B28" s="114">
        <v>3.4934497816593885E-2</v>
      </c>
      <c r="C28" s="114">
        <v>3.3195020746887967E-2</v>
      </c>
      <c r="D28" s="114">
        <v>6.640625E-2</v>
      </c>
      <c r="E28" s="114">
        <v>6.5292096219931275E-2</v>
      </c>
      <c r="F28" s="114">
        <v>0.10344827586206896</v>
      </c>
      <c r="G28" s="114">
        <v>4.7808764940239043E-2</v>
      </c>
      <c r="H28" s="114">
        <v>8.3333333333333329E-2</v>
      </c>
      <c r="I28" s="114">
        <v>0.11607142857142858</v>
      </c>
      <c r="J28" s="114">
        <v>0.10599078341013825</v>
      </c>
      <c r="K28" s="114">
        <v>7.6086956521739135E-2</v>
      </c>
    </row>
    <row r="29" spans="1:11" ht="15" customHeight="1" x14ac:dyDescent="0.2">
      <c r="A29" s="115" t="s">
        <v>483</v>
      </c>
      <c r="B29" s="114">
        <v>6.4546304957904588E-2</v>
      </c>
      <c r="C29" s="114">
        <v>4.8582995951417005E-2</v>
      </c>
      <c r="D29" s="114">
        <v>6.5476190476190479E-2</v>
      </c>
      <c r="E29" s="114">
        <v>4.6875E-2</v>
      </c>
      <c r="F29" s="114">
        <v>7.506950880444857E-2</v>
      </c>
      <c r="G29" s="114">
        <v>0.12063808574277168</v>
      </c>
      <c r="H29" s="114">
        <v>0.13147792706333974</v>
      </c>
      <c r="I29" s="114">
        <v>0.1495049504950495</v>
      </c>
      <c r="J29" s="114">
        <v>0.12051517939282429</v>
      </c>
      <c r="K29" s="114">
        <v>0.10562770562770563</v>
      </c>
    </row>
    <row r="30" spans="1:11" ht="15" customHeight="1" x14ac:dyDescent="0.2">
      <c r="A30" s="115" t="s">
        <v>496</v>
      </c>
      <c r="B30" s="114">
        <v>5.5555555555555552E-2</v>
      </c>
      <c r="C30" s="114">
        <v>7.6190476190476197E-2</v>
      </c>
      <c r="D30" s="114">
        <v>5.2238805970149252E-2</v>
      </c>
      <c r="E30" s="114">
        <v>5.0724637681159424E-2</v>
      </c>
      <c r="F30" s="114">
        <v>0.1048951048951049</v>
      </c>
      <c r="G30" s="114">
        <v>6.6666666666666666E-2</v>
      </c>
      <c r="H30" s="114">
        <v>5.3691275167785234E-2</v>
      </c>
      <c r="I30" s="114">
        <v>8.7591240875912413E-2</v>
      </c>
      <c r="J30" s="114">
        <v>0.11976047904191617</v>
      </c>
      <c r="K30" s="114">
        <v>8.5106382978723402E-2</v>
      </c>
    </row>
    <row r="31" spans="1:11" ht="15" customHeight="1" x14ac:dyDescent="0.2">
      <c r="A31" s="115" t="s">
        <v>509</v>
      </c>
      <c r="B31" s="114">
        <v>5.5555555555555552E-2</v>
      </c>
      <c r="C31" s="114">
        <v>0.16129032258064516</v>
      </c>
      <c r="D31" s="114">
        <v>0.25</v>
      </c>
      <c r="E31" s="114">
        <v>0.17241379310344829</v>
      </c>
      <c r="F31" s="114">
        <v>0.25</v>
      </c>
      <c r="G31" s="114">
        <v>0.3783783783783784</v>
      </c>
      <c r="H31" s="114">
        <v>0.32500000000000001</v>
      </c>
      <c r="I31" s="114">
        <v>0.41463414634146339</v>
      </c>
      <c r="J31" s="114">
        <v>0.45098039215686275</v>
      </c>
      <c r="K31" s="114">
        <v>0.32558139534883723</v>
      </c>
    </row>
    <row r="32" spans="1:11" ht="15" customHeight="1" x14ac:dyDescent="0.2">
      <c r="A32" s="115" t="s">
        <v>522</v>
      </c>
      <c r="B32" s="114">
        <v>0.1366906474820144</v>
      </c>
      <c r="C32" s="114">
        <v>0.16528925619834711</v>
      </c>
      <c r="D32" s="114">
        <v>0.30476190476190479</v>
      </c>
      <c r="E32" s="114">
        <v>0.2</v>
      </c>
      <c r="F32" s="114">
        <v>0.31</v>
      </c>
      <c r="G32" s="114">
        <v>0.25510204081632654</v>
      </c>
      <c r="H32" s="114">
        <v>0.25</v>
      </c>
      <c r="I32" s="114">
        <v>0.24175824175824176</v>
      </c>
      <c r="J32" s="114">
        <v>0.21951219512195122</v>
      </c>
      <c r="K32" s="114">
        <v>0.17333333333333334</v>
      </c>
    </row>
    <row r="33" spans="1:11" ht="15" customHeight="1" x14ac:dyDescent="0.2">
      <c r="A33" s="115" t="s">
        <v>432</v>
      </c>
      <c r="B33" s="114">
        <v>0.14754098360655737</v>
      </c>
      <c r="C33" s="114">
        <v>0.26027397260273971</v>
      </c>
      <c r="D33" s="114">
        <v>0.17073170731707318</v>
      </c>
      <c r="E33" s="114">
        <v>0.17499999999999999</v>
      </c>
      <c r="F33" s="114">
        <v>0.31395348837209303</v>
      </c>
      <c r="G33" s="114">
        <v>0.26041666666666669</v>
      </c>
      <c r="H33" s="114">
        <v>0.30612244897959184</v>
      </c>
      <c r="I33" s="114">
        <v>0.30107526881720431</v>
      </c>
      <c r="J33" s="114">
        <v>0.33695652173913043</v>
      </c>
      <c r="K33" s="114">
        <v>0.20224719101123595</v>
      </c>
    </row>
    <row r="34" spans="1:11" ht="15" customHeight="1" x14ac:dyDescent="0.2">
      <c r="A34" s="115" t="s">
        <v>443</v>
      </c>
      <c r="B34" s="114">
        <v>6.4000000000000001E-2</v>
      </c>
      <c r="C34" s="114">
        <v>3.4965034965034968E-2</v>
      </c>
      <c r="D34" s="114">
        <v>0.1044776119402985</v>
      </c>
      <c r="E34" s="114">
        <v>0.1111111111111111</v>
      </c>
      <c r="F34" s="114">
        <v>0.12578616352201258</v>
      </c>
      <c r="G34" s="114">
        <v>0.12755102040816327</v>
      </c>
      <c r="H34" s="114">
        <v>0.17801047120418848</v>
      </c>
      <c r="I34" s="114">
        <v>0.14222222222222222</v>
      </c>
      <c r="J34" s="114">
        <v>0.15</v>
      </c>
      <c r="K34" s="114">
        <v>0.125</v>
      </c>
    </row>
    <row r="35" spans="1:11" ht="15" customHeight="1" thickBot="1" x14ac:dyDescent="0.25">
      <c r="A35" s="127" t="s">
        <v>207</v>
      </c>
      <c r="B35" s="128">
        <v>0</v>
      </c>
      <c r="C35" s="128">
        <v>0</v>
      </c>
      <c r="D35" s="128">
        <v>2.8360748723766306E-3</v>
      </c>
      <c r="E35" s="128">
        <v>0</v>
      </c>
      <c r="F35" s="128">
        <v>0</v>
      </c>
      <c r="G35" s="128">
        <v>2.2870211549456832E-3</v>
      </c>
      <c r="H35" s="128">
        <v>4.5121263395375075E-3</v>
      </c>
      <c r="I35" s="128">
        <v>7.5449796865931515E-3</v>
      </c>
      <c r="J35" s="128">
        <v>7.1985602879424118E-3</v>
      </c>
      <c r="K35" s="128">
        <v>5.1347881899871627E-3</v>
      </c>
    </row>
  </sheetData>
  <mergeCells count="2">
    <mergeCell ref="J1:K1"/>
    <mergeCell ref="A2:K2"/>
  </mergeCells>
  <hyperlinks>
    <hyperlink ref="J1:K1" location="Home_page" display="Back to_x000a_home page"/>
  </hyperlinks>
  <pageMargins left="0.70866141732283472" right="0.70866141732283472" top="0.74803149606299213" bottom="0.74803149606299213" header="0.31496062992125984" footer="0.31496062992125984"/>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pageSetUpPr fitToPage="1"/>
  </sheetPr>
  <dimension ref="A1:N33"/>
  <sheetViews>
    <sheetView workbookViewId="0">
      <selection activeCell="L1" sqref="L1:M1"/>
    </sheetView>
  </sheetViews>
  <sheetFormatPr defaultColWidth="8.75" defaultRowHeight="15" customHeight="1" x14ac:dyDescent="0.2"/>
  <cols>
    <col min="1" max="1" width="32.125" style="56" customWidth="1"/>
    <col min="2" max="2" width="6.75" style="56" customWidth="1"/>
    <col min="3" max="13" width="6.75" style="33" customWidth="1"/>
    <col min="14" max="24" width="6.75" style="56" customWidth="1"/>
    <col min="25" max="16384" width="8.75" style="56"/>
  </cols>
  <sheetData>
    <row r="1" spans="1:14" s="109" customFormat="1" ht="33" customHeight="1" thickBot="1" x14ac:dyDescent="0.25">
      <c r="A1" s="13" t="s">
        <v>538</v>
      </c>
      <c r="B1" s="13"/>
      <c r="C1" s="13"/>
      <c r="D1" s="13"/>
      <c r="E1" s="13"/>
      <c r="F1" s="13"/>
      <c r="G1" s="13"/>
      <c r="H1" s="13"/>
      <c r="I1" s="13"/>
      <c r="L1" s="247" t="s">
        <v>3</v>
      </c>
      <c r="M1" s="247"/>
      <c r="N1" s="119"/>
    </row>
    <row r="2" spans="1:14" ht="15" customHeight="1" thickBot="1" x14ac:dyDescent="0.25">
      <c r="A2" s="110" t="s">
        <v>537</v>
      </c>
      <c r="B2" s="111" t="s">
        <v>35</v>
      </c>
      <c r="C2" s="120">
        <v>2008</v>
      </c>
      <c r="D2" s="120">
        <v>2009</v>
      </c>
      <c r="E2" s="120">
        <v>2010</v>
      </c>
      <c r="F2" s="120">
        <v>2011</v>
      </c>
      <c r="G2" s="120">
        <v>2012</v>
      </c>
      <c r="H2" s="120">
        <v>2013</v>
      </c>
      <c r="I2" s="120">
        <v>2014</v>
      </c>
      <c r="J2" s="120">
        <v>2015</v>
      </c>
      <c r="K2" s="120">
        <v>2016</v>
      </c>
      <c r="L2" s="120">
        <v>2017</v>
      </c>
      <c r="M2" s="112" t="s">
        <v>539</v>
      </c>
      <c r="N2" s="119"/>
    </row>
    <row r="3" spans="1:14" ht="15" customHeight="1" x14ac:dyDescent="0.2">
      <c r="A3" s="113" t="s">
        <v>15</v>
      </c>
      <c r="C3" s="114">
        <v>0.18702258614698883</v>
      </c>
      <c r="D3" s="114">
        <v>0.16356240772059968</v>
      </c>
      <c r="E3" s="114">
        <v>0.13121682634212015</v>
      </c>
      <c r="F3" s="114">
        <v>6.4943853504474458E-2</v>
      </c>
      <c r="G3" s="114">
        <v>8.9006098870739431E-2</v>
      </c>
      <c r="H3" s="114">
        <v>0.14218868858732675</v>
      </c>
      <c r="I3" s="114">
        <v>0.12254652738913908</v>
      </c>
      <c r="J3" s="114">
        <v>0.20119487638902897</v>
      </c>
      <c r="K3" s="114">
        <v>0.24547692656899059</v>
      </c>
      <c r="L3" s="114">
        <v>0.119821249897978</v>
      </c>
      <c r="M3" s="114">
        <v>0.10755103287681622</v>
      </c>
      <c r="N3" s="119"/>
    </row>
    <row r="4" spans="1:14" ht="15" customHeight="1" x14ac:dyDescent="0.2">
      <c r="A4" s="115" t="s">
        <v>122</v>
      </c>
      <c r="C4" s="114">
        <v>0.22438027880571337</v>
      </c>
      <c r="D4" s="114">
        <v>0.20143353083021423</v>
      </c>
      <c r="E4" s="114">
        <v>0.14194757991403509</v>
      </c>
      <c r="F4" s="114">
        <v>0.17966231903641175</v>
      </c>
      <c r="G4" s="114">
        <v>0.25507502950696592</v>
      </c>
      <c r="H4" s="114">
        <v>0.19366405826934491</v>
      </c>
      <c r="I4" s="114">
        <v>0.17141854029405046</v>
      </c>
      <c r="J4" s="114">
        <v>0.27539122159954926</v>
      </c>
      <c r="K4" s="114">
        <v>0.30219896876460406</v>
      </c>
      <c r="L4" s="114">
        <v>0.28950922843214577</v>
      </c>
      <c r="M4" s="114">
        <v>0.25078035059987852</v>
      </c>
      <c r="N4" s="119"/>
    </row>
    <row r="5" spans="1:14" ht="15" customHeight="1" x14ac:dyDescent="0.2">
      <c r="A5" s="115" t="s">
        <v>140</v>
      </c>
      <c r="C5" s="114">
        <v>0.207296458009745</v>
      </c>
      <c r="D5" s="114">
        <v>0.25482322003846564</v>
      </c>
      <c r="E5" s="114">
        <v>0.17860156089297427</v>
      </c>
      <c r="F5" s="114">
        <v>0.2420901328944603</v>
      </c>
      <c r="G5" s="114">
        <v>0.22375596203149348</v>
      </c>
      <c r="H5" s="114">
        <v>0.21068533174593826</v>
      </c>
      <c r="I5" s="114">
        <v>0.16296920666626746</v>
      </c>
      <c r="J5" s="114">
        <v>0.20559611360011545</v>
      </c>
      <c r="K5" s="114">
        <v>0.21953488807383431</v>
      </c>
      <c r="L5" s="114">
        <v>0.24815923331906173</v>
      </c>
      <c r="M5" s="114">
        <v>0.22871069746345554</v>
      </c>
      <c r="N5" s="119"/>
    </row>
    <row r="6" spans="1:14" ht="15" customHeight="1" x14ac:dyDescent="0.2">
      <c r="A6" s="115" t="s">
        <v>155</v>
      </c>
      <c r="C6" s="114">
        <v>-0.15113983287404242</v>
      </c>
      <c r="D6" s="114">
        <v>8.8151902860628076E-3</v>
      </c>
      <c r="E6" s="114">
        <v>0.258581532101261</v>
      </c>
      <c r="F6" s="114">
        <v>0.21311257805947353</v>
      </c>
      <c r="G6" s="114">
        <v>-5.0764745329779084E-3</v>
      </c>
      <c r="H6" s="114">
        <v>-5.154316223411305E-3</v>
      </c>
      <c r="I6" s="114">
        <v>2.1559547615772934E-2</v>
      </c>
      <c r="J6" s="114">
        <v>6.7817782537704555E-2</v>
      </c>
      <c r="K6" s="114">
        <v>0.33163798503545072</v>
      </c>
      <c r="L6" s="114">
        <v>7.2806394440643879E-2</v>
      </c>
      <c r="M6" s="114">
        <v>2.7993333225547794E-2</v>
      </c>
      <c r="N6" s="119"/>
    </row>
    <row r="7" spans="1:14" ht="15" customHeight="1" x14ac:dyDescent="0.2">
      <c r="A7" s="115" t="s">
        <v>173</v>
      </c>
      <c r="C7" s="114">
        <v>0.1777885604341668</v>
      </c>
      <c r="D7" s="114">
        <v>0.18725766552905809</v>
      </c>
      <c r="E7" s="114">
        <v>0.22717410610340377</v>
      </c>
      <c r="F7" s="114">
        <v>4.1537715746238095E-2</v>
      </c>
      <c r="G7" s="114">
        <v>0.18801014930540086</v>
      </c>
      <c r="H7" s="114">
        <v>0.16686929207918508</v>
      </c>
      <c r="I7" s="114">
        <v>0.23516712814615381</v>
      </c>
      <c r="J7" s="114">
        <v>0.21674822382514156</v>
      </c>
      <c r="K7" s="114">
        <v>0.3253230931036592</v>
      </c>
      <c r="L7" s="114">
        <v>0.33877126817669923</v>
      </c>
      <c r="M7" s="114">
        <v>0.29894842355478085</v>
      </c>
      <c r="N7" s="119"/>
    </row>
    <row r="8" spans="1:14" ht="15" customHeight="1" x14ac:dyDescent="0.2">
      <c r="A8" s="115" t="s">
        <v>193</v>
      </c>
      <c r="C8" s="114">
        <v>0.10648451950749828</v>
      </c>
      <c r="D8" s="114">
        <v>3.1067972507055074E-2</v>
      </c>
      <c r="E8" s="114">
        <v>0.28615445006530932</v>
      </c>
      <c r="F8" s="114">
        <v>6.8878712857335905E-2</v>
      </c>
      <c r="G8" s="114">
        <v>0.23650488076783568</v>
      </c>
      <c r="H8" s="114">
        <v>0.11413206487970813</v>
      </c>
      <c r="I8" s="114">
        <v>0.25672900836346751</v>
      </c>
      <c r="J8" s="114">
        <v>0.3131273140464349</v>
      </c>
      <c r="K8" s="114">
        <v>0.20494382377982834</v>
      </c>
      <c r="L8" s="114">
        <v>0.1308492645793117</v>
      </c>
      <c r="M8" s="114">
        <v>0.124394935524254</v>
      </c>
      <c r="N8" s="119"/>
    </row>
    <row r="9" spans="1:14" ht="15" customHeight="1" x14ac:dyDescent="0.2">
      <c r="A9" s="115" t="s">
        <v>211</v>
      </c>
      <c r="C9" s="114">
        <v>0.20849937446659941</v>
      </c>
      <c r="D9" s="114">
        <v>0.24768808198188713</v>
      </c>
      <c r="E9" s="114">
        <v>1.3140992938520151E-2</v>
      </c>
      <c r="F9" s="114">
        <v>0.11034800007399026</v>
      </c>
      <c r="G9" s="114">
        <v>-6.1282007244814543E-2</v>
      </c>
      <c r="H9" s="114">
        <v>0.15588808813768879</v>
      </c>
      <c r="I9" s="114">
        <v>0.13408050020560533</v>
      </c>
      <c r="J9" s="114">
        <v>0.29680866315849075</v>
      </c>
      <c r="K9" s="114">
        <v>0.29973635593748521</v>
      </c>
      <c r="L9" s="114">
        <v>0.13537436857932691</v>
      </c>
      <c r="M9" s="114">
        <v>7.4882948314235712E-2</v>
      </c>
      <c r="N9" s="119"/>
    </row>
    <row r="10" spans="1:14" ht="15" customHeight="1" x14ac:dyDescent="0.2">
      <c r="A10" s="115" t="s">
        <v>229</v>
      </c>
      <c r="C10" s="114">
        <v>-6.9026019206619731</v>
      </c>
      <c r="D10" s="114">
        <v>-0.16578999575990372</v>
      </c>
      <c r="E10" s="114">
        <v>-0.2697424931191833</v>
      </c>
      <c r="F10" s="114">
        <v>-0.29220283880393472</v>
      </c>
      <c r="G10" s="114">
        <v>-0.5188629582264277</v>
      </c>
      <c r="H10" s="114">
        <v>-0.63258481185229221</v>
      </c>
      <c r="I10" s="114">
        <v>-1.2932847638655547</v>
      </c>
      <c r="J10" s="114">
        <v>-0.69724493370027518</v>
      </c>
      <c r="K10" s="114">
        <v>-0.24833140931086981</v>
      </c>
      <c r="L10" s="114">
        <v>-1.1224896009227545</v>
      </c>
      <c r="M10" s="114">
        <v>-0.93733672605932405</v>
      </c>
      <c r="N10" s="119"/>
    </row>
    <row r="11" spans="1:14" ht="15" customHeight="1" x14ac:dyDescent="0.2">
      <c r="A11" s="115" t="s">
        <v>250</v>
      </c>
      <c r="C11" s="114">
        <v>0.23300080497145931</v>
      </c>
      <c r="D11" s="114">
        <v>0.29440618869485841</v>
      </c>
      <c r="E11" s="114">
        <v>7.8191953533090067E-2</v>
      </c>
      <c r="F11" s="114">
        <v>0.18194611184561188</v>
      </c>
      <c r="G11" s="114">
        <v>0.18126284593685116</v>
      </c>
      <c r="H11" s="114">
        <v>6.6404832819999243E-3</v>
      </c>
      <c r="I11" s="114">
        <v>0.15230307122466388</v>
      </c>
      <c r="J11" s="114">
        <v>-0.14793990627882769</v>
      </c>
      <c r="K11" s="114">
        <v>0.15378017739850386</v>
      </c>
      <c r="L11" s="114">
        <v>0.28973056746546322</v>
      </c>
      <c r="M11" s="114">
        <v>0.27201007386793352</v>
      </c>
      <c r="N11" s="119"/>
    </row>
    <row r="12" spans="1:14" ht="15" customHeight="1" x14ac:dyDescent="0.2">
      <c r="A12" s="115" t="s">
        <v>265</v>
      </c>
      <c r="C12" s="114">
        <v>-9.4406870519865727E-3</v>
      </c>
      <c r="D12" s="114">
        <v>0.18627162577137729</v>
      </c>
      <c r="E12" s="114">
        <v>7.1972801372895828E-2</v>
      </c>
      <c r="F12" s="114">
        <v>6.0139131644770555E-2</v>
      </c>
      <c r="G12" s="114">
        <v>1.907274581119752E-3</v>
      </c>
      <c r="H12" s="114">
        <v>-5.3838973306751581E-2</v>
      </c>
      <c r="I12" s="114">
        <v>-1.9596709358221678E-2</v>
      </c>
      <c r="J12" s="114">
        <v>-4.1569412122666786E-2</v>
      </c>
      <c r="K12" s="114">
        <v>0.10758319053825474</v>
      </c>
      <c r="L12" s="114">
        <v>-6.0283441486468359E-2</v>
      </c>
      <c r="M12" s="114">
        <v>-9.7191440269335641E-2</v>
      </c>
      <c r="N12" s="119"/>
    </row>
    <row r="13" spans="1:14" ht="15" customHeight="1" x14ac:dyDescent="0.2">
      <c r="A13" s="115" t="s">
        <v>279</v>
      </c>
      <c r="C13" s="114">
        <v>-0.35654398183931307</v>
      </c>
      <c r="D13" s="114">
        <v>8.4435218540374196E-2</v>
      </c>
      <c r="E13" s="114">
        <v>-3.663077916246963E-2</v>
      </c>
      <c r="F13" s="114">
        <v>-0.24945597667876815</v>
      </c>
      <c r="G13" s="114">
        <v>3.0444945970719395E-2</v>
      </c>
      <c r="H13" s="114">
        <v>-5.2104265833372805E-2</v>
      </c>
      <c r="I13" s="114">
        <v>-0.59368041674505267</v>
      </c>
      <c r="J13" s="114">
        <v>1.4773571416015975E-3</v>
      </c>
      <c r="K13" s="114">
        <v>-2.0143388822692645E-2</v>
      </c>
      <c r="L13" s="114">
        <v>9.8750838358161782E-3</v>
      </c>
      <c r="M13" s="114">
        <v>5.8284781882069351E-3</v>
      </c>
      <c r="N13" s="119"/>
    </row>
    <row r="14" spans="1:14" ht="15" customHeight="1" x14ac:dyDescent="0.2">
      <c r="A14" s="115" t="s">
        <v>288</v>
      </c>
      <c r="C14" s="114">
        <v>8.0748979761039508E-2</v>
      </c>
      <c r="D14" s="114">
        <v>0.13313801981328433</v>
      </c>
      <c r="E14" s="114">
        <v>8.2707418883695885E-2</v>
      </c>
      <c r="F14" s="114">
        <v>0.11521213627860584</v>
      </c>
      <c r="G14" s="114">
        <v>0.10812552506381046</v>
      </c>
      <c r="H14" s="114">
        <v>9.0026774340533952E-2</v>
      </c>
      <c r="I14" s="114">
        <v>8.4546703584258517E-2</v>
      </c>
      <c r="J14" s="114">
        <v>0.1057731626111611</v>
      </c>
      <c r="K14" s="114">
        <v>0.13699858672187704</v>
      </c>
      <c r="L14" s="114">
        <v>0.12972474784743884</v>
      </c>
      <c r="M14" s="114">
        <v>8.9522755645199376E-2</v>
      </c>
      <c r="N14" s="119"/>
    </row>
    <row r="15" spans="1:14" ht="15" customHeight="1" x14ac:dyDescent="0.2">
      <c r="A15" s="115" t="s">
        <v>300</v>
      </c>
      <c r="C15" s="114">
        <v>3.9968936199817735E-2</v>
      </c>
      <c r="D15" s="114">
        <v>0.10056971961929102</v>
      </c>
      <c r="E15" s="114">
        <v>2.3514340867997495E-2</v>
      </c>
      <c r="F15" s="114">
        <v>0.16362054551049379</v>
      </c>
      <c r="G15" s="114">
        <v>0.13326636092906238</v>
      </c>
      <c r="H15" s="114">
        <v>6.7310648644702376E-2</v>
      </c>
      <c r="I15" s="114">
        <v>0.11306026954028575</v>
      </c>
      <c r="J15" s="114">
        <v>7.3657993230706778E-2</v>
      </c>
      <c r="K15" s="114">
        <v>0.15621890151600973</v>
      </c>
      <c r="L15" s="114">
        <v>0.1516423130148031</v>
      </c>
      <c r="M15" s="114">
        <v>0.13235407566989049</v>
      </c>
      <c r="N15" s="119"/>
    </row>
    <row r="16" spans="1:14" ht="15" customHeight="1" x14ac:dyDescent="0.2">
      <c r="A16" s="115" t="s">
        <v>313</v>
      </c>
      <c r="C16" s="114">
        <v>8.798605525225385E-2</v>
      </c>
      <c r="D16" s="114">
        <v>0.11385668959108332</v>
      </c>
      <c r="E16" s="114">
        <v>9.9173961290230858E-2</v>
      </c>
      <c r="F16" s="114">
        <v>7.5523616048063499E-2</v>
      </c>
      <c r="G16" s="114">
        <v>5.597087323516519E-2</v>
      </c>
      <c r="H16" s="114">
        <v>8.7681813767031394E-2</v>
      </c>
      <c r="I16" s="114">
        <v>0.12615648160488019</v>
      </c>
      <c r="J16" s="114">
        <v>0.13507019426994837</v>
      </c>
      <c r="K16" s="114">
        <v>0.17897963183379237</v>
      </c>
      <c r="L16" s="114">
        <v>0.16630622374433743</v>
      </c>
      <c r="M16" s="114">
        <v>0.14349127030851347</v>
      </c>
      <c r="N16" s="119"/>
    </row>
    <row r="17" spans="1:14" ht="15" customHeight="1" x14ac:dyDescent="0.2">
      <c r="A17" s="115" t="s">
        <v>326</v>
      </c>
      <c r="C17" s="114">
        <v>7.5625569643010496E-2</v>
      </c>
      <c r="D17" s="114">
        <v>7.3292205356123616E-2</v>
      </c>
      <c r="E17" s="114">
        <v>0.10719401032770075</v>
      </c>
      <c r="F17" s="114">
        <v>0.1018739168414164</v>
      </c>
      <c r="G17" s="114">
        <v>0.10129403227186758</v>
      </c>
      <c r="H17" s="114">
        <v>0.18825082276764654</v>
      </c>
      <c r="I17" s="114">
        <v>0.20996866273772422</v>
      </c>
      <c r="J17" s="114">
        <v>8.8808199622942258E-2</v>
      </c>
      <c r="K17" s="114">
        <v>0.21987296157843433</v>
      </c>
      <c r="L17" s="114">
        <v>0.17038733552760552</v>
      </c>
      <c r="M17" s="114">
        <v>0.156938699300085</v>
      </c>
      <c r="N17" s="119"/>
    </row>
    <row r="18" spans="1:14" ht="15" customHeight="1" x14ac:dyDescent="0.2">
      <c r="A18" s="115" t="s">
        <v>339</v>
      </c>
      <c r="C18" s="114">
        <v>0.13045159983983079</v>
      </c>
      <c r="D18" s="114">
        <v>0.12658098277316868</v>
      </c>
      <c r="E18" s="114">
        <v>0.20120066837194428</v>
      </c>
      <c r="F18" s="114">
        <v>0.22735836980308435</v>
      </c>
      <c r="G18" s="114">
        <v>0.18547797973240215</v>
      </c>
      <c r="H18" s="114">
        <v>0.17562942057355907</v>
      </c>
      <c r="I18" s="114">
        <v>0.23861351562234437</v>
      </c>
      <c r="J18" s="114">
        <v>0.21771243758745015</v>
      </c>
      <c r="K18" s="114">
        <v>0.22082329215958993</v>
      </c>
      <c r="L18" s="114">
        <v>0.24324242459441703</v>
      </c>
      <c r="M18" s="114">
        <v>0.23696130312551678</v>
      </c>
      <c r="N18" s="119"/>
    </row>
    <row r="19" spans="1:14" ht="15" customHeight="1" x14ac:dyDescent="0.2">
      <c r="A19" s="115" t="s">
        <v>352</v>
      </c>
      <c r="C19" s="114">
        <v>0.11190239557595935</v>
      </c>
      <c r="D19" s="114">
        <v>0.11765589214827175</v>
      </c>
      <c r="E19" s="114">
        <v>0.14462048862533552</v>
      </c>
      <c r="F19" s="114">
        <v>0.13623608845709603</v>
      </c>
      <c r="G19" s="114">
        <v>9.3793832861785123E-2</v>
      </c>
      <c r="H19" s="114">
        <v>0.16627070505977276</v>
      </c>
      <c r="I19" s="114">
        <v>0.1628063329536408</v>
      </c>
      <c r="J19" s="114">
        <v>0.12485624750776152</v>
      </c>
      <c r="K19" s="114">
        <v>0.17987421590082039</v>
      </c>
      <c r="L19" s="114">
        <v>0.27270876799540122</v>
      </c>
      <c r="M19" s="114">
        <v>0.24460716713707556</v>
      </c>
      <c r="N19" s="119"/>
    </row>
    <row r="20" spans="1:14" ht="15" customHeight="1" x14ac:dyDescent="0.2">
      <c r="A20" s="115" t="s">
        <v>365</v>
      </c>
      <c r="C20" s="114">
        <v>0.11732250960732701</v>
      </c>
      <c r="D20" s="114">
        <v>0.19626405949939282</v>
      </c>
      <c r="E20" s="114">
        <v>0.17723065955064202</v>
      </c>
      <c r="F20" s="114">
        <v>0.21499091479955768</v>
      </c>
      <c r="G20" s="114">
        <v>0.17126452393538222</v>
      </c>
      <c r="H20" s="114">
        <v>0.15025029318490632</v>
      </c>
      <c r="I20" s="114">
        <v>0.13907358727504027</v>
      </c>
      <c r="J20" s="114">
        <v>0.16007288438920358</v>
      </c>
      <c r="K20" s="114">
        <v>0.16433504711286534</v>
      </c>
      <c r="L20" s="114">
        <v>0.29665840636015189</v>
      </c>
      <c r="M20" s="114">
        <v>0.28203346518518191</v>
      </c>
      <c r="N20" s="119"/>
    </row>
    <row r="21" spans="1:14" ht="15" customHeight="1" x14ac:dyDescent="0.2">
      <c r="A21" s="115" t="s">
        <v>380</v>
      </c>
      <c r="C21" s="114">
        <v>0.26361072098115917</v>
      </c>
      <c r="D21" s="114">
        <v>0.29488445027688187</v>
      </c>
      <c r="E21" s="114">
        <v>0.22922862876310418</v>
      </c>
      <c r="F21" s="114">
        <v>0.13628597971757589</v>
      </c>
      <c r="G21" s="114">
        <v>0.32375838634848964</v>
      </c>
      <c r="H21" s="114">
        <v>0.22005492987221223</v>
      </c>
      <c r="I21" s="114">
        <v>0.28893175547910149</v>
      </c>
      <c r="J21" s="114">
        <v>0.33929018541812783</v>
      </c>
      <c r="K21" s="114">
        <v>0.32846266732253082</v>
      </c>
      <c r="L21" s="114">
        <v>0.35009843014391745</v>
      </c>
      <c r="M21" s="114">
        <v>0.34685951928722175</v>
      </c>
      <c r="N21" s="119"/>
    </row>
    <row r="22" spans="1:14" ht="15" customHeight="1" x14ac:dyDescent="0.2">
      <c r="A22" s="115" t="s">
        <v>392</v>
      </c>
      <c r="C22" s="114">
        <v>0.16976320338774278</v>
      </c>
      <c r="D22" s="114">
        <v>0.20374943125487655</v>
      </c>
      <c r="E22" s="114">
        <v>0.12515864091377982</v>
      </c>
      <c r="F22" s="114">
        <v>8.7044046456441551E-2</v>
      </c>
      <c r="G22" s="114">
        <v>0.19174655209348762</v>
      </c>
      <c r="H22" s="114">
        <v>0.17159910836928544</v>
      </c>
      <c r="I22" s="114">
        <v>0.19923439943248425</v>
      </c>
      <c r="J22" s="114">
        <v>0.22161058213371668</v>
      </c>
      <c r="K22" s="114">
        <v>0.23042833460951823</v>
      </c>
      <c r="L22" s="114">
        <v>0.25629454984407557</v>
      </c>
      <c r="M22" s="114">
        <v>0.25290024957548679</v>
      </c>
      <c r="N22" s="119"/>
    </row>
    <row r="23" spans="1:14" ht="15" customHeight="1" x14ac:dyDescent="0.2">
      <c r="A23" s="115" t="s">
        <v>405</v>
      </c>
      <c r="C23" s="114">
        <v>-5.3375085615515599E-3</v>
      </c>
      <c r="D23" s="114">
        <v>8.6208269943120724E-2</v>
      </c>
      <c r="E23" s="114">
        <v>0.12880344738294619</v>
      </c>
      <c r="F23" s="114">
        <v>0.11162376864669883</v>
      </c>
      <c r="G23" s="114">
        <v>4.0925698138734659E-2</v>
      </c>
      <c r="H23" s="114">
        <v>1.7607627109677133E-2</v>
      </c>
      <c r="I23" s="114">
        <v>7.7737384392951206E-2</v>
      </c>
      <c r="J23" s="114">
        <v>7.5342511056819619E-2</v>
      </c>
      <c r="K23" s="114">
        <v>0.16496568822661187</v>
      </c>
      <c r="L23" s="114">
        <v>0.1633782164271366</v>
      </c>
      <c r="M23" s="114">
        <v>0.13855796313758043</v>
      </c>
      <c r="N23" s="119"/>
    </row>
    <row r="24" spans="1:14" ht="15" customHeight="1" x14ac:dyDescent="0.2">
      <c r="A24" s="115" t="s">
        <v>419</v>
      </c>
      <c r="C24" s="114">
        <v>5.3094103854959794E-3</v>
      </c>
      <c r="D24" s="114">
        <v>0.1061199102867575</v>
      </c>
      <c r="E24" s="114">
        <v>3.9157495169314216E-2</v>
      </c>
      <c r="F24" s="114">
        <v>3.8695948074009223E-2</v>
      </c>
      <c r="G24" s="114">
        <v>0.14008039198521338</v>
      </c>
      <c r="H24" s="114">
        <v>6.3914663455737666E-2</v>
      </c>
      <c r="I24" s="114">
        <v>5.2728805297889147E-2</v>
      </c>
      <c r="J24" s="114">
        <v>0.13713406416822294</v>
      </c>
      <c r="K24" s="114">
        <v>0.24069616313670608</v>
      </c>
      <c r="L24" s="114">
        <v>0.25003466954242881</v>
      </c>
      <c r="M24" s="114">
        <v>0.22771575518534917</v>
      </c>
      <c r="N24" s="119"/>
    </row>
    <row r="25" spans="1:14" ht="15" customHeight="1" x14ac:dyDescent="0.2">
      <c r="A25" s="115" t="s">
        <v>457</v>
      </c>
      <c r="C25" s="114">
        <v>0.11892746926716727</v>
      </c>
      <c r="D25" s="114">
        <v>0.25736519837268645</v>
      </c>
      <c r="E25" s="114">
        <v>0.19959015647233436</v>
      </c>
      <c r="F25" s="114">
        <v>0.20441251460369744</v>
      </c>
      <c r="G25" s="114">
        <v>0.19679355000856169</v>
      </c>
      <c r="H25" s="114">
        <v>0.22767403604389427</v>
      </c>
      <c r="I25" s="114">
        <v>0.21074670865759559</v>
      </c>
      <c r="J25" s="114">
        <v>0.19480033798491764</v>
      </c>
      <c r="K25" s="114">
        <v>0.29324086658150728</v>
      </c>
      <c r="L25" s="114">
        <v>0.30984599149101949</v>
      </c>
      <c r="M25" s="114">
        <v>0.29447386962692362</v>
      </c>
      <c r="N25" s="119"/>
    </row>
    <row r="26" spans="1:14" ht="15" customHeight="1" x14ac:dyDescent="0.2">
      <c r="A26" s="115" t="s">
        <v>470</v>
      </c>
      <c r="C26" s="114">
        <v>0.28864255886363421</v>
      </c>
      <c r="D26" s="114">
        <v>0.28210427166072988</v>
      </c>
      <c r="E26" s="114">
        <v>0.28412835023562466</v>
      </c>
      <c r="F26" s="114">
        <v>0.31676233673402415</v>
      </c>
      <c r="G26" s="114">
        <v>0.33976176302047867</v>
      </c>
      <c r="H26" s="114">
        <v>0.30424443206143553</v>
      </c>
      <c r="I26" s="114">
        <v>0.34503924405203068</v>
      </c>
      <c r="J26" s="114">
        <v>0.25675140920573347</v>
      </c>
      <c r="K26" s="114">
        <v>0.3034865014603183</v>
      </c>
      <c r="L26" s="114">
        <v>0.34615498627329472</v>
      </c>
      <c r="M26" s="114">
        <v>0.34167941500935378</v>
      </c>
      <c r="N26" s="119"/>
    </row>
    <row r="27" spans="1:14" ht="15" customHeight="1" x14ac:dyDescent="0.2">
      <c r="A27" s="115" t="s">
        <v>483</v>
      </c>
      <c r="C27" s="114">
        <v>0.255753907088065</v>
      </c>
      <c r="D27" s="114">
        <v>0.30886945994858678</v>
      </c>
      <c r="E27" s="114">
        <v>0.25728490215388727</v>
      </c>
      <c r="F27" s="114">
        <v>0.24669130700258421</v>
      </c>
      <c r="G27" s="114">
        <v>0.18804389737738014</v>
      </c>
      <c r="H27" s="114">
        <v>0.21993655267445097</v>
      </c>
      <c r="I27" s="114">
        <v>0.19774113903836951</v>
      </c>
      <c r="J27" s="114">
        <v>0.19751894585390409</v>
      </c>
      <c r="K27" s="114">
        <v>0.31091075410876667</v>
      </c>
      <c r="L27" s="114">
        <v>0.25990537488733062</v>
      </c>
      <c r="M27" s="114">
        <v>0.25422840999102864</v>
      </c>
      <c r="N27" s="119"/>
    </row>
    <row r="28" spans="1:14" ht="15" customHeight="1" x14ac:dyDescent="0.2">
      <c r="A28" s="115" t="s">
        <v>496</v>
      </c>
      <c r="C28" s="114">
        <v>0.14913942513857345</v>
      </c>
      <c r="D28" s="114">
        <v>0.33655072162074462</v>
      </c>
      <c r="E28" s="114">
        <v>0.21370422144002416</v>
      </c>
      <c r="F28" s="114">
        <v>6.8277567586391544E-2</v>
      </c>
      <c r="G28" s="114">
        <v>0.18046200378813265</v>
      </c>
      <c r="H28" s="114">
        <v>0.2846031161515884</v>
      </c>
      <c r="I28" s="114">
        <v>0.28364926035525556</v>
      </c>
      <c r="J28" s="114">
        <v>0.32829830775890112</v>
      </c>
      <c r="K28" s="114">
        <v>0.36737419499106422</v>
      </c>
      <c r="L28" s="114">
        <v>0.3257368687202038</v>
      </c>
      <c r="M28" s="114">
        <v>0.31813712937825378</v>
      </c>
      <c r="N28" s="119"/>
    </row>
    <row r="29" spans="1:14" ht="15" customHeight="1" x14ac:dyDescent="0.2">
      <c r="A29" s="115" t="s">
        <v>509</v>
      </c>
      <c r="C29" s="114">
        <v>8.72577396366295E-2</v>
      </c>
      <c r="D29" s="114">
        <v>-4.8294623654580151E-3</v>
      </c>
      <c r="E29" s="114">
        <v>0.10155689020498739</v>
      </c>
      <c r="F29" s="114">
        <v>0.21694220599284061</v>
      </c>
      <c r="G29" s="114">
        <v>0.21578385873085298</v>
      </c>
      <c r="H29" s="114">
        <v>0.1287682349611986</v>
      </c>
      <c r="I29" s="114">
        <v>0.19180590298218195</v>
      </c>
      <c r="J29" s="114">
        <v>0.15456238242477516</v>
      </c>
      <c r="K29" s="114">
        <v>0.17187918767436941</v>
      </c>
      <c r="L29" s="114">
        <v>0.12654883286426372</v>
      </c>
      <c r="M29" s="114">
        <v>9.9632591401143042E-2</v>
      </c>
      <c r="N29" s="119"/>
    </row>
    <row r="30" spans="1:14" ht="15" customHeight="1" x14ac:dyDescent="0.2">
      <c r="A30" s="115" t="s">
        <v>522</v>
      </c>
      <c r="C30" s="114">
        <v>0.17306695114545539</v>
      </c>
      <c r="D30" s="114">
        <v>0.17328468780958553</v>
      </c>
      <c r="E30" s="114">
        <v>0.1565471087809148</v>
      </c>
      <c r="F30" s="114">
        <v>0.17422541964493599</v>
      </c>
      <c r="G30" s="114">
        <v>0.21510576068088691</v>
      </c>
      <c r="H30" s="114">
        <v>0.15744706841973086</v>
      </c>
      <c r="I30" s="114">
        <v>0.17089159599261489</v>
      </c>
      <c r="J30" s="114">
        <v>0.19842746003854875</v>
      </c>
      <c r="K30" s="114">
        <v>0.20201826293718972</v>
      </c>
      <c r="L30" s="114">
        <v>0.20165669396779318</v>
      </c>
      <c r="M30" s="114">
        <v>0.18297894455741939</v>
      </c>
      <c r="N30" s="119"/>
    </row>
    <row r="31" spans="1:14" ht="15" customHeight="1" x14ac:dyDescent="0.2">
      <c r="A31" s="115" t="s">
        <v>432</v>
      </c>
      <c r="C31" s="114">
        <v>0.20040359565179308</v>
      </c>
      <c r="D31" s="114">
        <v>0.20032787311585559</v>
      </c>
      <c r="E31" s="114">
        <v>0.25287832894446677</v>
      </c>
      <c r="F31" s="114">
        <v>0.240500663235961</v>
      </c>
      <c r="G31" s="114">
        <v>0.21887255701841021</v>
      </c>
      <c r="H31" s="114">
        <v>0.18091436539540287</v>
      </c>
      <c r="I31" s="114">
        <v>0.15864970501458173</v>
      </c>
      <c r="J31" s="114">
        <v>0.1904674591690893</v>
      </c>
      <c r="K31" s="114">
        <v>0.13312401987527064</v>
      </c>
      <c r="L31" s="114">
        <v>0.21029696429190392</v>
      </c>
      <c r="M31" s="114">
        <v>0.1903984476385924</v>
      </c>
      <c r="N31" s="119"/>
    </row>
    <row r="32" spans="1:14" ht="15" customHeight="1" thickBot="1" x14ac:dyDescent="0.25">
      <c r="A32" s="116" t="s">
        <v>443</v>
      </c>
      <c r="B32" s="121"/>
      <c r="C32" s="118">
        <v>0.15772532335790096</v>
      </c>
      <c r="D32" s="118">
        <v>0.32647960627792161</v>
      </c>
      <c r="E32" s="118">
        <v>0.17174913009462472</v>
      </c>
      <c r="F32" s="118">
        <v>0.12473628433680507</v>
      </c>
      <c r="G32" s="118">
        <v>0.22635654675557218</v>
      </c>
      <c r="H32" s="118">
        <v>0.16008827900995795</v>
      </c>
      <c r="I32" s="118">
        <v>0.18459053391077157</v>
      </c>
      <c r="J32" s="118">
        <v>0.21122095008947053</v>
      </c>
      <c r="K32" s="118">
        <v>0.17665504508751154</v>
      </c>
      <c r="L32" s="118">
        <v>0.10584503675625428</v>
      </c>
      <c r="M32" s="118">
        <v>8.6327646490797896E-2</v>
      </c>
      <c r="N32" s="122"/>
    </row>
    <row r="33" spans="1:1" ht="15" customHeight="1" x14ac:dyDescent="0.2">
      <c r="A33" s="48" t="s">
        <v>540</v>
      </c>
    </row>
  </sheetData>
  <mergeCells count="1">
    <mergeCell ref="L1:M1"/>
  </mergeCells>
  <hyperlinks>
    <hyperlink ref="L1:M1" location="Home_page" display="Back to_x000a_home page"/>
  </hyperlinks>
  <pageMargins left="0.70866141732283472" right="0.70866141732283472" top="0.74803149606299213" bottom="0.74803149606299213" header="0.31496062992125984" footer="0.31496062992125984"/>
  <pageSetup paperSize="9" scale="96" orientation="landscape"/>
  <extLst>
    <ext xmlns:x14="http://schemas.microsoft.com/office/spreadsheetml/2009/9/main" uri="{05C60535-1F16-4fd2-B633-F4F36F0B64E0}">
      <x14:sparklineGroups xmlns:xm="http://schemas.microsoft.com/office/excel/2006/main">
        <x14:sparklineGroup manualMax="0" manualMin="0"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'Operating profit margin'!C3:M3</xm:f>
              <xm:sqref>B3</xm:sqref>
            </x14:sparkline>
            <x14:sparkline>
              <xm:f>'Operating profit margin'!C4:M4</xm:f>
              <xm:sqref>B4</xm:sqref>
            </x14:sparkline>
            <x14:sparkline>
              <xm:f>'Operating profit margin'!C5:M5</xm:f>
              <xm:sqref>B5</xm:sqref>
            </x14:sparkline>
            <x14:sparkline>
              <xm:f>'Operating profit margin'!C6:M6</xm:f>
              <xm:sqref>B6</xm:sqref>
            </x14:sparkline>
            <x14:sparkline>
              <xm:f>'Operating profit margin'!C7:M7</xm:f>
              <xm:sqref>B7</xm:sqref>
            </x14:sparkline>
            <x14:sparkline>
              <xm:f>'Operating profit margin'!C8:M8</xm:f>
              <xm:sqref>B8</xm:sqref>
            </x14:sparkline>
            <x14:sparkline>
              <xm:f>'Operating profit margin'!C9:M9</xm:f>
              <xm:sqref>B9</xm:sqref>
            </x14:sparkline>
            <x14:sparkline>
              <xm:f>'Operating profit margin'!C10:M10</xm:f>
              <xm:sqref>B10</xm:sqref>
            </x14:sparkline>
            <x14:sparkline>
              <xm:f>'Operating profit margin'!C11:M11</xm:f>
              <xm:sqref>B11</xm:sqref>
            </x14:sparkline>
            <x14:sparkline>
              <xm:f>'Operating profit margin'!C12:M12</xm:f>
              <xm:sqref>B12</xm:sqref>
            </x14:sparkline>
            <x14:sparkline>
              <xm:f>'Operating profit margin'!C13:M13</xm:f>
              <xm:sqref>B13</xm:sqref>
            </x14:sparkline>
            <x14:sparkline>
              <xm:f>'Operating profit margin'!C14:M14</xm:f>
              <xm:sqref>B14</xm:sqref>
            </x14:sparkline>
            <x14:sparkline>
              <xm:f>'Operating profit margin'!C15:M15</xm:f>
              <xm:sqref>B15</xm:sqref>
            </x14:sparkline>
            <x14:sparkline>
              <xm:f>'Operating profit margin'!C16:M16</xm:f>
              <xm:sqref>B16</xm:sqref>
            </x14:sparkline>
            <x14:sparkline>
              <xm:f>'Operating profit margin'!C17:M17</xm:f>
              <xm:sqref>B17</xm:sqref>
            </x14:sparkline>
            <x14:sparkline>
              <xm:f>'Operating profit margin'!C18:M18</xm:f>
              <xm:sqref>B18</xm:sqref>
            </x14:sparkline>
            <x14:sparkline>
              <xm:f>'Operating profit margin'!C19:M19</xm:f>
              <xm:sqref>B19</xm:sqref>
            </x14:sparkline>
            <x14:sparkline>
              <xm:f>'Operating profit margin'!C20:M20</xm:f>
              <xm:sqref>B20</xm:sqref>
            </x14:sparkline>
            <x14:sparkline>
              <xm:f>'Operating profit margin'!C21:M21</xm:f>
              <xm:sqref>B21</xm:sqref>
            </x14:sparkline>
            <x14:sparkline>
              <xm:f>'Operating profit margin'!C22:M22</xm:f>
              <xm:sqref>B22</xm:sqref>
            </x14:sparkline>
            <x14:sparkline>
              <xm:f>'Operating profit margin'!C23:M23</xm:f>
              <xm:sqref>B23</xm:sqref>
            </x14:sparkline>
            <x14:sparkline>
              <xm:f>'Operating profit margin'!C24:M24</xm:f>
              <xm:sqref>B24</xm:sqref>
            </x14:sparkline>
            <x14:sparkline>
              <xm:f>'Operating profit margin'!C25:M25</xm:f>
              <xm:sqref>B25</xm:sqref>
            </x14:sparkline>
            <x14:sparkline>
              <xm:f>'Operating profit margin'!C26:M26</xm:f>
              <xm:sqref>B26</xm:sqref>
            </x14:sparkline>
            <x14:sparkline>
              <xm:f>'Operating profit margin'!C27:M27</xm:f>
              <xm:sqref>B27</xm:sqref>
            </x14:sparkline>
            <x14:sparkline>
              <xm:f>'Operating profit margin'!C28:M28</xm:f>
              <xm:sqref>B28</xm:sqref>
            </x14:sparkline>
            <x14:sparkline>
              <xm:f>'Operating profit margin'!C29:M29</xm:f>
              <xm:sqref>B29</xm:sqref>
            </x14:sparkline>
            <x14:sparkline>
              <xm:f>'Operating profit margin'!C30:M30</xm:f>
              <xm:sqref>B30</xm:sqref>
            </x14:sparkline>
            <x14:sparkline>
              <xm:f>'Operating profit margin'!C31:M31</xm:f>
              <xm:sqref>B31</xm:sqref>
            </x14:sparkline>
            <x14:sparkline>
              <xm:f>'Operating profit margin'!C32:M32</xm:f>
              <xm:sqref>B32</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pageSetUpPr fitToPage="1"/>
  </sheetPr>
  <dimension ref="A1:M33"/>
  <sheetViews>
    <sheetView workbookViewId="0">
      <selection activeCell="K1" sqref="K1:M1"/>
    </sheetView>
  </sheetViews>
  <sheetFormatPr defaultColWidth="8.75" defaultRowHeight="15" customHeight="1" x14ac:dyDescent="0.2"/>
  <cols>
    <col min="1" max="1" width="32.125" style="109" customWidth="1"/>
    <col min="2" max="2" width="6.75" style="109" customWidth="1"/>
    <col min="3" max="13" width="6.75" style="108" customWidth="1"/>
    <col min="14" max="24" width="6.75" style="109" customWidth="1"/>
    <col min="25" max="16384" width="8.75" style="109"/>
  </cols>
  <sheetData>
    <row r="1" spans="1:13" ht="33" customHeight="1" thickBot="1" x14ac:dyDescent="0.25">
      <c r="A1" s="13" t="s">
        <v>536</v>
      </c>
      <c r="B1" s="13"/>
      <c r="C1" s="13"/>
      <c r="D1" s="13"/>
      <c r="E1" s="13"/>
      <c r="F1" s="13"/>
      <c r="J1" s="109"/>
      <c r="K1" s="247" t="s">
        <v>3</v>
      </c>
      <c r="L1" s="247"/>
      <c r="M1" s="247"/>
    </row>
    <row r="2" spans="1:13" ht="15" customHeight="1" thickBot="1" x14ac:dyDescent="0.25">
      <c r="A2" s="110" t="s">
        <v>537</v>
      </c>
      <c r="B2" s="111" t="s">
        <v>35</v>
      </c>
      <c r="C2" s="112">
        <v>2008</v>
      </c>
      <c r="D2" s="112">
        <v>2009</v>
      </c>
      <c r="E2" s="112">
        <v>2010</v>
      </c>
      <c r="F2" s="112">
        <v>2011</v>
      </c>
      <c r="G2" s="112">
        <v>2012</v>
      </c>
      <c r="H2" s="112">
        <v>2013</v>
      </c>
      <c r="I2" s="112">
        <v>2014</v>
      </c>
      <c r="J2" s="112">
        <v>2015</v>
      </c>
      <c r="K2" s="112">
        <v>2016</v>
      </c>
      <c r="L2" s="112">
        <v>2017</v>
      </c>
      <c r="M2" s="112">
        <v>2018</v>
      </c>
    </row>
    <row r="3" spans="1:13" ht="15" customHeight="1" x14ac:dyDescent="0.2">
      <c r="A3" s="113" t="s">
        <v>15</v>
      </c>
      <c r="C3" s="114">
        <v>0.10214558744593435</v>
      </c>
      <c r="D3" s="114">
        <v>8.57232055480288E-2</v>
      </c>
      <c r="E3" s="114">
        <v>7.0830159706903234E-2</v>
      </c>
      <c r="F3" s="114">
        <v>-1.7249106242091836E-2</v>
      </c>
      <c r="G3" s="114">
        <v>8.9006098870739431E-2</v>
      </c>
      <c r="H3" s="114">
        <v>9.338176642028434E-2</v>
      </c>
      <c r="I3" s="114">
        <v>0.11334946590405048</v>
      </c>
      <c r="J3" s="114">
        <v>0.12284994927411556</v>
      </c>
      <c r="K3" s="114">
        <v>0.17505230976114769</v>
      </c>
      <c r="L3" s="114">
        <v>8.1043254305328424E-2</v>
      </c>
      <c r="M3" s="114">
        <v>0.10755103287681622</v>
      </c>
    </row>
    <row r="4" spans="1:13" ht="15" customHeight="1" x14ac:dyDescent="0.2">
      <c r="A4" s="115" t="s">
        <v>122</v>
      </c>
      <c r="C4" s="114">
        <v>0.160571721581591</v>
      </c>
      <c r="D4" s="114">
        <v>0.1153882561265665</v>
      </c>
      <c r="E4" s="114">
        <v>8.3977402424261577E-2</v>
      </c>
      <c r="F4" s="114">
        <v>0.13110948198432942</v>
      </c>
      <c r="G4" s="114">
        <v>0.2298103477489985</v>
      </c>
      <c r="H4" s="114">
        <v>6.9751048788303932E-2</v>
      </c>
      <c r="I4" s="114">
        <v>0.11263332738718984</v>
      </c>
      <c r="J4" s="114">
        <v>0.11796363503241111</v>
      </c>
      <c r="K4" s="114">
        <v>0.23370460038332772</v>
      </c>
      <c r="L4" s="114">
        <v>0.12079027878492751</v>
      </c>
      <c r="M4" s="114">
        <v>0.25078035059987852</v>
      </c>
    </row>
    <row r="5" spans="1:13" ht="15" customHeight="1" x14ac:dyDescent="0.2">
      <c r="A5" s="115" t="s">
        <v>140</v>
      </c>
      <c r="C5" s="114">
        <v>0.16719229727132795</v>
      </c>
      <c r="D5" s="114">
        <v>0.14785385630942588</v>
      </c>
      <c r="E5" s="114">
        <v>0.15053956994064568</v>
      </c>
      <c r="F5" s="114">
        <v>0.21886736874175985</v>
      </c>
      <c r="G5" s="114">
        <v>0.19035674387692988</v>
      </c>
      <c r="H5" s="114">
        <v>0.1773977802290318</v>
      </c>
      <c r="I5" s="114">
        <v>0.11025175879064036</v>
      </c>
      <c r="J5" s="114">
        <v>0.17566939945882637</v>
      </c>
      <c r="K5" s="114">
        <v>0.13479973170294543</v>
      </c>
      <c r="L5" s="114">
        <v>0.22662072379434181</v>
      </c>
      <c r="M5" s="114">
        <v>0.22871069746345554</v>
      </c>
    </row>
    <row r="6" spans="1:13" ht="15" customHeight="1" x14ac:dyDescent="0.2">
      <c r="A6" s="115" t="s">
        <v>155</v>
      </c>
      <c r="C6" s="114">
        <v>-0.15113983287404242</v>
      </c>
      <c r="D6" s="114">
        <v>-0.15965397915905716</v>
      </c>
      <c r="E6" s="114">
        <v>7.1288689180056874E-2</v>
      </c>
      <c r="F6" s="114">
        <v>5.2403773001994426E-2</v>
      </c>
      <c r="G6" s="114">
        <v>-5.0764745329779084E-3</v>
      </c>
      <c r="H6" s="114">
        <v>-5.154316223411305E-3</v>
      </c>
      <c r="I6" s="114">
        <v>2.1559547615772934E-2</v>
      </c>
      <c r="J6" s="114">
        <v>6.7817782537704555E-2</v>
      </c>
      <c r="K6" s="114">
        <v>0.31330631303976525</v>
      </c>
      <c r="L6" s="114">
        <v>6.799116605004836E-2</v>
      </c>
      <c r="M6" s="114">
        <v>2.7993333225547794E-2</v>
      </c>
    </row>
    <row r="7" spans="1:13" ht="15" customHeight="1" x14ac:dyDescent="0.2">
      <c r="A7" s="115" t="s">
        <v>173</v>
      </c>
      <c r="C7" s="114">
        <v>0.11625177396328167</v>
      </c>
      <c r="D7" s="114">
        <v>0.14191299171500327</v>
      </c>
      <c r="E7" s="114">
        <v>0.18413370878753413</v>
      </c>
      <c r="F7" s="114">
        <v>1.5990459801897883E-2</v>
      </c>
      <c r="G7" s="114">
        <v>0.13364718896899203</v>
      </c>
      <c r="H7" s="114">
        <v>0.11942830769218768</v>
      </c>
      <c r="I7" s="114">
        <v>0.19153000458204431</v>
      </c>
      <c r="J7" s="114">
        <v>0.16897797974891021</v>
      </c>
      <c r="K7" s="114">
        <v>0.29006193881829512</v>
      </c>
      <c r="L7" s="114">
        <v>0.26442807900204218</v>
      </c>
      <c r="M7" s="114">
        <v>0.29894842355478085</v>
      </c>
    </row>
    <row r="8" spans="1:13" ht="15" customHeight="1" x14ac:dyDescent="0.2">
      <c r="A8" s="115" t="s">
        <v>193</v>
      </c>
      <c r="C8" s="114">
        <v>8.3218061596417772E-2</v>
      </c>
      <c r="D8" s="114">
        <v>1.5566199786570065E-2</v>
      </c>
      <c r="E8" s="114">
        <v>0.26008330596821572</v>
      </c>
      <c r="F8" s="114">
        <v>3.5046765949303872E-2</v>
      </c>
      <c r="G8" s="114">
        <v>0.20327766282379481</v>
      </c>
      <c r="H8" s="114">
        <v>4.1508454644933267E-2</v>
      </c>
      <c r="I8" s="114">
        <v>0.1941425812533927</v>
      </c>
      <c r="J8" s="114">
        <v>0.25594150534048049</v>
      </c>
      <c r="K8" s="114">
        <v>0.13508013145700976</v>
      </c>
      <c r="L8" s="114">
        <v>0.11133367554123152</v>
      </c>
      <c r="M8" s="114">
        <v>0.124394935524254</v>
      </c>
    </row>
    <row r="9" spans="1:13" ht="15" customHeight="1" x14ac:dyDescent="0.2">
      <c r="A9" s="115" t="s">
        <v>211</v>
      </c>
      <c r="C9" s="114">
        <v>0.16759574001517227</v>
      </c>
      <c r="D9" s="114">
        <v>0.14556002810258972</v>
      </c>
      <c r="E9" s="114">
        <v>-2.0576997084314361E-2</v>
      </c>
      <c r="F9" s="114">
        <v>0.11034800007399026</v>
      </c>
      <c r="G9" s="114">
        <v>-7.0560598146848938E-2</v>
      </c>
      <c r="H9" s="114">
        <v>8.4886266146112624E-2</v>
      </c>
      <c r="I9" s="114">
        <v>6.7889348504102665E-2</v>
      </c>
      <c r="J9" s="114">
        <v>0.24734454708371043</v>
      </c>
      <c r="K9" s="114">
        <v>0.27074121899393433</v>
      </c>
      <c r="L9" s="114">
        <v>7.8315935786486032E-2</v>
      </c>
      <c r="M9" s="114">
        <v>7.4882948314235712E-2</v>
      </c>
    </row>
    <row r="10" spans="1:13" ht="15" customHeight="1" x14ac:dyDescent="0.2">
      <c r="A10" s="115" t="s">
        <v>229</v>
      </c>
      <c r="C10" s="114">
        <v>-11.546814916768406</v>
      </c>
      <c r="D10" s="114">
        <v>-0.50569266822573355</v>
      </c>
      <c r="E10" s="114">
        <v>-0.36542452537652981</v>
      </c>
      <c r="F10" s="114">
        <v>-0.37136748130226388</v>
      </c>
      <c r="G10" s="114">
        <v>-0.62463468448429538</v>
      </c>
      <c r="H10" s="114">
        <v>-0.71806685106945589</v>
      </c>
      <c r="I10" s="114">
        <v>-1.4245386585448891</v>
      </c>
      <c r="J10" s="114">
        <v>-0.70806846043623628</v>
      </c>
      <c r="K10" s="114">
        <v>-0.70376294938112505</v>
      </c>
      <c r="L10" s="114">
        <v>-1.2174318936715613</v>
      </c>
      <c r="M10" s="114">
        <v>-0.93733672605932405</v>
      </c>
    </row>
    <row r="11" spans="1:13" ht="15" customHeight="1" x14ac:dyDescent="0.2">
      <c r="A11" s="115" t="s">
        <v>250</v>
      </c>
      <c r="C11" s="114">
        <v>0.23300080497145931</v>
      </c>
      <c r="D11" s="114">
        <v>0.18379427023725889</v>
      </c>
      <c r="E11" s="114">
        <v>5.092273975981159E-2</v>
      </c>
      <c r="F11" s="114">
        <v>9.6697369009808534E-2</v>
      </c>
      <c r="G11" s="114">
        <v>-8.3458923177708186E-2</v>
      </c>
      <c r="H11" s="114">
        <v>-7.1213838290314052E-2</v>
      </c>
      <c r="I11" s="114">
        <v>7.0599078073371166E-2</v>
      </c>
      <c r="J11" s="114">
        <v>-0.29189696950885891</v>
      </c>
      <c r="K11" s="114">
        <v>5.394758928062679E-2</v>
      </c>
      <c r="L11" s="114">
        <v>0.16489138040139489</v>
      </c>
      <c r="M11" s="114">
        <v>0.27201007386793352</v>
      </c>
    </row>
    <row r="12" spans="1:13" ht="15" customHeight="1" x14ac:dyDescent="0.2">
      <c r="A12" s="115" t="s">
        <v>265</v>
      </c>
      <c r="C12" s="114">
        <v>-0.16412334602213982</v>
      </c>
      <c r="D12" s="114">
        <v>3.9019615317929718E-2</v>
      </c>
      <c r="E12" s="114">
        <v>-9.4123461238393401E-3</v>
      </c>
      <c r="F12" s="114">
        <v>-4.3399010347905477E-2</v>
      </c>
      <c r="G12" s="114">
        <v>-9.2571560478609885E-2</v>
      </c>
      <c r="H12" s="114">
        <v>-0.12443418527237296</v>
      </c>
      <c r="I12" s="114">
        <v>-0.14222761644486095</v>
      </c>
      <c r="J12" s="114">
        <v>-0.17794338196974271</v>
      </c>
      <c r="K12" s="114">
        <v>4.4227047207281114E-2</v>
      </c>
      <c r="L12" s="114">
        <v>-6.0283441486468359E-2</v>
      </c>
      <c r="M12" s="114">
        <v>-9.7191440269335641E-2</v>
      </c>
    </row>
    <row r="13" spans="1:13" ht="15" customHeight="1" x14ac:dyDescent="0.2">
      <c r="A13" s="115" t="s">
        <v>279</v>
      </c>
      <c r="C13" s="114">
        <v>-0.46436716623808816</v>
      </c>
      <c r="D13" s="114">
        <v>-0.11867973742565995</v>
      </c>
      <c r="E13" s="114">
        <v>-0.18738774986217901</v>
      </c>
      <c r="F13" s="114">
        <v>-0.3511950066129314</v>
      </c>
      <c r="G13" s="114">
        <v>-8.5003366015222057E-2</v>
      </c>
      <c r="H13" s="114">
        <v>-0.11574896404776026</v>
      </c>
      <c r="I13" s="114">
        <v>-0.69241635163432136</v>
      </c>
      <c r="J13" s="114">
        <v>-9.0802120932592836E-2</v>
      </c>
      <c r="K13" s="114">
        <v>-4.7508794104791988E-2</v>
      </c>
      <c r="L13" s="114">
        <v>-3.1010609263391047E-2</v>
      </c>
      <c r="M13" s="114">
        <v>5.8284781882069351E-3</v>
      </c>
    </row>
    <row r="14" spans="1:13" ht="15" customHeight="1" x14ac:dyDescent="0.2">
      <c r="A14" s="115" t="s">
        <v>288</v>
      </c>
      <c r="C14" s="114">
        <v>-2.804319991871106E-2</v>
      </c>
      <c r="D14" s="114">
        <v>2.5261836184605542E-2</v>
      </c>
      <c r="E14" s="114">
        <v>-3.9245668512693718E-2</v>
      </c>
      <c r="F14" s="114">
        <v>2.3644270755198413E-2</v>
      </c>
      <c r="G14" s="114">
        <v>2.6720751206884708E-2</v>
      </c>
      <c r="H14" s="114">
        <v>-1.3507761182596549E-2</v>
      </c>
      <c r="I14" s="114">
        <v>1.8317609826579356E-2</v>
      </c>
      <c r="J14" s="114">
        <v>1.1467509079498641E-2</v>
      </c>
      <c r="K14" s="114">
        <v>7.4223697708482028E-2</v>
      </c>
      <c r="L14" s="114">
        <v>5.9391368427102582E-2</v>
      </c>
      <c r="M14" s="114">
        <v>8.9522755645199376E-2</v>
      </c>
    </row>
    <row r="15" spans="1:13" ht="15" customHeight="1" x14ac:dyDescent="0.2">
      <c r="A15" s="115" t="s">
        <v>300</v>
      </c>
      <c r="C15" s="114">
        <v>-4.2527129043216802E-2</v>
      </c>
      <c r="D15" s="114">
        <v>2.2087786026417384E-3</v>
      </c>
      <c r="E15" s="114">
        <v>-5.2220623440570366E-2</v>
      </c>
      <c r="F15" s="114">
        <v>0.11307507315027286</v>
      </c>
      <c r="G15" s="114">
        <v>7.4886152885308144E-2</v>
      </c>
      <c r="H15" s="114">
        <v>1.3064310214959355E-2</v>
      </c>
      <c r="I15" s="114">
        <v>5.1729649887458609E-2</v>
      </c>
      <c r="J15" s="114">
        <v>-1.1106708292565181E-3</v>
      </c>
      <c r="K15" s="114">
        <v>9.3611857887942962E-2</v>
      </c>
      <c r="L15" s="114">
        <v>-2.084640969163191E-4</v>
      </c>
      <c r="M15" s="114">
        <v>0.13235407566989049</v>
      </c>
    </row>
    <row r="16" spans="1:13" ht="15" customHeight="1" x14ac:dyDescent="0.2">
      <c r="A16" s="115" t="s">
        <v>313</v>
      </c>
      <c r="C16" s="114">
        <v>5.426688726161341E-3</v>
      </c>
      <c r="D16" s="114">
        <v>2.749875330586329E-2</v>
      </c>
      <c r="E16" s="114">
        <v>2.774931889303326E-2</v>
      </c>
      <c r="F16" s="114">
        <v>7.2269160183509248E-3</v>
      </c>
      <c r="G16" s="114">
        <v>-2.6712457115545162E-2</v>
      </c>
      <c r="H16" s="114">
        <v>2.8067503444471051E-2</v>
      </c>
      <c r="I16" s="114">
        <v>6.2100609726487718E-2</v>
      </c>
      <c r="J16" s="114">
        <v>7.7413260571262452E-2</v>
      </c>
      <c r="K16" s="114">
        <v>0.14733128125142109</v>
      </c>
      <c r="L16" s="114">
        <v>0.11305409072170833</v>
      </c>
      <c r="M16" s="114">
        <v>0.14349127030851347</v>
      </c>
    </row>
    <row r="17" spans="1:13" ht="15" customHeight="1" x14ac:dyDescent="0.2">
      <c r="A17" s="115" t="s">
        <v>326</v>
      </c>
      <c r="C17" s="114">
        <v>-1.1937807097347113E-2</v>
      </c>
      <c r="D17" s="114">
        <v>2.2898302833814781E-3</v>
      </c>
      <c r="E17" s="114">
        <v>4.4552301659828569E-2</v>
      </c>
      <c r="F17" s="114">
        <v>5.1364447756085174E-2</v>
      </c>
      <c r="G17" s="114">
        <v>3.9880104121506228E-2</v>
      </c>
      <c r="H17" s="114">
        <v>0.12974078397648114</v>
      </c>
      <c r="I17" s="114">
        <v>0.17600658805710817</v>
      </c>
      <c r="J17" s="114">
        <v>2.529085893594149E-2</v>
      </c>
      <c r="K17" s="114">
        <v>0.19529803495786349</v>
      </c>
      <c r="L17" s="114">
        <v>0.12750544174757458</v>
      </c>
      <c r="M17" s="114">
        <v>0.156938699300085</v>
      </c>
    </row>
    <row r="18" spans="1:13" ht="15" customHeight="1" x14ac:dyDescent="0.2">
      <c r="A18" s="115" t="s">
        <v>339</v>
      </c>
      <c r="C18" s="114">
        <v>2.0369140848365851E-2</v>
      </c>
      <c r="D18" s="114">
        <v>2.9574129878877281E-2</v>
      </c>
      <c r="E18" s="114">
        <v>7.4646184634239818E-2</v>
      </c>
      <c r="F18" s="114">
        <v>0.12280576795876513</v>
      </c>
      <c r="G18" s="114">
        <v>8.9820760045231929E-2</v>
      </c>
      <c r="H18" s="114">
        <v>0.11671749136312179</v>
      </c>
      <c r="I18" s="114">
        <v>0.16550183861651621</v>
      </c>
      <c r="J18" s="114">
        <v>0.13211233522084007</v>
      </c>
      <c r="K18" s="114">
        <v>0.17881975696051361</v>
      </c>
      <c r="L18" s="114">
        <v>0.19796588086179456</v>
      </c>
      <c r="M18" s="114">
        <v>0.23696130312551678</v>
      </c>
    </row>
    <row r="19" spans="1:13" ht="15" customHeight="1" x14ac:dyDescent="0.2">
      <c r="A19" s="115" t="s">
        <v>352</v>
      </c>
      <c r="C19" s="114">
        <v>2.0658050645487921E-2</v>
      </c>
      <c r="D19" s="114">
        <v>4.5475856391944541E-3</v>
      </c>
      <c r="E19" s="114">
        <v>5.6536428894334037E-2</v>
      </c>
      <c r="F19" s="114">
        <v>5.4390158789631174E-2</v>
      </c>
      <c r="G19" s="114">
        <v>1.4538598381258455E-2</v>
      </c>
      <c r="H19" s="114">
        <v>9.26165691581948E-2</v>
      </c>
      <c r="I19" s="114">
        <v>8.7907918690526346E-2</v>
      </c>
      <c r="J19" s="114">
        <v>5.8955674541802561E-2</v>
      </c>
      <c r="K19" s="114">
        <v>0.13606817829378631</v>
      </c>
      <c r="L19" s="114">
        <v>0.23063149741473968</v>
      </c>
      <c r="M19" s="114">
        <v>0.24460716713707556</v>
      </c>
    </row>
    <row r="20" spans="1:13" ht="15" customHeight="1" x14ac:dyDescent="0.2">
      <c r="A20" s="115" t="s">
        <v>365</v>
      </c>
      <c r="C20" s="114">
        <v>2.1650181263961989E-2</v>
      </c>
      <c r="D20" s="114">
        <v>0.1417492807304486</v>
      </c>
      <c r="E20" s="114">
        <v>7.6619766509211831E-2</v>
      </c>
      <c r="F20" s="114">
        <v>0.16408104601117268</v>
      </c>
      <c r="G20" s="114">
        <v>0.1121527383068944</v>
      </c>
      <c r="H20" s="114">
        <v>9.9555238679202393E-2</v>
      </c>
      <c r="I20" s="114">
        <v>7.6264915401041938E-2</v>
      </c>
      <c r="J20" s="114">
        <v>5.2605068973870239E-2</v>
      </c>
      <c r="K20" s="114">
        <v>0.12327198374898315</v>
      </c>
      <c r="L20" s="114">
        <v>0.24428187777059365</v>
      </c>
      <c r="M20" s="114">
        <v>0.28203346518518191</v>
      </c>
    </row>
    <row r="21" spans="1:13" ht="15" customHeight="1" x14ac:dyDescent="0.2">
      <c r="A21" s="115" t="s">
        <v>380</v>
      </c>
      <c r="C21" s="114">
        <v>0.17697593481304225</v>
      </c>
      <c r="D21" s="114">
        <v>0.20331811282864479</v>
      </c>
      <c r="E21" s="114">
        <v>0.18230563707069181</v>
      </c>
      <c r="F21" s="114">
        <v>8.5972387830853342E-2</v>
      </c>
      <c r="G21" s="114">
        <v>0.26135059455183435</v>
      </c>
      <c r="H21" s="114">
        <v>0.13321529311897334</v>
      </c>
      <c r="I21" s="114">
        <v>0.20930987771003642</v>
      </c>
      <c r="J21" s="114">
        <v>0.2652260680993111</v>
      </c>
      <c r="K21" s="114">
        <v>0.28333550795389434</v>
      </c>
      <c r="L21" s="114">
        <v>0.25638551699601547</v>
      </c>
      <c r="M21" s="114">
        <v>0.34685951928722175</v>
      </c>
    </row>
    <row r="22" spans="1:13" ht="15" customHeight="1" x14ac:dyDescent="0.2">
      <c r="A22" s="115" t="s">
        <v>392</v>
      </c>
      <c r="C22" s="114">
        <v>0.11251184537933184</v>
      </c>
      <c r="D22" s="114">
        <v>0.1582140021805811</v>
      </c>
      <c r="E22" s="114">
        <v>4.6079097120268329E-2</v>
      </c>
      <c r="F22" s="114">
        <v>1.0178869022741439E-2</v>
      </c>
      <c r="G22" s="114">
        <v>0.13301392562514311</v>
      </c>
      <c r="H22" s="114">
        <v>0.10486842622164379</v>
      </c>
      <c r="I22" s="114">
        <v>0.13989034489376956</v>
      </c>
      <c r="J22" s="114">
        <v>0.15296050163785066</v>
      </c>
      <c r="K22" s="114">
        <v>0.18882831872955841</v>
      </c>
      <c r="L22" s="114">
        <v>0.19590379089923185</v>
      </c>
      <c r="M22" s="114">
        <v>0.25290024957548679</v>
      </c>
    </row>
    <row r="23" spans="1:13" ht="15" customHeight="1" x14ac:dyDescent="0.2">
      <c r="A23" s="115" t="s">
        <v>405</v>
      </c>
      <c r="C23" s="114">
        <v>-6.9854184770333672E-2</v>
      </c>
      <c r="D23" s="114">
        <v>2.3587860873885983E-2</v>
      </c>
      <c r="E23" s="114">
        <v>6.85781170280408E-2</v>
      </c>
      <c r="F23" s="114">
        <v>0.10287561399479454</v>
      </c>
      <c r="G23" s="114">
        <v>2.7928300259353955E-2</v>
      </c>
      <c r="H23" s="114">
        <v>3.1742978259852125E-3</v>
      </c>
      <c r="I23" s="114">
        <v>6.7765618162245828E-2</v>
      </c>
      <c r="J23" s="114">
        <v>5.970641433624542E-2</v>
      </c>
      <c r="K23" s="114">
        <v>0.13106697591818911</v>
      </c>
      <c r="L23" s="114">
        <v>0.12995138716654014</v>
      </c>
      <c r="M23" s="114">
        <v>0.13855796313758043</v>
      </c>
    </row>
    <row r="24" spans="1:13" ht="15" customHeight="1" x14ac:dyDescent="0.2">
      <c r="A24" s="115" t="s">
        <v>419</v>
      </c>
      <c r="C24" s="114">
        <v>-7.4927971758942807E-2</v>
      </c>
      <c r="D24" s="114">
        <v>4.8650558313058569E-2</v>
      </c>
      <c r="E24" s="114">
        <v>8.1654941770046632E-3</v>
      </c>
      <c r="F24" s="114">
        <v>-7.6198344093213657E-3</v>
      </c>
      <c r="G24" s="114">
        <v>0.10952346129088572</v>
      </c>
      <c r="H24" s="114">
        <v>2.5864103402846107E-2</v>
      </c>
      <c r="I24" s="114">
        <v>1.8457337345767651E-2</v>
      </c>
      <c r="J24" s="114">
        <v>9.6992960882325993E-2</v>
      </c>
      <c r="K24" s="114">
        <v>0.18273636663802015</v>
      </c>
      <c r="L24" s="114">
        <v>0.21693658063915847</v>
      </c>
      <c r="M24" s="114">
        <v>0.22771575518534917</v>
      </c>
    </row>
    <row r="25" spans="1:13" ht="15" customHeight="1" x14ac:dyDescent="0.2">
      <c r="A25" s="115" t="s">
        <v>457</v>
      </c>
      <c r="C25" s="114">
        <v>2.7190557606773722E-2</v>
      </c>
      <c r="D25" s="114">
        <v>0.14421660615587992</v>
      </c>
      <c r="E25" s="114">
        <v>0.13070724631118319</v>
      </c>
      <c r="F25" s="114">
        <v>0.13622820520900986</v>
      </c>
      <c r="G25" s="114">
        <v>0.12869448019487514</v>
      </c>
      <c r="H25" s="114">
        <v>0.16052641823679381</v>
      </c>
      <c r="I25" s="114">
        <v>0.13885776492066032</v>
      </c>
      <c r="J25" s="114">
        <v>0.13663352689816596</v>
      </c>
      <c r="K25" s="114">
        <v>0.21610109538079225</v>
      </c>
      <c r="L25" s="114">
        <v>0.23376424102126769</v>
      </c>
      <c r="M25" s="114">
        <v>0.29447386962692362</v>
      </c>
    </row>
    <row r="26" spans="1:13" ht="15" customHeight="1" x14ac:dyDescent="0.2">
      <c r="A26" s="115" t="s">
        <v>470</v>
      </c>
      <c r="C26" s="114">
        <v>0.14810022635371739</v>
      </c>
      <c r="D26" s="114">
        <v>0.19583625482540429</v>
      </c>
      <c r="E26" s="114">
        <v>0.18535405867037455</v>
      </c>
      <c r="F26" s="114">
        <v>0.24057458188732186</v>
      </c>
      <c r="G26" s="114">
        <v>0.24719765945794009</v>
      </c>
      <c r="H26" s="114">
        <v>0.19608235851402522</v>
      </c>
      <c r="I26" s="114">
        <v>0.27734429840835984</v>
      </c>
      <c r="J26" s="114">
        <v>0.18736798983241154</v>
      </c>
      <c r="K26" s="114">
        <v>0.23474764194499353</v>
      </c>
      <c r="L26" s="114">
        <v>0.28082599540250575</v>
      </c>
      <c r="M26" s="114">
        <v>0.34167941500935378</v>
      </c>
    </row>
    <row r="27" spans="1:13" ht="15" customHeight="1" x14ac:dyDescent="0.2">
      <c r="A27" s="115" t="s">
        <v>483</v>
      </c>
      <c r="C27" s="114">
        <v>0.15480213284610242</v>
      </c>
      <c r="D27" s="114">
        <v>0.20647023528036268</v>
      </c>
      <c r="E27" s="114">
        <v>0.1774045974687678</v>
      </c>
      <c r="F27" s="114">
        <v>0.17820152997768055</v>
      </c>
      <c r="G27" s="114">
        <v>0.11818486211264759</v>
      </c>
      <c r="H27" s="114">
        <v>0.13462893846912277</v>
      </c>
      <c r="I27" s="114">
        <v>0.10728832932258943</v>
      </c>
      <c r="J27" s="114">
        <v>0.1062636680972102</v>
      </c>
      <c r="K27" s="114">
        <v>0.26640433668539198</v>
      </c>
      <c r="L27" s="114">
        <v>0.18692894050585493</v>
      </c>
      <c r="M27" s="114">
        <v>0.25422840999102864</v>
      </c>
    </row>
    <row r="28" spans="1:13" ht="15" customHeight="1" x14ac:dyDescent="0.2">
      <c r="A28" s="115" t="s">
        <v>496</v>
      </c>
      <c r="C28" s="114">
        <v>8.1117284544979684E-2</v>
      </c>
      <c r="D28" s="114">
        <v>0.25171669763873616</v>
      </c>
      <c r="E28" s="114">
        <v>0.13881745766191936</v>
      </c>
      <c r="F28" s="114">
        <v>-1.6963317741671521E-2</v>
      </c>
      <c r="G28" s="114">
        <v>0.11012451082757567</v>
      </c>
      <c r="H28" s="114">
        <v>0.17401177877033142</v>
      </c>
      <c r="I28" s="114">
        <v>0.1942816592852418</v>
      </c>
      <c r="J28" s="114">
        <v>0.27551728995540803</v>
      </c>
      <c r="K28" s="114">
        <v>0.32909341019091298</v>
      </c>
      <c r="L28" s="114">
        <v>0.26772756108905216</v>
      </c>
      <c r="M28" s="114">
        <v>0.31813712937825378</v>
      </c>
    </row>
    <row r="29" spans="1:13" ht="15" customHeight="1" x14ac:dyDescent="0.2">
      <c r="A29" s="115" t="s">
        <v>509</v>
      </c>
      <c r="C29" s="114">
        <v>4.2131340425383822E-2</v>
      </c>
      <c r="D29" s="114">
        <v>-0.13292395645368746</v>
      </c>
      <c r="E29" s="114">
        <v>6.0014428983017433E-2</v>
      </c>
      <c r="F29" s="114">
        <v>0.13747537325255793</v>
      </c>
      <c r="G29" s="114">
        <v>0.15517144438852623</v>
      </c>
      <c r="H29" s="114">
        <v>5.8533413902554621E-2</v>
      </c>
      <c r="I29" s="114">
        <v>0.12468230803296995</v>
      </c>
      <c r="J29" s="114">
        <v>7.7649471729098835E-2</v>
      </c>
      <c r="K29" s="114">
        <v>9.8551183899659875E-2</v>
      </c>
      <c r="L29" s="114">
        <v>6.6848464535815111E-2</v>
      </c>
      <c r="M29" s="114">
        <v>9.9632591401143042E-2</v>
      </c>
    </row>
    <row r="30" spans="1:13" ht="15" customHeight="1" x14ac:dyDescent="0.2">
      <c r="A30" s="115" t="s">
        <v>522</v>
      </c>
      <c r="C30" s="114">
        <v>0.1116946405769819</v>
      </c>
      <c r="D30" s="114">
        <v>7.0709841499896425E-2</v>
      </c>
      <c r="E30" s="114">
        <v>6.3285842154253827E-2</v>
      </c>
      <c r="F30" s="114">
        <v>0.10641991106796184</v>
      </c>
      <c r="G30" s="114">
        <v>0.16571177556009714</v>
      </c>
      <c r="H30" s="114">
        <v>0.11198849945864017</v>
      </c>
      <c r="I30" s="114">
        <v>7.9135977514865175E-2</v>
      </c>
      <c r="J30" s="114">
        <v>0.12813281506718568</v>
      </c>
      <c r="K30" s="114">
        <v>0.12512589143603048</v>
      </c>
      <c r="L30" s="114">
        <v>0.11876168922581526</v>
      </c>
      <c r="M30" s="114">
        <v>0.18297894455741939</v>
      </c>
    </row>
    <row r="31" spans="1:13" ht="15" customHeight="1" x14ac:dyDescent="0.2">
      <c r="A31" s="115" t="s">
        <v>432</v>
      </c>
      <c r="C31" s="114">
        <v>0.1179055521611749</v>
      </c>
      <c r="D31" s="114">
        <v>0.13599668835212445</v>
      </c>
      <c r="E31" s="114">
        <v>0.20046181740153157</v>
      </c>
      <c r="F31" s="114">
        <v>0.19572599426422693</v>
      </c>
      <c r="G31" s="114">
        <v>0.16078063764431733</v>
      </c>
      <c r="H31" s="114">
        <v>0.13690322874413016</v>
      </c>
      <c r="I31" s="114">
        <v>0.11878452384981963</v>
      </c>
      <c r="J31" s="114">
        <v>0.13363602695935273</v>
      </c>
      <c r="K31" s="114">
        <v>8.1768313901730366E-2</v>
      </c>
      <c r="L31" s="114">
        <v>0.16567415826818399</v>
      </c>
      <c r="M31" s="114">
        <v>0.1903984476385924</v>
      </c>
    </row>
    <row r="32" spans="1:13" ht="15" customHeight="1" thickBot="1" x14ac:dyDescent="0.25">
      <c r="A32" s="116" t="s">
        <v>443</v>
      </c>
      <c r="B32" s="117"/>
      <c r="C32" s="118">
        <v>8.944449283569493E-2</v>
      </c>
      <c r="D32" s="118">
        <v>0.23309577567198997</v>
      </c>
      <c r="E32" s="118">
        <v>0.10287916291356464</v>
      </c>
      <c r="F32" s="118">
        <v>3.6013074666576619E-2</v>
      </c>
      <c r="G32" s="118">
        <v>0.17089045159616184</v>
      </c>
      <c r="H32" s="118">
        <v>6.2299081548186912E-2</v>
      </c>
      <c r="I32" s="118">
        <v>0.1167010924899112</v>
      </c>
      <c r="J32" s="118">
        <v>0.12262779196171257</v>
      </c>
      <c r="K32" s="118">
        <v>0.12202671286555759</v>
      </c>
      <c r="L32" s="118">
        <v>4.3270334695102781E-2</v>
      </c>
      <c r="M32" s="118">
        <v>8.6327646490797896E-2</v>
      </c>
    </row>
    <row r="33" spans="1:13" ht="15" customHeight="1" x14ac:dyDescent="0.2">
      <c r="A33" s="48"/>
      <c r="M33" s="109"/>
    </row>
  </sheetData>
  <mergeCells count="1">
    <mergeCell ref="K1:M1"/>
  </mergeCells>
  <hyperlinks>
    <hyperlink ref="K1:M1" location="Home_page" display="Back to_x000a_home page"/>
  </hyperlinks>
  <pageMargins left="0.70866141732283472" right="0.70866141732283472" top="0.74803149606299213" bottom="0.74803149606299213" header="0.31496062992125984" footer="0.31496062992125984"/>
  <pageSetup paperSize="9" orientation="landscape"/>
  <extLst>
    <ext xmlns:x14="http://schemas.microsoft.com/office/spreadsheetml/2009/9/main" uri="{05C60535-1F16-4fd2-B633-F4F36F0B64E0}">
      <x14:sparklineGroups xmlns:xm="http://schemas.microsoft.com/office/excel/2006/main">
        <x14:sparklineGroup manualMax="0" manualMin="0" displayEmptyCellsAs="gap" high="1" low="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'Net profit margin'!C3:M3</xm:f>
              <xm:sqref>B3</xm:sqref>
            </x14:sparkline>
            <x14:sparkline>
              <xm:f>'Net profit margin'!C4:M4</xm:f>
              <xm:sqref>B4</xm:sqref>
            </x14:sparkline>
            <x14:sparkline>
              <xm:f>'Net profit margin'!C5:M5</xm:f>
              <xm:sqref>B5</xm:sqref>
            </x14:sparkline>
            <x14:sparkline>
              <xm:f>'Net profit margin'!C6:M6</xm:f>
              <xm:sqref>B6</xm:sqref>
            </x14:sparkline>
            <x14:sparkline>
              <xm:f>'Net profit margin'!C7:M7</xm:f>
              <xm:sqref>B7</xm:sqref>
            </x14:sparkline>
            <x14:sparkline>
              <xm:f>'Net profit margin'!C8:M8</xm:f>
              <xm:sqref>B8</xm:sqref>
            </x14:sparkline>
            <x14:sparkline>
              <xm:f>'Net profit margin'!C9:M9</xm:f>
              <xm:sqref>B9</xm:sqref>
            </x14:sparkline>
            <x14:sparkline>
              <xm:f>'Net profit margin'!C10:M10</xm:f>
              <xm:sqref>B10</xm:sqref>
            </x14:sparkline>
            <x14:sparkline>
              <xm:f>'Net profit margin'!C11:M11</xm:f>
              <xm:sqref>B11</xm:sqref>
            </x14:sparkline>
            <x14:sparkline>
              <xm:f>'Net profit margin'!C12:M12</xm:f>
              <xm:sqref>B12</xm:sqref>
            </x14:sparkline>
            <x14:sparkline>
              <xm:f>'Net profit margin'!C13:M13</xm:f>
              <xm:sqref>B13</xm:sqref>
            </x14:sparkline>
            <x14:sparkline>
              <xm:f>'Net profit margin'!C14:M14</xm:f>
              <xm:sqref>B14</xm:sqref>
            </x14:sparkline>
            <x14:sparkline>
              <xm:f>'Net profit margin'!C15:M15</xm:f>
              <xm:sqref>B15</xm:sqref>
            </x14:sparkline>
            <x14:sparkline>
              <xm:f>'Net profit margin'!C16:M16</xm:f>
              <xm:sqref>B16</xm:sqref>
            </x14:sparkline>
            <x14:sparkline>
              <xm:f>'Net profit margin'!C17:M17</xm:f>
              <xm:sqref>B17</xm:sqref>
            </x14:sparkline>
            <x14:sparkline>
              <xm:f>'Net profit margin'!C18:M18</xm:f>
              <xm:sqref>B18</xm:sqref>
            </x14:sparkline>
            <x14:sparkline>
              <xm:f>'Net profit margin'!C19:M19</xm:f>
              <xm:sqref>B19</xm:sqref>
            </x14:sparkline>
            <x14:sparkline>
              <xm:f>'Net profit margin'!C20:M20</xm:f>
              <xm:sqref>B20</xm:sqref>
            </x14:sparkline>
            <x14:sparkline>
              <xm:f>'Net profit margin'!C21:M21</xm:f>
              <xm:sqref>B21</xm:sqref>
            </x14:sparkline>
            <x14:sparkline>
              <xm:f>'Net profit margin'!C22:M22</xm:f>
              <xm:sqref>B22</xm:sqref>
            </x14:sparkline>
            <x14:sparkline>
              <xm:f>'Net profit margin'!C23:M23</xm:f>
              <xm:sqref>B23</xm:sqref>
            </x14:sparkline>
            <x14:sparkline>
              <xm:f>'Net profit margin'!C24:M24</xm:f>
              <xm:sqref>B24</xm:sqref>
            </x14:sparkline>
            <x14:sparkline>
              <xm:f>'Net profit margin'!C25:M25</xm:f>
              <xm:sqref>B25</xm:sqref>
            </x14:sparkline>
            <x14:sparkline>
              <xm:f>'Net profit margin'!C26:M26</xm:f>
              <xm:sqref>B26</xm:sqref>
            </x14:sparkline>
            <x14:sparkline>
              <xm:f>'Net profit margin'!C27:M27</xm:f>
              <xm:sqref>B27</xm:sqref>
            </x14:sparkline>
            <x14:sparkline>
              <xm:f>'Net profit margin'!C28:M28</xm:f>
              <xm:sqref>B28</xm:sqref>
            </x14:sparkline>
            <x14:sparkline>
              <xm:f>'Net profit margin'!C29:M29</xm:f>
              <xm:sqref>B29</xm:sqref>
            </x14:sparkline>
            <x14:sparkline>
              <xm:f>'Net profit margin'!C30:M30</xm:f>
              <xm:sqref>B30</xm:sqref>
            </x14:sparkline>
            <x14:sparkline>
              <xm:f>'Net profit margin'!C31:M31</xm:f>
              <xm:sqref>B31</xm:sqref>
            </x14:sparkline>
            <x14:sparkline>
              <xm:f>'Net profit margin'!C32:M32</xm:f>
              <xm:sqref>B32</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pageSetUpPr fitToPage="1"/>
  </sheetPr>
  <dimension ref="A1:I34"/>
  <sheetViews>
    <sheetView workbookViewId="0">
      <selection activeCell="I1" sqref="I1"/>
    </sheetView>
  </sheetViews>
  <sheetFormatPr defaultColWidth="8.75" defaultRowHeight="12.75" x14ac:dyDescent="0.2"/>
  <cols>
    <col min="1" max="1" width="4.875" style="130" customWidth="1"/>
    <col min="2" max="2" width="46.125" style="130" customWidth="1"/>
    <col min="3" max="3" width="9.125" style="150" customWidth="1"/>
    <col min="4" max="4" width="20.75" style="150" customWidth="1"/>
    <col min="5" max="5" width="12.75" style="150" customWidth="1"/>
    <col min="6" max="7" width="9.75" style="150" customWidth="1"/>
    <col min="8" max="8" width="9.75" style="151" customWidth="1"/>
    <col min="9" max="9" width="9.75" style="150" customWidth="1"/>
    <col min="10" max="11" width="8.75" style="130"/>
    <col min="12" max="12" width="55.75" style="130" bestFit="1" customWidth="1"/>
    <col min="13" max="16384" width="8.75" style="130"/>
  </cols>
  <sheetData>
    <row r="1" spans="1:9" ht="28.5" customHeight="1" thickBot="1" x14ac:dyDescent="0.25">
      <c r="A1" s="129"/>
      <c r="B1" s="216" t="s">
        <v>544</v>
      </c>
      <c r="C1" s="216"/>
      <c r="D1" s="216"/>
      <c r="E1" s="216"/>
      <c r="F1" s="216"/>
      <c r="G1" s="216"/>
      <c r="H1" s="216"/>
      <c r="I1" s="152" t="s">
        <v>3</v>
      </c>
    </row>
    <row r="2" spans="1:9" ht="26.25" thickBot="1" x14ac:dyDescent="0.25">
      <c r="A2" s="217" t="s">
        <v>545</v>
      </c>
      <c r="B2" s="218"/>
      <c r="C2" s="131" t="s">
        <v>546</v>
      </c>
      <c r="D2" s="131" t="s">
        <v>547</v>
      </c>
      <c r="E2" s="131" t="s">
        <v>548</v>
      </c>
      <c r="F2" s="131" t="s">
        <v>549</v>
      </c>
      <c r="G2" s="131" t="s">
        <v>550</v>
      </c>
      <c r="H2" s="131" t="s">
        <v>551</v>
      </c>
      <c r="I2" s="132" t="s">
        <v>552</v>
      </c>
    </row>
    <row r="3" spans="1:9" x14ac:dyDescent="0.2">
      <c r="A3" s="133">
        <v>1</v>
      </c>
      <c r="B3" s="134" t="s">
        <v>553</v>
      </c>
      <c r="C3" s="135" t="s">
        <v>554</v>
      </c>
      <c r="D3" s="135" t="s">
        <v>555</v>
      </c>
      <c r="E3" s="136"/>
      <c r="F3" s="136"/>
      <c r="G3" s="136"/>
      <c r="H3" s="135" t="s">
        <v>556</v>
      </c>
      <c r="I3" s="137"/>
    </row>
    <row r="4" spans="1:9" x14ac:dyDescent="0.2">
      <c r="A4" s="133">
        <v>2</v>
      </c>
      <c r="B4" s="138" t="s">
        <v>122</v>
      </c>
      <c r="C4" s="139" t="s">
        <v>554</v>
      </c>
      <c r="D4" s="139" t="s">
        <v>555</v>
      </c>
      <c r="E4" s="140" t="s">
        <v>557</v>
      </c>
      <c r="F4" s="140"/>
      <c r="G4" s="140" t="s">
        <v>558</v>
      </c>
      <c r="H4" s="139" t="s">
        <v>556</v>
      </c>
      <c r="I4" s="141"/>
    </row>
    <row r="5" spans="1:9" x14ac:dyDescent="0.2">
      <c r="A5" s="133">
        <v>3</v>
      </c>
      <c r="B5" s="138" t="s">
        <v>140</v>
      </c>
      <c r="C5" s="139" t="s">
        <v>554</v>
      </c>
      <c r="D5" s="139" t="s">
        <v>555</v>
      </c>
      <c r="E5" s="140" t="s">
        <v>557</v>
      </c>
      <c r="F5" s="140"/>
      <c r="G5" s="140" t="s">
        <v>559</v>
      </c>
      <c r="H5" s="139" t="s">
        <v>556</v>
      </c>
      <c r="I5" s="141"/>
    </row>
    <row r="6" spans="1:9" ht="38.25" x14ac:dyDescent="0.2">
      <c r="A6" s="133">
        <v>4</v>
      </c>
      <c r="B6" s="138" t="s">
        <v>560</v>
      </c>
      <c r="C6" s="139" t="s">
        <v>561</v>
      </c>
      <c r="D6" s="139" t="s">
        <v>555</v>
      </c>
      <c r="E6" s="140" t="s">
        <v>562</v>
      </c>
      <c r="F6" s="140"/>
      <c r="G6" s="140"/>
      <c r="H6" s="139" t="s">
        <v>563</v>
      </c>
      <c r="I6" s="141"/>
    </row>
    <row r="7" spans="1:9" ht="38.25" x14ac:dyDescent="0.2">
      <c r="A7" s="133">
        <v>5</v>
      </c>
      <c r="B7" s="138" t="s">
        <v>564</v>
      </c>
      <c r="C7" s="139" t="s">
        <v>561</v>
      </c>
      <c r="D7" s="139" t="s">
        <v>555</v>
      </c>
      <c r="E7" s="140" t="s">
        <v>562</v>
      </c>
      <c r="F7" s="140"/>
      <c r="G7" s="140"/>
      <c r="H7" s="139" t="s">
        <v>565</v>
      </c>
      <c r="I7" s="141"/>
    </row>
    <row r="8" spans="1:9" x14ac:dyDescent="0.2">
      <c r="A8" s="133">
        <v>6</v>
      </c>
      <c r="B8" s="138" t="s">
        <v>566</v>
      </c>
      <c r="C8" s="139"/>
      <c r="D8" s="139" t="s">
        <v>567</v>
      </c>
      <c r="E8" s="140" t="s">
        <v>562</v>
      </c>
      <c r="F8" s="140"/>
      <c r="G8" s="140"/>
      <c r="H8" s="139" t="s">
        <v>556</v>
      </c>
      <c r="I8" s="141"/>
    </row>
    <row r="9" spans="1:9" x14ac:dyDescent="0.2">
      <c r="A9" s="133">
        <v>7</v>
      </c>
      <c r="B9" s="138" t="s">
        <v>568</v>
      </c>
      <c r="C9" s="139"/>
      <c r="D9" s="139" t="s">
        <v>569</v>
      </c>
      <c r="E9" s="140" t="s">
        <v>562</v>
      </c>
      <c r="F9" s="140"/>
      <c r="G9" s="140"/>
      <c r="H9" s="139" t="s">
        <v>556</v>
      </c>
      <c r="I9" s="141"/>
    </row>
    <row r="10" spans="1:9" x14ac:dyDescent="0.2">
      <c r="A10" s="133">
        <v>8</v>
      </c>
      <c r="B10" s="138" t="s">
        <v>570</v>
      </c>
      <c r="C10" s="139"/>
      <c r="D10" s="139"/>
      <c r="E10" s="140"/>
      <c r="F10" s="140"/>
      <c r="G10" s="140"/>
      <c r="H10" s="139" t="s">
        <v>556</v>
      </c>
      <c r="I10" s="141" t="s">
        <v>571</v>
      </c>
    </row>
    <row r="11" spans="1:9" x14ac:dyDescent="0.2">
      <c r="A11" s="133">
        <v>9</v>
      </c>
      <c r="B11" s="138" t="s">
        <v>572</v>
      </c>
      <c r="C11" s="139"/>
      <c r="D11" s="139"/>
      <c r="E11" s="140"/>
      <c r="F11" s="140"/>
      <c r="G11" s="140"/>
      <c r="H11" s="139" t="s">
        <v>573</v>
      </c>
      <c r="I11" s="141" t="s">
        <v>571</v>
      </c>
    </row>
    <row r="12" spans="1:9" x14ac:dyDescent="0.2">
      <c r="A12" s="133">
        <v>10</v>
      </c>
      <c r="B12" s="138" t="s">
        <v>574</v>
      </c>
      <c r="C12" s="139"/>
      <c r="D12" s="139"/>
      <c r="E12" s="140"/>
      <c r="F12" s="140"/>
      <c r="G12" s="140"/>
      <c r="H12" s="139" t="s">
        <v>556</v>
      </c>
      <c r="I12" s="141"/>
    </row>
    <row r="13" spans="1:9" x14ac:dyDescent="0.2">
      <c r="A13" s="133">
        <v>11</v>
      </c>
      <c r="B13" s="138" t="s">
        <v>265</v>
      </c>
      <c r="C13" s="139" t="s">
        <v>575</v>
      </c>
      <c r="D13" s="139" t="s">
        <v>576</v>
      </c>
      <c r="E13" s="140" t="s">
        <v>562</v>
      </c>
      <c r="F13" s="140"/>
      <c r="G13" s="140" t="s">
        <v>577</v>
      </c>
      <c r="H13" s="139" t="s">
        <v>556</v>
      </c>
      <c r="I13" s="141"/>
    </row>
    <row r="14" spans="1:9" x14ac:dyDescent="0.2">
      <c r="A14" s="133">
        <v>12</v>
      </c>
      <c r="B14" s="138" t="s">
        <v>279</v>
      </c>
      <c r="C14" s="139" t="s">
        <v>575</v>
      </c>
      <c r="D14" s="139" t="s">
        <v>576</v>
      </c>
      <c r="E14" s="140" t="s">
        <v>562</v>
      </c>
      <c r="F14" s="140"/>
      <c r="G14" s="140" t="s">
        <v>578</v>
      </c>
      <c r="H14" s="139" t="s">
        <v>556</v>
      </c>
      <c r="I14" s="141"/>
    </row>
    <row r="15" spans="1:9" x14ac:dyDescent="0.2">
      <c r="A15" s="133">
        <v>13</v>
      </c>
      <c r="B15" s="138" t="s">
        <v>579</v>
      </c>
      <c r="C15" s="139" t="s">
        <v>575</v>
      </c>
      <c r="D15" s="139" t="s">
        <v>555</v>
      </c>
      <c r="E15" s="140" t="s">
        <v>557</v>
      </c>
      <c r="F15" s="140"/>
      <c r="G15" s="140" t="s">
        <v>577</v>
      </c>
      <c r="H15" s="139" t="s">
        <v>556</v>
      </c>
      <c r="I15" s="141"/>
    </row>
    <row r="16" spans="1:9" x14ac:dyDescent="0.2">
      <c r="A16" s="133">
        <v>14</v>
      </c>
      <c r="B16" s="138" t="s">
        <v>580</v>
      </c>
      <c r="C16" s="139" t="s">
        <v>575</v>
      </c>
      <c r="D16" s="139" t="s">
        <v>555</v>
      </c>
      <c r="E16" s="140" t="s">
        <v>557</v>
      </c>
      <c r="F16" s="140"/>
      <c r="G16" s="140" t="s">
        <v>578</v>
      </c>
      <c r="H16" s="139" t="s">
        <v>556</v>
      </c>
      <c r="I16" s="141"/>
    </row>
    <row r="17" spans="1:9" x14ac:dyDescent="0.2">
      <c r="A17" s="133">
        <v>15</v>
      </c>
      <c r="B17" s="138" t="s">
        <v>581</v>
      </c>
      <c r="C17" s="139" t="s">
        <v>582</v>
      </c>
      <c r="D17" s="139"/>
      <c r="E17" s="140" t="s">
        <v>562</v>
      </c>
      <c r="F17" s="140"/>
      <c r="G17" s="140"/>
      <c r="H17" s="139" t="s">
        <v>583</v>
      </c>
      <c r="I17" s="141"/>
    </row>
    <row r="18" spans="1:9" x14ac:dyDescent="0.2">
      <c r="A18" s="133">
        <v>16</v>
      </c>
      <c r="B18" s="138" t="s">
        <v>584</v>
      </c>
      <c r="C18" s="139" t="s">
        <v>582</v>
      </c>
      <c r="D18" s="139" t="s">
        <v>555</v>
      </c>
      <c r="E18" s="140" t="s">
        <v>562</v>
      </c>
      <c r="F18" s="139" t="s">
        <v>585</v>
      </c>
      <c r="G18" s="140"/>
      <c r="H18" s="139" t="s">
        <v>556</v>
      </c>
      <c r="I18" s="141"/>
    </row>
    <row r="19" spans="1:9" ht="25.5" x14ac:dyDescent="0.2">
      <c r="A19" s="133">
        <v>17</v>
      </c>
      <c r="B19" s="138" t="s">
        <v>586</v>
      </c>
      <c r="C19" s="139" t="s">
        <v>582</v>
      </c>
      <c r="D19" s="139" t="s">
        <v>555</v>
      </c>
      <c r="E19" s="140" t="s">
        <v>562</v>
      </c>
      <c r="F19" s="139" t="s">
        <v>587</v>
      </c>
      <c r="G19" s="140"/>
      <c r="H19" s="139" t="s">
        <v>556</v>
      </c>
      <c r="I19" s="141"/>
    </row>
    <row r="20" spans="1:9" ht="25.5" x14ac:dyDescent="0.2">
      <c r="A20" s="133">
        <v>18</v>
      </c>
      <c r="B20" s="138" t="s">
        <v>588</v>
      </c>
      <c r="C20" s="139" t="s">
        <v>582</v>
      </c>
      <c r="D20" s="139" t="s">
        <v>555</v>
      </c>
      <c r="E20" s="140" t="s">
        <v>562</v>
      </c>
      <c r="F20" s="140"/>
      <c r="G20" s="140" t="s">
        <v>577</v>
      </c>
      <c r="H20" s="139" t="s">
        <v>563</v>
      </c>
      <c r="I20" s="141"/>
    </row>
    <row r="21" spans="1:9" ht="25.5" x14ac:dyDescent="0.2">
      <c r="A21" s="133">
        <v>19</v>
      </c>
      <c r="B21" s="138" t="s">
        <v>589</v>
      </c>
      <c r="C21" s="139" t="s">
        <v>582</v>
      </c>
      <c r="D21" s="139" t="s">
        <v>555</v>
      </c>
      <c r="E21" s="140" t="s">
        <v>562</v>
      </c>
      <c r="F21" s="140"/>
      <c r="G21" s="140" t="s">
        <v>578</v>
      </c>
      <c r="H21" s="139" t="s">
        <v>563</v>
      </c>
      <c r="I21" s="141"/>
    </row>
    <row r="22" spans="1:9" ht="25.5" x14ac:dyDescent="0.2">
      <c r="A22" s="133">
        <v>20</v>
      </c>
      <c r="B22" s="138" t="s">
        <v>590</v>
      </c>
      <c r="C22" s="139"/>
      <c r="D22" s="139" t="s">
        <v>591</v>
      </c>
      <c r="E22" s="140" t="s">
        <v>263</v>
      </c>
      <c r="F22" s="140"/>
      <c r="G22" s="140"/>
      <c r="H22" s="139" t="s">
        <v>592</v>
      </c>
      <c r="I22" s="141"/>
    </row>
    <row r="23" spans="1:9" ht="25.5" x14ac:dyDescent="0.2">
      <c r="A23" s="133">
        <v>21</v>
      </c>
      <c r="B23" s="138" t="s">
        <v>593</v>
      </c>
      <c r="C23" s="139"/>
      <c r="D23" s="139" t="s">
        <v>594</v>
      </c>
      <c r="E23" s="140"/>
      <c r="F23" s="140"/>
      <c r="G23" s="140"/>
      <c r="H23" s="139" t="s">
        <v>595</v>
      </c>
      <c r="I23" s="141"/>
    </row>
    <row r="24" spans="1:9" x14ac:dyDescent="0.2">
      <c r="A24" s="133">
        <v>22</v>
      </c>
      <c r="B24" s="138" t="s">
        <v>596</v>
      </c>
      <c r="C24" s="139"/>
      <c r="D24" s="139" t="s">
        <v>594</v>
      </c>
      <c r="E24" s="140"/>
      <c r="F24" s="140"/>
      <c r="G24" s="140"/>
      <c r="H24" s="139" t="s">
        <v>597</v>
      </c>
      <c r="I24" s="141"/>
    </row>
    <row r="25" spans="1:9" ht="38.25" x14ac:dyDescent="0.2">
      <c r="A25" s="133">
        <v>23</v>
      </c>
      <c r="B25" s="138" t="s">
        <v>598</v>
      </c>
      <c r="C25" s="139" t="s">
        <v>561</v>
      </c>
      <c r="D25" s="139" t="s">
        <v>576</v>
      </c>
      <c r="E25" s="140"/>
      <c r="F25" s="140"/>
      <c r="G25" s="140" t="s">
        <v>599</v>
      </c>
      <c r="H25" s="139" t="s">
        <v>556</v>
      </c>
      <c r="I25" s="141"/>
    </row>
    <row r="26" spans="1:9" ht="38.25" x14ac:dyDescent="0.2">
      <c r="A26" s="133">
        <v>24</v>
      </c>
      <c r="B26" s="138" t="s">
        <v>600</v>
      </c>
      <c r="C26" s="139" t="s">
        <v>561</v>
      </c>
      <c r="D26" s="139" t="s">
        <v>576</v>
      </c>
      <c r="E26" s="140"/>
      <c r="F26" s="140"/>
      <c r="G26" s="140" t="s">
        <v>558</v>
      </c>
      <c r="H26" s="139" t="s">
        <v>556</v>
      </c>
      <c r="I26" s="141"/>
    </row>
    <row r="27" spans="1:9" x14ac:dyDescent="0.2">
      <c r="A27" s="133">
        <v>25</v>
      </c>
      <c r="B27" s="138" t="s">
        <v>601</v>
      </c>
      <c r="C27" s="139"/>
      <c r="D27" s="139" t="s">
        <v>555</v>
      </c>
      <c r="E27" s="140"/>
      <c r="F27" s="140"/>
      <c r="G27" s="140"/>
      <c r="H27" s="139" t="s">
        <v>573</v>
      </c>
      <c r="I27" s="141"/>
    </row>
    <row r="28" spans="1:9" x14ac:dyDescent="0.2">
      <c r="A28" s="133">
        <v>26</v>
      </c>
      <c r="B28" s="138" t="s">
        <v>602</v>
      </c>
      <c r="C28" s="139"/>
      <c r="D28" s="139" t="s">
        <v>567</v>
      </c>
      <c r="E28" s="140"/>
      <c r="F28" s="140"/>
      <c r="G28" s="140"/>
      <c r="H28" s="139" t="s">
        <v>573</v>
      </c>
      <c r="I28" s="141"/>
    </row>
    <row r="29" spans="1:9" x14ac:dyDescent="0.2">
      <c r="A29" s="133">
        <v>27</v>
      </c>
      <c r="B29" s="138" t="s">
        <v>603</v>
      </c>
      <c r="C29" s="139"/>
      <c r="D29" s="139" t="s">
        <v>594</v>
      </c>
      <c r="E29" s="140"/>
      <c r="F29" s="140"/>
      <c r="G29" s="140"/>
      <c r="H29" s="139" t="s">
        <v>573</v>
      </c>
      <c r="I29" s="141"/>
    </row>
    <row r="30" spans="1:9" x14ac:dyDescent="0.2">
      <c r="A30" s="133">
        <v>28</v>
      </c>
      <c r="B30" s="138" t="s">
        <v>604</v>
      </c>
      <c r="C30" s="139"/>
      <c r="D30" s="139" t="s">
        <v>569</v>
      </c>
      <c r="E30" s="140"/>
      <c r="F30" s="140"/>
      <c r="G30" s="140"/>
      <c r="H30" s="139" t="s">
        <v>573</v>
      </c>
      <c r="I30" s="141"/>
    </row>
    <row r="31" spans="1:9" x14ac:dyDescent="0.2">
      <c r="A31" s="133">
        <v>29</v>
      </c>
      <c r="B31" s="138" t="s">
        <v>605</v>
      </c>
      <c r="C31" s="139" t="s">
        <v>606</v>
      </c>
      <c r="D31" s="139" t="s">
        <v>555</v>
      </c>
      <c r="E31" s="140" t="s">
        <v>557</v>
      </c>
      <c r="F31" s="140"/>
      <c r="G31" s="140" t="s">
        <v>558</v>
      </c>
      <c r="H31" s="139" t="s">
        <v>556</v>
      </c>
      <c r="I31" s="141"/>
    </row>
    <row r="32" spans="1:9" x14ac:dyDescent="0.2">
      <c r="A32" s="133">
        <v>30</v>
      </c>
      <c r="B32" s="142" t="s">
        <v>607</v>
      </c>
      <c r="C32" s="143" t="s">
        <v>606</v>
      </c>
      <c r="D32" s="143" t="s">
        <v>555</v>
      </c>
      <c r="E32" s="144" t="s">
        <v>557</v>
      </c>
      <c r="F32" s="144"/>
      <c r="G32" s="144" t="s">
        <v>599</v>
      </c>
      <c r="H32" s="143" t="s">
        <v>556</v>
      </c>
      <c r="I32" s="145"/>
    </row>
    <row r="33" spans="1:9" ht="45.75" customHeight="1" x14ac:dyDescent="0.2">
      <c r="A33" s="133">
        <v>31</v>
      </c>
      <c r="B33" s="138" t="s">
        <v>432</v>
      </c>
      <c r="C33" s="139"/>
      <c r="D33" s="139" t="s">
        <v>608</v>
      </c>
      <c r="E33" s="139" t="s">
        <v>609</v>
      </c>
      <c r="F33" s="140"/>
      <c r="G33" s="140"/>
      <c r="H33" s="139" t="s">
        <v>610</v>
      </c>
      <c r="I33" s="141"/>
    </row>
    <row r="34" spans="1:9" ht="48" customHeight="1" thickBot="1" x14ac:dyDescent="0.25">
      <c r="A34" s="133">
        <v>32</v>
      </c>
      <c r="B34" s="146" t="s">
        <v>443</v>
      </c>
      <c r="C34" s="147"/>
      <c r="D34" s="147" t="s">
        <v>608</v>
      </c>
      <c r="E34" s="147" t="s">
        <v>609</v>
      </c>
      <c r="F34" s="148"/>
      <c r="G34" s="148"/>
      <c r="H34" s="147" t="s">
        <v>611</v>
      </c>
      <c r="I34" s="149"/>
    </row>
  </sheetData>
  <mergeCells count="2">
    <mergeCell ref="B1:H1"/>
    <mergeCell ref="A2:B2"/>
  </mergeCells>
  <hyperlinks>
    <hyperlink ref="I1" location="Home_page" display="Back to_x000a_home page"/>
  </hyperlinks>
  <pageMargins left="0.70866141732283472" right="0.70866141732283472" top="0.74803149606299213" bottom="0.74803149606299213" header="0.31496062992125984" footer="0.31496062992125984"/>
  <pageSetup paperSize="9" scale="6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1"/>
  <sheetViews>
    <sheetView workbookViewId="0">
      <selection activeCell="M1" sqref="M1:N1"/>
    </sheetView>
  </sheetViews>
  <sheetFormatPr defaultColWidth="8.875" defaultRowHeight="12.75" x14ac:dyDescent="0.2"/>
  <cols>
    <col min="1" max="1" width="30.75" style="10" bestFit="1" customWidth="1"/>
    <col min="2" max="2" width="12.125" style="7" customWidth="1"/>
    <col min="3" max="3" width="8.875" style="7"/>
    <col min="4" max="14" width="10.125" style="7" customWidth="1"/>
    <col min="15" max="16384" width="8.875" style="2"/>
  </cols>
  <sheetData>
    <row r="1" spans="1:14" ht="24.75" customHeight="1" x14ac:dyDescent="0.2">
      <c r="A1" s="5" t="s">
        <v>2</v>
      </c>
      <c r="B1" s="6"/>
      <c r="C1" s="6"/>
      <c r="D1" s="6"/>
      <c r="E1" s="6"/>
      <c r="F1" s="6"/>
      <c r="G1" s="6"/>
      <c r="H1" s="6"/>
      <c r="J1" s="159" t="s">
        <v>648</v>
      </c>
      <c r="K1" s="159" t="s">
        <v>35</v>
      </c>
      <c r="M1" s="219" t="s">
        <v>3</v>
      </c>
      <c r="N1" s="219"/>
    </row>
    <row r="2" spans="1:14" ht="15" x14ac:dyDescent="0.2">
      <c r="A2" s="8" t="s">
        <v>13</v>
      </c>
      <c r="B2" s="6"/>
      <c r="C2" s="6"/>
      <c r="D2" s="6"/>
      <c r="E2" s="6"/>
      <c r="F2" s="6"/>
      <c r="G2" s="6"/>
      <c r="H2" s="6"/>
      <c r="J2" s="160" t="s">
        <v>18</v>
      </c>
      <c r="K2" s="161" t="s">
        <v>649</v>
      </c>
      <c r="M2" s="11"/>
      <c r="N2" s="11"/>
    </row>
    <row r="3" spans="1:14" ht="18.75" x14ac:dyDescent="0.2">
      <c r="A3" s="5"/>
      <c r="B3" s="6"/>
      <c r="C3" s="6"/>
      <c r="D3" s="6"/>
      <c r="E3" s="6"/>
      <c r="F3" s="6"/>
      <c r="G3" s="6"/>
      <c r="H3" s="6"/>
      <c r="J3" s="160" t="s">
        <v>174</v>
      </c>
      <c r="K3" s="161" t="s">
        <v>650</v>
      </c>
      <c r="M3" s="11"/>
      <c r="N3" s="11"/>
    </row>
    <row r="4" spans="1:14" ht="18.75" x14ac:dyDescent="0.2">
      <c r="A4" s="5"/>
      <c r="B4" s="6"/>
      <c r="C4" s="6"/>
      <c r="D4" s="6"/>
      <c r="E4" s="6"/>
      <c r="F4" s="6"/>
      <c r="G4" s="6"/>
      <c r="H4" s="6"/>
      <c r="J4" s="160" t="s">
        <v>123</v>
      </c>
      <c r="K4" s="161" t="s">
        <v>651</v>
      </c>
      <c r="M4" s="11"/>
      <c r="N4" s="11"/>
    </row>
    <row r="5" spans="1:14" ht="18.75" x14ac:dyDescent="0.2">
      <c r="A5" s="5"/>
      <c r="B5" s="6"/>
      <c r="C5" s="6"/>
      <c r="D5" s="6"/>
      <c r="E5" s="6"/>
      <c r="F5" s="6"/>
      <c r="G5" s="6"/>
      <c r="H5" s="6"/>
      <c r="J5" s="160" t="s">
        <v>17</v>
      </c>
      <c r="K5" s="161" t="s">
        <v>21</v>
      </c>
      <c r="M5" s="11"/>
      <c r="N5" s="11"/>
    </row>
    <row r="6" spans="1:14" ht="18.75" customHeight="1" x14ac:dyDescent="0.2">
      <c r="A6" s="5"/>
      <c r="B6" s="6"/>
      <c r="C6" s="6"/>
      <c r="D6" s="6"/>
      <c r="E6" s="6"/>
      <c r="F6" s="6"/>
      <c r="G6" s="6"/>
      <c r="H6" s="6"/>
      <c r="M6" s="11"/>
      <c r="N6" s="11"/>
    </row>
    <row r="7" spans="1:14" ht="24" customHeight="1" x14ac:dyDescent="0.2">
      <c r="A7" s="8"/>
      <c r="B7" s="220" t="s">
        <v>652</v>
      </c>
      <c r="C7" s="220"/>
      <c r="D7" s="220"/>
      <c r="E7" s="220"/>
      <c r="F7" s="220"/>
      <c r="G7" s="220"/>
      <c r="H7" s="220"/>
      <c r="I7" s="220"/>
      <c r="J7" s="220" t="s">
        <v>653</v>
      </c>
      <c r="K7" s="220"/>
      <c r="L7" s="220"/>
      <c r="M7" s="220"/>
    </row>
    <row r="8" spans="1:14" ht="64.5" thickBot="1" x14ac:dyDescent="0.25">
      <c r="A8" s="9" t="s">
        <v>4</v>
      </c>
      <c r="B8" s="162" t="s">
        <v>5</v>
      </c>
      <c r="C8" s="163" t="s">
        <v>6</v>
      </c>
      <c r="D8" s="163" t="s">
        <v>7</v>
      </c>
      <c r="E8" s="163" t="s">
        <v>8</v>
      </c>
      <c r="F8" s="163" t="s">
        <v>9</v>
      </c>
      <c r="G8" s="163" t="s">
        <v>10</v>
      </c>
      <c r="H8" s="163" t="s">
        <v>11</v>
      </c>
      <c r="I8" s="164" t="s">
        <v>12</v>
      </c>
      <c r="J8" s="162" t="s">
        <v>9</v>
      </c>
      <c r="K8" s="163" t="s">
        <v>10</v>
      </c>
      <c r="L8" s="163" t="s">
        <v>11</v>
      </c>
      <c r="M8" s="164" t="s">
        <v>12</v>
      </c>
      <c r="N8" s="165" t="s">
        <v>14</v>
      </c>
    </row>
    <row r="9" spans="1:14" ht="15" x14ac:dyDescent="0.2">
      <c r="A9" s="166" t="s">
        <v>15</v>
      </c>
      <c r="B9" s="167" t="s">
        <v>16</v>
      </c>
      <c r="C9" s="168">
        <v>10</v>
      </c>
      <c r="D9" s="168">
        <v>129.19999694824219</v>
      </c>
      <c r="E9" s="168">
        <v>1943.6495361328125</v>
      </c>
      <c r="F9" s="169">
        <v>4.0457211099549895</v>
      </c>
      <c r="G9" s="169">
        <v>6.8242116411890681</v>
      </c>
      <c r="H9" s="169">
        <v>6.2615408620271058</v>
      </c>
      <c r="I9" s="169">
        <v>0.75459236681888231</v>
      </c>
      <c r="J9" s="170" t="s">
        <v>17</v>
      </c>
      <c r="K9" s="170" t="s">
        <v>18</v>
      </c>
      <c r="L9" s="170" t="s">
        <v>18</v>
      </c>
      <c r="M9" s="170" t="s">
        <v>17</v>
      </c>
      <c r="N9" s="171">
        <v>0.51322301412752458</v>
      </c>
    </row>
    <row r="10" spans="1:14" ht="15" x14ac:dyDescent="0.2">
      <c r="A10" s="166" t="s">
        <v>122</v>
      </c>
      <c r="B10" s="167" t="s">
        <v>93</v>
      </c>
      <c r="C10" s="168">
        <v>31</v>
      </c>
      <c r="D10" s="168">
        <v>144.8709716796875</v>
      </c>
      <c r="E10" s="168">
        <v>3971.2666015625</v>
      </c>
      <c r="F10" s="169">
        <v>2.3361698087502245</v>
      </c>
      <c r="G10" s="169">
        <v>4.8828732166612943</v>
      </c>
      <c r="H10" s="169">
        <v>3.6735653105783079</v>
      </c>
      <c r="I10" s="169">
        <v>1.2296234664311143</v>
      </c>
      <c r="J10" s="170" t="s">
        <v>18</v>
      </c>
      <c r="K10" s="170" t="s">
        <v>18</v>
      </c>
      <c r="L10" s="170" t="s">
        <v>123</v>
      </c>
      <c r="M10" s="170" t="s">
        <v>17</v>
      </c>
      <c r="N10" s="171">
        <v>6.6744081086869425E-2</v>
      </c>
    </row>
    <row r="11" spans="1:14" ht="15" x14ac:dyDescent="0.2">
      <c r="A11" s="166" t="s">
        <v>140</v>
      </c>
      <c r="B11" s="167" t="s">
        <v>93</v>
      </c>
      <c r="C11" s="168">
        <v>33</v>
      </c>
      <c r="D11" s="168">
        <v>135.757568359375</v>
      </c>
      <c r="E11" s="168">
        <v>2641.114501953125</v>
      </c>
      <c r="F11" s="169">
        <v>3.1141212522437902</v>
      </c>
      <c r="G11" s="169">
        <v>6.7456164589688523</v>
      </c>
      <c r="H11" s="169">
        <v>5.6530556581505245</v>
      </c>
      <c r="I11" s="169">
        <v>1.6763025381235304</v>
      </c>
      <c r="J11" s="170" t="s">
        <v>18</v>
      </c>
      <c r="K11" s="170" t="s">
        <v>18</v>
      </c>
      <c r="L11" s="170" t="s">
        <v>18</v>
      </c>
      <c r="M11" s="170" t="s">
        <v>17</v>
      </c>
      <c r="N11" s="171">
        <v>6.290855611636384E-2</v>
      </c>
    </row>
    <row r="12" spans="1:14" ht="15" x14ac:dyDescent="0.2">
      <c r="A12" s="166" t="s">
        <v>155</v>
      </c>
      <c r="B12" s="167" t="s">
        <v>121</v>
      </c>
      <c r="C12" s="168">
        <v>13</v>
      </c>
      <c r="D12" s="168">
        <v>243.30769348144531</v>
      </c>
      <c r="E12" s="168">
        <v>6688.2548828125</v>
      </c>
      <c r="F12" s="169">
        <v>3.2419460826279551</v>
      </c>
      <c r="G12" s="169">
        <v>9.5948100180278821</v>
      </c>
      <c r="H12" s="169">
        <v>9.3525688654495802</v>
      </c>
      <c r="I12" s="169">
        <v>0.26934957352392414</v>
      </c>
      <c r="J12" s="170" t="s">
        <v>18</v>
      </c>
      <c r="K12" s="170" t="s">
        <v>18</v>
      </c>
      <c r="L12" s="170" t="s">
        <v>17</v>
      </c>
      <c r="M12" s="170" t="s">
        <v>17</v>
      </c>
      <c r="N12" s="171">
        <v>0.53606546171385416</v>
      </c>
    </row>
    <row r="13" spans="1:14" ht="15" x14ac:dyDescent="0.2">
      <c r="A13" s="166" t="s">
        <v>173</v>
      </c>
      <c r="B13" s="167" t="s">
        <v>96</v>
      </c>
      <c r="C13" s="168">
        <v>58</v>
      </c>
      <c r="D13" s="168">
        <v>147.18965148925781</v>
      </c>
      <c r="E13" s="168">
        <v>6687.255859375</v>
      </c>
      <c r="F13" s="169">
        <v>3.6173686978507131</v>
      </c>
      <c r="G13" s="169">
        <v>6.0844724919549966</v>
      </c>
      <c r="H13" s="169">
        <v>4.3451850389129083</v>
      </c>
      <c r="I13" s="169">
        <v>1.8529110764755607</v>
      </c>
      <c r="J13" s="170" t="s">
        <v>174</v>
      </c>
      <c r="K13" s="170" t="s">
        <v>18</v>
      </c>
      <c r="L13" s="170" t="s">
        <v>17</v>
      </c>
      <c r="M13" s="170" t="s">
        <v>17</v>
      </c>
      <c r="N13" s="171">
        <v>1.5449992566202166E-2</v>
      </c>
    </row>
    <row r="14" spans="1:14" ht="15" x14ac:dyDescent="0.2">
      <c r="A14" s="166" t="s">
        <v>193</v>
      </c>
      <c r="B14" s="167" t="s">
        <v>95</v>
      </c>
      <c r="C14" s="168">
        <v>26</v>
      </c>
      <c r="D14" s="168">
        <v>167.69230651855469</v>
      </c>
      <c r="E14" s="168">
        <v>8348.3330078125</v>
      </c>
      <c r="F14" s="169">
        <v>5.1277418713510778</v>
      </c>
      <c r="G14" s="169">
        <v>8.4137453402932589</v>
      </c>
      <c r="H14" s="169">
        <v>7.4111975356649218</v>
      </c>
      <c r="I14" s="169">
        <v>1.0528895780582794</v>
      </c>
      <c r="J14" s="170" t="s">
        <v>18</v>
      </c>
      <c r="K14" s="170" t="s">
        <v>18</v>
      </c>
      <c r="L14" s="170" t="s">
        <v>174</v>
      </c>
      <c r="M14" s="170" t="s">
        <v>17</v>
      </c>
      <c r="N14" s="171">
        <v>0.74420629305024066</v>
      </c>
    </row>
    <row r="15" spans="1:14" ht="15" x14ac:dyDescent="0.2">
      <c r="A15" s="166" t="s">
        <v>207</v>
      </c>
      <c r="B15" s="167"/>
      <c r="C15" s="168">
        <v>1733</v>
      </c>
      <c r="D15" s="168" t="s">
        <v>208</v>
      </c>
      <c r="E15" s="168" t="s">
        <v>208</v>
      </c>
      <c r="F15" s="169"/>
      <c r="G15" s="169"/>
      <c r="H15" s="169"/>
      <c r="I15" s="169"/>
      <c r="J15" s="170" t="s">
        <v>208</v>
      </c>
      <c r="K15" s="170" t="s">
        <v>208</v>
      </c>
      <c r="L15" s="170" t="s">
        <v>208</v>
      </c>
      <c r="M15" s="170" t="s">
        <v>208</v>
      </c>
      <c r="N15" s="171"/>
    </row>
    <row r="16" spans="1:14" ht="15" x14ac:dyDescent="0.2">
      <c r="A16" s="166" t="s">
        <v>211</v>
      </c>
      <c r="B16" s="167" t="s">
        <v>95</v>
      </c>
      <c r="C16" s="168">
        <v>30</v>
      </c>
      <c r="D16" s="168">
        <v>177.26666259765625</v>
      </c>
      <c r="E16" s="168">
        <v>6109.54443359375</v>
      </c>
      <c r="F16" s="169">
        <v>2.9806552074558605</v>
      </c>
      <c r="G16" s="169">
        <v>6.9038610955571214</v>
      </c>
      <c r="H16" s="169">
        <v>6.5195166000935565</v>
      </c>
      <c r="I16" s="169">
        <v>0.52771766765692574</v>
      </c>
      <c r="J16" s="170" t="s">
        <v>17</v>
      </c>
      <c r="K16" s="170" t="s">
        <v>17</v>
      </c>
      <c r="L16" s="170" t="s">
        <v>17</v>
      </c>
      <c r="M16" s="170" t="s">
        <v>17</v>
      </c>
      <c r="N16" s="171">
        <v>-9.823417423380322E-2</v>
      </c>
    </row>
    <row r="17" spans="1:14" ht="15" x14ac:dyDescent="0.2">
      <c r="A17" s="166" t="s">
        <v>229</v>
      </c>
      <c r="B17" s="167" t="s">
        <v>230</v>
      </c>
      <c r="C17" s="168">
        <v>42</v>
      </c>
      <c r="D17" s="168">
        <v>22.785715103149414</v>
      </c>
      <c r="E17" s="168">
        <v>142.61610412597656</v>
      </c>
      <c r="F17" s="169">
        <v>1.2457404002241685</v>
      </c>
      <c r="G17" s="169">
        <v>1.6709273720359794</v>
      </c>
      <c r="H17" s="169">
        <v>3.4786902370464077</v>
      </c>
      <c r="I17" s="169">
        <v>-1.6830859222246166</v>
      </c>
      <c r="J17" s="170" t="s">
        <v>17</v>
      </c>
      <c r="K17" s="170" t="s">
        <v>17</v>
      </c>
      <c r="L17" s="170" t="s">
        <v>17</v>
      </c>
      <c r="M17" s="170" t="s">
        <v>17</v>
      </c>
      <c r="N17" s="171">
        <v>-6.5882158032982377E-2</v>
      </c>
    </row>
    <row r="18" spans="1:14" ht="15" x14ac:dyDescent="0.2">
      <c r="A18" s="166" t="s">
        <v>250</v>
      </c>
      <c r="B18" s="167" t="s">
        <v>230</v>
      </c>
      <c r="C18" s="168">
        <v>1552</v>
      </c>
      <c r="D18" s="168">
        <v>18.768041610717773</v>
      </c>
      <c r="E18" s="168">
        <v>1745.8304443359375</v>
      </c>
      <c r="F18" s="169">
        <v>1.6368120716572669</v>
      </c>
      <c r="G18" s="169">
        <v>4.9793885710971786</v>
      </c>
      <c r="H18" s="169">
        <v>4.2993205664637131</v>
      </c>
      <c r="I18" s="169">
        <v>1.6064212743701698</v>
      </c>
      <c r="J18" s="170" t="s">
        <v>174</v>
      </c>
      <c r="K18" s="170" t="s">
        <v>174</v>
      </c>
      <c r="L18" s="170" t="s">
        <v>18</v>
      </c>
      <c r="M18" s="170" t="s">
        <v>17</v>
      </c>
      <c r="N18" s="171">
        <v>-9.248871888417963E-2</v>
      </c>
    </row>
    <row r="19" spans="1:14" ht="15" x14ac:dyDescent="0.2">
      <c r="A19" s="166" t="s">
        <v>264</v>
      </c>
      <c r="B19" s="167" t="s">
        <v>97</v>
      </c>
      <c r="C19" s="168">
        <v>23</v>
      </c>
      <c r="D19" s="168"/>
      <c r="E19" s="168"/>
      <c r="F19" s="169"/>
      <c r="G19" s="169"/>
      <c r="H19" s="169"/>
      <c r="I19" s="169"/>
      <c r="J19" s="170"/>
      <c r="K19" s="170"/>
      <c r="L19" s="170"/>
      <c r="M19" s="170"/>
      <c r="N19" s="171"/>
    </row>
    <row r="20" spans="1:14" ht="15" x14ac:dyDescent="0.2">
      <c r="A20" s="166" t="s">
        <v>265</v>
      </c>
      <c r="B20" s="167" t="s">
        <v>170</v>
      </c>
      <c r="C20" s="168">
        <v>7</v>
      </c>
      <c r="D20" s="168">
        <v>240.42857360839844</v>
      </c>
      <c r="E20" s="168">
        <v>5015.64111328125</v>
      </c>
      <c r="F20" s="169">
        <v>2.0381493835144768</v>
      </c>
      <c r="G20" s="169">
        <v>4.7204815543687824</v>
      </c>
      <c r="H20" s="169">
        <v>5.1807323098419991</v>
      </c>
      <c r="I20" s="169">
        <v>-0.45891975074617297</v>
      </c>
      <c r="J20" s="170" t="s">
        <v>174</v>
      </c>
      <c r="K20" s="170" t="s">
        <v>174</v>
      </c>
      <c r="L20" s="170" t="s">
        <v>18</v>
      </c>
      <c r="M20" s="170" t="s">
        <v>17</v>
      </c>
      <c r="N20" s="171">
        <v>-0.22520458401096258</v>
      </c>
    </row>
    <row r="21" spans="1:14" ht="15" x14ac:dyDescent="0.2">
      <c r="A21" s="166" t="s">
        <v>279</v>
      </c>
      <c r="B21" s="167" t="s">
        <v>244</v>
      </c>
      <c r="C21" s="168">
        <v>21</v>
      </c>
      <c r="D21" s="168">
        <v>102.66666412353516</v>
      </c>
      <c r="E21" s="168">
        <v>950.968505859375</v>
      </c>
      <c r="F21" s="169">
        <v>2.2305872127263102</v>
      </c>
      <c r="G21" s="169">
        <v>5.1480349528147773</v>
      </c>
      <c r="H21" s="169">
        <v>5.5444555619896025</v>
      </c>
      <c r="I21" s="169">
        <v>3.2505194405502369E-2</v>
      </c>
      <c r="J21" s="170" t="s">
        <v>17</v>
      </c>
      <c r="K21" s="170" t="s">
        <v>17</v>
      </c>
      <c r="L21" s="170" t="s">
        <v>17</v>
      </c>
      <c r="M21" s="170" t="s">
        <v>17</v>
      </c>
      <c r="N21" s="171">
        <v>0.13480261417437242</v>
      </c>
    </row>
    <row r="22" spans="1:14" ht="15" x14ac:dyDescent="0.2">
      <c r="A22" s="166" t="s">
        <v>288</v>
      </c>
      <c r="B22" s="167" t="s">
        <v>93</v>
      </c>
      <c r="C22" s="168">
        <v>42</v>
      </c>
      <c r="D22" s="168">
        <v>193.07142639160156</v>
      </c>
      <c r="E22" s="168">
        <v>10931.802734375</v>
      </c>
      <c r="F22" s="169">
        <v>3.1065500795240548</v>
      </c>
      <c r="G22" s="169">
        <v>7.2831334221275021</v>
      </c>
      <c r="H22" s="169">
        <v>6.8598682838842322</v>
      </c>
      <c r="I22" s="169">
        <v>0.67449709205936204</v>
      </c>
      <c r="J22" s="170" t="s">
        <v>18</v>
      </c>
      <c r="K22" s="170" t="s">
        <v>18</v>
      </c>
      <c r="L22" s="170" t="s">
        <v>18</v>
      </c>
      <c r="M22" s="170" t="s">
        <v>17</v>
      </c>
      <c r="N22" s="171">
        <v>7.9932051885286057E-2</v>
      </c>
    </row>
    <row r="23" spans="1:14" ht="15" x14ac:dyDescent="0.2">
      <c r="A23" s="166" t="s">
        <v>300</v>
      </c>
      <c r="B23" s="167" t="s">
        <v>93</v>
      </c>
      <c r="C23" s="168">
        <v>62</v>
      </c>
      <c r="D23" s="168">
        <v>122.54838562011719</v>
      </c>
      <c r="E23" s="168">
        <v>4110.59228515625</v>
      </c>
      <c r="F23" s="169">
        <v>3.0034141727311314</v>
      </c>
      <c r="G23" s="169">
        <v>8.1428797298819351</v>
      </c>
      <c r="H23" s="169">
        <v>7.7259103597961385</v>
      </c>
      <c r="I23" s="169">
        <v>1.1785403824720189</v>
      </c>
      <c r="J23" s="170" t="s">
        <v>174</v>
      </c>
      <c r="K23" s="170" t="s">
        <v>18</v>
      </c>
      <c r="L23" s="170" t="s">
        <v>18</v>
      </c>
      <c r="M23" s="170" t="s">
        <v>17</v>
      </c>
      <c r="N23" s="171">
        <v>-9.3814204090988229E-2</v>
      </c>
    </row>
    <row r="24" spans="1:14" ht="15" x14ac:dyDescent="0.2">
      <c r="A24" s="166" t="s">
        <v>313</v>
      </c>
      <c r="B24" s="167" t="s">
        <v>16</v>
      </c>
      <c r="C24" s="168">
        <v>44</v>
      </c>
      <c r="D24" s="168">
        <v>223.63636779785156</v>
      </c>
      <c r="E24" s="168">
        <v>49672.62890625</v>
      </c>
      <c r="F24" s="169">
        <v>5.9872477076232125</v>
      </c>
      <c r="G24" s="169">
        <v>11.596999112574878</v>
      </c>
      <c r="H24" s="169">
        <v>10.28322385329783</v>
      </c>
      <c r="I24" s="169">
        <v>1.722752945370527</v>
      </c>
      <c r="J24" s="170" t="s">
        <v>18</v>
      </c>
      <c r="K24" s="170" t="s">
        <v>18</v>
      </c>
      <c r="L24" s="170" t="s">
        <v>18</v>
      </c>
      <c r="M24" s="170" t="s">
        <v>17</v>
      </c>
      <c r="N24" s="171">
        <v>0.46061115932090924</v>
      </c>
    </row>
    <row r="25" spans="1:14" ht="15" x14ac:dyDescent="0.2">
      <c r="A25" s="166" t="s">
        <v>326</v>
      </c>
      <c r="B25" s="167" t="s">
        <v>97</v>
      </c>
      <c r="C25" s="168">
        <v>25</v>
      </c>
      <c r="D25" s="168">
        <v>220.91999816894531</v>
      </c>
      <c r="E25" s="168">
        <v>28044.119140625</v>
      </c>
      <c r="F25" s="169">
        <v>9.618954218121571</v>
      </c>
      <c r="G25" s="169">
        <v>16.407810849196622</v>
      </c>
      <c r="H25" s="169">
        <v>14.381103904895372</v>
      </c>
      <c r="I25" s="169">
        <v>2.6770909933289748</v>
      </c>
      <c r="J25" s="170" t="s">
        <v>18</v>
      </c>
      <c r="K25" s="170" t="s">
        <v>18</v>
      </c>
      <c r="L25" s="170" t="s">
        <v>18</v>
      </c>
      <c r="M25" s="170" t="s">
        <v>17</v>
      </c>
      <c r="N25" s="171">
        <v>0.53699229118227754</v>
      </c>
    </row>
    <row r="26" spans="1:14" ht="15" x14ac:dyDescent="0.2">
      <c r="A26" s="166" t="s">
        <v>339</v>
      </c>
      <c r="B26" s="167" t="s">
        <v>16</v>
      </c>
      <c r="C26" s="168">
        <v>15</v>
      </c>
      <c r="D26" s="168">
        <v>157.80000305175781</v>
      </c>
      <c r="E26" s="168">
        <v>12588.494140625</v>
      </c>
      <c r="F26" s="169">
        <v>10.810901526805138</v>
      </c>
      <c r="G26" s="169">
        <v>17.975734757989159</v>
      </c>
      <c r="H26" s="169">
        <v>14.859558181581223</v>
      </c>
      <c r="I26" s="169">
        <v>4.6146288885299409</v>
      </c>
      <c r="J26" s="170" t="s">
        <v>18</v>
      </c>
      <c r="K26" s="170" t="s">
        <v>18</v>
      </c>
      <c r="L26" s="170" t="s">
        <v>18</v>
      </c>
      <c r="M26" s="170" t="s">
        <v>17</v>
      </c>
      <c r="N26" s="171">
        <v>0.47190931181270795</v>
      </c>
    </row>
    <row r="27" spans="1:14" ht="15" x14ac:dyDescent="0.2">
      <c r="A27" s="166" t="s">
        <v>352</v>
      </c>
      <c r="B27" s="167" t="s">
        <v>121</v>
      </c>
      <c r="C27" s="168">
        <v>45</v>
      </c>
      <c r="D27" s="168">
        <v>201.68888854980469</v>
      </c>
      <c r="E27" s="168">
        <v>21006.12890625</v>
      </c>
      <c r="F27" s="169">
        <v>4.8940274084324935</v>
      </c>
      <c r="G27" s="169">
        <v>10.887282048627412</v>
      </c>
      <c r="H27" s="169">
        <v>9.4577839670614487</v>
      </c>
      <c r="I27" s="169">
        <v>3.0625677169045966</v>
      </c>
      <c r="J27" s="170" t="s">
        <v>18</v>
      </c>
      <c r="K27" s="170" t="s">
        <v>18</v>
      </c>
      <c r="L27" s="170" t="s">
        <v>18</v>
      </c>
      <c r="M27" s="170" t="s">
        <v>17</v>
      </c>
      <c r="N27" s="171">
        <v>0.22519315819529187</v>
      </c>
    </row>
    <row r="28" spans="1:14" ht="15" x14ac:dyDescent="0.2">
      <c r="A28" s="166" t="s">
        <v>365</v>
      </c>
      <c r="B28" s="167" t="s">
        <v>137</v>
      </c>
      <c r="C28" s="168">
        <v>19</v>
      </c>
      <c r="D28" s="168">
        <v>110.26316070556641</v>
      </c>
      <c r="E28" s="168">
        <v>2402.80908203125</v>
      </c>
      <c r="F28" s="169">
        <v>4.8271181005656016</v>
      </c>
      <c r="G28" s="169">
        <v>11.858797203331049</v>
      </c>
      <c r="H28" s="169">
        <v>10.91794163447563</v>
      </c>
      <c r="I28" s="169">
        <v>4.2888139802434413</v>
      </c>
      <c r="J28" s="170" t="s">
        <v>17</v>
      </c>
      <c r="K28" s="170" t="s">
        <v>18</v>
      </c>
      <c r="L28" s="170" t="s">
        <v>17</v>
      </c>
      <c r="M28" s="170" t="s">
        <v>17</v>
      </c>
      <c r="N28" s="171">
        <v>0.1426536963281905</v>
      </c>
    </row>
    <row r="29" spans="1:14" ht="15" x14ac:dyDescent="0.2">
      <c r="A29" s="166" t="s">
        <v>378</v>
      </c>
      <c r="B29" s="167" t="s">
        <v>263</v>
      </c>
      <c r="C29" s="168">
        <v>25</v>
      </c>
      <c r="D29" s="168"/>
      <c r="E29" s="168"/>
      <c r="F29" s="169"/>
      <c r="G29" s="169"/>
      <c r="H29" s="169"/>
      <c r="I29" s="169"/>
      <c r="J29" s="170"/>
      <c r="K29" s="170"/>
      <c r="L29" s="170"/>
      <c r="M29" s="170"/>
      <c r="N29" s="171"/>
    </row>
    <row r="30" spans="1:14" ht="15" x14ac:dyDescent="0.2">
      <c r="A30" s="166" t="s">
        <v>380</v>
      </c>
      <c r="B30" s="167" t="s">
        <v>98</v>
      </c>
      <c r="C30" s="168">
        <v>184</v>
      </c>
      <c r="D30" s="168">
        <v>148.10325622558594</v>
      </c>
      <c r="E30" s="168">
        <v>9899.451171875</v>
      </c>
      <c r="F30" s="169">
        <v>2.5114833818321411</v>
      </c>
      <c r="G30" s="169">
        <v>7.3868859612373621</v>
      </c>
      <c r="H30" s="169">
        <v>5.3075117848160023</v>
      </c>
      <c r="I30" s="169">
        <v>2.8186294867342583</v>
      </c>
      <c r="J30" s="170" t="s">
        <v>18</v>
      </c>
      <c r="K30" s="170" t="s">
        <v>18</v>
      </c>
      <c r="L30" s="170" t="s">
        <v>18</v>
      </c>
      <c r="M30" s="170" t="s">
        <v>17</v>
      </c>
      <c r="N30" s="171">
        <v>0.15160612993229483</v>
      </c>
    </row>
    <row r="31" spans="1:14" ht="15" x14ac:dyDescent="0.2">
      <c r="A31" s="166" t="s">
        <v>392</v>
      </c>
      <c r="B31" s="167" t="s">
        <v>98</v>
      </c>
      <c r="C31" s="168">
        <v>98</v>
      </c>
      <c r="D31" s="168">
        <v>189.37754821777344</v>
      </c>
      <c r="E31" s="168">
        <v>26319.576171875</v>
      </c>
      <c r="F31" s="169">
        <v>5.7388462178453752</v>
      </c>
      <c r="G31" s="169">
        <v>11.659779868874889</v>
      </c>
      <c r="H31" s="169">
        <v>9.8563441659375535</v>
      </c>
      <c r="I31" s="169">
        <v>3.3364644699629742</v>
      </c>
      <c r="J31" s="170" t="s">
        <v>18</v>
      </c>
      <c r="K31" s="170" t="s">
        <v>18</v>
      </c>
      <c r="L31" s="170" t="s">
        <v>18</v>
      </c>
      <c r="M31" s="170" t="s">
        <v>17</v>
      </c>
      <c r="N31" s="171">
        <v>0.25083235135651638</v>
      </c>
    </row>
    <row r="32" spans="1:14" ht="15" x14ac:dyDescent="0.2">
      <c r="A32" s="166" t="s">
        <v>405</v>
      </c>
      <c r="B32" s="167" t="s">
        <v>96</v>
      </c>
      <c r="C32" s="168">
        <v>26</v>
      </c>
      <c r="D32" s="168">
        <v>208.96153259277344</v>
      </c>
      <c r="E32" s="168">
        <v>6866.962890625</v>
      </c>
      <c r="F32" s="169">
        <v>1.9853501444560031</v>
      </c>
      <c r="G32" s="169">
        <v>7.0897714367529003</v>
      </c>
      <c r="H32" s="169">
        <v>6.1179677020032042</v>
      </c>
      <c r="I32" s="169">
        <v>0.98403966121255892</v>
      </c>
      <c r="J32" s="170" t="s">
        <v>18</v>
      </c>
      <c r="K32" s="170" t="s">
        <v>18</v>
      </c>
      <c r="L32" s="170" t="s">
        <v>18</v>
      </c>
      <c r="M32" s="170" t="s">
        <v>17</v>
      </c>
      <c r="N32" s="171">
        <v>0.18483021911344602</v>
      </c>
    </row>
    <row r="33" spans="1:14" ht="15" x14ac:dyDescent="0.2">
      <c r="A33" s="166" t="s">
        <v>419</v>
      </c>
      <c r="B33" s="167" t="s">
        <v>245</v>
      </c>
      <c r="C33" s="168">
        <v>25</v>
      </c>
      <c r="D33" s="168">
        <v>219.36000061035156</v>
      </c>
      <c r="E33" s="168">
        <v>4536.99609375</v>
      </c>
      <c r="F33" s="169">
        <v>3.7859476362541131</v>
      </c>
      <c r="G33" s="169">
        <v>13.51721577447903</v>
      </c>
      <c r="H33" s="169">
        <v>10.439132776390224</v>
      </c>
      <c r="I33" s="169">
        <v>3.0780829980888069</v>
      </c>
      <c r="J33" s="170" t="s">
        <v>18</v>
      </c>
      <c r="K33" s="170" t="s">
        <v>18</v>
      </c>
      <c r="L33" s="170" t="s">
        <v>18</v>
      </c>
      <c r="M33" s="170" t="s">
        <v>17</v>
      </c>
      <c r="N33" s="171">
        <v>0.32324536656485853</v>
      </c>
    </row>
    <row r="34" spans="1:14" ht="15" x14ac:dyDescent="0.2">
      <c r="A34" s="166" t="s">
        <v>432</v>
      </c>
      <c r="B34" s="167" t="s">
        <v>94</v>
      </c>
      <c r="C34" s="168">
        <v>81</v>
      </c>
      <c r="D34" s="168">
        <v>172.67901611328125</v>
      </c>
      <c r="E34" s="168">
        <v>17342.861328125</v>
      </c>
      <c r="F34" s="169">
        <v>3.0767737227786207</v>
      </c>
      <c r="G34" s="169">
        <v>7.1486316463544908</v>
      </c>
      <c r="H34" s="169">
        <v>5.8153928109412156</v>
      </c>
      <c r="I34" s="169">
        <v>1.367637947082774</v>
      </c>
      <c r="J34" s="170" t="s">
        <v>17</v>
      </c>
      <c r="K34" s="170" t="s">
        <v>174</v>
      </c>
      <c r="L34" s="170" t="s">
        <v>174</v>
      </c>
      <c r="M34" s="170" t="s">
        <v>17</v>
      </c>
      <c r="N34" s="171">
        <v>-0.33202694950873562</v>
      </c>
    </row>
    <row r="35" spans="1:14" ht="15" x14ac:dyDescent="0.2">
      <c r="A35" s="166" t="s">
        <v>443</v>
      </c>
      <c r="B35" s="167" t="s">
        <v>94</v>
      </c>
      <c r="C35" s="168">
        <v>204</v>
      </c>
      <c r="D35" s="168">
        <v>94.053924560546875</v>
      </c>
      <c r="E35" s="168">
        <v>18547.3515625</v>
      </c>
      <c r="F35" s="169">
        <v>6.1961750334498733</v>
      </c>
      <c r="G35" s="169">
        <v>9.6174809330398237</v>
      </c>
      <c r="H35" s="169">
        <v>9.0487848032420697</v>
      </c>
      <c r="I35" s="169">
        <v>0.85496771215379119</v>
      </c>
      <c r="J35" s="170" t="s">
        <v>174</v>
      </c>
      <c r="K35" s="170" t="s">
        <v>174</v>
      </c>
      <c r="L35" s="170" t="s">
        <v>18</v>
      </c>
      <c r="M35" s="170" t="s">
        <v>17</v>
      </c>
      <c r="N35" s="171">
        <v>0.14465392292215634</v>
      </c>
    </row>
    <row r="36" spans="1:14" ht="15" x14ac:dyDescent="0.2">
      <c r="A36" s="166" t="s">
        <v>457</v>
      </c>
      <c r="B36" s="167" t="s">
        <v>93</v>
      </c>
      <c r="C36" s="168">
        <v>153</v>
      </c>
      <c r="D36" s="168">
        <v>87.6143798828125</v>
      </c>
      <c r="E36" s="168">
        <v>4190.61328125</v>
      </c>
      <c r="F36" s="169">
        <v>2.6015500292740672</v>
      </c>
      <c r="G36" s="169">
        <v>7.1083653429550653</v>
      </c>
      <c r="H36" s="169">
        <v>5.1426415908062371</v>
      </c>
      <c r="I36" s="169">
        <v>2.146445839775684</v>
      </c>
      <c r="J36" s="170" t="s">
        <v>18</v>
      </c>
      <c r="K36" s="170" t="s">
        <v>18</v>
      </c>
      <c r="L36" s="170" t="s">
        <v>18</v>
      </c>
      <c r="M36" s="170" t="s">
        <v>17</v>
      </c>
      <c r="N36" s="171">
        <v>6.6378322353649141E-2</v>
      </c>
    </row>
    <row r="37" spans="1:14" ht="15" x14ac:dyDescent="0.2">
      <c r="A37" s="166" t="s">
        <v>470</v>
      </c>
      <c r="B37" s="167" t="s">
        <v>245</v>
      </c>
      <c r="C37" s="168">
        <v>209</v>
      </c>
      <c r="D37" s="168">
        <v>77.2200927734375</v>
      </c>
      <c r="E37" s="168">
        <v>3035.567626953125</v>
      </c>
      <c r="F37" s="169">
        <v>2.3138958378564611</v>
      </c>
      <c r="G37" s="169">
        <v>7.049534014451865</v>
      </c>
      <c r="H37" s="169">
        <v>4.8206913615761131</v>
      </c>
      <c r="I37" s="169">
        <v>2.5020196064993638</v>
      </c>
      <c r="J37" s="170" t="s">
        <v>174</v>
      </c>
      <c r="K37" s="170" t="s">
        <v>18</v>
      </c>
      <c r="L37" s="170" t="s">
        <v>18</v>
      </c>
      <c r="M37" s="170" t="s">
        <v>18</v>
      </c>
      <c r="N37" s="171">
        <v>-9.6780680892006046E-2</v>
      </c>
    </row>
    <row r="38" spans="1:14" ht="15" x14ac:dyDescent="0.2">
      <c r="A38" s="166" t="s">
        <v>483</v>
      </c>
      <c r="B38" s="167" t="s">
        <v>230</v>
      </c>
      <c r="C38" s="168">
        <v>1113</v>
      </c>
      <c r="D38" s="168">
        <v>81.569633483886719</v>
      </c>
      <c r="E38" s="168">
        <v>20408.4296875</v>
      </c>
      <c r="F38" s="169">
        <v>2.5965583195397066</v>
      </c>
      <c r="G38" s="169">
        <v>8.9342034490762625</v>
      </c>
      <c r="H38" s="169">
        <v>6.7791860445257512</v>
      </c>
      <c r="I38" s="169">
        <v>2.3109780352726417</v>
      </c>
      <c r="J38" s="170" t="s">
        <v>18</v>
      </c>
      <c r="K38" s="170" t="s">
        <v>18</v>
      </c>
      <c r="L38" s="170" t="s">
        <v>18</v>
      </c>
      <c r="M38" s="170" t="s">
        <v>17</v>
      </c>
      <c r="N38" s="171">
        <v>0.24628977245373165</v>
      </c>
    </row>
    <row r="39" spans="1:14" ht="15" x14ac:dyDescent="0.2">
      <c r="A39" s="166" t="s">
        <v>496</v>
      </c>
      <c r="B39" s="167" t="s">
        <v>154</v>
      </c>
      <c r="C39" s="168">
        <v>204</v>
      </c>
      <c r="D39" s="168">
        <v>58.049018859863281</v>
      </c>
      <c r="E39" s="168">
        <v>2152.682373046875</v>
      </c>
      <c r="F39" s="169">
        <v>2.7498369485588015</v>
      </c>
      <c r="G39" s="169">
        <v>10.15244965406024</v>
      </c>
      <c r="H39" s="169">
        <v>7.2751313620599927</v>
      </c>
      <c r="I39" s="169">
        <v>3.3943619113105772</v>
      </c>
      <c r="J39" s="170" t="s">
        <v>18</v>
      </c>
      <c r="K39" s="170" t="s">
        <v>18</v>
      </c>
      <c r="L39" s="170" t="s">
        <v>17</v>
      </c>
      <c r="M39" s="170" t="s">
        <v>17</v>
      </c>
      <c r="N39" s="171">
        <v>0.12744820045066013</v>
      </c>
    </row>
    <row r="40" spans="1:14" ht="15" x14ac:dyDescent="0.2">
      <c r="A40" s="166" t="s">
        <v>509</v>
      </c>
      <c r="B40" s="167" t="s">
        <v>93</v>
      </c>
      <c r="C40" s="168">
        <v>30</v>
      </c>
      <c r="D40" s="168">
        <v>173.69999694824219</v>
      </c>
      <c r="E40" s="168">
        <v>3000.417724609375</v>
      </c>
      <c r="F40" s="169">
        <v>1.8661265764750952</v>
      </c>
      <c r="G40" s="169">
        <v>5.4149578073618061</v>
      </c>
      <c r="H40" s="169">
        <v>5.3218398742405881</v>
      </c>
      <c r="I40" s="169">
        <v>0.58890253222883748</v>
      </c>
      <c r="J40" s="170" t="s">
        <v>174</v>
      </c>
      <c r="K40" s="170" t="s">
        <v>18</v>
      </c>
      <c r="L40" s="170" t="s">
        <v>18</v>
      </c>
      <c r="M40" s="170" t="s">
        <v>17</v>
      </c>
      <c r="N40" s="171">
        <v>-0.12178898735629505</v>
      </c>
    </row>
    <row r="41" spans="1:14" ht="15" x14ac:dyDescent="0.2">
      <c r="A41" s="166" t="s">
        <v>522</v>
      </c>
      <c r="B41" s="167" t="s">
        <v>93</v>
      </c>
      <c r="C41" s="168">
        <v>62</v>
      </c>
      <c r="D41" s="168">
        <v>153.30645751953125</v>
      </c>
      <c r="E41" s="168">
        <v>3802.832275390625</v>
      </c>
      <c r="F41" s="169">
        <v>2.3971415055572187</v>
      </c>
      <c r="G41" s="169">
        <v>6.7654072502533849</v>
      </c>
      <c r="H41" s="169">
        <v>5.6291897355529326</v>
      </c>
      <c r="I41" s="169">
        <v>1.2607057926580258</v>
      </c>
      <c r="J41" s="170" t="s">
        <v>18</v>
      </c>
      <c r="K41" s="170" t="s">
        <v>18</v>
      </c>
      <c r="L41" s="170" t="s">
        <v>18</v>
      </c>
      <c r="M41" s="170" t="s">
        <v>17</v>
      </c>
      <c r="N41" s="171">
        <v>0.10062189914588456</v>
      </c>
    </row>
  </sheetData>
  <mergeCells count="3">
    <mergeCell ref="M1:N1"/>
    <mergeCell ref="B7:I7"/>
    <mergeCell ref="J7:M7"/>
  </mergeCells>
  <hyperlinks>
    <hyperlink ref="M1:N1" location="Home_page" display="Back to_x000a_home page"/>
  </hyperlinks>
  <pageMargins left="0.7" right="0.7" top="0.75" bottom="0.75" header="0.3" footer="0.3"/>
  <pageSetup paperSize="9" scale="74"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R153"/>
  <sheetViews>
    <sheetView zoomScale="87" zoomScaleNormal="87" zoomScalePageLayoutView="87" workbookViewId="0">
      <selection activeCell="L1" sqref="L1:M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15</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15</v>
      </c>
      <c r="E3" s="22">
        <v>15</v>
      </c>
      <c r="F3" s="22">
        <v>14</v>
      </c>
      <c r="G3" s="22">
        <v>12</v>
      </c>
      <c r="H3" s="22">
        <v>5</v>
      </c>
      <c r="I3" s="22">
        <v>5</v>
      </c>
      <c r="J3" s="22">
        <v>9</v>
      </c>
      <c r="K3" s="22">
        <v>12</v>
      </c>
      <c r="L3" s="22">
        <v>15</v>
      </c>
      <c r="M3" s="22">
        <v>14</v>
      </c>
      <c r="N3" s="22">
        <v>10</v>
      </c>
      <c r="O3" s="23">
        <f t="shared" ref="O3:O41" si="0">IF(N3=0,"",IFERROR(IF(AND(N3&gt;0,D3&lt;0),"na",IF(AND(N3&lt;0,D3&lt;0),-1,1)*(N3-D3)/D3),""))</f>
        <v>-0.33333333333333331</v>
      </c>
      <c r="P3" s="23">
        <f>IF(N3=0,"",IFERROR(IF(AND(N3&gt;0,J3&lt;0),"na",IF(AND(N3&lt;0,J3&lt;0),-1,1)*(N3-J3)/J3),""))</f>
        <v>0.1111111111111111</v>
      </c>
    </row>
    <row r="4" spans="1:17" ht="18" customHeight="1" x14ac:dyDescent="0.2">
      <c r="A4" s="224"/>
      <c r="B4" s="24" t="s">
        <v>51</v>
      </c>
      <c r="C4" s="25"/>
      <c r="D4" s="26">
        <v>4475</v>
      </c>
      <c r="E4" s="26">
        <v>4168</v>
      </c>
      <c r="F4" s="26">
        <v>4723</v>
      </c>
      <c r="G4" s="26">
        <v>3132</v>
      </c>
      <c r="H4" s="26">
        <v>962</v>
      </c>
      <c r="I4" s="26">
        <v>824</v>
      </c>
      <c r="J4" s="26">
        <v>1780</v>
      </c>
      <c r="K4" s="26">
        <v>2392</v>
      </c>
      <c r="L4" s="26">
        <v>3116</v>
      </c>
      <c r="M4" s="26">
        <v>4214</v>
      </c>
      <c r="N4" s="26">
        <v>2943</v>
      </c>
      <c r="O4" s="23">
        <f t="shared" si="0"/>
        <v>-0.34234636871508378</v>
      </c>
      <c r="P4" s="23">
        <f t="shared" ref="P4:P41" si="1">IF(N4=0,"",IFERROR(IF(AND(N4&gt;0,J4&lt;0),"na",IF(AND(N4&lt;0,J4&lt;0),-1,1)*(N4-J4)/J4),""))</f>
        <v>0.65337078651685399</v>
      </c>
    </row>
    <row r="5" spans="1:17" ht="18" customHeight="1" x14ac:dyDescent="0.2">
      <c r="A5" s="224"/>
      <c r="B5" s="24" t="s">
        <v>52</v>
      </c>
      <c r="C5" s="25"/>
      <c r="D5" s="26">
        <v>1366</v>
      </c>
      <c r="E5" s="26">
        <v>1169</v>
      </c>
      <c r="F5" s="26">
        <v>1396</v>
      </c>
      <c r="G5" s="26">
        <v>844</v>
      </c>
      <c r="H5" s="26">
        <v>222</v>
      </c>
      <c r="I5" s="26">
        <v>124</v>
      </c>
      <c r="J5" s="26">
        <v>445</v>
      </c>
      <c r="K5" s="26">
        <v>559</v>
      </c>
      <c r="L5" s="26">
        <v>742</v>
      </c>
      <c r="M5" s="26">
        <v>1291</v>
      </c>
      <c r="N5" s="26">
        <v>986</v>
      </c>
      <c r="O5" s="23">
        <f t="shared" si="0"/>
        <v>-0.27818448023426062</v>
      </c>
      <c r="P5" s="23">
        <f t="shared" si="1"/>
        <v>1.2157303370786516</v>
      </c>
      <c r="Q5" s="27"/>
    </row>
    <row r="6" spans="1:17" ht="18" customHeight="1" x14ac:dyDescent="0.2">
      <c r="A6" s="224"/>
      <c r="B6" s="24" t="s">
        <v>53</v>
      </c>
      <c r="C6" s="25"/>
      <c r="D6" s="26">
        <v>3729.836669921875</v>
      </c>
      <c r="E6" s="26">
        <v>3453.885498046875</v>
      </c>
      <c r="F6" s="26">
        <v>3845.60498046875</v>
      </c>
      <c r="G6" s="26">
        <v>2568.482666015625</v>
      </c>
      <c r="H6" s="26">
        <v>812.86492919921875</v>
      </c>
      <c r="I6" s="26">
        <v>655.4130859375</v>
      </c>
      <c r="J6" s="26">
        <v>1545.7847900390625</v>
      </c>
      <c r="K6" s="26">
        <v>2021.1688232421875</v>
      </c>
      <c r="L6" s="26">
        <v>2644.4755859375</v>
      </c>
      <c r="M6" s="26">
        <v>3395.3896484375</v>
      </c>
      <c r="N6" s="26">
        <v>2405.666015625</v>
      </c>
      <c r="O6" s="23">
        <f t="shared" si="0"/>
        <v>-0.35502108308796565</v>
      </c>
      <c r="P6" s="23">
        <f t="shared" si="1"/>
        <v>0.55627486512155944</v>
      </c>
    </row>
    <row r="7" spans="1:17" ht="18" customHeight="1" x14ac:dyDescent="0.2">
      <c r="A7" s="224"/>
      <c r="B7" s="24" t="s">
        <v>54</v>
      </c>
      <c r="C7" s="25"/>
      <c r="D7" s="26">
        <v>1549.8887939453125</v>
      </c>
      <c r="E7" s="26">
        <v>1365.939453125</v>
      </c>
      <c r="F7" s="26">
        <v>2229.090087890625</v>
      </c>
      <c r="G7" s="26">
        <v>1124.8128662109375</v>
      </c>
      <c r="H7" s="26">
        <v>807.88848876953125</v>
      </c>
      <c r="I7" s="26">
        <v>474.81341552734375</v>
      </c>
      <c r="J7" s="26">
        <v>1007.833984375</v>
      </c>
      <c r="K7" s="26">
        <v>1027.6947021484375</v>
      </c>
      <c r="L7" s="26">
        <v>1499.262939453125</v>
      </c>
      <c r="M7" s="26">
        <v>2029.4921875</v>
      </c>
      <c r="N7" s="26">
        <v>1943.6495361328125</v>
      </c>
      <c r="O7" s="23">
        <f t="shared" si="0"/>
        <v>0.25405741607122928</v>
      </c>
      <c r="P7" s="23">
        <f t="shared" si="1"/>
        <v>0.92854137314902196</v>
      </c>
    </row>
    <row r="8" spans="1:17" ht="18" customHeight="1" x14ac:dyDescent="0.2">
      <c r="A8" s="224"/>
      <c r="B8" s="24" t="s">
        <v>55</v>
      </c>
      <c r="C8" s="27"/>
      <c r="D8" s="28">
        <f ca="1">3.2782415*OFFSET(D$112,MATCH($N$1,$C$112:$C$113,0)-1,0)</f>
        <v>3.2782415</v>
      </c>
      <c r="E8" s="28">
        <f ca="1">2.26743625*OFFSET(E$112,MATCH($N$1,$C$112:$C$113,0)-1,0)</f>
        <v>2.2674362499999998</v>
      </c>
      <c r="F8" s="28">
        <f ca="1">3.1251005*OFFSET(F$112,MATCH($N$1,$C$112:$C$113,0)-1,0)</f>
        <v>3.1251004999999998</v>
      </c>
      <c r="G8" s="28">
        <f ca="1">1.874351375*OFFSET(G$112,MATCH($N$1,$C$112:$C$113,0)-1,0)</f>
        <v>1.874351375</v>
      </c>
      <c r="H8" s="28">
        <f ca="1">0.6907595625*OFFSET(H$112,MATCH($N$1,$C$112:$C$113,0)-1,0)</f>
        <v>0.69075956250000004</v>
      </c>
      <c r="I8" s="28">
        <f ca="1">0.6142455*OFFSET(I$112,MATCH($N$1,$C$112:$C$113,0)-1,0)</f>
        <v>0.6142455</v>
      </c>
      <c r="J8" s="28">
        <f ca="1">1.8255495*OFFSET(J$112,MATCH($N$1,$C$112:$C$113,0)-1,0)</f>
        <v>1.8255494999999999</v>
      </c>
      <c r="K8" s="28">
        <f ca="1">1.6787915*OFFSET(K$112,MATCH($N$1,$C$112:$C$113,0)-1,0)</f>
        <v>1.6787915</v>
      </c>
      <c r="L8" s="28">
        <f ca="1">3.127887*OFFSET(L$112,MATCH($N$1,$C$112:$C$113,0)-1,0)</f>
        <v>3.1278869999999999</v>
      </c>
      <c r="M8" s="28">
        <f ca="1">4.3013355*OFFSET(M$112,MATCH($N$1,$C$112:$C$113,0)-1,0)</f>
        <v>4.3013355000000004</v>
      </c>
      <c r="N8" s="28">
        <v>3.2784947499999997</v>
      </c>
      <c r="O8" s="23">
        <f t="shared" ca="1" si="0"/>
        <v>7.725178270107604E-5</v>
      </c>
      <c r="P8" s="23">
        <f t="shared" ca="1" si="1"/>
        <v>0.79589474292534923</v>
      </c>
    </row>
    <row r="9" spans="1:17" ht="18" customHeight="1" x14ac:dyDescent="0.2">
      <c r="A9" s="224"/>
      <c r="B9" s="24" t="s">
        <v>56</v>
      </c>
      <c r="C9" s="27"/>
      <c r="D9" s="26">
        <v>1968</v>
      </c>
      <c r="E9" s="26">
        <v>1620</v>
      </c>
      <c r="F9" s="26">
        <v>1689</v>
      </c>
      <c r="G9" s="26">
        <v>1278</v>
      </c>
      <c r="H9" s="26">
        <v>520</v>
      </c>
      <c r="I9" s="26">
        <v>570</v>
      </c>
      <c r="J9" s="26">
        <v>1179</v>
      </c>
      <c r="K9" s="26">
        <v>1185</v>
      </c>
      <c r="L9" s="26">
        <v>1925</v>
      </c>
      <c r="M9" s="26">
        <v>1945</v>
      </c>
      <c r="N9" s="26">
        <v>1292</v>
      </c>
      <c r="O9" s="23">
        <f t="shared" si="0"/>
        <v>-0.3434959349593496</v>
      </c>
      <c r="P9" s="23">
        <f t="shared" si="1"/>
        <v>9.5843935538592023E-2</v>
      </c>
    </row>
    <row r="10" spans="1:17" ht="18" customHeight="1" x14ac:dyDescent="0.2">
      <c r="A10" s="224"/>
      <c r="B10" s="24" t="s">
        <v>57</v>
      </c>
      <c r="C10" s="27"/>
      <c r="D10" s="26"/>
      <c r="E10" s="26">
        <v>43.004676818847656</v>
      </c>
      <c r="F10" s="26">
        <v>32.539024353027344</v>
      </c>
      <c r="G10" s="26">
        <v>44.65093994140625</v>
      </c>
      <c r="H10" s="26">
        <v>24.23173713684082</v>
      </c>
      <c r="I10" s="26">
        <v>4.2285799980163574</v>
      </c>
      <c r="J10" s="26">
        <v>8.4574441909790039</v>
      </c>
      <c r="K10" s="26">
        <v>25.546480178833008</v>
      </c>
      <c r="L10" s="26">
        <v>19.50860595703125</v>
      </c>
      <c r="M10" s="26">
        <v>63.301418304443359</v>
      </c>
      <c r="N10" s="26">
        <v>65.232177734375</v>
      </c>
      <c r="O10" s="29" t="str">
        <f t="shared" si="0"/>
        <v/>
      </c>
      <c r="P10" s="29">
        <f t="shared" si="1"/>
        <v>6.7129894399958143</v>
      </c>
    </row>
    <row r="11" spans="1:17" ht="18" customHeight="1" x14ac:dyDescent="0.2">
      <c r="A11" s="225" t="s">
        <v>23</v>
      </c>
      <c r="B11" s="30" t="s">
        <v>58</v>
      </c>
      <c r="C11" s="31"/>
      <c r="D11" s="32">
        <v>18.767999649047852</v>
      </c>
      <c r="E11" s="32">
        <v>17.666000366210938</v>
      </c>
      <c r="F11" s="32">
        <v>19.444999694824219</v>
      </c>
      <c r="G11" s="32">
        <v>16.831666946411133</v>
      </c>
      <c r="H11" s="32">
        <v>14.800000190734863</v>
      </c>
      <c r="I11" s="32">
        <v>12.283999443054199</v>
      </c>
      <c r="J11" s="32">
        <v>15.304444313049316</v>
      </c>
      <c r="K11" s="32">
        <v>14.946666717529297</v>
      </c>
      <c r="L11" s="32">
        <v>15.251333236694336</v>
      </c>
      <c r="M11" s="32">
        <v>17.649999618530273</v>
      </c>
      <c r="N11" s="32">
        <v>17.656000137329102</v>
      </c>
      <c r="O11" s="23">
        <f t="shared" si="0"/>
        <v>-5.9249761962520311E-2</v>
      </c>
      <c r="P11" s="23">
        <f t="shared" si="1"/>
        <v>0.15365182663147944</v>
      </c>
    </row>
    <row r="12" spans="1:17" ht="18" customHeight="1" x14ac:dyDescent="0.2">
      <c r="A12" s="226"/>
      <c r="B12" s="33" t="s">
        <v>51</v>
      </c>
      <c r="C12" s="25"/>
      <c r="D12" s="26">
        <v>298.33334350585937</v>
      </c>
      <c r="E12" s="26">
        <v>277.86666870117187</v>
      </c>
      <c r="F12" s="26">
        <v>337.35714721679687</v>
      </c>
      <c r="G12" s="26">
        <v>261</v>
      </c>
      <c r="H12" s="26">
        <v>192.39999389648437</v>
      </c>
      <c r="I12" s="26">
        <v>164.80000305175781</v>
      </c>
      <c r="J12" s="26">
        <v>197.77777099609375</v>
      </c>
      <c r="K12" s="26">
        <v>199.33332824707031</v>
      </c>
      <c r="L12" s="26">
        <v>207.73333740234375</v>
      </c>
      <c r="M12" s="26">
        <v>301</v>
      </c>
      <c r="N12" s="26">
        <v>294.29998779296875</v>
      </c>
      <c r="O12" s="23">
        <f t="shared" si="0"/>
        <v>-1.3519627626911265E-2</v>
      </c>
      <c r="P12" s="23">
        <f t="shared" si="1"/>
        <v>0.48803369716802697</v>
      </c>
    </row>
    <row r="13" spans="1:17" ht="18" customHeight="1" x14ac:dyDescent="0.2">
      <c r="A13" s="226"/>
      <c r="B13" s="33" t="s">
        <v>52</v>
      </c>
      <c r="C13" s="25"/>
      <c r="D13" s="26">
        <v>91.066665649414063</v>
      </c>
      <c r="E13" s="26">
        <v>77.933334350585937</v>
      </c>
      <c r="F13" s="26">
        <v>99.714286804199219</v>
      </c>
      <c r="G13" s="26">
        <v>70.333335876464844</v>
      </c>
      <c r="H13" s="26">
        <v>44.400001525878906</v>
      </c>
      <c r="I13" s="26">
        <v>24.799999237060547</v>
      </c>
      <c r="J13" s="26">
        <v>49.444442749023438</v>
      </c>
      <c r="K13" s="26">
        <v>46.583332061767578</v>
      </c>
      <c r="L13" s="26">
        <v>49.466667175292969</v>
      </c>
      <c r="M13" s="26">
        <v>92.214286804199219</v>
      </c>
      <c r="N13" s="26">
        <v>98.599998474121094</v>
      </c>
      <c r="O13" s="23">
        <f t="shared" si="0"/>
        <v>8.2723274987454229E-2</v>
      </c>
      <c r="P13" s="23">
        <f t="shared" si="1"/>
        <v>0.99415734088880015</v>
      </c>
    </row>
    <row r="14" spans="1:17" ht="18" customHeight="1" x14ac:dyDescent="0.2">
      <c r="A14" s="226"/>
      <c r="B14" s="33" t="s">
        <v>53</v>
      </c>
      <c r="C14" s="25"/>
      <c r="D14" s="26">
        <v>248.65577697753906</v>
      </c>
      <c r="E14" s="26">
        <v>230.259033203125</v>
      </c>
      <c r="F14" s="26">
        <v>274.68606567382812</v>
      </c>
      <c r="G14" s="26">
        <v>214.04022216796875</v>
      </c>
      <c r="H14" s="26">
        <v>162.57298278808594</v>
      </c>
      <c r="I14" s="26">
        <v>131.08262634277344</v>
      </c>
      <c r="J14" s="26">
        <v>171.75386047363281</v>
      </c>
      <c r="K14" s="26">
        <v>168.43072509765625</v>
      </c>
      <c r="L14" s="26">
        <v>176.29837036132813</v>
      </c>
      <c r="M14" s="26">
        <v>242.52783203125</v>
      </c>
      <c r="N14" s="26">
        <v>240.56660461425781</v>
      </c>
      <c r="O14" s="23">
        <f t="shared" si="0"/>
        <v>-3.2531608401006266E-2</v>
      </c>
      <c r="P14" s="23">
        <f t="shared" si="1"/>
        <v>0.40064743785592494</v>
      </c>
    </row>
    <row r="15" spans="1:17" ht="18" customHeight="1" x14ac:dyDescent="0.2">
      <c r="A15" s="226"/>
      <c r="B15" s="33" t="s">
        <v>54</v>
      </c>
      <c r="C15" s="27"/>
      <c r="D15" s="28">
        <v>103.32592010498047</v>
      </c>
      <c r="E15" s="28">
        <v>91.062629699707031</v>
      </c>
      <c r="F15" s="28">
        <v>159.22073364257812</v>
      </c>
      <c r="G15" s="28">
        <v>93.734405517578125</v>
      </c>
      <c r="H15" s="28">
        <v>161.57769775390625</v>
      </c>
      <c r="I15" s="28">
        <v>94.962684631347656</v>
      </c>
      <c r="J15" s="28">
        <v>111.98155975341797</v>
      </c>
      <c r="K15" s="28">
        <v>85.641220092773438</v>
      </c>
      <c r="L15" s="28">
        <v>99.950859069824219</v>
      </c>
      <c r="M15" s="28">
        <v>144.96372985839844</v>
      </c>
      <c r="N15" s="28">
        <v>194.36494445800781</v>
      </c>
      <c r="O15" s="23">
        <f t="shared" si="0"/>
        <v>0.88108602624133925</v>
      </c>
      <c r="P15" s="23">
        <f t="shared" si="1"/>
        <v>0.73568706210198409</v>
      </c>
    </row>
    <row r="16" spans="1:17" ht="18" customHeight="1" x14ac:dyDescent="0.2">
      <c r="A16" s="226"/>
      <c r="B16" s="33" t="s">
        <v>59</v>
      </c>
      <c r="C16" s="27"/>
      <c r="D16" s="28">
        <f ca="1">218.549421875*OFFSET(D$112,MATCH($N$1,$C$112:$C$113,0)-1,0)</f>
        <v>218.54942187500001</v>
      </c>
      <c r="E16" s="28">
        <f ca="1">151.162421875*OFFSET(E$112,MATCH($N$1,$C$112:$C$113,0)-1,0)</f>
        <v>151.16242187500001</v>
      </c>
      <c r="F16" s="28">
        <f ca="1">223.22146875*OFFSET(F$112,MATCH($N$1,$C$112:$C$113,0)-1,0)</f>
        <v>223.22146875000001</v>
      </c>
      <c r="G16" s="28">
        <f ca="1">156.195953125*OFFSET(G$112,MATCH($N$1,$C$112:$C$113,0)-1,0)</f>
        <v>156.19595312499999</v>
      </c>
      <c r="H16" s="28">
        <f ca="1">138.151921875*OFFSET(H$112,MATCH($N$1,$C$112:$C$113,0)-1,0)</f>
        <v>138.151921875</v>
      </c>
      <c r="I16" s="28">
        <f ca="1">122.8491015625*OFFSET(I$112,MATCH($N$1,$C$112:$C$113,0)-1,0)</f>
        <v>122.8491015625</v>
      </c>
      <c r="J16" s="28">
        <f ca="1">202.838828125*OFFSET(J$112,MATCH($N$1,$C$112:$C$113,0)-1,0)</f>
        <v>202.83882812499999</v>
      </c>
      <c r="K16" s="28">
        <f ca="1">139.89928125*OFFSET(K$112,MATCH($N$1,$C$112:$C$113,0)-1,0)</f>
        <v>139.89928125</v>
      </c>
      <c r="L16" s="28">
        <f ca="1">208.525796875*OFFSET(L$112,MATCH($N$1,$C$112:$C$113,0)-1,0)</f>
        <v>208.525796875</v>
      </c>
      <c r="M16" s="28">
        <f ca="1">307.23825*OFFSET(M$112,MATCH($N$1,$C$112:$C$113,0)-1,0)</f>
        <v>307.23824999999999</v>
      </c>
      <c r="N16" s="28">
        <v>327.84946875000003</v>
      </c>
      <c r="O16" s="23">
        <f t="shared" ca="1" si="0"/>
        <v>0.50011592772601576</v>
      </c>
      <c r="P16" s="23">
        <f t="shared" ca="1" si="1"/>
        <v>0.61630527932236856</v>
      </c>
    </row>
    <row r="17" spans="1:16" ht="18" customHeight="1" x14ac:dyDescent="0.2">
      <c r="A17" s="226"/>
      <c r="B17" s="33" t="s">
        <v>56</v>
      </c>
      <c r="C17" s="25"/>
      <c r="D17" s="26">
        <v>131.19999694824219</v>
      </c>
      <c r="E17" s="26">
        <v>108</v>
      </c>
      <c r="F17" s="26">
        <v>120.64286041259766</v>
      </c>
      <c r="G17" s="26">
        <v>106.5</v>
      </c>
      <c r="H17" s="26">
        <v>104</v>
      </c>
      <c r="I17" s="26">
        <v>114</v>
      </c>
      <c r="J17" s="26">
        <v>131</v>
      </c>
      <c r="K17" s="26">
        <v>98.75</v>
      </c>
      <c r="L17" s="26">
        <v>128.33332824707031</v>
      </c>
      <c r="M17" s="26">
        <v>138.92857360839844</v>
      </c>
      <c r="N17" s="26">
        <v>129.19999694824219</v>
      </c>
      <c r="O17" s="23">
        <f t="shared" si="0"/>
        <v>-1.5243902793602892E-2</v>
      </c>
      <c r="P17" s="23">
        <f t="shared" si="1"/>
        <v>-1.3740481311128339E-2</v>
      </c>
    </row>
    <row r="18" spans="1:16" ht="18" customHeight="1" x14ac:dyDescent="0.2">
      <c r="A18" s="226"/>
      <c r="B18" s="33" t="s">
        <v>60</v>
      </c>
      <c r="C18" s="25"/>
      <c r="D18" s="26">
        <v>34.400001525878906</v>
      </c>
      <c r="E18" s="26">
        <v>31.533332824707031</v>
      </c>
      <c r="F18" s="26">
        <v>33</v>
      </c>
      <c r="G18" s="26">
        <v>35.416667938232422</v>
      </c>
      <c r="H18" s="26">
        <v>32.799999237060547</v>
      </c>
      <c r="I18" s="26">
        <v>26.799999237060547</v>
      </c>
      <c r="J18" s="26">
        <v>41.444442749023438</v>
      </c>
      <c r="K18" s="26">
        <v>38.333332061767578</v>
      </c>
      <c r="L18" s="26">
        <v>38.466667175292969</v>
      </c>
      <c r="M18" s="26">
        <v>33.928569793701172</v>
      </c>
      <c r="N18" s="26">
        <v>35.299999237060547</v>
      </c>
      <c r="O18" s="23">
        <f t="shared" si="0"/>
        <v>2.616272300175853E-2</v>
      </c>
      <c r="P18" s="23">
        <f t="shared" si="1"/>
        <v>-0.14825735621955427</v>
      </c>
    </row>
    <row r="19" spans="1:16" ht="18" customHeight="1" x14ac:dyDescent="0.2">
      <c r="A19" s="226"/>
      <c r="B19" s="33" t="s">
        <v>61</v>
      </c>
      <c r="C19" s="25"/>
      <c r="D19" s="34">
        <v>0.78754514455795288</v>
      </c>
      <c r="E19" s="34">
        <v>0.84317249059677124</v>
      </c>
      <c r="F19" s="34">
        <v>1.3197692632675171</v>
      </c>
      <c r="G19" s="34">
        <v>0.88013523817062378</v>
      </c>
      <c r="H19" s="34">
        <v>1.5536316633224487</v>
      </c>
      <c r="I19" s="34">
        <v>0.83300602436065674</v>
      </c>
      <c r="J19" s="34">
        <v>0.85482108592987061</v>
      </c>
      <c r="K19" s="34">
        <v>0.8672528862953186</v>
      </c>
      <c r="L19" s="34">
        <v>0.77883791923522949</v>
      </c>
      <c r="M19" s="34">
        <v>1.0434406995773315</v>
      </c>
      <c r="N19" s="34">
        <v>1.5043727159500122</v>
      </c>
      <c r="O19" s="23">
        <f t="shared" si="0"/>
        <v>0.91020505471392732</v>
      </c>
      <c r="P19" s="23">
        <f t="shared" si="1"/>
        <v>0.7598685160106482</v>
      </c>
    </row>
    <row r="20" spans="1:16" ht="18" customHeight="1" x14ac:dyDescent="0.2">
      <c r="A20" s="227"/>
      <c r="B20" s="35" t="s">
        <v>24</v>
      </c>
      <c r="C20" s="36"/>
      <c r="D20" s="37">
        <f ca="1">2115*OFFSET(D$112,MATCH($N$1,$C$112:$C$113,0)-1,0)</f>
        <v>2115</v>
      </c>
      <c r="E20" s="37">
        <f ca="1">1660*OFFSET(E$112,MATCH($N$1,$C$112:$C$113,0)-1,0)</f>
        <v>1660</v>
      </c>
      <c r="F20" s="37">
        <f ca="1">1402*OFFSET(F$112,MATCH($N$1,$C$112:$C$113,0)-1,0)</f>
        <v>1402</v>
      </c>
      <c r="G20" s="37">
        <f ca="1">1666*OFFSET(G$112,MATCH($N$1,$C$112:$C$113,0)-1,0)</f>
        <v>1666</v>
      </c>
      <c r="H20" s="37">
        <f ca="1">855*OFFSET(H$112,MATCH($N$1,$C$112:$C$113,0)-1,0)</f>
        <v>855</v>
      </c>
      <c r="I20" s="37">
        <f ca="1">1294*OFFSET(I$112,MATCH($N$1,$C$112:$C$113,0)-1,0)</f>
        <v>1294</v>
      </c>
      <c r="J20" s="37">
        <f ca="1">1811*OFFSET(J$112,MATCH($N$1,$C$112:$C$113,0)-1,0)</f>
        <v>1811</v>
      </c>
      <c r="K20" s="37">
        <f ca="1">1634*OFFSET(K$112,MATCH($N$1,$C$112:$C$113,0)-1,0)</f>
        <v>1634</v>
      </c>
      <c r="L20" s="37">
        <f ca="1">2086*OFFSET(L$112,MATCH($N$1,$C$112:$C$113,0)-1,0)</f>
        <v>2086</v>
      </c>
      <c r="M20" s="37">
        <f ca="1">2119*OFFSET(M$112,MATCH($N$1,$C$112:$C$113,0)-1,0)</f>
        <v>2119</v>
      </c>
      <c r="N20" s="37">
        <v>1687</v>
      </c>
      <c r="O20" s="29">
        <f t="shared" ca="1" si="0"/>
        <v>-0.20236406619385341</v>
      </c>
      <c r="P20" s="29">
        <f t="shared" ca="1" si="1"/>
        <v>-6.8470458310325791E-2</v>
      </c>
    </row>
    <row r="21" spans="1:16" ht="18" customHeight="1" x14ac:dyDescent="0.2">
      <c r="A21" s="228" t="s">
        <v>25</v>
      </c>
      <c r="B21" s="30" t="s">
        <v>62</v>
      </c>
      <c r="C21" s="38"/>
      <c r="D21" s="39">
        <v>2.2332466661315329</v>
      </c>
      <c r="E21" s="39">
        <v>2.6735788923271309</v>
      </c>
      <c r="F21" s="39">
        <v>3.6138601168514164</v>
      </c>
      <c r="G21" s="39">
        <v>3.1766208160997804</v>
      </c>
      <c r="H21" s="39">
        <v>9.0302183956802242</v>
      </c>
      <c r="I21" s="39">
        <v>5.0591183343934532</v>
      </c>
      <c r="J21" s="39">
        <v>4.0653059428622118</v>
      </c>
      <c r="K21" s="39">
        <v>4.2261352852664862</v>
      </c>
      <c r="L21" s="39">
        <v>3.6625630452172468</v>
      </c>
      <c r="M21" s="39">
        <v>3.3297002684838772</v>
      </c>
      <c r="N21" s="39">
        <v>4.0457211099549895</v>
      </c>
      <c r="O21" s="23">
        <f t="shared" si="0"/>
        <v>0.81158721573871417</v>
      </c>
      <c r="P21" s="23">
        <f t="shared" si="1"/>
        <v>-4.8175544922047092E-3</v>
      </c>
    </row>
    <row r="22" spans="1:16" ht="18" customHeight="1" x14ac:dyDescent="0.2">
      <c r="A22" s="228"/>
      <c r="B22" s="33" t="s">
        <v>63</v>
      </c>
      <c r="C22" s="25"/>
      <c r="D22" s="34">
        <f ca="1">4.72364308289176*OFFSET(D$112,MATCH($N$1,$C$112:$C$113,0)-1,0)</f>
        <v>4.7236430828917602</v>
      </c>
      <c r="E22" s="34">
        <f ca="1">4.43809564659815*OFFSET(E$112,MATCH($N$1,$C$112:$C$113,0)-1,0)</f>
        <v>4.4380956465981498</v>
      </c>
      <c r="F22" s="34">
        <f ca="1">5.06649570495948*OFFSET(F$112,MATCH($N$1,$C$112:$C$113,0)-1,0)</f>
        <v>5.0664957049594799</v>
      </c>
      <c r="G22" s="34">
        <f ca="1">5.2934172180179*OFFSET(G$112,MATCH($N$1,$C$112:$C$113,0)-1,0)</f>
        <v>5.2934172180179004</v>
      </c>
      <c r="H22" s="34">
        <f ca="1">7.72100384927066*OFFSET(H$112,MATCH($N$1,$C$112:$C$113,0)-1,0)</f>
        <v>7.7210038492706596</v>
      </c>
      <c r="I22" s="34">
        <f ca="1">6.54476170815251*OFFSET(I$112,MATCH($N$1,$C$112:$C$113,0)-1,0)</f>
        <v>6.5447617081525102</v>
      </c>
      <c r="J22" s="34">
        <f ca="1">7.36372930717819*OFFSET(J$112,MATCH($N$1,$C$112:$C$113,0)-1,0)</f>
        <v>7.3637293071781897</v>
      </c>
      <c r="K22" s="34">
        <f ca="1">6.90360656041068*OFFSET(K$112,MATCH($N$1,$C$112:$C$113,0)-1,0)</f>
        <v>6.9036065604106804</v>
      </c>
      <c r="L22" s="34">
        <f ca="1">7.64114370518132*OFFSET(L$112,MATCH($N$1,$C$112:$C$113,0)-1,0)</f>
        <v>7.64114370518132</v>
      </c>
      <c r="M22" s="34">
        <f ca="1">7.05701546526708*OFFSET(M$112,MATCH($N$1,$C$112:$C$113,0)-1,0)</f>
        <v>7.0570154652670798</v>
      </c>
      <c r="N22" s="34">
        <v>6.8242116411890681</v>
      </c>
      <c r="O22" s="23">
        <f t="shared" ca="1" si="0"/>
        <v>0.44469248023950275</v>
      </c>
      <c r="P22" s="23">
        <f t="shared" ca="1" si="1"/>
        <v>-7.3266906411564844E-2</v>
      </c>
    </row>
    <row r="23" spans="1:16" ht="18" customHeight="1" x14ac:dyDescent="0.2">
      <c r="A23" s="228"/>
      <c r="B23" s="33" t="s">
        <v>11</v>
      </c>
      <c r="C23" s="25"/>
      <c r="D23" s="34">
        <f ca="1">4.164060635984*OFFSET(D$112,MATCH($N$1,$C$112:$C$113,0)-1,0)</f>
        <v>4.1640606359839998</v>
      </c>
      <c r="E23" s="34">
        <f ca="1">3.81130499382355*OFFSET(E$112,MATCH($N$1,$C$112:$C$113,0)-1,0)</f>
        <v>3.8113049938235499</v>
      </c>
      <c r="F23" s="34">
        <f ca="1">4.40975365333011*OFFSET(F$112,MATCH($N$1,$C$112:$C$113,0)-1,0)</f>
        <v>4.4097536533301103</v>
      </c>
      <c r="G23" s="34">
        <f ca="1">4.95569019384202*OFFSET(G$112,MATCH($N$1,$C$112:$C$113,0)-1,0)</f>
        <v>4.9556901938420204</v>
      </c>
      <c r="H23" s="34">
        <f ca="1">7.04667908748413*OFFSET(H$112,MATCH($N$1,$C$112:$C$113,0)-1,0)</f>
        <v>7.0466790874841303</v>
      </c>
      <c r="I23" s="34">
        <f ca="1">5.6176005569389*OFFSET(I$112,MATCH($N$1,$C$112:$C$113,0)-1,0)</f>
        <v>5.6176005569388998</v>
      </c>
      <c r="J23" s="34">
        <f ca="1">6.46922478420245*OFFSET(J$112,MATCH($N$1,$C$112:$C$113,0)-1,0)</f>
        <v>6.4692247842024502</v>
      </c>
      <c r="K23" s="34">
        <f ca="1">5.51463634217849*OFFSET(K$112,MATCH($N$1,$C$112:$C$113,0)-1,0)</f>
        <v>5.5146363421784903</v>
      </c>
      <c r="L23" s="34">
        <f ca="1">5.76541931342992*OFFSET(L$112,MATCH($N$1,$C$112:$C$113,0)-1,0)</f>
        <v>5.7654193134299199</v>
      </c>
      <c r="M23" s="34">
        <f ca="1">6.38612307971693*OFFSET(M$112,MATCH($N$1,$C$112:$C$113,0)-1,0)</f>
        <v>6.3861230797169304</v>
      </c>
      <c r="N23" s="34">
        <v>6.2615408620271058</v>
      </c>
      <c r="O23" s="23">
        <f t="shared" ca="1" si="0"/>
        <v>0.50371029852869931</v>
      </c>
      <c r="P23" s="23">
        <f t="shared" ca="1" si="1"/>
        <v>-3.2103370821570304E-2</v>
      </c>
    </row>
    <row r="24" spans="1:16" ht="18" customHeight="1" x14ac:dyDescent="0.2">
      <c r="A24" s="228"/>
      <c r="B24" s="33" t="s">
        <v>12</v>
      </c>
      <c r="C24" s="25"/>
      <c r="D24" s="34">
        <f ca="1">0.957927578516945*OFFSET(D$112,MATCH($N$1,$C$112:$C$113,0)-1,0)</f>
        <v>0.95792757851694499</v>
      </c>
      <c r="E24" s="34">
        <f ca="1">0.74528721034024*OFFSET(E$112,MATCH($N$1,$C$112:$C$113,0)-1,0)</f>
        <v>0.74528721034024004</v>
      </c>
      <c r="F24" s="34">
        <f ca="1">0.66602798366052*OFFSET(F$112,MATCH($N$1,$C$112:$C$113,0)-1,0)</f>
        <v>0.66602798366051996</v>
      </c>
      <c r="G24" s="34">
        <f ca="1">0.344194914668058*OFFSET(G$112,MATCH($N$1,$C$112:$C$113,0)-1,0)</f>
        <v>0.34419491466805802</v>
      </c>
      <c r="H24" s="34">
        <f ca="1">0.688475907565109*OFFSET(H$112,MATCH($N$1,$C$112:$C$113,0)-1,0)</f>
        <v>0.68847590756510901</v>
      </c>
      <c r="I24" s="34">
        <f ca="1">0.931159589563424*OFFSET(I$112,MATCH($N$1,$C$112:$C$113,0)-1,0)</f>
        <v>0.93115958956342404</v>
      </c>
      <c r="J24" s="34">
        <f ca="1">0.903502075140706*OFFSET(J$112,MATCH($N$1,$C$112:$C$113,0)-1,0)</f>
        <v>0.90350207514070602</v>
      </c>
      <c r="K24" s="34">
        <f ca="1">1.38897021823219*OFFSET(K$112,MATCH($N$1,$C$112:$C$113,0)-1,0)</f>
        <v>1.3889702182321899</v>
      </c>
      <c r="L24" s="34">
        <f ca="1">1.8757243917514*OFFSET(L$112,MATCH($N$1,$C$112:$C$113,0)-1,0)</f>
        <v>1.8757243917513999</v>
      </c>
      <c r="M24" s="34">
        <f ca="1">0.869361264353729*OFFSET(M$112,MATCH($N$1,$C$112:$C$113,0)-1,0)</f>
        <v>0.86936126435372896</v>
      </c>
      <c r="N24" s="34">
        <v>0.75459236681888231</v>
      </c>
      <c r="O24" s="23">
        <f t="shared" ca="1" si="0"/>
        <v>-0.21226574561394762</v>
      </c>
      <c r="P24" s="23">
        <f t="shared" ca="1" si="1"/>
        <v>-0.16481390847788965</v>
      </c>
    </row>
    <row r="25" spans="1:16" ht="18" customHeight="1" x14ac:dyDescent="0.2">
      <c r="A25" s="228"/>
      <c r="B25" s="33" t="s">
        <v>64</v>
      </c>
      <c r="C25" s="25"/>
      <c r="D25" s="28"/>
      <c r="E25" s="28">
        <f ca="1">52.74*OFFSET(E$112,MATCH($N$1,$C$112:$C$113,0)-1,0)</f>
        <v>52.74</v>
      </c>
      <c r="F25" s="28">
        <f ca="1">96.03*OFFSET(F$112,MATCH($N$1,$C$112:$C$113,0)-1,0)</f>
        <v>96.03</v>
      </c>
      <c r="G25" s="28">
        <f ca="1">41.98*OFFSET(G$112,MATCH($N$1,$C$112:$C$113,0)-1,0)</f>
        <v>41.98</v>
      </c>
      <c r="H25" s="28">
        <f ca="1">28.52*OFFSET(H$112,MATCH($N$1,$C$112:$C$113,0)-1,0)</f>
        <v>28.52</v>
      </c>
      <c r="I25" s="28">
        <f ca="1">145.2*OFFSET(I$112,MATCH($N$1,$C$112:$C$113,0)-1,0)</f>
        <v>145.19999999999999</v>
      </c>
      <c r="J25" s="28">
        <f ca="1">215.81*OFFSET(J$112,MATCH($N$1,$C$112:$C$113,0)-1,0)</f>
        <v>215.81</v>
      </c>
      <c r="K25" s="28">
        <f ca="1">65.72*OFFSET(K$112,MATCH($N$1,$C$112:$C$113,0)-1,0)</f>
        <v>65.72</v>
      </c>
      <c r="L25" s="28">
        <f ca="1">160.31*OFFSET(L$112,MATCH($N$1,$C$112:$C$113,0)-1,0)</f>
        <v>160.31</v>
      </c>
      <c r="M25" s="28">
        <f ca="1">67.94*OFFSET(M$112,MATCH($N$1,$C$112:$C$113,0)-1,0)</f>
        <v>67.94</v>
      </c>
      <c r="N25" s="28">
        <v>50.25</v>
      </c>
      <c r="O25" s="23" t="str">
        <f t="shared" si="0"/>
        <v/>
      </c>
      <c r="P25" s="23">
        <f t="shared" ca="1" si="1"/>
        <v>-0.76715629488902271</v>
      </c>
    </row>
    <row r="26" spans="1:16" ht="18" customHeight="1" x14ac:dyDescent="0.2">
      <c r="A26" s="229"/>
      <c r="B26" s="33" t="s">
        <v>65</v>
      </c>
      <c r="C26" s="40"/>
      <c r="D26" s="28"/>
      <c r="E26" s="28">
        <f ca="1">8.86*OFFSET(E$112,MATCH($N$1,$C$112:$C$113,0)-1,0)</f>
        <v>8.86</v>
      </c>
      <c r="F26" s="28">
        <f ca="1">12.61*OFFSET(F$112,MATCH($N$1,$C$112:$C$113,0)-1,0)</f>
        <v>12.61</v>
      </c>
      <c r="G26" s="28">
        <f ca="1">2.74*OFFSET(G$112,MATCH($N$1,$C$112:$C$113,0)-1,0)</f>
        <v>2.74</v>
      </c>
      <c r="H26" s="28">
        <f ca="1">2.54*OFFSET(H$112,MATCH($N$1,$C$112:$C$113,0)-1,0)</f>
        <v>2.54</v>
      </c>
      <c r="I26" s="28">
        <f ca="1">20.69*OFFSET(I$112,MATCH($N$1,$C$112:$C$113,0)-1,0)</f>
        <v>20.69</v>
      </c>
      <c r="J26" s="28">
        <f ca="1">26.5*OFFSET(J$112,MATCH($N$1,$C$112:$C$113,0)-1,0)</f>
        <v>26.5</v>
      </c>
      <c r="K26" s="28">
        <f ca="1">13.2*OFFSET(K$112,MATCH($N$1,$C$112:$C$113,0)-1,0)</f>
        <v>13.2</v>
      </c>
      <c r="L26" s="28">
        <f ca="1">39.37*OFFSET(L$112,MATCH($N$1,$C$112:$C$113,0)-1,0)</f>
        <v>39.369999999999997</v>
      </c>
      <c r="M26" s="28">
        <f ca="1">8.36*OFFSET(M$112,MATCH($N$1,$C$112:$C$113,0)-1,0)</f>
        <v>8.36</v>
      </c>
      <c r="N26" s="28">
        <v>5.56</v>
      </c>
      <c r="O26" s="29" t="str">
        <f t="shared" si="0"/>
        <v/>
      </c>
      <c r="P26" s="29">
        <f t="shared" ca="1" si="1"/>
        <v>-0.79018867924528302</v>
      </c>
    </row>
    <row r="27" spans="1:16" ht="18" customHeight="1" x14ac:dyDescent="0.2">
      <c r="A27" s="230" t="s">
        <v>26</v>
      </c>
      <c r="B27" s="30" t="s">
        <v>59</v>
      </c>
      <c r="C27" s="31"/>
      <c r="D27" s="32">
        <f ca="1">218.5*OFFSET(D$112,MATCH($N$1,$C$112:$C$113,0)-1,0)</f>
        <v>218.5</v>
      </c>
      <c r="E27" s="32">
        <f ca="1">151.2*OFFSET(E$112,MATCH($N$1,$C$112:$C$113,0)-1,0)</f>
        <v>151.19999999999999</v>
      </c>
      <c r="F27" s="32">
        <f ca="1">223.2*OFFSET(F$112,MATCH($N$1,$C$112:$C$113,0)-1,0)</f>
        <v>223.2</v>
      </c>
      <c r="G27" s="32">
        <f ca="1">156.2*OFFSET(G$112,MATCH($N$1,$C$112:$C$113,0)-1,0)</f>
        <v>156.19999999999999</v>
      </c>
      <c r="H27" s="32">
        <f ca="1">138.2*OFFSET(H$112,MATCH($N$1,$C$112:$C$113,0)-1,0)</f>
        <v>138.19999999999999</v>
      </c>
      <c r="I27" s="32">
        <f ca="1">122.8*OFFSET(I$112,MATCH($N$1,$C$112:$C$113,0)-1,0)</f>
        <v>122.8</v>
      </c>
      <c r="J27" s="32">
        <f ca="1">202.8*OFFSET(J$112,MATCH($N$1,$C$112:$C$113,0)-1,0)</f>
        <v>202.8</v>
      </c>
      <c r="K27" s="32">
        <f ca="1">139.9*OFFSET(K$112,MATCH($N$1,$C$112:$C$113,0)-1,0)</f>
        <v>139.9</v>
      </c>
      <c r="L27" s="32">
        <f ca="1">208.5*OFFSET(L$112,MATCH($N$1,$C$112:$C$113,0)-1,0)</f>
        <v>208.5</v>
      </c>
      <c r="M27" s="32">
        <f ca="1">307.2*OFFSET(M$112,MATCH($N$1,$C$112:$C$113,0)-1,0)</f>
        <v>307.2</v>
      </c>
      <c r="N27" s="32">
        <v>327.8</v>
      </c>
      <c r="O27" s="23">
        <f t="shared" ca="1" si="0"/>
        <v>0.50022883295194509</v>
      </c>
      <c r="P27" s="23">
        <f t="shared" ca="1" si="1"/>
        <v>0.61637080867850091</v>
      </c>
    </row>
    <row r="28" spans="1:16" ht="18" customHeight="1" x14ac:dyDescent="0.2">
      <c r="A28" s="231"/>
      <c r="B28" s="33" t="s">
        <v>66</v>
      </c>
      <c r="C28" s="27"/>
      <c r="D28" s="28">
        <f ca="1">18.4*OFFSET(D$112,MATCH($N$1,$C$112:$C$113,0)-1,0)</f>
        <v>18.399999999999999</v>
      </c>
      <c r="E28" s="28">
        <f ca="1">4*OFFSET(E$112,MATCH($N$1,$C$112:$C$113,0)-1,0)</f>
        <v>4</v>
      </c>
      <c r="F28" s="28">
        <f ca="1">0.4*OFFSET(F$112,MATCH($N$1,$C$112:$C$113,0)-1,0)</f>
        <v>0.4</v>
      </c>
      <c r="G28" s="28">
        <f ca="1">0.2*OFFSET(G$112,MATCH($N$1,$C$112:$C$113,0)-1,0)</f>
        <v>0.2</v>
      </c>
      <c r="H28" s="28">
        <f ca="1">0.3*OFFSET(H$112,MATCH($N$1,$C$112:$C$113,0)-1,0)</f>
        <v>0.3</v>
      </c>
      <c r="I28" s="28">
        <f ca="1">0.1*OFFSET(I$112,MATCH($N$1,$C$112:$C$113,0)-1,0)</f>
        <v>0.1</v>
      </c>
      <c r="J28" s="28">
        <f ca="1">0.2*OFFSET(J$112,MATCH($N$1,$C$112:$C$113,0)-1,0)</f>
        <v>0.2</v>
      </c>
      <c r="K28" s="28"/>
      <c r="L28" s="28"/>
      <c r="M28" s="28">
        <f ca="1">8.6*OFFSET(M$112,MATCH($N$1,$C$112:$C$113,0)-1,0)</f>
        <v>8.6</v>
      </c>
      <c r="N28" s="28">
        <v>9.2000000000000011</v>
      </c>
      <c r="O28" s="23">
        <f t="shared" ca="1" si="0"/>
        <v>-0.49999999999999989</v>
      </c>
      <c r="P28" s="23">
        <f t="shared" ca="1" si="1"/>
        <v>45.000000000000007</v>
      </c>
    </row>
    <row r="29" spans="1:16" ht="18" customHeight="1" x14ac:dyDescent="0.2">
      <c r="A29" s="231"/>
      <c r="B29" s="41" t="s">
        <v>67</v>
      </c>
      <c r="C29" s="42"/>
      <c r="D29" s="43">
        <f ca="1">237*OFFSET(D$112,MATCH($N$1,$C$112:$C$113,0)-1,0)</f>
        <v>237</v>
      </c>
      <c r="E29" s="43">
        <f ca="1">155.2*OFFSET(E$112,MATCH($N$1,$C$112:$C$113,0)-1,0)</f>
        <v>155.19999999999999</v>
      </c>
      <c r="F29" s="43">
        <f ca="1">223.6*OFFSET(F$112,MATCH($N$1,$C$112:$C$113,0)-1,0)</f>
        <v>223.6</v>
      </c>
      <c r="G29" s="43">
        <f ca="1">156.4*OFFSET(G$112,MATCH($N$1,$C$112:$C$113,0)-1,0)</f>
        <v>156.4</v>
      </c>
      <c r="H29" s="43">
        <f ca="1">138.4*OFFSET(H$112,MATCH($N$1,$C$112:$C$113,0)-1,0)</f>
        <v>138.4</v>
      </c>
      <c r="I29" s="43">
        <f ca="1">122.9*OFFSET(I$112,MATCH($N$1,$C$112:$C$113,0)-1,0)</f>
        <v>122.9</v>
      </c>
      <c r="J29" s="43">
        <f ca="1">203.1*OFFSET(J$112,MATCH($N$1,$C$112:$C$113,0)-1,0)</f>
        <v>203.1</v>
      </c>
      <c r="K29" s="43">
        <f ca="1">139.9*OFFSET(K$112,MATCH($N$1,$C$112:$C$113,0)-1,0)</f>
        <v>139.9</v>
      </c>
      <c r="L29" s="43">
        <f ca="1">208.5*OFFSET(L$112,MATCH($N$1,$C$112:$C$113,0)-1,0)</f>
        <v>208.5</v>
      </c>
      <c r="M29" s="43">
        <f ca="1">315.9*OFFSET(M$112,MATCH($N$1,$C$112:$C$113,0)-1,0)</f>
        <v>315.89999999999998</v>
      </c>
      <c r="N29" s="43">
        <v>337.1</v>
      </c>
      <c r="O29" s="23">
        <f t="shared" ca="1" si="0"/>
        <v>0.42236286919831234</v>
      </c>
      <c r="P29" s="23">
        <f t="shared" ca="1" si="1"/>
        <v>0.65977351058591838</v>
      </c>
    </row>
    <row r="30" spans="1:16" ht="18" customHeight="1" x14ac:dyDescent="0.2">
      <c r="A30" s="231"/>
      <c r="B30" s="33" t="s">
        <v>68</v>
      </c>
      <c r="C30" s="27"/>
      <c r="D30" s="28">
        <f ca="1">58.3*OFFSET(D$112,MATCH($N$1,$C$112:$C$113,0)-1,0)</f>
        <v>58.3</v>
      </c>
      <c r="E30" s="28">
        <f ca="1">31.1*OFFSET(E$112,MATCH($N$1,$C$112:$C$113,0)-1,0)</f>
        <v>31.1</v>
      </c>
      <c r="F30" s="28">
        <f ca="1">46.4*OFFSET(F$112,MATCH($N$1,$C$112:$C$113,0)-1,0)</f>
        <v>46.4</v>
      </c>
      <c r="G30" s="28">
        <f ca="1">47.5*OFFSET(G$112,MATCH($N$1,$C$112:$C$113,0)-1,0)</f>
        <v>47.5</v>
      </c>
      <c r="H30" s="28">
        <f ca="1">36.6*OFFSET(H$112,MATCH($N$1,$C$112:$C$113,0)-1,0)</f>
        <v>36.6</v>
      </c>
      <c r="I30" s="28">
        <f ca="1">34*OFFSET(I$112,MATCH($N$1,$C$112:$C$113,0)-1,0)</f>
        <v>34</v>
      </c>
      <c r="J30" s="28">
        <f ca="1">42*OFFSET(J$112,MATCH($N$1,$C$112:$C$113,0)-1,0)</f>
        <v>42</v>
      </c>
      <c r="K30" s="28">
        <f ca="1">22.4*OFFSET(K$112,MATCH($N$1,$C$112:$C$113,0)-1,0)</f>
        <v>22.4</v>
      </c>
      <c r="L30" s="28">
        <f ca="1">28.1*OFFSET(L$112,MATCH($N$1,$C$112:$C$113,0)-1,0)</f>
        <v>28.1</v>
      </c>
      <c r="M30" s="28">
        <f ca="1">44.6*OFFSET(M$112,MATCH($N$1,$C$112:$C$113,0)-1,0)</f>
        <v>44.6</v>
      </c>
      <c r="N30" s="28">
        <v>54.7</v>
      </c>
      <c r="O30" s="23">
        <f t="shared" ca="1" si="0"/>
        <v>-6.1749571183533351E-2</v>
      </c>
      <c r="P30" s="23">
        <f t="shared" ca="1" si="1"/>
        <v>0.30238095238095247</v>
      </c>
    </row>
    <row r="31" spans="1:16" ht="18" customHeight="1" x14ac:dyDescent="0.2">
      <c r="A31" s="231"/>
      <c r="B31" s="33" t="s">
        <v>69</v>
      </c>
      <c r="C31" s="27"/>
      <c r="D31" s="28">
        <f ca="1">59.4*OFFSET(D$112,MATCH($N$1,$C$112:$C$113,0)-1,0)</f>
        <v>59.4</v>
      </c>
      <c r="E31" s="28">
        <f ca="1">42.8*OFFSET(E$112,MATCH($N$1,$C$112:$C$113,0)-1,0)</f>
        <v>42.8</v>
      </c>
      <c r="F31" s="28">
        <f ca="1">34.4*OFFSET(F$112,MATCH($N$1,$C$112:$C$113,0)-1,0)</f>
        <v>34.4</v>
      </c>
      <c r="G31" s="28">
        <f ca="1">29.5*OFFSET(G$112,MATCH($N$1,$C$112:$C$113,0)-1,0)</f>
        <v>29.5</v>
      </c>
      <c r="H31" s="28">
        <f ca="1">19.2*OFFSET(H$112,MATCH($N$1,$C$112:$C$113,0)-1,0)</f>
        <v>19.2</v>
      </c>
      <c r="I31" s="28">
        <f ca="1">33.4*OFFSET(I$112,MATCH($N$1,$C$112:$C$113,0)-1,0)</f>
        <v>33.4</v>
      </c>
      <c r="J31" s="28">
        <f ca="1">33.7*OFFSET(J$112,MATCH($N$1,$C$112:$C$113,0)-1,0)</f>
        <v>33.700000000000003</v>
      </c>
      <c r="K31" s="28">
        <f ca="1">32.1*OFFSET(K$112,MATCH($N$1,$C$112:$C$113,0)-1,0)</f>
        <v>32.1</v>
      </c>
      <c r="L31" s="28">
        <f ca="1">22.7*OFFSET(L$112,MATCH($N$1,$C$112:$C$113,0)-1,0)</f>
        <v>22.7</v>
      </c>
      <c r="M31" s="28">
        <f ca="1">83.7*OFFSET(M$112,MATCH($N$1,$C$112:$C$113,0)-1,0)</f>
        <v>83.7</v>
      </c>
      <c r="N31" s="28">
        <v>86.4</v>
      </c>
      <c r="O31" s="23">
        <f t="shared" ca="1" si="0"/>
        <v>0.4545454545454547</v>
      </c>
      <c r="P31" s="23">
        <f t="shared" ca="1" si="1"/>
        <v>1.5637982195845697</v>
      </c>
    </row>
    <row r="32" spans="1:16" ht="18" customHeight="1" x14ac:dyDescent="0.2">
      <c r="A32" s="231"/>
      <c r="B32" s="33" t="s">
        <v>70</v>
      </c>
      <c r="C32" s="27"/>
      <c r="D32" s="28">
        <f ca="1">31.6*OFFSET(D$112,MATCH($N$1,$C$112:$C$113,0)-1,0)</f>
        <v>31.6</v>
      </c>
      <c r="E32" s="28">
        <f ca="1">29.3*OFFSET(E$112,MATCH($N$1,$C$112:$C$113,0)-1,0)</f>
        <v>29.3</v>
      </c>
      <c r="F32" s="28">
        <f ca="1">46.9*OFFSET(F$112,MATCH($N$1,$C$112:$C$113,0)-1,0)</f>
        <v>46.9</v>
      </c>
      <c r="G32" s="28">
        <f ca="1">28.1*OFFSET(G$112,MATCH($N$1,$C$112:$C$113,0)-1,0)</f>
        <v>28.1</v>
      </c>
      <c r="H32" s="28">
        <f ca="1">29*OFFSET(H$112,MATCH($N$1,$C$112:$C$113,0)-1,0)</f>
        <v>29</v>
      </c>
      <c r="I32" s="28">
        <f ca="1">16.3*OFFSET(I$112,MATCH($N$1,$C$112:$C$113,0)-1,0)</f>
        <v>16.3</v>
      </c>
      <c r="J32" s="28">
        <f ca="1">52.2*OFFSET(J$112,MATCH($N$1,$C$112:$C$113,0)-1,0)</f>
        <v>52.2</v>
      </c>
      <c r="K32" s="28">
        <f ca="1">14.5*OFFSET(K$112,MATCH($N$1,$C$112:$C$113,0)-1,0)</f>
        <v>14.5</v>
      </c>
      <c r="L32" s="28">
        <f ca="1">34.8*OFFSET(L$112,MATCH($N$1,$C$112:$C$113,0)-1,0)</f>
        <v>34.799999999999997</v>
      </c>
      <c r="M32" s="28">
        <f ca="1">62.8*OFFSET(M$112,MATCH($N$1,$C$112:$C$113,0)-1,0)</f>
        <v>62.8</v>
      </c>
      <c r="N32" s="28">
        <v>67</v>
      </c>
      <c r="O32" s="23">
        <f t="shared" ca="1" si="0"/>
        <v>1.120253164556962</v>
      </c>
      <c r="P32" s="23">
        <f t="shared" ca="1" si="1"/>
        <v>0.28352490421455934</v>
      </c>
    </row>
    <row r="33" spans="1:16" ht="18" customHeight="1" x14ac:dyDescent="0.2">
      <c r="A33" s="231"/>
      <c r="B33" s="33" t="s">
        <v>71</v>
      </c>
      <c r="C33" s="27"/>
      <c r="D33" s="28">
        <f ca="1">149.3*OFFSET(D$112,MATCH($N$1,$C$112:$C$113,0)-1,0)</f>
        <v>149.30000000000001</v>
      </c>
      <c r="E33" s="28">
        <f ca="1">103.2*OFFSET(E$112,MATCH($N$1,$C$112:$C$113,0)-1,0)</f>
        <v>103.2</v>
      </c>
      <c r="F33" s="28">
        <f ca="1">127.6*OFFSET(F$112,MATCH($N$1,$C$112:$C$113,0)-1,0)</f>
        <v>127.6</v>
      </c>
      <c r="G33" s="28">
        <f ca="1">105.1*OFFSET(G$112,MATCH($N$1,$C$112:$C$113,0)-1,0)</f>
        <v>105.1</v>
      </c>
      <c r="H33" s="28">
        <f ca="1">84.8*OFFSET(H$112,MATCH($N$1,$C$112:$C$113,0)-1,0)</f>
        <v>84.8</v>
      </c>
      <c r="I33" s="28">
        <f ca="1">83.8*OFFSET(I$112,MATCH($N$1,$C$112:$C$113,0)-1,0)</f>
        <v>83.8</v>
      </c>
      <c r="J33" s="28">
        <f ca="1">128*OFFSET(J$112,MATCH($N$1,$C$112:$C$113,0)-1,0)</f>
        <v>128</v>
      </c>
      <c r="K33" s="28">
        <f ca="1">69.1*OFFSET(K$112,MATCH($N$1,$C$112:$C$113,0)-1,0)</f>
        <v>69.099999999999994</v>
      </c>
      <c r="L33" s="28">
        <f ca="1">85.6*OFFSET(L$112,MATCH($N$1,$C$112:$C$113,0)-1,0)</f>
        <v>85.6</v>
      </c>
      <c r="M33" s="28">
        <f ca="1">191.1*OFFSET(M$112,MATCH($N$1,$C$112:$C$113,0)-1,0)</f>
        <v>191.1</v>
      </c>
      <c r="N33" s="28">
        <v>208.1</v>
      </c>
      <c r="O33" s="23">
        <f t="shared" ca="1" si="0"/>
        <v>0.39383791024782305</v>
      </c>
      <c r="P33" s="23">
        <f t="shared" ca="1" si="1"/>
        <v>0.62578124999999996</v>
      </c>
    </row>
    <row r="34" spans="1:16" ht="18" customHeight="1" x14ac:dyDescent="0.2">
      <c r="A34" s="231"/>
      <c r="B34" s="33" t="s">
        <v>72</v>
      </c>
      <c r="C34" s="27"/>
      <c r="D34" s="28">
        <f ca="1">43.3*OFFSET(D$112,MATCH($N$1,$C$112:$C$113,0)-1,0)</f>
        <v>43.3</v>
      </c>
      <c r="E34" s="28">
        <f ca="1">26.6*OFFSET(E$112,MATCH($N$1,$C$112:$C$113,0)-1,0)</f>
        <v>26.6</v>
      </c>
      <c r="F34" s="28">
        <f ca="1">66.6*OFFSET(F$112,MATCH($N$1,$C$112:$C$113,0)-1,0)</f>
        <v>66.599999999999994</v>
      </c>
      <c r="G34" s="28">
        <f ca="1">41.2*OFFSET(G$112,MATCH($N$1,$C$112:$C$113,0)-1,0)</f>
        <v>41.2</v>
      </c>
      <c r="H34" s="28">
        <f ca="1">41.2*OFFSET(H$112,MATCH($N$1,$C$112:$C$113,0)-1,0)</f>
        <v>41.2</v>
      </c>
      <c r="I34" s="28">
        <f ca="1">21.7*OFFSET(I$112,MATCH($N$1,$C$112:$C$113,0)-1,0)</f>
        <v>21.7</v>
      </c>
      <c r="J34" s="28">
        <f ca="1">50.2*OFFSET(J$112,MATCH($N$1,$C$112:$C$113,0)-1,0)</f>
        <v>50.2</v>
      </c>
      <c r="K34" s="28">
        <f ca="1">42.7*OFFSET(K$112,MATCH($N$1,$C$112:$C$113,0)-1,0)</f>
        <v>42.7</v>
      </c>
      <c r="L34" s="28">
        <f ca="1">71.8*OFFSET(L$112,MATCH($N$1,$C$112:$C$113,0)-1,0)</f>
        <v>71.8</v>
      </c>
      <c r="M34" s="28">
        <f ca="1">86.9*OFFSET(M$112,MATCH($N$1,$C$112:$C$113,0)-1,0)</f>
        <v>86.9</v>
      </c>
      <c r="N34" s="28">
        <v>92.7</v>
      </c>
      <c r="O34" s="23">
        <f t="shared" ca="1" si="0"/>
        <v>1.1408775981524251</v>
      </c>
      <c r="P34" s="23">
        <f t="shared" ca="1" si="1"/>
        <v>0.84661354581673298</v>
      </c>
    </row>
    <row r="35" spans="1:16" ht="18" customHeight="1" x14ac:dyDescent="0.2">
      <c r="A35" s="231"/>
      <c r="B35" s="33" t="s">
        <v>73</v>
      </c>
      <c r="C35" s="27"/>
      <c r="D35" s="28">
        <f ca="1">192.7*OFFSET(D$112,MATCH($N$1,$C$112:$C$113,0)-1,0)</f>
        <v>192.7</v>
      </c>
      <c r="E35" s="28">
        <f ca="1">129.8*OFFSET(E$112,MATCH($N$1,$C$112:$C$113,0)-1,0)</f>
        <v>129.80000000000001</v>
      </c>
      <c r="F35" s="28">
        <f ca="1">194.3*OFFSET(F$112,MATCH($N$1,$C$112:$C$113,0)-1,0)</f>
        <v>194.3</v>
      </c>
      <c r="G35" s="28">
        <f ca="1">146.2*OFFSET(G$112,MATCH($N$1,$C$112:$C$113,0)-1,0)</f>
        <v>146.19999999999999</v>
      </c>
      <c r="H35" s="28">
        <f ca="1">126.1*OFFSET(H$112,MATCH($N$1,$C$112:$C$113,0)-1,0)</f>
        <v>126.1</v>
      </c>
      <c r="I35" s="28">
        <f ca="1">105.4*OFFSET(I$112,MATCH($N$1,$C$112:$C$113,0)-1,0)</f>
        <v>105.4</v>
      </c>
      <c r="J35" s="28">
        <f ca="1">178.2*OFFSET(J$112,MATCH($N$1,$C$112:$C$113,0)-1,0)</f>
        <v>178.2</v>
      </c>
      <c r="K35" s="28">
        <f ca="1">111.8*OFFSET(K$112,MATCH($N$1,$C$112:$C$113,0)-1,0)</f>
        <v>111.8</v>
      </c>
      <c r="L35" s="28">
        <f ca="1">157.3*OFFSET(L$112,MATCH($N$1,$C$112:$C$113,0)-1,0)</f>
        <v>157.30000000000001</v>
      </c>
      <c r="M35" s="28">
        <f ca="1">278*OFFSET(M$112,MATCH($N$1,$C$112:$C$113,0)-1,0)</f>
        <v>278</v>
      </c>
      <c r="N35" s="28">
        <v>300.8</v>
      </c>
      <c r="O35" s="23">
        <f t="shared" ca="1" si="0"/>
        <v>0.56097560975609773</v>
      </c>
      <c r="P35" s="23">
        <f t="shared" ca="1" si="1"/>
        <v>0.68799102132435486</v>
      </c>
    </row>
    <row r="36" spans="1:16" ht="18" customHeight="1" x14ac:dyDescent="0.2">
      <c r="A36" s="231"/>
      <c r="B36" s="41" t="s">
        <v>74</v>
      </c>
      <c r="C36" s="42"/>
      <c r="D36" s="43">
        <f ca="1">103.7*OFFSET(D$112,MATCH($N$1,$C$112:$C$113,0)-1,0)</f>
        <v>103.7</v>
      </c>
      <c r="E36" s="43">
        <f ca="1">68.2*OFFSET(E$112,MATCH($N$1,$C$112:$C$113,0)-1,0)</f>
        <v>68.2</v>
      </c>
      <c r="F36" s="43">
        <f ca="1">63.7*OFFSET(F$112,MATCH($N$1,$C$112:$C$113,0)-1,0)</f>
        <v>63.7</v>
      </c>
      <c r="G36" s="43">
        <f ca="1">39.7*OFFSET(G$112,MATCH($N$1,$C$112:$C$113,0)-1,0)</f>
        <v>39.700000000000003</v>
      </c>
      <c r="H36" s="43">
        <f ca="1">31.5*OFFSET(H$112,MATCH($N$1,$C$112:$C$113,0)-1,0)</f>
        <v>31.5</v>
      </c>
      <c r="I36" s="43">
        <f ca="1">50.9*OFFSET(I$112,MATCH($N$1,$C$112:$C$113,0)-1,0)</f>
        <v>50.9</v>
      </c>
      <c r="J36" s="43">
        <f ca="1">58.6*OFFSET(J$112,MATCH($N$1,$C$112:$C$113,0)-1,0)</f>
        <v>58.6</v>
      </c>
      <c r="K36" s="43">
        <f ca="1">60.2*OFFSET(K$112,MATCH($N$1,$C$112:$C$113,0)-1,0)</f>
        <v>60.2</v>
      </c>
      <c r="L36" s="43">
        <f ca="1">73.9*OFFSET(L$112,MATCH($N$1,$C$112:$C$113,0)-1,0)</f>
        <v>73.900000000000006</v>
      </c>
      <c r="M36" s="43">
        <f ca="1">121.5*OFFSET(M$112,MATCH($N$1,$C$112:$C$113,0)-1,0)</f>
        <v>121.5</v>
      </c>
      <c r="N36" s="43">
        <v>122.70000000000002</v>
      </c>
      <c r="O36" s="23">
        <f t="shared" ca="1" si="0"/>
        <v>0.18322082931533282</v>
      </c>
      <c r="P36" s="23">
        <f t="shared" ca="1" si="1"/>
        <v>1.0938566552901028</v>
      </c>
    </row>
    <row r="37" spans="1:16" ht="18" customHeight="1" x14ac:dyDescent="0.2">
      <c r="A37" s="231"/>
      <c r="B37" s="41" t="s">
        <v>75</v>
      </c>
      <c r="C37" s="42"/>
      <c r="D37" s="43">
        <f ca="1">44.3*OFFSET(D$112,MATCH($N$1,$C$112:$C$113,0)-1,0)</f>
        <v>44.3</v>
      </c>
      <c r="E37" s="43">
        <f ca="1">25.4*OFFSET(E$112,MATCH($N$1,$C$112:$C$113,0)-1,0)</f>
        <v>25.4</v>
      </c>
      <c r="F37" s="43">
        <f ca="1">29.3*OFFSET(F$112,MATCH($N$1,$C$112:$C$113,0)-1,0)</f>
        <v>29.3</v>
      </c>
      <c r="G37" s="43">
        <f ca="1">10.2*OFFSET(G$112,MATCH($N$1,$C$112:$C$113,0)-1,0)</f>
        <v>10.199999999999999</v>
      </c>
      <c r="H37" s="43">
        <f ca="1">12.3*OFFSET(H$112,MATCH($N$1,$C$112:$C$113,0)-1,0)</f>
        <v>12.3</v>
      </c>
      <c r="I37" s="43">
        <f ca="1">17.5*OFFSET(I$112,MATCH($N$1,$C$112:$C$113,0)-1,0)</f>
        <v>17.5</v>
      </c>
      <c r="J37" s="43">
        <f ca="1">24.9*OFFSET(J$112,MATCH($N$1,$C$112:$C$113,0)-1,0)</f>
        <v>24.9</v>
      </c>
      <c r="K37" s="43">
        <f ca="1">28.1*OFFSET(K$112,MATCH($N$1,$C$112:$C$113,0)-1,0)</f>
        <v>28.1</v>
      </c>
      <c r="L37" s="43">
        <f ca="1">51.2*OFFSET(L$112,MATCH($N$1,$C$112:$C$113,0)-1,0)</f>
        <v>51.2</v>
      </c>
      <c r="M37" s="43">
        <f ca="1">37.8*OFFSET(M$112,MATCH($N$1,$C$112:$C$113,0)-1,0)</f>
        <v>37.799999999999997</v>
      </c>
      <c r="N37" s="43">
        <v>36.300000000000004</v>
      </c>
      <c r="O37" s="23">
        <f t="shared" ca="1" si="0"/>
        <v>-0.18058690744920977</v>
      </c>
      <c r="P37" s="23">
        <f t="shared" ca="1" si="1"/>
        <v>0.45783132530120507</v>
      </c>
    </row>
    <row r="38" spans="1:16" ht="18" customHeight="1" x14ac:dyDescent="0.2">
      <c r="A38" s="231"/>
      <c r="B38" s="33" t="s">
        <v>76</v>
      </c>
      <c r="C38" s="27"/>
      <c r="D38" s="28">
        <f ca="1">16.9*OFFSET(D$112,MATCH($N$1,$C$112:$C$113,0)-1,0)</f>
        <v>16.899999999999999</v>
      </c>
      <c r="E38" s="28">
        <f ca="1">11*OFFSET(E$112,MATCH($N$1,$C$112:$C$113,0)-1,0)</f>
        <v>11</v>
      </c>
      <c r="F38" s="28">
        <f ca="1">11.8*OFFSET(F$112,MATCH($N$1,$C$112:$C$113,0)-1,0)</f>
        <v>11.8</v>
      </c>
      <c r="G38" s="28">
        <f ca="1">12.9*OFFSET(G$112,MATCH($N$1,$C$112:$C$113,0)-1,0)</f>
        <v>12.9</v>
      </c>
      <c r="H38" s="28"/>
      <c r="I38" s="28">
        <f ca="1">5.6*OFFSET(I$112,MATCH($N$1,$C$112:$C$113,0)-1,0)</f>
        <v>5.6</v>
      </c>
      <c r="J38" s="28">
        <f ca="1">1.9*OFFSET(J$112,MATCH($N$1,$C$112:$C$113,0)-1,0)</f>
        <v>1.9</v>
      </c>
      <c r="K38" s="28">
        <f ca="1">3.6*OFFSET(K$112,MATCH($N$1,$C$112:$C$113,0)-1,0)</f>
        <v>3.6</v>
      </c>
      <c r="L38" s="28">
        <f ca="1">6.8*OFFSET(L$112,MATCH($N$1,$C$112:$C$113,0)-1,0)</f>
        <v>6.8</v>
      </c>
      <c r="M38" s="28">
        <f ca="1">4.2*OFFSET(M$112,MATCH($N$1,$C$112:$C$113,0)-1,0)</f>
        <v>4.2</v>
      </c>
      <c r="N38" s="28"/>
      <c r="O38" s="23" t="str">
        <f t="shared" si="0"/>
        <v/>
      </c>
      <c r="P38" s="23" t="str">
        <f t="shared" si="1"/>
        <v/>
      </c>
    </row>
    <row r="39" spans="1:16" ht="18" customHeight="1" x14ac:dyDescent="0.2">
      <c r="A39" s="231"/>
      <c r="B39" s="33" t="s">
        <v>77</v>
      </c>
      <c r="C39" s="27"/>
      <c r="D39" s="28">
        <f ca="1">3.2*OFFSET(D$112,MATCH($N$1,$C$112:$C$113,0)-1,0)</f>
        <v>3.2</v>
      </c>
      <c r="E39" s="28">
        <f ca="1">1.1*OFFSET(E$112,MATCH($N$1,$C$112:$C$113,0)-1,0)</f>
        <v>1.1000000000000001</v>
      </c>
      <c r="F39" s="28">
        <f ca="1">1.7*OFFSET(F$112,MATCH($N$1,$C$112:$C$113,0)-1,0)</f>
        <v>1.7</v>
      </c>
      <c r="G39" s="28"/>
      <c r="H39" s="28"/>
      <c r="I39" s="28">
        <f ca="1">0.4*OFFSET(I$112,MATCH($N$1,$C$112:$C$113,0)-1,0)</f>
        <v>0.4</v>
      </c>
      <c r="J39" s="28"/>
      <c r="K39" s="28">
        <f ca="1">7.4*OFFSET(K$112,MATCH($N$1,$C$112:$C$113,0)-1,0)</f>
        <v>7.4</v>
      </c>
      <c r="L39" s="28">
        <f ca="1">7.8*OFFSET(L$112,MATCH($N$1,$C$112:$C$113,0)-1,0)</f>
        <v>7.8</v>
      </c>
      <c r="M39" s="28">
        <f ca="1">6*OFFSET(M$112,MATCH($N$1,$C$112:$C$113,0)-1,0)</f>
        <v>6</v>
      </c>
      <c r="N39" s="28"/>
      <c r="O39" s="23" t="str">
        <f t="shared" si="0"/>
        <v/>
      </c>
      <c r="P39" s="23" t="str">
        <f t="shared" si="1"/>
        <v/>
      </c>
    </row>
    <row r="40" spans="1:16" ht="18" customHeight="1" x14ac:dyDescent="0.2">
      <c r="A40" s="231"/>
      <c r="B40" s="33" t="s">
        <v>78</v>
      </c>
      <c r="C40" s="27"/>
      <c r="D40" s="28"/>
      <c r="E40" s="28"/>
      <c r="F40" s="28"/>
      <c r="G40" s="28"/>
      <c r="H40" s="28"/>
      <c r="I40" s="28"/>
      <c r="J40" s="28"/>
      <c r="K40" s="28"/>
      <c r="L40" s="28"/>
      <c r="M40" s="28">
        <f ca="1">2.1*OFFSET(M$112,MATCH($N$1,$C$112:$C$113,0)-1,0)</f>
        <v>2.1</v>
      </c>
      <c r="N40" s="28"/>
      <c r="O40" s="23" t="str">
        <f t="shared" si="0"/>
        <v/>
      </c>
      <c r="P40" s="23" t="str">
        <f t="shared" si="1"/>
        <v/>
      </c>
    </row>
    <row r="41" spans="1:16" ht="18" customHeight="1" thickBot="1" x14ac:dyDescent="0.25">
      <c r="A41" s="232"/>
      <c r="B41" s="44" t="s">
        <v>79</v>
      </c>
      <c r="C41" s="45"/>
      <c r="D41" s="46">
        <f ca="1">24.2*OFFSET(D$112,MATCH($N$1,$C$112:$C$113,0)-1,0)</f>
        <v>24.2</v>
      </c>
      <c r="E41" s="46">
        <f ca="1">13.3*OFFSET(E$112,MATCH($N$1,$C$112:$C$113,0)-1,0)</f>
        <v>13.3</v>
      </c>
      <c r="F41" s="46">
        <f ca="1">15.8*OFFSET(F$112,MATCH($N$1,$C$112:$C$113,0)-1,0)</f>
        <v>15.8</v>
      </c>
      <c r="G41" s="46">
        <f ca="1">-2.7*OFFSET(G$112,MATCH($N$1,$C$112:$C$113,0)-1,0)</f>
        <v>-2.7</v>
      </c>
      <c r="H41" s="46"/>
      <c r="I41" s="46">
        <f ca="1">11.5*OFFSET(I$112,MATCH($N$1,$C$112:$C$113,0)-1,0)</f>
        <v>11.5</v>
      </c>
      <c r="J41" s="46">
        <f ca="1">23*OFFSET(J$112,MATCH($N$1,$C$112:$C$113,0)-1,0)</f>
        <v>23</v>
      </c>
      <c r="K41" s="46">
        <f ca="1">17.2*OFFSET(K$112,MATCH($N$1,$C$112:$C$113,0)-1,0)</f>
        <v>17.2</v>
      </c>
      <c r="L41" s="46">
        <f ca="1">36.5*OFFSET(L$112,MATCH($N$1,$C$112:$C$113,0)-1,0)</f>
        <v>36.5</v>
      </c>
      <c r="M41" s="46">
        <f ca="1">25.6*OFFSET(M$112,MATCH($N$1,$C$112:$C$113,0)-1,0)</f>
        <v>25.6</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17</v>
      </c>
      <c r="F46" s="95" t="s">
        <v>18</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Area VIIA demersal trawl</v>
      </c>
      <c r="C48" s="97"/>
      <c r="D48" s="97"/>
      <c r="E48" s="97"/>
      <c r="F48" s="97"/>
      <c r="G48" s="97"/>
      <c r="K48" s="97" t="str">
        <f>$B24&amp;CHAR(10)&amp;$A$1</f>
        <v>Operating profit per kW day at sea (£)
Area VIIA demersal trawl</v>
      </c>
    </row>
    <row r="49" spans="1:11" s="83" customFormat="1" x14ac:dyDescent="0.2">
      <c r="A49" s="97" t="str">
        <f>$B22&amp;CHAR(10)&amp;$A$1</f>
        <v>Fishing income per kW day at sea (£)
Area VIIA demersal trawl</v>
      </c>
    </row>
    <row r="50" spans="1:11" s="83" customFormat="1" x14ac:dyDescent="0.2">
      <c r="A50" s="97" t="str">
        <f>$B20&amp;CHAR(10)&amp;$A$1</f>
        <v>Average price per tonne landed (£)
Area VIIA demersal trawl</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Area VIIA demersal trawl</v>
      </c>
      <c r="F62" s="97" t="str">
        <f>$B20&amp;CHAR(10)&amp;$A$1</f>
        <v>Average price per tonne landed (£)
Area VIIA demersal trawl</v>
      </c>
      <c r="K62" s="97" t="str">
        <f>"Average annual operating profit per vessel (£'000)"&amp;CHAR(10)&amp;$A$1</f>
        <v>Average annual operating profit per vessel (£'000)
Area VIIA demersal trawl</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Area VIIA demersal trawl</v>
      </c>
      <c r="F76" s="97" t="str">
        <f>"Top 5 landed species by value in "&amp;A77&amp;CHAR(10)&amp;A1</f>
        <v>Top 5 landed species by value in 2017
Area VIIA demersal trawl</v>
      </c>
    </row>
    <row r="77" spans="1:9" s="97" customFormat="1" x14ac:dyDescent="0.2">
      <c r="A77" s="97">
        <v>2017</v>
      </c>
      <c r="B77" s="97" t="s">
        <v>81</v>
      </c>
      <c r="C77" s="98">
        <v>0.39449514603984215</v>
      </c>
      <c r="D77" s="99">
        <v>12153634</v>
      </c>
      <c r="G77" s="97" t="s">
        <v>82</v>
      </c>
      <c r="H77" s="98">
        <v>0.31586459267303152</v>
      </c>
      <c r="I77" s="99">
        <v>12153634</v>
      </c>
    </row>
    <row r="78" spans="1:9" s="97" customFormat="1" x14ac:dyDescent="0.2">
      <c r="B78" s="97" t="s">
        <v>83</v>
      </c>
      <c r="C78" s="98">
        <v>0.16064339031373304</v>
      </c>
      <c r="D78" s="99">
        <v>553960</v>
      </c>
      <c r="G78" s="97" t="s">
        <v>84</v>
      </c>
      <c r="H78" s="98">
        <v>0.22109582312811285</v>
      </c>
      <c r="I78" s="99">
        <v>553960</v>
      </c>
    </row>
    <row r="79" spans="1:9" s="97" customFormat="1" x14ac:dyDescent="0.2">
      <c r="B79" s="97" t="s">
        <v>85</v>
      </c>
      <c r="C79" s="98">
        <v>8.9089822322201903E-2</v>
      </c>
      <c r="D79" s="99">
        <v>3050596</v>
      </c>
      <c r="G79" s="97" t="s">
        <v>86</v>
      </c>
      <c r="H79" s="98">
        <v>0.13104482830188879</v>
      </c>
      <c r="I79" s="99">
        <v>3050596</v>
      </c>
    </row>
    <row r="80" spans="1:9" s="97" customFormat="1" x14ac:dyDescent="0.2">
      <c r="B80" s="97" t="s">
        <v>87</v>
      </c>
      <c r="C80" s="98">
        <v>8.3879799826773169E-2</v>
      </c>
      <c r="D80" s="99">
        <v>1692097</v>
      </c>
      <c r="G80" s="97" t="s">
        <v>88</v>
      </c>
      <c r="H80" s="98">
        <v>8.946225715107381E-2</v>
      </c>
      <c r="I80" s="99">
        <v>1692097</v>
      </c>
    </row>
    <row r="81" spans="1:18" s="97" customFormat="1" x14ac:dyDescent="0.2">
      <c r="B81" s="97" t="s">
        <v>89</v>
      </c>
      <c r="C81" s="98">
        <v>6.6206760959002978E-2</v>
      </c>
      <c r="D81" s="99">
        <v>11115023</v>
      </c>
      <c r="G81" s="97" t="s">
        <v>90</v>
      </c>
      <c r="H81" s="98">
        <v>8.8322772037622857E-2</v>
      </c>
      <c r="I81" s="99">
        <v>3689192</v>
      </c>
    </row>
    <row r="82" spans="1:18" s="97" customFormat="1" x14ac:dyDescent="0.2">
      <c r="B82" s="97" t="s">
        <v>91</v>
      </c>
      <c r="C82" s="98">
        <v>0.2056850805384467</v>
      </c>
      <c r="D82" s="99">
        <v>5920853</v>
      </c>
      <c r="G82" s="97" t="s">
        <v>92</v>
      </c>
      <c r="H82" s="98">
        <v>0.15420972670827016</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16</v>
      </c>
      <c r="D92" s="102">
        <v>9.8756877280083172E-2</v>
      </c>
      <c r="E92" s="102">
        <v>0.31221882511995847</v>
      </c>
      <c r="F92" s="102"/>
      <c r="G92" s="102"/>
      <c r="H92" s="102"/>
      <c r="I92" s="102">
        <v>0.18475703770282353</v>
      </c>
      <c r="J92" s="102">
        <v>0.18509473775805435</v>
      </c>
      <c r="K92" s="102">
        <v>0.14096411023913055</v>
      </c>
      <c r="L92" s="102">
        <v>0.31586459267303152</v>
      </c>
      <c r="M92" s="102">
        <v>0.52825770881591316</v>
      </c>
      <c r="O92" s="97">
        <v>12153634</v>
      </c>
    </row>
    <row r="93" spans="1:18" s="97" customFormat="1" hidden="1" x14ac:dyDescent="0.2">
      <c r="B93" s="97">
        <v>2</v>
      </c>
      <c r="C93" s="97" t="s">
        <v>93</v>
      </c>
      <c r="D93" s="102">
        <v>0.10139742616221589</v>
      </c>
      <c r="E93" s="102">
        <v>0.12857653165756111</v>
      </c>
      <c r="F93" s="102">
        <v>0.31698444740984727</v>
      </c>
      <c r="G93" s="102">
        <v>0.18041106413695093</v>
      </c>
      <c r="H93" s="102">
        <v>0.26683026421136907</v>
      </c>
      <c r="I93" s="102">
        <v>0.35806069120247969</v>
      </c>
      <c r="J93" s="102">
        <v>0.29548537650867479</v>
      </c>
      <c r="K93" s="102">
        <v>0.32708743049233968</v>
      </c>
      <c r="L93" s="102">
        <v>0.22109582312811285</v>
      </c>
      <c r="M93" s="102">
        <v>0.11175042677741058</v>
      </c>
      <c r="O93" s="97">
        <v>553960</v>
      </c>
    </row>
    <row r="94" spans="1:18" s="97" customFormat="1" hidden="1" x14ac:dyDescent="0.2">
      <c r="B94" s="97">
        <v>3</v>
      </c>
      <c r="C94" s="97" t="s">
        <v>94</v>
      </c>
      <c r="D94" s="102">
        <v>7.9198371519004981E-2</v>
      </c>
      <c r="E94" s="102"/>
      <c r="F94" s="102">
        <v>0.12887967677125889</v>
      </c>
      <c r="G94" s="102">
        <v>0.20185654856393814</v>
      </c>
      <c r="H94" s="102">
        <v>0.38733149278043122</v>
      </c>
      <c r="I94" s="102">
        <v>0.3340953238772762</v>
      </c>
      <c r="J94" s="102">
        <v>0.33304159522524074</v>
      </c>
      <c r="K94" s="102">
        <v>0.34433358385336416</v>
      </c>
      <c r="L94" s="102">
        <v>0.13104482830188879</v>
      </c>
      <c r="M94" s="102">
        <v>0.10933146225108337</v>
      </c>
      <c r="O94" s="97">
        <v>3050596</v>
      </c>
    </row>
    <row r="95" spans="1:18" s="97" customFormat="1" hidden="1" x14ac:dyDescent="0.2">
      <c r="B95" s="97">
        <v>4</v>
      </c>
      <c r="C95" s="97" t="s">
        <v>95</v>
      </c>
      <c r="D95" s="102">
        <v>0.17883522358786569</v>
      </c>
      <c r="E95" s="102">
        <v>0.13584458933064747</v>
      </c>
      <c r="F95" s="102">
        <v>9.8317645784987556E-2</v>
      </c>
      <c r="G95" s="102"/>
      <c r="H95" s="102"/>
      <c r="I95" s="102"/>
      <c r="J95" s="102"/>
      <c r="K95" s="102">
        <v>4.5681294881545459E-2</v>
      </c>
      <c r="L95" s="102">
        <v>8.946225715107381E-2</v>
      </c>
      <c r="M95" s="102">
        <v>5.0830930109008104E-2</v>
      </c>
      <c r="O95" s="97">
        <v>1692097</v>
      </c>
    </row>
    <row r="96" spans="1:18" s="97" customFormat="1" hidden="1" x14ac:dyDescent="0.2">
      <c r="B96" s="97">
        <v>5</v>
      </c>
      <c r="C96" s="97" t="s">
        <v>96</v>
      </c>
      <c r="D96" s="102"/>
      <c r="E96" s="102"/>
      <c r="F96" s="102"/>
      <c r="G96" s="102"/>
      <c r="H96" s="102"/>
      <c r="I96" s="102"/>
      <c r="J96" s="102"/>
      <c r="K96" s="102"/>
      <c r="L96" s="102">
        <v>8.8322772037622857E-2</v>
      </c>
      <c r="M96" s="102"/>
      <c r="O96" s="97">
        <v>3689192</v>
      </c>
    </row>
    <row r="97" spans="1:15" s="97" customFormat="1" hidden="1" x14ac:dyDescent="0.2">
      <c r="B97" s="97">
        <v>6</v>
      </c>
      <c r="C97" s="97" t="s">
        <v>97</v>
      </c>
      <c r="D97" s="102">
        <v>0.33124407710816517</v>
      </c>
      <c r="E97" s="102">
        <v>0.16601758002710154</v>
      </c>
      <c r="F97" s="102">
        <v>0.11620648281551894</v>
      </c>
      <c r="G97" s="102">
        <v>4.1360483793281194E-2</v>
      </c>
      <c r="H97" s="102"/>
      <c r="I97" s="102">
        <v>1.5140846160567881E-2</v>
      </c>
      <c r="J97" s="102"/>
      <c r="K97" s="102"/>
      <c r="L97" s="102"/>
      <c r="M97" s="102">
        <v>6.522706609489004E-2</v>
      </c>
      <c r="O97" s="97">
        <v>11115023</v>
      </c>
    </row>
    <row r="98" spans="1:15" s="97" customFormat="1" hidden="1" x14ac:dyDescent="0.2">
      <c r="B98" s="97">
        <v>7</v>
      </c>
      <c r="C98" s="97" t="s">
        <v>98</v>
      </c>
      <c r="D98" s="102"/>
      <c r="E98" s="102"/>
      <c r="F98" s="102"/>
      <c r="G98" s="102">
        <v>0.16311241534622906</v>
      </c>
      <c r="H98" s="102">
        <v>0.17533832583308026</v>
      </c>
      <c r="I98" s="102">
        <v>6.188177921772104E-2</v>
      </c>
      <c r="J98" s="102">
        <v>5.4731063819688765E-2</v>
      </c>
      <c r="K98" s="102">
        <v>5.6474940217567202E-2</v>
      </c>
      <c r="L98" s="102"/>
      <c r="M98" s="102"/>
      <c r="O98" s="97">
        <v>2480382</v>
      </c>
    </row>
    <row r="99" spans="1:15" s="97" customFormat="1" hidden="1" x14ac:dyDescent="0.2">
      <c r="B99" s="97">
        <v>8</v>
      </c>
      <c r="C99" s="97" t="s">
        <v>99</v>
      </c>
      <c r="D99" s="102"/>
      <c r="E99" s="102">
        <v>8.2446400201696149E-2</v>
      </c>
      <c r="F99" s="102">
        <v>8.4856268026821613E-2</v>
      </c>
      <c r="G99" s="102">
        <v>0.32255858879721799</v>
      </c>
      <c r="H99" s="102">
        <v>0.11232416277849866</v>
      </c>
      <c r="I99" s="102"/>
      <c r="J99" s="102">
        <v>4.8271957979587034E-2</v>
      </c>
      <c r="K99" s="102"/>
      <c r="L99" s="102"/>
      <c r="M99" s="102"/>
      <c r="O99" s="97">
        <v>7434864</v>
      </c>
    </row>
    <row r="100" spans="1:15" s="97" customFormat="1" hidden="1" x14ac:dyDescent="0.2">
      <c r="B100" s="97">
        <v>9</v>
      </c>
      <c r="C100" s="97" t="s">
        <v>100</v>
      </c>
      <c r="D100" s="102"/>
      <c r="E100" s="102"/>
      <c r="F100" s="102"/>
      <c r="G100" s="102"/>
      <c r="H100" s="102">
        <v>2.8402387427183127E-2</v>
      </c>
      <c r="I100" s="102"/>
      <c r="J100" s="102"/>
      <c r="K100" s="102"/>
      <c r="L100" s="102"/>
      <c r="M100" s="102"/>
      <c r="O100" s="97">
        <v>8497745</v>
      </c>
    </row>
    <row r="101" spans="1:15" s="97" customFormat="1" hidden="1" x14ac:dyDescent="0.2">
      <c r="B101" s="97">
        <v>10</v>
      </c>
      <c r="C101" s="97" t="s">
        <v>101</v>
      </c>
      <c r="D101" s="102">
        <v>0.21056802434266508</v>
      </c>
      <c r="E101" s="102">
        <v>0.17489607366303525</v>
      </c>
      <c r="F101" s="102">
        <v>0.25475547919156571</v>
      </c>
      <c r="G101" s="102">
        <v>9.0700899362382709E-2</v>
      </c>
      <c r="H101" s="102">
        <v>2.9773366969437619E-2</v>
      </c>
      <c r="I101" s="102">
        <v>4.6064321839131686E-2</v>
      </c>
      <c r="J101" s="102">
        <v>8.3375268708754322E-2</v>
      </c>
      <c r="K101" s="102">
        <v>8.5458640316052936E-2</v>
      </c>
      <c r="L101" s="102">
        <v>0.15420972670827016</v>
      </c>
      <c r="M101" s="102">
        <v>0.13460240595169476</v>
      </c>
      <c r="O101" s="97">
        <v>5920853</v>
      </c>
    </row>
    <row r="102" spans="1:15" s="97" customFormat="1" hidden="1" x14ac:dyDescent="0.2">
      <c r="B102" s="97">
        <v>11</v>
      </c>
      <c r="D102" s="102"/>
      <c r="E102" s="102"/>
      <c r="F102" s="102"/>
      <c r="G102" s="102"/>
      <c r="H102" s="102"/>
      <c r="I102" s="102"/>
      <c r="J102" s="102"/>
      <c r="K102" s="102"/>
      <c r="L102" s="102"/>
      <c r="M102" s="102"/>
      <c r="O102" s="97">
        <v>2887140</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11</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"&amp;B121&amp;""</f>
        <v xml:space="preserve">All values are adjusted to 2017 prices. </v>
      </c>
    </row>
    <row r="115" spans="1:14" ht="18" customHeight="1" x14ac:dyDescent="0.2"/>
    <row r="116" spans="1:14" ht="18" customHeight="1" x14ac:dyDescent="0.2"/>
    <row r="117" spans="1:14" ht="18" customHeight="1" x14ac:dyDescent="0.2"/>
    <row r="118" spans="1:14" s="78" customFormat="1" ht="18" customHeight="1" x14ac:dyDescent="0.2"/>
    <row r="119" spans="1:14" s="78" customFormat="1" ht="18" customHeight="1" x14ac:dyDescent="0.2"/>
    <row r="120" spans="1:14" s="78" customFormat="1" x14ac:dyDescent="0.2"/>
    <row r="121" spans="1:14" s="49" customFormat="1" x14ac:dyDescent="0.2"/>
    <row r="122" spans="1:14" s="49" customFormat="1" x14ac:dyDescent="0.2">
      <c r="A122" s="50"/>
      <c r="B122" s="53"/>
      <c r="C122" s="79"/>
      <c r="D122" s="79"/>
      <c r="E122" s="79"/>
      <c r="F122" s="79"/>
      <c r="G122" s="80"/>
      <c r="H122" s="79"/>
      <c r="I122" s="79"/>
      <c r="J122" s="79"/>
      <c r="K122" s="79"/>
      <c r="L122" s="53"/>
    </row>
    <row r="123" spans="1:14" s="49" customFormat="1" x14ac:dyDescent="0.2">
      <c r="A123" s="50"/>
      <c r="B123" s="53"/>
      <c r="C123" s="53"/>
      <c r="D123" s="53"/>
      <c r="E123" s="53"/>
      <c r="F123" s="50"/>
      <c r="G123" s="50"/>
      <c r="H123" s="53"/>
      <c r="I123" s="53"/>
      <c r="J123" s="53"/>
      <c r="K123" s="53"/>
      <c r="L123" s="50"/>
    </row>
    <row r="124" spans="1:14" s="49" customFormat="1" x14ac:dyDescent="0.2">
      <c r="A124" s="50"/>
      <c r="B124" s="53"/>
      <c r="C124" s="53"/>
      <c r="D124" s="53"/>
      <c r="E124" s="53"/>
      <c r="F124" s="50"/>
      <c r="G124" s="50"/>
      <c r="H124" s="53"/>
      <c r="I124" s="53"/>
      <c r="J124" s="53"/>
      <c r="K124" s="53"/>
      <c r="L124" s="50"/>
    </row>
    <row r="125" spans="1:14" s="49" customFormat="1" x14ac:dyDescent="0.2">
      <c r="A125" s="50"/>
      <c r="B125" s="53"/>
      <c r="C125" s="53"/>
      <c r="D125" s="53"/>
      <c r="E125" s="53"/>
      <c r="F125" s="50"/>
      <c r="G125" s="50"/>
      <c r="H125" s="53"/>
      <c r="I125" s="53"/>
      <c r="J125" s="53"/>
      <c r="K125" s="53"/>
      <c r="L125" s="50"/>
    </row>
    <row r="126" spans="1:14" s="49" customFormat="1" x14ac:dyDescent="0.2">
      <c r="A126" s="50"/>
      <c r="B126" s="53"/>
      <c r="C126" s="53"/>
      <c r="D126" s="53"/>
      <c r="E126" s="53"/>
      <c r="F126" s="50"/>
      <c r="G126" s="50"/>
      <c r="H126" s="53"/>
      <c r="I126" s="53"/>
      <c r="J126" s="53"/>
      <c r="K126" s="53"/>
      <c r="L126" s="50"/>
    </row>
    <row r="127" spans="1:14" s="49" customFormat="1" x14ac:dyDescent="0.2">
      <c r="A127" s="50"/>
      <c r="B127" s="53"/>
      <c r="C127" s="53"/>
      <c r="D127" s="53"/>
      <c r="E127" s="53"/>
      <c r="F127" s="50"/>
      <c r="G127" s="50"/>
      <c r="H127" s="53"/>
      <c r="I127" s="53"/>
      <c r="J127" s="53"/>
      <c r="K127" s="53"/>
      <c r="L127" s="50"/>
    </row>
    <row r="128" spans="1:14" s="49" customFormat="1" x14ac:dyDescent="0.2">
      <c r="A128" s="50"/>
      <c r="B128" s="53"/>
      <c r="C128" s="53"/>
      <c r="D128" s="53"/>
      <c r="E128" s="53"/>
      <c r="F128" s="50"/>
      <c r="G128" s="50"/>
      <c r="H128" s="53"/>
      <c r="I128" s="53"/>
      <c r="J128" s="53"/>
      <c r="K128" s="53"/>
      <c r="L128" s="50"/>
    </row>
    <row r="129" spans="1:12" s="49" customFormat="1" x14ac:dyDescent="0.2">
      <c r="A129" s="50"/>
      <c r="B129" s="53"/>
      <c r="C129" s="53"/>
      <c r="D129" s="53"/>
      <c r="E129" s="53"/>
      <c r="F129" s="50"/>
      <c r="G129" s="50"/>
      <c r="H129" s="53"/>
      <c r="I129" s="53"/>
      <c r="J129" s="53"/>
      <c r="K129" s="53"/>
      <c r="L129" s="50"/>
    </row>
    <row r="130" spans="1:12" s="49" customFormat="1" x14ac:dyDescent="0.2">
      <c r="A130" s="50"/>
      <c r="B130" s="53"/>
      <c r="C130" s="53"/>
      <c r="D130" s="53"/>
      <c r="E130" s="53"/>
      <c r="F130" s="50"/>
      <c r="G130" s="50"/>
      <c r="H130" s="53"/>
      <c r="I130" s="53"/>
      <c r="J130" s="53"/>
      <c r="K130" s="53"/>
      <c r="L130" s="50"/>
    </row>
    <row r="131" spans="1:12" s="49" customFormat="1" x14ac:dyDescent="0.2">
      <c r="A131" s="50"/>
      <c r="B131" s="53"/>
      <c r="C131" s="53"/>
      <c r="D131" s="53"/>
      <c r="E131" s="53"/>
      <c r="F131" s="50"/>
      <c r="G131" s="50"/>
      <c r="H131" s="53"/>
      <c r="I131" s="53"/>
      <c r="J131" s="53"/>
      <c r="K131" s="53"/>
      <c r="L131" s="50"/>
    </row>
    <row r="132" spans="1:12" s="49" customFormat="1" x14ac:dyDescent="0.2">
      <c r="A132" s="50"/>
      <c r="B132" s="53"/>
      <c r="C132" s="53"/>
      <c r="D132" s="53"/>
      <c r="E132" s="53"/>
      <c r="F132" s="50"/>
      <c r="G132" s="50"/>
      <c r="H132" s="53"/>
      <c r="I132" s="53"/>
      <c r="J132" s="53"/>
      <c r="K132" s="53"/>
      <c r="L132" s="50"/>
    </row>
    <row r="133" spans="1:12" s="49" customFormat="1" x14ac:dyDescent="0.2">
      <c r="A133" s="50"/>
      <c r="B133" s="53"/>
      <c r="C133" s="53"/>
      <c r="D133" s="53"/>
      <c r="E133" s="53"/>
      <c r="F133" s="50"/>
      <c r="G133" s="50"/>
      <c r="H133" s="53"/>
      <c r="I133" s="53"/>
      <c r="J133" s="53"/>
      <c r="K133" s="53"/>
      <c r="L133" s="50"/>
    </row>
    <row r="134" spans="1:12" s="49" customFormat="1" x14ac:dyDescent="0.2">
      <c r="A134" s="50"/>
      <c r="B134" s="53"/>
      <c r="C134" s="53"/>
      <c r="D134" s="53"/>
      <c r="E134" s="53"/>
      <c r="F134" s="50"/>
      <c r="G134" s="50"/>
      <c r="H134" s="53"/>
      <c r="I134" s="53"/>
      <c r="J134" s="53"/>
      <c r="K134" s="53"/>
      <c r="L134" s="50"/>
    </row>
    <row r="135" spans="1:12" s="49" customFormat="1" x14ac:dyDescent="0.2">
      <c r="A135" s="50"/>
      <c r="B135" s="53"/>
      <c r="C135" s="53"/>
      <c r="D135" s="53"/>
      <c r="E135" s="53"/>
      <c r="F135" s="50"/>
      <c r="G135" s="50"/>
      <c r="H135" s="53"/>
      <c r="I135" s="53"/>
      <c r="J135" s="53"/>
      <c r="K135" s="53"/>
      <c r="L135" s="50"/>
    </row>
    <row r="136" spans="1:12" s="49" customFormat="1" x14ac:dyDescent="0.2">
      <c r="A136" s="50"/>
      <c r="B136" s="53"/>
      <c r="C136" s="53"/>
      <c r="D136" s="53"/>
      <c r="E136" s="53"/>
      <c r="F136" s="50"/>
      <c r="G136" s="50"/>
      <c r="H136" s="53"/>
      <c r="I136" s="53"/>
      <c r="J136" s="53"/>
      <c r="K136" s="53"/>
      <c r="L136" s="50"/>
    </row>
    <row r="137" spans="1:12" s="49" customFormat="1" x14ac:dyDescent="0.2">
      <c r="A137" s="50"/>
      <c r="B137" s="53"/>
      <c r="C137" s="53"/>
      <c r="D137" s="53"/>
      <c r="E137" s="53"/>
      <c r="F137" s="50"/>
      <c r="G137" s="50"/>
      <c r="H137" s="53"/>
      <c r="I137" s="53"/>
      <c r="J137" s="53"/>
      <c r="K137" s="53"/>
      <c r="L137" s="50"/>
    </row>
    <row r="138" spans="1:12" s="49" customFormat="1" x14ac:dyDescent="0.2">
      <c r="A138" s="50"/>
      <c r="B138" s="53"/>
      <c r="C138" s="53"/>
      <c r="D138" s="53"/>
      <c r="E138" s="53"/>
      <c r="F138" s="50"/>
      <c r="G138" s="50"/>
      <c r="H138" s="53"/>
      <c r="I138" s="53"/>
      <c r="J138" s="53"/>
      <c r="K138" s="53"/>
      <c r="L138" s="50"/>
    </row>
    <row r="139" spans="1:12" s="78" customFormat="1" x14ac:dyDescent="0.2"/>
    <row r="140" spans="1:12" s="78" customFormat="1" x14ac:dyDescent="0.2"/>
    <row r="141" spans="1:12" s="78" customFormat="1" x14ac:dyDescent="0.2"/>
    <row r="142" spans="1:12" s="78" customFormat="1" x14ac:dyDescent="0.2"/>
    <row r="143" spans="1:12" s="78" customFormat="1" x14ac:dyDescent="0.2"/>
    <row r="144" spans="1:12" s="78" customFormat="1" x14ac:dyDescent="0.2"/>
    <row r="145" s="78" customFormat="1" x14ac:dyDescent="0.2"/>
    <row r="146" s="78" customFormat="1" x14ac:dyDescent="0.2"/>
    <row r="147" s="78" customFormat="1" x14ac:dyDescent="0.2"/>
    <row r="148" s="78" customFormat="1" x14ac:dyDescent="0.2"/>
    <row r="149" s="78" customFormat="1" x14ac:dyDescent="0.2"/>
    <row r="150" s="78" customFormat="1" x14ac:dyDescent="0.2"/>
    <row r="151" s="78" customFormat="1" x14ac:dyDescent="0.2"/>
    <row r="152" s="78" customFormat="1" x14ac:dyDescent="0.2"/>
    <row r="153" s="78" customFormat="1" x14ac:dyDescent="0.2"/>
  </sheetData>
  <mergeCells count="8">
    <mergeCell ref="B44:C44"/>
    <mergeCell ref="B45:C45"/>
    <mergeCell ref="B46:C46"/>
    <mergeCell ref="O1:P1"/>
    <mergeCell ref="A3:A10"/>
    <mergeCell ref="A11:A20"/>
    <mergeCell ref="A21:A26"/>
    <mergeCell ref="A27:A41"/>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1" manualBreakCount="1">
    <brk id="43"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'Area VIIa demersal trawl'!D3:N3</xm:f>
              <xm:sqref>C3</xm:sqref>
            </x14:sparkline>
            <x14:sparkline>
              <xm:f>'Area VIIa demersal trawl'!D4:N4</xm:f>
              <xm:sqref>C4</xm:sqref>
            </x14:sparkline>
            <x14:sparkline>
              <xm:f>'Area VIIa demersal trawl'!D5:N5</xm:f>
              <xm:sqref>C5</xm:sqref>
            </x14:sparkline>
            <x14:sparkline>
              <xm:f>'Area VIIa demersal trawl'!D6:N6</xm:f>
              <xm:sqref>C6</xm:sqref>
            </x14:sparkline>
            <x14:sparkline>
              <xm:f>'Area VIIa demersal trawl'!D7:N7</xm:f>
              <xm:sqref>C7</xm:sqref>
            </x14:sparkline>
            <x14:sparkline>
              <xm:f>'Area VIIa demersal trawl'!D8:N8</xm:f>
              <xm:sqref>C8</xm:sqref>
            </x14:sparkline>
            <x14:sparkline>
              <xm:f>'Area VIIa demersal trawl'!D9:N9</xm:f>
              <xm:sqref>C9</xm:sqref>
            </x14:sparkline>
            <x14:sparkline>
              <xm:f>'Area VIIa demersal trawl'!F10:M10</xm:f>
              <xm:sqref>C10</xm:sqref>
            </x14:sparkline>
            <x14:sparkline>
              <xm:f>'Area VIIa demersal trawl'!D11:N11</xm:f>
              <xm:sqref>C11</xm:sqref>
            </x14:sparkline>
            <x14:sparkline>
              <xm:f>'Area VIIa demersal trawl'!D12:N12</xm:f>
              <xm:sqref>C12</xm:sqref>
            </x14:sparkline>
            <x14:sparkline>
              <xm:f>'Area VIIa demersal trawl'!D13:N13</xm:f>
              <xm:sqref>C13</xm:sqref>
            </x14:sparkline>
            <x14:sparkline>
              <xm:f>'Area VIIa demersal trawl'!D14:N14</xm:f>
              <xm:sqref>C14</xm:sqref>
            </x14:sparkline>
            <x14:sparkline>
              <xm:f>'Area VIIa demersal trawl'!D15:N15</xm:f>
              <xm:sqref>C15</xm:sqref>
            </x14:sparkline>
            <x14:sparkline>
              <xm:f>'Area VIIa demersal trawl'!D16:N16</xm:f>
              <xm:sqref>C16</xm:sqref>
            </x14:sparkline>
            <x14:sparkline>
              <xm:f>'Area VIIa demersal trawl'!D17:N17</xm:f>
              <xm:sqref>C17</xm:sqref>
            </x14:sparkline>
            <x14:sparkline>
              <xm:f>'Area VIIa demersal trawl'!D18:N18</xm:f>
              <xm:sqref>C18</xm:sqref>
            </x14:sparkline>
            <x14:sparkline>
              <xm:f>'Area VIIa demersal trawl'!D19:N19</xm:f>
              <xm:sqref>C19</xm:sqref>
            </x14:sparkline>
            <x14:sparkline>
              <xm:f>'Area VIIa demersal trawl'!D20:N20</xm:f>
              <xm:sqref>C20</xm:sqref>
            </x14:sparkline>
            <x14:sparkline>
              <xm:f>'Area VIIa demersal trawl'!D21:N21</xm:f>
              <xm:sqref>C21</xm:sqref>
            </x14:sparkline>
            <x14:sparkline>
              <xm:f>'Area VIIa demersal trawl'!D22:N22</xm:f>
              <xm:sqref>C22</xm:sqref>
            </x14:sparkline>
            <x14:sparkline>
              <xm:f>'Area VIIa demersal trawl'!D23:N23</xm:f>
              <xm:sqref>C23</xm:sqref>
            </x14:sparkline>
            <x14:sparkline>
              <xm:f>'Area VIIa demersal trawl'!D24:N24</xm:f>
              <xm:sqref>C24</xm:sqref>
            </x14:sparkline>
            <x14:sparkline>
              <xm:f>'Area VIIa demersal trawl'!F25:M25</xm:f>
              <xm:sqref>C25</xm:sqref>
            </x14:sparkline>
            <x14:sparkline>
              <xm:f>'Area VIIa demersal trawl'!F26:M26</xm:f>
              <xm:sqref>C26</xm:sqref>
            </x14:sparkline>
            <x14:sparkline>
              <xm:f>'Area VIIa demersal trawl'!D27:N27</xm:f>
              <xm:sqref>C27</xm:sqref>
            </x14:sparkline>
            <x14:sparkline>
              <xm:f>'Area VIIa demersal trawl'!D28:N28</xm:f>
              <xm:sqref>C28</xm:sqref>
            </x14:sparkline>
            <x14:sparkline>
              <xm:f>'Area VIIa demersal trawl'!D29:N29</xm:f>
              <xm:sqref>C29</xm:sqref>
            </x14:sparkline>
            <x14:sparkline>
              <xm:f>'Area VIIa demersal trawl'!D30:N30</xm:f>
              <xm:sqref>C30</xm:sqref>
            </x14:sparkline>
            <x14:sparkline>
              <xm:f>'Area VIIa demersal trawl'!D31:N31</xm:f>
              <xm:sqref>C31</xm:sqref>
            </x14:sparkline>
            <x14:sparkline>
              <xm:f>'Area VIIa demersal trawl'!D32:N32</xm:f>
              <xm:sqref>C32</xm:sqref>
            </x14:sparkline>
            <x14:sparkline>
              <xm:f>'Area VIIa demersal trawl'!D33:N33</xm:f>
              <xm:sqref>C33</xm:sqref>
            </x14:sparkline>
            <x14:sparkline>
              <xm:f>'Area VIIa demersal trawl'!D34:N34</xm:f>
              <xm:sqref>C34</xm:sqref>
            </x14:sparkline>
            <x14:sparkline>
              <xm:f>'Area VIIa demersal trawl'!D35:N35</xm:f>
              <xm:sqref>C35</xm:sqref>
            </x14:sparkline>
            <x14:sparkline>
              <xm:f>'Area VIIa demersal trawl'!D36:N36</xm:f>
              <xm:sqref>C36</xm:sqref>
            </x14:sparkline>
            <x14:sparkline>
              <xm:f>'Area VIIa demersal trawl'!D37:N37</xm:f>
              <xm:sqref>C37</xm:sqref>
            </x14:sparkline>
            <x14:sparkline>
              <xm:f>'Area VIIa demersal trawl'!D38:M38</xm:f>
              <xm:sqref>C38</xm:sqref>
            </x14:sparkline>
            <x14:sparkline>
              <xm:f>'Area VIIa demersal trawl'!D39:M39</xm:f>
              <xm:sqref>C39</xm:sqref>
            </x14:sparkline>
            <x14:sparkline>
              <xm:f>'Area VIIa demersal trawl'!D40:M40</xm:f>
              <xm:sqref>C40</xm:sqref>
            </x14:sparkline>
            <x14:sparkline>
              <xm:f>'Area VIIa demersal trawl'!D41:M41</xm:f>
              <xm:sqref>C41</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122</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30</v>
      </c>
      <c r="E3" s="22">
        <v>33</v>
      </c>
      <c r="F3" s="22">
        <v>29</v>
      </c>
      <c r="G3" s="22">
        <v>31</v>
      </c>
      <c r="H3" s="22">
        <v>34</v>
      </c>
      <c r="I3" s="22">
        <v>41</v>
      </c>
      <c r="J3" s="22">
        <v>37</v>
      </c>
      <c r="K3" s="22">
        <v>36</v>
      </c>
      <c r="L3" s="22">
        <v>32</v>
      </c>
      <c r="M3" s="22">
        <v>30</v>
      </c>
      <c r="N3" s="22">
        <v>31</v>
      </c>
      <c r="O3" s="23">
        <f t="shared" ref="O3:O41" si="0">IF(N3=0,"",IFERROR(IF(AND(N3&gt;0,D3&lt;0),"na",IF(AND(N3&lt;0,D3&lt;0),-1,1)*(N3-D3)/D3),""))</f>
        <v>3.3333333333333333E-2</v>
      </c>
      <c r="P3" s="23">
        <f>IF(N3=0,"",IFERROR(IF(AND(N3&gt;0,J3&lt;0),"na",IF(AND(N3&lt;0,J3&lt;0),-1,1)*(N3-J3)/J3),""))</f>
        <v>-0.16216216216216217</v>
      </c>
    </row>
    <row r="4" spans="1:17" ht="18" customHeight="1" x14ac:dyDescent="0.2">
      <c r="A4" s="224"/>
      <c r="B4" s="24" t="s">
        <v>51</v>
      </c>
      <c r="C4" s="25"/>
      <c r="D4" s="26">
        <v>10601</v>
      </c>
      <c r="E4" s="26">
        <v>11332</v>
      </c>
      <c r="F4" s="26">
        <v>9963</v>
      </c>
      <c r="G4" s="26">
        <v>11384</v>
      </c>
      <c r="H4" s="26">
        <v>12088</v>
      </c>
      <c r="I4" s="26">
        <v>15151</v>
      </c>
      <c r="J4" s="26">
        <v>13788</v>
      </c>
      <c r="K4" s="26">
        <v>13805</v>
      </c>
      <c r="L4" s="26">
        <v>12408</v>
      </c>
      <c r="M4" s="26">
        <v>11437</v>
      </c>
      <c r="N4" s="26">
        <v>11768</v>
      </c>
      <c r="O4" s="23">
        <f t="shared" si="0"/>
        <v>0.11008395434392981</v>
      </c>
      <c r="P4" s="23">
        <f t="shared" ref="P4:P41" si="1">IF(N4=0,"",IFERROR(IF(AND(N4&gt;0,J4&lt;0),"na",IF(AND(N4&lt;0,J4&lt;0),-1,1)*(N4-J4)/J4),""))</f>
        <v>-0.14650420655642588</v>
      </c>
    </row>
    <row r="5" spans="1:17" ht="18" customHeight="1" x14ac:dyDescent="0.2">
      <c r="A5" s="224"/>
      <c r="B5" s="24" t="s">
        <v>52</v>
      </c>
      <c r="C5" s="25"/>
      <c r="D5" s="26">
        <v>3071</v>
      </c>
      <c r="E5" s="26">
        <v>3367</v>
      </c>
      <c r="F5" s="26">
        <v>2924</v>
      </c>
      <c r="G5" s="26">
        <v>3364</v>
      </c>
      <c r="H5" s="26">
        <v>3542</v>
      </c>
      <c r="I5" s="26">
        <v>4495</v>
      </c>
      <c r="J5" s="26">
        <v>4210</v>
      </c>
      <c r="K5" s="26">
        <v>4206</v>
      </c>
      <c r="L5" s="26">
        <v>3822</v>
      </c>
      <c r="M5" s="26">
        <v>3563</v>
      </c>
      <c r="N5" s="26">
        <v>3518</v>
      </c>
      <c r="O5" s="23">
        <f t="shared" si="0"/>
        <v>0.14555519374796483</v>
      </c>
      <c r="P5" s="23">
        <f t="shared" si="1"/>
        <v>-0.16437054631828979</v>
      </c>
      <c r="Q5" s="27"/>
    </row>
    <row r="6" spans="1:17" ht="18" customHeight="1" x14ac:dyDescent="0.2">
      <c r="A6" s="224"/>
      <c r="B6" s="24" t="s">
        <v>53</v>
      </c>
      <c r="C6" s="25"/>
      <c r="D6" s="26">
        <v>8537.6240234375</v>
      </c>
      <c r="E6" s="26">
        <v>9246.189453125</v>
      </c>
      <c r="F6" s="26">
        <v>8090.14599609375</v>
      </c>
      <c r="G6" s="26">
        <v>9158.9091796875</v>
      </c>
      <c r="H6" s="26">
        <v>9721.83984375</v>
      </c>
      <c r="I6" s="26">
        <v>12139.716796875</v>
      </c>
      <c r="J6" s="26">
        <v>11076.9619140625</v>
      </c>
      <c r="K6" s="26">
        <v>10948.119140625</v>
      </c>
      <c r="L6" s="26">
        <v>9807.89453125</v>
      </c>
      <c r="M6" s="26">
        <v>9100.15234375</v>
      </c>
      <c r="N6" s="26">
        <v>9259.673828125</v>
      </c>
      <c r="O6" s="23">
        <f t="shared" si="0"/>
        <v>8.4572687050323087E-2</v>
      </c>
      <c r="P6" s="23">
        <f t="shared" si="1"/>
        <v>-0.16406015476413294</v>
      </c>
    </row>
    <row r="7" spans="1:17" ht="18" customHeight="1" x14ac:dyDescent="0.2">
      <c r="A7" s="224"/>
      <c r="B7" s="24" t="s">
        <v>54</v>
      </c>
      <c r="C7" s="25"/>
      <c r="D7" s="26">
        <v>4076.602294921875</v>
      </c>
      <c r="E7" s="26">
        <v>4193.00732421875</v>
      </c>
      <c r="F7" s="26">
        <v>3749.89697265625</v>
      </c>
      <c r="G7" s="26">
        <v>4362.0263671875</v>
      </c>
      <c r="H7" s="26">
        <v>4161.80517578125</v>
      </c>
      <c r="I7" s="26">
        <v>4986.78564453125</v>
      </c>
      <c r="J7" s="26">
        <v>4535.9873046875</v>
      </c>
      <c r="K7" s="26">
        <v>5283.72412109375</v>
      </c>
      <c r="L7" s="26">
        <v>4146.56201171875</v>
      </c>
      <c r="M7" s="26">
        <v>3965.29541015625</v>
      </c>
      <c r="N7" s="26">
        <v>3971.2666015625</v>
      </c>
      <c r="O7" s="23">
        <f t="shared" si="0"/>
        <v>-2.5839089942766586E-2</v>
      </c>
      <c r="P7" s="23">
        <f t="shared" si="1"/>
        <v>-0.12449785795066408</v>
      </c>
    </row>
    <row r="8" spans="1:17" ht="18" customHeight="1" x14ac:dyDescent="0.2">
      <c r="A8" s="224"/>
      <c r="B8" s="24" t="s">
        <v>55</v>
      </c>
      <c r="C8" s="27"/>
      <c r="D8" s="28">
        <f ca="1">8.492593*OFFSET(D$112,MATCH($N$1,$C$112:$C$113,0)-1,0)</f>
        <v>8.4925929999999994</v>
      </c>
      <c r="E8" s="28">
        <f ca="1">7.2815065*OFFSET(E$112,MATCH($N$1,$C$112:$C$113,0)-1,0)</f>
        <v>7.2815064999999999</v>
      </c>
      <c r="F8" s="28">
        <f ca="1">6.865379*OFFSET(F$112,MATCH($N$1,$C$112:$C$113,0)-1,0)</f>
        <v>6.8653789999999999</v>
      </c>
      <c r="G8" s="28">
        <f ca="1">9.514687*OFFSET(G$112,MATCH($N$1,$C$112:$C$113,0)-1,0)</f>
        <v>9.5146870000000003</v>
      </c>
      <c r="H8" s="28">
        <f ca="1">9.973715*OFFSET(H$112,MATCH($N$1,$C$112:$C$113,0)-1,0)</f>
        <v>9.9737150000000003</v>
      </c>
      <c r="I8" s="28">
        <f ca="1">10.089445*OFFSET(I$112,MATCH($N$1,$C$112:$C$113,0)-1,0)</f>
        <v>10.089445</v>
      </c>
      <c r="J8" s="28">
        <f ca="1">10.156434*OFFSET(J$112,MATCH($N$1,$C$112:$C$113,0)-1,0)</f>
        <v>10.156434000000001</v>
      </c>
      <c r="K8" s="28">
        <f ca="1">10.722073*OFFSET(K$112,MATCH($N$1,$C$112:$C$113,0)-1,0)</f>
        <v>10.722073</v>
      </c>
      <c r="L8" s="28">
        <f ca="1">9.185492*OFFSET(L$112,MATCH($N$1,$C$112:$C$113,0)-1,0)</f>
        <v>9.185492</v>
      </c>
      <c r="M8" s="28">
        <f ca="1">8.98259*OFFSET(M$112,MATCH($N$1,$C$112:$C$113,0)-1,0)</f>
        <v>8.9825900000000001</v>
      </c>
      <c r="N8" s="28">
        <v>8.300421</v>
      </c>
      <c r="O8" s="23">
        <f t="shared" ca="1" si="0"/>
        <v>-2.2628189058394692E-2</v>
      </c>
      <c r="P8" s="23">
        <f t="shared" ca="1" si="1"/>
        <v>-0.18274258465126644</v>
      </c>
    </row>
    <row r="9" spans="1:17" ht="18" customHeight="1" x14ac:dyDescent="0.2">
      <c r="A9" s="224"/>
      <c r="B9" s="24" t="s">
        <v>56</v>
      </c>
      <c r="C9" s="27"/>
      <c r="D9" s="26">
        <v>5163</v>
      </c>
      <c r="E9" s="26">
        <v>5553</v>
      </c>
      <c r="F9" s="26">
        <v>4837</v>
      </c>
      <c r="G9" s="26">
        <v>4545</v>
      </c>
      <c r="H9" s="26">
        <v>4757</v>
      </c>
      <c r="I9" s="26">
        <v>5846</v>
      </c>
      <c r="J9" s="26">
        <v>5564</v>
      </c>
      <c r="K9" s="26">
        <v>5688</v>
      </c>
      <c r="L9" s="26">
        <v>4479</v>
      </c>
      <c r="M9" s="26">
        <v>4101</v>
      </c>
      <c r="N9" s="26">
        <v>4491</v>
      </c>
      <c r="O9" s="23">
        <f t="shared" si="0"/>
        <v>-0.13015688553166763</v>
      </c>
      <c r="P9" s="23">
        <f t="shared" si="1"/>
        <v>-0.19284687275341481</v>
      </c>
    </row>
    <row r="10" spans="1:17" ht="18" customHeight="1" x14ac:dyDescent="0.2">
      <c r="A10" s="224"/>
      <c r="B10" s="24" t="s">
        <v>57</v>
      </c>
      <c r="C10" s="27"/>
      <c r="D10" s="26"/>
      <c r="E10" s="26">
        <v>187.11996459960937</v>
      </c>
      <c r="F10" s="26">
        <v>200.71221923828125</v>
      </c>
      <c r="G10" s="26">
        <v>154.17100524902344</v>
      </c>
      <c r="H10" s="26">
        <v>151.52210998535156</v>
      </c>
      <c r="I10" s="26">
        <v>170.96670532226562</v>
      </c>
      <c r="J10" s="26">
        <v>150.53005981445312</v>
      </c>
      <c r="K10" s="26">
        <v>188.6837158203125</v>
      </c>
      <c r="L10" s="26">
        <v>250.90155029296875</v>
      </c>
      <c r="M10" s="26">
        <v>201.71096801757812</v>
      </c>
      <c r="N10" s="26">
        <v>169.47116088867187</v>
      </c>
      <c r="O10" s="29" t="str">
        <f t="shared" si="0"/>
        <v/>
      </c>
      <c r="P10" s="29">
        <f t="shared" si="1"/>
        <v>0.1258293599136677</v>
      </c>
    </row>
    <row r="11" spans="1:17" ht="18" customHeight="1" x14ac:dyDescent="0.2">
      <c r="A11" s="225" t="s">
        <v>23</v>
      </c>
      <c r="B11" s="30" t="s">
        <v>58</v>
      </c>
      <c r="C11" s="31"/>
      <c r="D11" s="32">
        <v>20.28266716003418</v>
      </c>
      <c r="E11" s="32">
        <v>20.297878265380859</v>
      </c>
      <c r="F11" s="32">
        <v>20.183103561401367</v>
      </c>
      <c r="G11" s="32">
        <v>20.641290664672852</v>
      </c>
      <c r="H11" s="32">
        <v>20.029411315917969</v>
      </c>
      <c r="I11" s="32">
        <v>20.508293151855469</v>
      </c>
      <c r="J11" s="32">
        <v>20.694595336914062</v>
      </c>
      <c r="K11" s="32">
        <v>20.426944732666016</v>
      </c>
      <c r="L11" s="32">
        <v>20.398124694824219</v>
      </c>
      <c r="M11" s="32">
        <v>20.352333068847656</v>
      </c>
      <c r="N11" s="32">
        <v>20.023225784301758</v>
      </c>
      <c r="O11" s="23">
        <f t="shared" si="0"/>
        <v>-1.2791284976742905E-2</v>
      </c>
      <c r="P11" s="23">
        <f t="shared" si="1"/>
        <v>-3.2441782102148514E-2</v>
      </c>
    </row>
    <row r="12" spans="1:17" ht="18" customHeight="1" x14ac:dyDescent="0.2">
      <c r="A12" s="226"/>
      <c r="B12" s="33" t="s">
        <v>51</v>
      </c>
      <c r="C12" s="25"/>
      <c r="D12" s="26">
        <v>353.36666870117187</v>
      </c>
      <c r="E12" s="26">
        <v>343.39395141601562</v>
      </c>
      <c r="F12" s="26">
        <v>343.55172729492187</v>
      </c>
      <c r="G12" s="26">
        <v>367.22579956054687</v>
      </c>
      <c r="H12" s="26">
        <v>355.5294189453125</v>
      </c>
      <c r="I12" s="26">
        <v>369.53659057617187</v>
      </c>
      <c r="J12" s="26">
        <v>372.64865112304687</v>
      </c>
      <c r="K12" s="26">
        <v>383.47222900390625</v>
      </c>
      <c r="L12" s="26">
        <v>387.75</v>
      </c>
      <c r="M12" s="26">
        <v>381.23333740234375</v>
      </c>
      <c r="N12" s="26">
        <v>379.6129150390625</v>
      </c>
      <c r="O12" s="23">
        <f t="shared" si="0"/>
        <v>7.4274821771846369E-2</v>
      </c>
      <c r="P12" s="23">
        <f t="shared" si="1"/>
        <v>1.8688552595125474E-2</v>
      </c>
    </row>
    <row r="13" spans="1:17" ht="18" customHeight="1" x14ac:dyDescent="0.2">
      <c r="A13" s="226"/>
      <c r="B13" s="33" t="s">
        <v>52</v>
      </c>
      <c r="C13" s="25"/>
      <c r="D13" s="26">
        <v>102.36666870117187</v>
      </c>
      <c r="E13" s="26">
        <v>102.03030395507812</v>
      </c>
      <c r="F13" s="26">
        <v>100.82758331298828</v>
      </c>
      <c r="G13" s="26">
        <v>108.51612854003906</v>
      </c>
      <c r="H13" s="26">
        <v>104.17646789550781</v>
      </c>
      <c r="I13" s="26">
        <v>109.63414764404297</v>
      </c>
      <c r="J13" s="26">
        <v>113.78378295898437</v>
      </c>
      <c r="K13" s="26">
        <v>116.83333587646484</v>
      </c>
      <c r="L13" s="26">
        <v>119.4375</v>
      </c>
      <c r="M13" s="26">
        <v>118.76667022705078</v>
      </c>
      <c r="N13" s="26">
        <v>113.48387145996094</v>
      </c>
      <c r="O13" s="23">
        <f t="shared" si="0"/>
        <v>0.10860178317653699</v>
      </c>
      <c r="P13" s="23">
        <f t="shared" si="1"/>
        <v>-2.6358017919965496E-3</v>
      </c>
    </row>
    <row r="14" spans="1:17" ht="18" customHeight="1" x14ac:dyDescent="0.2">
      <c r="A14" s="226"/>
      <c r="B14" s="33" t="s">
        <v>53</v>
      </c>
      <c r="C14" s="25"/>
      <c r="D14" s="26">
        <v>284.58749389648437</v>
      </c>
      <c r="E14" s="26">
        <v>280.18756103515625</v>
      </c>
      <c r="F14" s="26">
        <v>278.97055053710937</v>
      </c>
      <c r="G14" s="26">
        <v>295.44869995117187</v>
      </c>
      <c r="H14" s="26">
        <v>285.93646240234375</v>
      </c>
      <c r="I14" s="26">
        <v>296.09066772460937</v>
      </c>
      <c r="J14" s="26">
        <v>299.37734985351562</v>
      </c>
      <c r="K14" s="26">
        <v>304.11444091796875</v>
      </c>
      <c r="L14" s="26">
        <v>306.4967041015625</v>
      </c>
      <c r="M14" s="26">
        <v>303.33840942382813</v>
      </c>
      <c r="N14" s="26">
        <v>298.69915771484375</v>
      </c>
      <c r="O14" s="23">
        <f t="shared" si="0"/>
        <v>4.9586380712471997E-2</v>
      </c>
      <c r="P14" s="23">
        <f t="shared" si="1"/>
        <v>-2.265342181042461E-3</v>
      </c>
    </row>
    <row r="15" spans="1:17" ht="18" customHeight="1" x14ac:dyDescent="0.2">
      <c r="A15" s="226"/>
      <c r="B15" s="33" t="s">
        <v>54</v>
      </c>
      <c r="C15" s="27"/>
      <c r="D15" s="28">
        <v>135.88674926757813</v>
      </c>
      <c r="E15" s="28">
        <v>127.06082916259766</v>
      </c>
      <c r="F15" s="28">
        <v>129.30679321289062</v>
      </c>
      <c r="G15" s="28">
        <v>140.71052551269531</v>
      </c>
      <c r="H15" s="28">
        <v>122.40602874755859</v>
      </c>
      <c r="I15" s="28">
        <v>121.62891387939453</v>
      </c>
      <c r="J15" s="28">
        <v>122.59424591064453</v>
      </c>
      <c r="K15" s="28">
        <v>146.77011108398438</v>
      </c>
      <c r="L15" s="28">
        <v>129.58006286621094</v>
      </c>
      <c r="M15" s="28">
        <v>132.176513671875</v>
      </c>
      <c r="N15" s="28">
        <v>128.10537719726562</v>
      </c>
      <c r="O15" s="23">
        <f t="shared" si="0"/>
        <v>-5.7263656038971086E-2</v>
      </c>
      <c r="P15" s="23">
        <f t="shared" si="1"/>
        <v>4.4954241087611903E-2</v>
      </c>
    </row>
    <row r="16" spans="1:17" ht="18" customHeight="1" x14ac:dyDescent="0.2">
      <c r="A16" s="226"/>
      <c r="B16" s="33" t="s">
        <v>59</v>
      </c>
      <c r="C16" s="27"/>
      <c r="D16" s="28">
        <f ca="1">283.0864375*OFFSET(D$112,MATCH($N$1,$C$112:$C$113,0)-1,0)</f>
        <v>283.08643749999999</v>
      </c>
      <c r="E16" s="28">
        <f ca="1">220.651703125*OFFSET(E$112,MATCH($N$1,$C$112:$C$113,0)-1,0)</f>
        <v>220.65170312500001</v>
      </c>
      <c r="F16" s="28">
        <f ca="1">236.737203125*OFFSET(F$112,MATCH($N$1,$C$112:$C$113,0)-1,0)</f>
        <v>236.73720312500001</v>
      </c>
      <c r="G16" s="28">
        <f ca="1">306.925375*OFFSET(G$112,MATCH($N$1,$C$112:$C$113,0)-1,0)</f>
        <v>306.92537499999997</v>
      </c>
      <c r="H16" s="28">
        <f ca="1">293.3445625*OFFSET(H$112,MATCH($N$1,$C$112:$C$113,0)-1,0)</f>
        <v>293.34456249999999</v>
      </c>
      <c r="I16" s="28">
        <f ca="1">246.08403125*OFFSET(I$112,MATCH($N$1,$C$112:$C$113,0)-1,0)</f>
        <v>246.08403125000001</v>
      </c>
      <c r="J16" s="28">
        <f ca="1">274.49821875*OFFSET(J$112,MATCH($N$1,$C$112:$C$113,0)-1,0)</f>
        <v>274.49821874999998</v>
      </c>
      <c r="K16" s="28">
        <f ca="1">297.83534375*OFFSET(K$112,MATCH($N$1,$C$112:$C$113,0)-1,0)</f>
        <v>297.83534374999999</v>
      </c>
      <c r="L16" s="28">
        <f ca="1">287.046625*OFFSET(L$112,MATCH($N$1,$C$112:$C$113,0)-1,0)</f>
        <v>287.04662500000001</v>
      </c>
      <c r="M16" s="28">
        <f ca="1">299.41965625*OFFSET(M$112,MATCH($N$1,$C$112:$C$113,0)-1,0)</f>
        <v>299.41965625</v>
      </c>
      <c r="N16" s="28">
        <v>267.75549999999998</v>
      </c>
      <c r="O16" s="23">
        <f t="shared" ca="1" si="0"/>
        <v>-5.4156382889236805E-2</v>
      </c>
      <c r="P16" s="23">
        <f t="shared" ca="1" si="1"/>
        <v>-2.4563797829744553E-2</v>
      </c>
    </row>
    <row r="17" spans="1:16" ht="18" customHeight="1" x14ac:dyDescent="0.2">
      <c r="A17" s="226"/>
      <c r="B17" s="33" t="s">
        <v>56</v>
      </c>
      <c r="C17" s="25"/>
      <c r="D17" s="26">
        <v>172.10000610351562</v>
      </c>
      <c r="E17" s="26">
        <v>168.27272033691406</v>
      </c>
      <c r="F17" s="26">
        <v>166.79310607910156</v>
      </c>
      <c r="G17" s="26">
        <v>146.61289978027344</v>
      </c>
      <c r="H17" s="26">
        <v>139.91175842285156</v>
      </c>
      <c r="I17" s="26">
        <v>142.58537292480469</v>
      </c>
      <c r="J17" s="26">
        <v>150.37837219238281</v>
      </c>
      <c r="K17" s="26">
        <v>158</v>
      </c>
      <c r="L17" s="26">
        <v>139.96875</v>
      </c>
      <c r="M17" s="26">
        <v>136.69999694824219</v>
      </c>
      <c r="N17" s="26">
        <v>144.8709716796875</v>
      </c>
      <c r="O17" s="23">
        <f t="shared" si="0"/>
        <v>-0.15821634781029736</v>
      </c>
      <c r="P17" s="23">
        <f t="shared" si="1"/>
        <v>-3.6623621019447911E-2</v>
      </c>
    </row>
    <row r="18" spans="1:16" ht="18" customHeight="1" x14ac:dyDescent="0.2">
      <c r="A18" s="226"/>
      <c r="B18" s="33" t="s">
        <v>60</v>
      </c>
      <c r="C18" s="25"/>
      <c r="D18" s="26">
        <v>32.666667938232422</v>
      </c>
      <c r="E18" s="26">
        <v>33.727272033691406</v>
      </c>
      <c r="F18" s="26">
        <v>34.896553039550781</v>
      </c>
      <c r="G18" s="26">
        <v>35</v>
      </c>
      <c r="H18" s="26">
        <v>35.235294342041016</v>
      </c>
      <c r="I18" s="26">
        <v>35.804878234863281</v>
      </c>
      <c r="J18" s="26">
        <v>37.43243408203125</v>
      </c>
      <c r="K18" s="26">
        <v>36.166667938232422</v>
      </c>
      <c r="L18" s="26">
        <v>36.34375</v>
      </c>
      <c r="M18" s="26">
        <v>37.700000762939453</v>
      </c>
      <c r="N18" s="26">
        <v>37.967742919921875</v>
      </c>
      <c r="O18" s="23">
        <f t="shared" si="0"/>
        <v>0.16227779924518043</v>
      </c>
      <c r="P18" s="23">
        <f t="shared" si="1"/>
        <v>1.4300668685277674E-2</v>
      </c>
    </row>
    <row r="19" spans="1:16" ht="18" customHeight="1" x14ac:dyDescent="0.2">
      <c r="A19" s="226"/>
      <c r="B19" s="33" t="s">
        <v>61</v>
      </c>
      <c r="C19" s="25"/>
      <c r="D19" s="34">
        <v>0.78958016633987427</v>
      </c>
      <c r="E19" s="34">
        <v>0.7550886869430542</v>
      </c>
      <c r="F19" s="34">
        <v>0.77525264024734497</v>
      </c>
      <c r="G19" s="34">
        <v>0.95974177122116089</v>
      </c>
      <c r="H19" s="34">
        <v>0.87488019466400146</v>
      </c>
      <c r="I19" s="34">
        <v>0.85302519798278809</v>
      </c>
      <c r="J19" s="34">
        <v>0.81523853540420532</v>
      </c>
      <c r="K19" s="34">
        <v>0.92892473936080933</v>
      </c>
      <c r="L19" s="34">
        <v>0.92577850818634033</v>
      </c>
      <c r="M19" s="34">
        <v>0.96690940856933594</v>
      </c>
      <c r="N19" s="34">
        <v>0.88427221775054932</v>
      </c>
      <c r="O19" s="23">
        <f t="shared" si="0"/>
        <v>0.11992708967048055</v>
      </c>
      <c r="P19" s="23">
        <f t="shared" si="1"/>
        <v>8.4679120709273442E-2</v>
      </c>
    </row>
    <row r="20" spans="1:16" ht="18" customHeight="1" x14ac:dyDescent="0.2">
      <c r="A20" s="227"/>
      <c r="B20" s="35" t="s">
        <v>24</v>
      </c>
      <c r="C20" s="36"/>
      <c r="D20" s="37">
        <f ca="1">2083*OFFSET(D$112,MATCH($N$1,$C$112:$C$113,0)-1,0)</f>
        <v>2083</v>
      </c>
      <c r="E20" s="37">
        <f ca="1">1737*OFFSET(E$112,MATCH($N$1,$C$112:$C$113,0)-1,0)</f>
        <v>1737</v>
      </c>
      <c r="F20" s="37">
        <f ca="1">1831*OFFSET(F$112,MATCH($N$1,$C$112:$C$113,0)-1,0)</f>
        <v>1831</v>
      </c>
      <c r="G20" s="37">
        <f ca="1">2181*OFFSET(G$112,MATCH($N$1,$C$112:$C$113,0)-1,0)</f>
        <v>2181</v>
      </c>
      <c r="H20" s="37">
        <f ca="1">2396*OFFSET(H$112,MATCH($N$1,$C$112:$C$113,0)-1,0)</f>
        <v>2396</v>
      </c>
      <c r="I20" s="37">
        <f ca="1">2023*OFFSET(I$112,MATCH($N$1,$C$112:$C$113,0)-1,0)</f>
        <v>2023</v>
      </c>
      <c r="J20" s="37">
        <f ca="1">2239*OFFSET(J$112,MATCH($N$1,$C$112:$C$113,0)-1,0)</f>
        <v>2239</v>
      </c>
      <c r="K20" s="37">
        <f ca="1">2029*OFFSET(K$112,MATCH($N$1,$C$112:$C$113,0)-1,0)</f>
        <v>2029</v>
      </c>
      <c r="L20" s="37">
        <f ca="1">2215*OFFSET(L$112,MATCH($N$1,$C$112:$C$113,0)-1,0)</f>
        <v>2215</v>
      </c>
      <c r="M20" s="37">
        <f ca="1">2265*OFFSET(M$112,MATCH($N$1,$C$112:$C$113,0)-1,0)</f>
        <v>2265</v>
      </c>
      <c r="N20" s="37">
        <v>2090</v>
      </c>
      <c r="O20" s="29">
        <f t="shared" ca="1" si="0"/>
        <v>3.3605376860297649E-3</v>
      </c>
      <c r="P20" s="29">
        <f t="shared" ca="1" si="1"/>
        <v>-6.6547565877623935E-2</v>
      </c>
    </row>
    <row r="21" spans="1:16" ht="18" customHeight="1" x14ac:dyDescent="0.2">
      <c r="A21" s="228" t="s">
        <v>25</v>
      </c>
      <c r="B21" s="30" t="s">
        <v>62</v>
      </c>
      <c r="C21" s="38"/>
      <c r="D21" s="39">
        <v>2.2370043281300771</v>
      </c>
      <c r="E21" s="39">
        <v>2.1900002542034076</v>
      </c>
      <c r="F21" s="39">
        <v>2.258428532837454</v>
      </c>
      <c r="G21" s="39">
        <v>2.6764180540722435</v>
      </c>
      <c r="H21" s="39">
        <v>2.493757903178019</v>
      </c>
      <c r="I21" s="39">
        <v>2.2692747098452202</v>
      </c>
      <c r="J21" s="39">
        <v>2.1480577556572968</v>
      </c>
      <c r="K21" s="39">
        <v>2.4498943991317526</v>
      </c>
      <c r="L21" s="39">
        <v>2.4082925636584998</v>
      </c>
      <c r="M21" s="39">
        <v>2.474903497071852</v>
      </c>
      <c r="N21" s="39">
        <v>2.3361698087502245</v>
      </c>
      <c r="O21" s="23">
        <f t="shared" si="0"/>
        <v>4.4329588178776712E-2</v>
      </c>
      <c r="P21" s="23">
        <f t="shared" si="1"/>
        <v>8.7573089037061833E-2</v>
      </c>
    </row>
    <row r="22" spans="1:16" ht="18" customHeight="1" x14ac:dyDescent="0.2">
      <c r="A22" s="228"/>
      <c r="B22" s="33" t="s">
        <v>63</v>
      </c>
      <c r="C22" s="25"/>
      <c r="D22" s="34">
        <f ca="1">4.66024530968391*OFFSET(D$112,MATCH($N$1,$C$112:$C$113,0)-1,0)</f>
        <v>4.6602453096839103</v>
      </c>
      <c r="E22" s="34">
        <f ca="1">3.80311768086911*OFFSET(E$112,MATCH($N$1,$C$112:$C$113,0)-1,0)</f>
        <v>3.8031176808691098</v>
      </c>
      <c r="F22" s="34">
        <f ca="1">4.13477158498071*OFFSET(F$112,MATCH($N$1,$C$112:$C$113,0)-1,0)</f>
        <v>4.1347715849807098</v>
      </c>
      <c r="G22" s="34">
        <f ca="1">5.8379471749523*OFFSET(G$112,MATCH($N$1,$C$112:$C$113,0)-1,0)</f>
        <v>5.8379471749523004</v>
      </c>
      <c r="H22" s="34">
        <f ca="1">5.97626055328802*OFFSET(H$112,MATCH($N$1,$C$112:$C$113,0)-1,0)</f>
        <v>5.9762605532880198</v>
      </c>
      <c r="I22" s="34">
        <f ca="1">4.59127892210005*OFFSET(I$112,MATCH($N$1,$C$112:$C$113,0)-1,0)</f>
        <v>4.5912789221000496</v>
      </c>
      <c r="J22" s="34">
        <f ca="1">4.8096713130388*OFFSET(J$112,MATCH($N$1,$C$112:$C$113,0)-1,0)</f>
        <v>4.8096713130388</v>
      </c>
      <c r="K22" s="34">
        <f ca="1">4.97148319318964*OFFSET(K$112,MATCH($N$1,$C$112:$C$113,0)-1,0)</f>
        <v>4.9714831931896404</v>
      </c>
      <c r="L22" s="34">
        <f ca="1">5.33486585142744*OFFSET(L$112,MATCH($N$1,$C$112:$C$113,0)-1,0)</f>
        <v>5.3348658514274403</v>
      </c>
      <c r="M22" s="34">
        <f ca="1">5.60640263356301*OFFSET(M$112,MATCH($N$1,$C$112:$C$113,0)-1,0)</f>
        <v>5.6064026335630102</v>
      </c>
      <c r="N22" s="34">
        <v>4.8828732166612943</v>
      </c>
      <c r="O22" s="23">
        <f t="shared" ca="1" si="0"/>
        <v>4.7771714187398465E-2</v>
      </c>
      <c r="P22" s="23">
        <f t="shared" ca="1" si="1"/>
        <v>1.5219731008239005E-2</v>
      </c>
    </row>
    <row r="23" spans="1:16" ht="18" customHeight="1" x14ac:dyDescent="0.2">
      <c r="A23" s="228"/>
      <c r="B23" s="33" t="s">
        <v>11</v>
      </c>
      <c r="C23" s="25"/>
      <c r="D23" s="34">
        <f ca="1">3.61462103915499*OFFSET(D$112,MATCH($N$1,$C$112:$C$113,0)-1,0)</f>
        <v>3.61462103915499</v>
      </c>
      <c r="E23" s="34">
        <f ca="1">3.03704224619096*OFFSET(E$112,MATCH($N$1,$C$112:$C$113,0)-1,0)</f>
        <v>3.0370422461909601</v>
      </c>
      <c r="F23" s="34">
        <f ca="1">3.56171806311046*OFFSET(F$112,MATCH($N$1,$C$112:$C$113,0)-1,0)</f>
        <v>3.5617180631104599</v>
      </c>
      <c r="G23" s="34">
        <f ca="1">4.89045848263251*OFFSET(G$112,MATCH($N$1,$C$112:$C$113,0)-1,0)</f>
        <v>4.8904584826325097</v>
      </c>
      <c r="H23" s="34">
        <f ca="1">4.50859085075052*OFFSET(H$112,MATCH($N$1,$C$112:$C$113,0)-1,0)</f>
        <v>4.5085908507505197</v>
      </c>
      <c r="I23" s="34">
        <f ca="1">3.84998081425539*OFFSET(I$112,MATCH($N$1,$C$112:$C$113,0)-1,0)</f>
        <v>3.8499808142553902</v>
      </c>
      <c r="J23" s="34">
        <f ca="1">3.98524513345654*OFFSET(J$112,MATCH($N$1,$C$112:$C$113,0)-1,0)</f>
        <v>3.98524513345654</v>
      </c>
      <c r="K23" s="34">
        <f ca="1">3.63623228018001*OFFSET(K$112,MATCH($N$1,$C$112:$C$113,0)-1,0)</f>
        <v>3.63623228018001</v>
      </c>
      <c r="L23" s="34">
        <f ca="1">3.74464416425033*OFFSET(L$112,MATCH($N$1,$C$112:$C$113,0)-1,0)</f>
        <v>3.7446441642503299</v>
      </c>
      <c r="M23" s="34">
        <f ca="1">3.99987010293719*OFFSET(M$112,MATCH($N$1,$C$112:$C$113,0)-1,0)</f>
        <v>3.9998701029371899</v>
      </c>
      <c r="N23" s="34">
        <v>3.6735653105783079</v>
      </c>
      <c r="O23" s="23">
        <f t="shared" ca="1" si="0"/>
        <v>1.6307178756724567E-2</v>
      </c>
      <c r="P23" s="23">
        <f t="shared" ca="1" si="1"/>
        <v>-7.820844450988676E-2</v>
      </c>
    </row>
    <row r="24" spans="1:16" ht="18" customHeight="1" x14ac:dyDescent="0.2">
      <c r="A24" s="228"/>
      <c r="B24" s="33" t="s">
        <v>12</v>
      </c>
      <c r="C24" s="25"/>
      <c r="D24" s="34">
        <f ca="1">1.04567964770228*OFFSET(D$112,MATCH($N$1,$C$112:$C$113,0)-1,0)</f>
        <v>1.0456796477022801</v>
      </c>
      <c r="E24" s="34">
        <f ca="1">0.766075434678149*OFFSET(E$112,MATCH($N$1,$C$112:$C$113,0)-1,0)</f>
        <v>0.76607543467814898</v>
      </c>
      <c r="F24" s="34">
        <f ca="1">0.58921483192065*OFFSET(F$112,MATCH($N$1,$C$112:$C$113,0)-1,0)</f>
        <v>0.58921483192065005</v>
      </c>
      <c r="G24" s="34">
        <f ca="1">1.07106036305537*OFFSET(G$112,MATCH($N$1,$C$112:$C$113,0)-1,0)</f>
        <v>1.0710603630553699</v>
      </c>
      <c r="H24" s="34">
        <f ca="1">1.54381862701094*OFFSET(H$112,MATCH($N$1,$C$112:$C$113,0)-1,0)</f>
        <v>1.54381862701094</v>
      </c>
      <c r="I24" s="34">
        <f ca="1">0.924680228479808*OFFSET(I$112,MATCH($N$1,$C$112:$C$113,0)-1,0)</f>
        <v>0.92468022847980802</v>
      </c>
      <c r="J24" s="34">
        <f ca="1">0.824475288846003*OFFSET(J$112,MATCH($N$1,$C$112:$C$113,0)-1,0)</f>
        <v>0.82447528884600296</v>
      </c>
      <c r="K24" s="34">
        <f ca="1">1.38196841029065*OFFSET(K$112,MATCH($N$1,$C$112:$C$113,0)-1,0)</f>
        <v>1.38196841029065</v>
      </c>
      <c r="L24" s="34">
        <f ca="1">1.62170538133391*OFFSET(L$112,MATCH($N$1,$C$112:$C$113,0)-1,0)</f>
        <v>1.62170538133391</v>
      </c>
      <c r="M24" s="34">
        <f ca="1">1.62985838923052*OFFSET(M$112,MATCH($N$1,$C$112:$C$113,0)-1,0)</f>
        <v>1.6298583892305201</v>
      </c>
      <c r="N24" s="34">
        <v>1.2296234664311143</v>
      </c>
      <c r="O24" s="23">
        <f t="shared" ca="1" si="0"/>
        <v>0.1759083856447072</v>
      </c>
      <c r="P24" s="23">
        <f t="shared" ca="1" si="1"/>
        <v>0.4914012379342344</v>
      </c>
    </row>
    <row r="25" spans="1:16" ht="18" customHeight="1" x14ac:dyDescent="0.2">
      <c r="A25" s="228"/>
      <c r="B25" s="33" t="s">
        <v>64</v>
      </c>
      <c r="C25" s="25"/>
      <c r="D25" s="28"/>
      <c r="E25" s="28">
        <f ca="1">38.92*OFFSET(E$112,MATCH($N$1,$C$112:$C$113,0)-1,0)</f>
        <v>38.92</v>
      </c>
      <c r="F25" s="28">
        <f ca="1">34.2*OFFSET(F$112,MATCH($N$1,$C$112:$C$113,0)-1,0)</f>
        <v>34.200000000000003</v>
      </c>
      <c r="G25" s="28">
        <f ca="1">61.71*OFFSET(G$112,MATCH($N$1,$C$112:$C$113,0)-1,0)</f>
        <v>61.71</v>
      </c>
      <c r="H25" s="28">
        <f ca="1">65.81*OFFSET(H$112,MATCH($N$1,$C$112:$C$113,0)-1,0)</f>
        <v>65.81</v>
      </c>
      <c r="I25" s="28">
        <f ca="1">59.02*OFFSET(I$112,MATCH($N$1,$C$112:$C$113,0)-1,0)</f>
        <v>59.02</v>
      </c>
      <c r="J25" s="28">
        <f ca="1">67.47*OFFSET(J$112,MATCH($N$1,$C$112:$C$113,0)-1,0)</f>
        <v>67.47</v>
      </c>
      <c r="K25" s="28">
        <f ca="1">56.82*OFFSET(K$112,MATCH($N$1,$C$112:$C$113,0)-1,0)</f>
        <v>56.82</v>
      </c>
      <c r="L25" s="28">
        <f ca="1">36.6*OFFSET(L$112,MATCH($N$1,$C$112:$C$113,0)-1,0)</f>
        <v>36.6</v>
      </c>
      <c r="M25" s="28">
        <f ca="1">44.53*OFFSET(M$112,MATCH($N$1,$C$112:$C$113,0)-1,0)</f>
        <v>44.53</v>
      </c>
      <c r="N25" s="28">
        <v>48.99</v>
      </c>
      <c r="O25" s="23" t="str">
        <f t="shared" si="0"/>
        <v/>
      </c>
      <c r="P25" s="23">
        <f t="shared" ca="1" si="1"/>
        <v>-0.27389951089373049</v>
      </c>
    </row>
    <row r="26" spans="1:16" ht="18" customHeight="1" x14ac:dyDescent="0.2">
      <c r="A26" s="229"/>
      <c r="B26" s="33" t="s">
        <v>65</v>
      </c>
      <c r="C26" s="40"/>
      <c r="D26" s="28"/>
      <c r="E26" s="28">
        <f ca="1">7.83*OFFSET(E$112,MATCH($N$1,$C$112:$C$113,0)-1,0)</f>
        <v>7.83</v>
      </c>
      <c r="F26" s="28">
        <f ca="1">4.87*OFFSET(F$112,MATCH($N$1,$C$112:$C$113,0)-1,0)</f>
        <v>4.87</v>
      </c>
      <c r="G26" s="28">
        <f ca="1">11.32*OFFSET(G$112,MATCH($N$1,$C$112:$C$113,0)-1,0)</f>
        <v>11.32</v>
      </c>
      <c r="H26" s="28">
        <f ca="1">17.01*OFFSET(H$112,MATCH($N$1,$C$112:$C$113,0)-1,0)</f>
        <v>17.010000000000002</v>
      </c>
      <c r="I26" s="28">
        <f ca="1">11.89*OFFSET(I$112,MATCH($N$1,$C$112:$C$113,0)-1,0)</f>
        <v>11.89</v>
      </c>
      <c r="J26" s="28">
        <f ca="1">11.58*OFFSET(J$112,MATCH($N$1,$C$112:$C$113,0)-1,0)</f>
        <v>11.58</v>
      </c>
      <c r="K26" s="28">
        <f ca="1">15.8*OFFSET(K$112,MATCH($N$1,$C$112:$C$113,0)-1,0)</f>
        <v>15.8</v>
      </c>
      <c r="L26" s="28">
        <f ca="1">11.13*OFFSET(L$112,MATCH($N$1,$C$112:$C$113,0)-1,0)</f>
        <v>11.13</v>
      </c>
      <c r="M26" s="28">
        <f ca="1">12.94*OFFSET(M$112,MATCH($N$1,$C$112:$C$113,0)-1,0)</f>
        <v>12.94</v>
      </c>
      <c r="N26" s="28">
        <v>12.33</v>
      </c>
      <c r="O26" s="29" t="str">
        <f t="shared" si="0"/>
        <v/>
      </c>
      <c r="P26" s="29">
        <f t="shared" ca="1" si="1"/>
        <v>6.4766839378238336E-2</v>
      </c>
    </row>
    <row r="27" spans="1:16" ht="18" customHeight="1" x14ac:dyDescent="0.2">
      <c r="A27" s="230" t="s">
        <v>26</v>
      </c>
      <c r="B27" s="30" t="s">
        <v>59</v>
      </c>
      <c r="C27" s="31"/>
      <c r="D27" s="32">
        <f ca="1">283.1*OFFSET(D$112,MATCH($N$1,$C$112:$C$113,0)-1,0)</f>
        <v>283.10000000000002</v>
      </c>
      <c r="E27" s="32">
        <f ca="1">220.7*OFFSET(E$112,MATCH($N$1,$C$112:$C$113,0)-1,0)</f>
        <v>220.7</v>
      </c>
      <c r="F27" s="32">
        <f ca="1">236.7*OFFSET(F$112,MATCH($N$1,$C$112:$C$113,0)-1,0)</f>
        <v>236.7</v>
      </c>
      <c r="G27" s="32">
        <f ca="1">306.9*OFFSET(G$112,MATCH($N$1,$C$112:$C$113,0)-1,0)</f>
        <v>306.89999999999998</v>
      </c>
      <c r="H27" s="32">
        <f ca="1">293.3*OFFSET(H$112,MATCH($N$1,$C$112:$C$113,0)-1,0)</f>
        <v>293.3</v>
      </c>
      <c r="I27" s="32">
        <f ca="1">246.1*OFFSET(I$112,MATCH($N$1,$C$112:$C$113,0)-1,0)</f>
        <v>246.1</v>
      </c>
      <c r="J27" s="32">
        <f ca="1">274.5*OFFSET(J$112,MATCH($N$1,$C$112:$C$113,0)-1,0)</f>
        <v>274.5</v>
      </c>
      <c r="K27" s="32">
        <f ca="1">297.8*OFFSET(K$112,MATCH($N$1,$C$112:$C$113,0)-1,0)</f>
        <v>297.8</v>
      </c>
      <c r="L27" s="32">
        <f ca="1">287*OFFSET(L$112,MATCH($N$1,$C$112:$C$113,0)-1,0)</f>
        <v>287</v>
      </c>
      <c r="M27" s="32">
        <f ca="1">299.4*OFFSET(M$112,MATCH($N$1,$C$112:$C$113,0)-1,0)</f>
        <v>299.39999999999998</v>
      </c>
      <c r="N27" s="32">
        <v>267.8</v>
      </c>
      <c r="O27" s="23">
        <f t="shared" ca="1" si="0"/>
        <v>-5.404450724125754E-2</v>
      </c>
      <c r="P27" s="23">
        <f t="shared" ca="1" si="1"/>
        <v>-2.4408014571948956E-2</v>
      </c>
    </row>
    <row r="28" spans="1:16" ht="18" customHeight="1" x14ac:dyDescent="0.2">
      <c r="A28" s="231"/>
      <c r="B28" s="33" t="s">
        <v>66</v>
      </c>
      <c r="C28" s="27"/>
      <c r="D28" s="28"/>
      <c r="E28" s="28"/>
      <c r="F28" s="28">
        <f ca="1">0.9*OFFSET(F$112,MATCH($N$1,$C$112:$C$113,0)-1,0)</f>
        <v>0.9</v>
      </c>
      <c r="G28" s="28">
        <f ca="1">6.5*OFFSET(G$112,MATCH($N$1,$C$112:$C$113,0)-1,0)</f>
        <v>6.5</v>
      </c>
      <c r="H28" s="28">
        <f ca="1">3.7*OFFSET(H$112,MATCH($N$1,$C$112:$C$113,0)-1,0)</f>
        <v>3.7</v>
      </c>
      <c r="I28" s="28">
        <f ca="1">9.8*OFFSET(I$112,MATCH($N$1,$C$112:$C$113,0)-1,0)</f>
        <v>9.8000000000000007</v>
      </c>
      <c r="J28" s="28"/>
      <c r="K28" s="28">
        <f ca="1">2.8*OFFSET(K$112,MATCH($N$1,$C$112:$C$113,0)-1,0)</f>
        <v>2.8</v>
      </c>
      <c r="L28" s="28">
        <f ca="1">1.7*OFFSET(L$112,MATCH($N$1,$C$112:$C$113,0)-1,0)</f>
        <v>1.7</v>
      </c>
      <c r="M28" s="28">
        <f ca="1">1.2*OFFSET(M$112,MATCH($N$1,$C$112:$C$113,0)-1,0)</f>
        <v>1.2</v>
      </c>
      <c r="N28" s="28">
        <v>1.1000000000000001</v>
      </c>
      <c r="O28" s="23" t="str">
        <f t="shared" si="0"/>
        <v/>
      </c>
      <c r="P28" s="23" t="str">
        <f t="shared" si="1"/>
        <v/>
      </c>
    </row>
    <row r="29" spans="1:16" ht="18" customHeight="1" x14ac:dyDescent="0.2">
      <c r="A29" s="231"/>
      <c r="B29" s="41" t="s">
        <v>67</v>
      </c>
      <c r="C29" s="42"/>
      <c r="D29" s="43">
        <f ca="1">283.1*OFFSET(D$112,MATCH($N$1,$C$112:$C$113,0)-1,0)</f>
        <v>283.10000000000002</v>
      </c>
      <c r="E29" s="43">
        <f ca="1">220.7*OFFSET(E$112,MATCH($N$1,$C$112:$C$113,0)-1,0)</f>
        <v>220.7</v>
      </c>
      <c r="F29" s="43">
        <f ca="1">237.7*OFFSET(F$112,MATCH($N$1,$C$112:$C$113,0)-1,0)</f>
        <v>237.7</v>
      </c>
      <c r="G29" s="43">
        <f ca="1">313.4*OFFSET(G$112,MATCH($N$1,$C$112:$C$113,0)-1,0)</f>
        <v>313.39999999999998</v>
      </c>
      <c r="H29" s="43">
        <f ca="1">297.1*OFFSET(H$112,MATCH($N$1,$C$112:$C$113,0)-1,0)</f>
        <v>297.10000000000002</v>
      </c>
      <c r="I29" s="43">
        <f ca="1">255.9*OFFSET(I$112,MATCH($N$1,$C$112:$C$113,0)-1,0)</f>
        <v>255.9</v>
      </c>
      <c r="J29" s="43">
        <f ca="1">274.5*OFFSET(J$112,MATCH($N$1,$C$112:$C$113,0)-1,0)</f>
        <v>274.5</v>
      </c>
      <c r="K29" s="43">
        <f ca="1">300.6*OFFSET(K$112,MATCH($N$1,$C$112:$C$113,0)-1,0)</f>
        <v>300.60000000000002</v>
      </c>
      <c r="L29" s="43">
        <f ca="1">288.7*OFFSET(L$112,MATCH($N$1,$C$112:$C$113,0)-1,0)</f>
        <v>288.7</v>
      </c>
      <c r="M29" s="43">
        <f ca="1">300.7*OFFSET(M$112,MATCH($N$1,$C$112:$C$113,0)-1,0)</f>
        <v>300.7</v>
      </c>
      <c r="N29" s="43">
        <v>268.89999999999998</v>
      </c>
      <c r="O29" s="23">
        <f t="shared" ca="1" si="0"/>
        <v>-5.0158954433062682E-2</v>
      </c>
      <c r="P29" s="23">
        <f t="shared" ca="1" si="1"/>
        <v>-2.0400728597449992E-2</v>
      </c>
    </row>
    <row r="30" spans="1:16" ht="18" customHeight="1" x14ac:dyDescent="0.2">
      <c r="A30" s="231"/>
      <c r="B30" s="33" t="s">
        <v>68</v>
      </c>
      <c r="C30" s="27"/>
      <c r="D30" s="28">
        <f ca="1">71.8*OFFSET(D$112,MATCH($N$1,$C$112:$C$113,0)-1,0)</f>
        <v>71.8</v>
      </c>
      <c r="E30" s="28">
        <f ca="1">46.8*OFFSET(E$112,MATCH($N$1,$C$112:$C$113,0)-1,0)</f>
        <v>46.8</v>
      </c>
      <c r="F30" s="28">
        <f ca="1">59.3*OFFSET(F$112,MATCH($N$1,$C$112:$C$113,0)-1,0)</f>
        <v>59.3</v>
      </c>
      <c r="G30" s="28">
        <f ca="1">69.4*OFFSET(G$112,MATCH($N$1,$C$112:$C$113,0)-1,0)</f>
        <v>69.400000000000006</v>
      </c>
      <c r="H30" s="28">
        <f ca="1">65.9*OFFSET(H$112,MATCH($N$1,$C$112:$C$113,0)-1,0)</f>
        <v>65.900000000000006</v>
      </c>
      <c r="I30" s="28">
        <f ca="1">66.3*OFFSET(I$112,MATCH($N$1,$C$112:$C$113,0)-1,0)</f>
        <v>66.3</v>
      </c>
      <c r="J30" s="28">
        <f ca="1">64.5*OFFSET(J$112,MATCH($N$1,$C$112:$C$113,0)-1,0)</f>
        <v>64.5</v>
      </c>
      <c r="K30" s="28">
        <f ca="1">48.3*OFFSET(K$112,MATCH($N$1,$C$112:$C$113,0)-1,0)</f>
        <v>48.3</v>
      </c>
      <c r="L30" s="28">
        <f ca="1">38.3*OFFSET(L$112,MATCH($N$1,$C$112:$C$113,0)-1,0)</f>
        <v>38.299999999999997</v>
      </c>
      <c r="M30" s="28">
        <f ca="1">47*OFFSET(M$112,MATCH($N$1,$C$112:$C$113,0)-1,0)</f>
        <v>47</v>
      </c>
      <c r="N30" s="28">
        <v>56.6</v>
      </c>
      <c r="O30" s="23">
        <f t="shared" ca="1" si="0"/>
        <v>-0.21169916434540384</v>
      </c>
      <c r="P30" s="23">
        <f t="shared" ca="1" si="1"/>
        <v>-0.12248062015503874</v>
      </c>
    </row>
    <row r="31" spans="1:16" ht="18" customHeight="1" x14ac:dyDescent="0.2">
      <c r="A31" s="231"/>
      <c r="B31" s="33" t="s">
        <v>69</v>
      </c>
      <c r="C31" s="27"/>
      <c r="D31" s="28">
        <f ca="1">61.3*OFFSET(D$112,MATCH($N$1,$C$112:$C$113,0)-1,0)</f>
        <v>61.3</v>
      </c>
      <c r="E31" s="28">
        <f ca="1">48*OFFSET(E$112,MATCH($N$1,$C$112:$C$113,0)-1,0)</f>
        <v>48</v>
      </c>
      <c r="F31" s="28">
        <f ca="1">42.5*OFFSET(F$112,MATCH($N$1,$C$112:$C$113,0)-1,0)</f>
        <v>42.5</v>
      </c>
      <c r="G31" s="28">
        <f ca="1">82.6*OFFSET(G$112,MATCH($N$1,$C$112:$C$113,0)-1,0)</f>
        <v>82.6</v>
      </c>
      <c r="H31" s="28">
        <f ca="1">77*OFFSET(H$112,MATCH($N$1,$C$112:$C$113,0)-1,0)</f>
        <v>77</v>
      </c>
      <c r="I31" s="28">
        <f ca="1">59*OFFSET(I$112,MATCH($N$1,$C$112:$C$113,0)-1,0)</f>
        <v>59</v>
      </c>
      <c r="J31" s="28">
        <f ca="1">63.7*OFFSET(J$112,MATCH($N$1,$C$112:$C$113,0)-1,0)</f>
        <v>63.7</v>
      </c>
      <c r="K31" s="28">
        <f ca="1">87.6*OFFSET(K$112,MATCH($N$1,$C$112:$C$113,0)-1,0)</f>
        <v>87.6</v>
      </c>
      <c r="L31" s="28">
        <f ca="1">90.4*OFFSET(L$112,MATCH($N$1,$C$112:$C$113,0)-1,0)</f>
        <v>90.4</v>
      </c>
      <c r="M31" s="28">
        <f ca="1">51.2*OFFSET(M$112,MATCH($N$1,$C$112:$C$113,0)-1,0)</f>
        <v>51.2</v>
      </c>
      <c r="N31" s="28">
        <v>41.6</v>
      </c>
      <c r="O31" s="23">
        <f t="shared" ca="1" si="0"/>
        <v>-0.32137030995106031</v>
      </c>
      <c r="P31" s="23">
        <f t="shared" ca="1" si="1"/>
        <v>-0.34693877551020408</v>
      </c>
    </row>
    <row r="32" spans="1:16" ht="18" customHeight="1" x14ac:dyDescent="0.2">
      <c r="A32" s="231"/>
      <c r="B32" s="33" t="s">
        <v>70</v>
      </c>
      <c r="C32" s="27"/>
      <c r="D32" s="28">
        <f ca="1">50.1*OFFSET(D$112,MATCH($N$1,$C$112:$C$113,0)-1,0)</f>
        <v>50.1</v>
      </c>
      <c r="E32" s="28">
        <f ca="1">35.7*OFFSET(E$112,MATCH($N$1,$C$112:$C$113,0)-1,0)</f>
        <v>35.700000000000003</v>
      </c>
      <c r="F32" s="28">
        <f ca="1">41*OFFSET(F$112,MATCH($N$1,$C$112:$C$113,0)-1,0)</f>
        <v>41</v>
      </c>
      <c r="G32" s="28">
        <f ca="1">43.4*OFFSET(G$112,MATCH($N$1,$C$112:$C$113,0)-1,0)</f>
        <v>43.4</v>
      </c>
      <c r="H32" s="28">
        <f ca="1">43.5*OFFSET(H$112,MATCH($N$1,$C$112:$C$113,0)-1,0)</f>
        <v>43.5</v>
      </c>
      <c r="I32" s="28">
        <f ca="1">37.9*OFFSET(I$112,MATCH($N$1,$C$112:$C$113,0)-1,0)</f>
        <v>37.9</v>
      </c>
      <c r="J32" s="28">
        <f ca="1">38.6*OFFSET(J$112,MATCH($N$1,$C$112:$C$113,0)-1,0)</f>
        <v>38.6</v>
      </c>
      <c r="K32" s="28">
        <f ca="1">39.1*OFFSET(K$112,MATCH($N$1,$C$112:$C$113,0)-1,0)</f>
        <v>39.1</v>
      </c>
      <c r="L32" s="28">
        <f ca="1">31.5*OFFSET(L$112,MATCH($N$1,$C$112:$C$113,0)-1,0)</f>
        <v>31.5</v>
      </c>
      <c r="M32" s="28">
        <f ca="1">74.1*OFFSET(M$112,MATCH($N$1,$C$112:$C$113,0)-1,0)</f>
        <v>74.099999999999994</v>
      </c>
      <c r="N32" s="28">
        <v>66.3</v>
      </c>
      <c r="O32" s="23">
        <f t="shared" ca="1" si="0"/>
        <v>0.32335329341317354</v>
      </c>
      <c r="P32" s="23">
        <f t="shared" ca="1" si="1"/>
        <v>0.71761658031088071</v>
      </c>
    </row>
    <row r="33" spans="1:16" ht="18" customHeight="1" x14ac:dyDescent="0.2">
      <c r="A33" s="231"/>
      <c r="B33" s="33" t="s">
        <v>71</v>
      </c>
      <c r="C33" s="27"/>
      <c r="D33" s="28">
        <f ca="1">183.2*OFFSET(D$112,MATCH($N$1,$C$112:$C$113,0)-1,0)</f>
        <v>183.2</v>
      </c>
      <c r="E33" s="28">
        <f ca="1">130.6*OFFSET(E$112,MATCH($N$1,$C$112:$C$113,0)-1,0)</f>
        <v>130.6</v>
      </c>
      <c r="F33" s="28">
        <f ca="1">142.8*OFFSET(F$112,MATCH($N$1,$C$112:$C$113,0)-1,0)</f>
        <v>142.80000000000001</v>
      </c>
      <c r="G33" s="28">
        <f ca="1">195.4*OFFSET(G$112,MATCH($N$1,$C$112:$C$113,0)-1,0)</f>
        <v>195.4</v>
      </c>
      <c r="H33" s="28">
        <f ca="1">186.4*OFFSET(H$112,MATCH($N$1,$C$112:$C$113,0)-1,0)</f>
        <v>186.4</v>
      </c>
      <c r="I33" s="28">
        <f ca="1">163.2*OFFSET(I$112,MATCH($N$1,$C$112:$C$113,0)-1,0)</f>
        <v>163.19999999999999</v>
      </c>
      <c r="J33" s="28">
        <f ca="1">166.8*OFFSET(J$112,MATCH($N$1,$C$112:$C$113,0)-1,0)</f>
        <v>166.8</v>
      </c>
      <c r="K33" s="28">
        <f ca="1">175.1*OFFSET(K$112,MATCH($N$1,$C$112:$C$113,0)-1,0)</f>
        <v>175.1</v>
      </c>
      <c r="L33" s="28">
        <f ca="1">160.3*OFFSET(L$112,MATCH($N$1,$C$112:$C$113,0)-1,0)</f>
        <v>160.30000000000001</v>
      </c>
      <c r="M33" s="28">
        <f ca="1">172.3*OFFSET(M$112,MATCH($N$1,$C$112:$C$113,0)-1,0)</f>
        <v>172.3</v>
      </c>
      <c r="N33" s="28">
        <v>164.5</v>
      </c>
      <c r="O33" s="23">
        <f t="shared" ca="1" si="0"/>
        <v>-0.10207423580786021</v>
      </c>
      <c r="P33" s="23">
        <f t="shared" ca="1" si="1"/>
        <v>-1.3788968824940115E-2</v>
      </c>
    </row>
    <row r="34" spans="1:16" ht="18" customHeight="1" x14ac:dyDescent="0.2">
      <c r="A34" s="231"/>
      <c r="B34" s="33" t="s">
        <v>72</v>
      </c>
      <c r="C34" s="27"/>
      <c r="D34" s="28">
        <f ca="1">36.3*OFFSET(D$112,MATCH($N$1,$C$112:$C$113,0)-1,0)</f>
        <v>36.299999999999997</v>
      </c>
      <c r="E34" s="28">
        <f ca="1">45.7*OFFSET(E$112,MATCH($N$1,$C$112:$C$113,0)-1,0)</f>
        <v>45.7</v>
      </c>
      <c r="F34" s="28">
        <f ca="1">61.1*OFFSET(F$112,MATCH($N$1,$C$112:$C$113,0)-1,0)</f>
        <v>61.1</v>
      </c>
      <c r="G34" s="28">
        <f ca="1">61.7*OFFSET(G$112,MATCH($N$1,$C$112:$C$113,0)-1,0)</f>
        <v>61.7</v>
      </c>
      <c r="H34" s="28">
        <f ca="1">34.9*OFFSET(H$112,MATCH($N$1,$C$112:$C$113,0)-1,0)</f>
        <v>34.9</v>
      </c>
      <c r="I34" s="28">
        <f ca="1">43.1*OFFSET(I$112,MATCH($N$1,$C$112:$C$113,0)-1,0)</f>
        <v>43.1</v>
      </c>
      <c r="J34" s="28">
        <f ca="1">60.6*OFFSET(J$112,MATCH($N$1,$C$112:$C$113,0)-1,0)</f>
        <v>60.6</v>
      </c>
      <c r="K34" s="28">
        <f ca="1">42.8*OFFSET(K$112,MATCH($N$1,$C$112:$C$113,0)-1,0)</f>
        <v>42.8</v>
      </c>
      <c r="L34" s="28">
        <f ca="1">41.2*OFFSET(L$112,MATCH($N$1,$C$112:$C$113,0)-1,0)</f>
        <v>41.2</v>
      </c>
      <c r="M34" s="28">
        <f ca="1">41.3*OFFSET(M$112,MATCH($N$1,$C$112:$C$113,0)-1,0)</f>
        <v>41.3</v>
      </c>
      <c r="N34" s="28">
        <v>37</v>
      </c>
      <c r="O34" s="23">
        <f t="shared" ca="1" si="0"/>
        <v>1.928374655647391E-2</v>
      </c>
      <c r="P34" s="23">
        <f t="shared" ca="1" si="1"/>
        <v>-0.38943894389438943</v>
      </c>
    </row>
    <row r="35" spans="1:16" ht="18" customHeight="1" x14ac:dyDescent="0.2">
      <c r="A35" s="231"/>
      <c r="B35" s="33" t="s">
        <v>73</v>
      </c>
      <c r="C35" s="27"/>
      <c r="D35" s="28">
        <f ca="1">219.6*OFFSET(D$112,MATCH($N$1,$C$112:$C$113,0)-1,0)</f>
        <v>219.6</v>
      </c>
      <c r="E35" s="28">
        <f ca="1">176.2*OFFSET(E$112,MATCH($N$1,$C$112:$C$113,0)-1,0)</f>
        <v>176.2</v>
      </c>
      <c r="F35" s="28">
        <f ca="1">203.9*OFFSET(F$112,MATCH($N$1,$C$112:$C$113,0)-1,0)</f>
        <v>203.9</v>
      </c>
      <c r="G35" s="28">
        <f ca="1">257.1*OFFSET(G$112,MATCH($N$1,$C$112:$C$113,0)-1,0)</f>
        <v>257.10000000000002</v>
      </c>
      <c r="H35" s="28">
        <f ca="1">221.3*OFFSET(H$112,MATCH($N$1,$C$112:$C$113,0)-1,0)</f>
        <v>221.3</v>
      </c>
      <c r="I35" s="28">
        <f ca="1">206.4*OFFSET(I$112,MATCH($N$1,$C$112:$C$113,0)-1,0)</f>
        <v>206.4</v>
      </c>
      <c r="J35" s="28">
        <f ca="1">227.4*OFFSET(J$112,MATCH($N$1,$C$112:$C$113,0)-1,0)</f>
        <v>227.4</v>
      </c>
      <c r="K35" s="28">
        <f ca="1">217.8*OFFSET(K$112,MATCH($N$1,$C$112:$C$113,0)-1,0)</f>
        <v>217.8</v>
      </c>
      <c r="L35" s="28">
        <f ca="1">201.5*OFFSET(L$112,MATCH($N$1,$C$112:$C$113,0)-1,0)</f>
        <v>201.5</v>
      </c>
      <c r="M35" s="28">
        <f ca="1">213.6*OFFSET(M$112,MATCH($N$1,$C$112:$C$113,0)-1,0)</f>
        <v>213.6</v>
      </c>
      <c r="N35" s="28">
        <v>201.4</v>
      </c>
      <c r="O35" s="23">
        <f t="shared" ca="1" si="0"/>
        <v>-8.2877959927140199E-2</v>
      </c>
      <c r="P35" s="23">
        <f t="shared" ca="1" si="1"/>
        <v>-0.11433597185576078</v>
      </c>
    </row>
    <row r="36" spans="1:16" ht="18" customHeight="1" x14ac:dyDescent="0.2">
      <c r="A36" s="231"/>
      <c r="B36" s="41" t="s">
        <v>74</v>
      </c>
      <c r="C36" s="42"/>
      <c r="D36" s="43">
        <f ca="1">124.8*OFFSET(D$112,MATCH($N$1,$C$112:$C$113,0)-1,0)</f>
        <v>124.8</v>
      </c>
      <c r="E36" s="43">
        <f ca="1">92.4*OFFSET(E$112,MATCH($N$1,$C$112:$C$113,0)-1,0)</f>
        <v>92.4</v>
      </c>
      <c r="F36" s="43">
        <f ca="1">76.2*OFFSET(F$112,MATCH($N$1,$C$112:$C$113,0)-1,0)</f>
        <v>76.2</v>
      </c>
      <c r="G36" s="43">
        <f ca="1">138.9*OFFSET(G$112,MATCH($N$1,$C$112:$C$113,0)-1,0)</f>
        <v>138.9</v>
      </c>
      <c r="H36" s="43">
        <f ca="1">152.8*OFFSET(H$112,MATCH($N$1,$C$112:$C$113,0)-1,0)</f>
        <v>152.80000000000001</v>
      </c>
      <c r="I36" s="43">
        <f ca="1">108.6*OFFSET(I$112,MATCH($N$1,$C$112:$C$113,0)-1,0)</f>
        <v>108.6</v>
      </c>
      <c r="J36" s="43">
        <f ca="1">110.8*OFFSET(J$112,MATCH($N$1,$C$112:$C$113,0)-1,0)</f>
        <v>110.8</v>
      </c>
      <c r="K36" s="43">
        <f ca="1">170.4*OFFSET(K$112,MATCH($N$1,$C$112:$C$113,0)-1,0)</f>
        <v>170.4</v>
      </c>
      <c r="L36" s="43">
        <f ca="1">177.7*OFFSET(L$112,MATCH($N$1,$C$112:$C$113,0)-1,0)</f>
        <v>177.7</v>
      </c>
      <c r="M36" s="43">
        <f ca="1">138.2*OFFSET(M$112,MATCH($N$1,$C$112:$C$113,0)-1,0)</f>
        <v>138.19999999999999</v>
      </c>
      <c r="N36" s="43">
        <v>109</v>
      </c>
      <c r="O36" s="23">
        <f t="shared" ca="1" si="0"/>
        <v>-0.12660256410256407</v>
      </c>
      <c r="P36" s="23">
        <f t="shared" ca="1" si="1"/>
        <v>-1.6245487364620913E-2</v>
      </c>
    </row>
    <row r="37" spans="1:16" ht="18" customHeight="1" x14ac:dyDescent="0.2">
      <c r="A37" s="231"/>
      <c r="B37" s="41" t="s">
        <v>75</v>
      </c>
      <c r="C37" s="42"/>
      <c r="D37" s="43">
        <f ca="1">63.5*OFFSET(D$112,MATCH($N$1,$C$112:$C$113,0)-1,0)</f>
        <v>63.5</v>
      </c>
      <c r="E37" s="43">
        <f ca="1">44.4*OFFSET(E$112,MATCH($N$1,$C$112:$C$113,0)-1,0)</f>
        <v>44.4</v>
      </c>
      <c r="F37" s="43">
        <f ca="1">33.7*OFFSET(F$112,MATCH($N$1,$C$112:$C$113,0)-1,0)</f>
        <v>33.700000000000003</v>
      </c>
      <c r="G37" s="43">
        <f ca="1">56.3*OFFSET(G$112,MATCH($N$1,$C$112:$C$113,0)-1,0)</f>
        <v>56.3</v>
      </c>
      <c r="H37" s="43">
        <f ca="1">75.8*OFFSET(H$112,MATCH($N$1,$C$112:$C$113,0)-1,0)</f>
        <v>75.8</v>
      </c>
      <c r="I37" s="43">
        <f ca="1">49.6*OFFSET(I$112,MATCH($N$1,$C$112:$C$113,0)-1,0)</f>
        <v>49.6</v>
      </c>
      <c r="J37" s="43">
        <f ca="1">47.1*OFFSET(J$112,MATCH($N$1,$C$112:$C$113,0)-1,0)</f>
        <v>47.1</v>
      </c>
      <c r="K37" s="43">
        <f ca="1">82.8*OFFSET(K$112,MATCH($N$1,$C$112:$C$113,0)-1,0)</f>
        <v>82.8</v>
      </c>
      <c r="L37" s="43">
        <f ca="1">87.3*OFFSET(L$112,MATCH($N$1,$C$112:$C$113,0)-1,0)</f>
        <v>87.3</v>
      </c>
      <c r="M37" s="43">
        <f ca="1">87*OFFSET(M$112,MATCH($N$1,$C$112:$C$113,0)-1,0)</f>
        <v>87</v>
      </c>
      <c r="N37" s="43">
        <v>67.400000000000006</v>
      </c>
      <c r="O37" s="23">
        <f t="shared" ca="1" si="0"/>
        <v>6.1417322834645759E-2</v>
      </c>
      <c r="P37" s="23">
        <f t="shared" ca="1" si="1"/>
        <v>0.43099787685774954</v>
      </c>
    </row>
    <row r="38" spans="1:16" ht="18" customHeight="1" x14ac:dyDescent="0.2">
      <c r="A38" s="231"/>
      <c r="B38" s="33" t="s">
        <v>76</v>
      </c>
      <c r="C38" s="27"/>
      <c r="D38" s="28">
        <f ca="1">13.5*OFFSET(D$112,MATCH($N$1,$C$112:$C$113,0)-1,0)</f>
        <v>13.5</v>
      </c>
      <c r="E38" s="28">
        <f ca="1">18.3*OFFSET(E$112,MATCH($N$1,$C$112:$C$113,0)-1,0)</f>
        <v>18.3</v>
      </c>
      <c r="F38" s="28">
        <f ca="1">10.7*OFFSET(F$112,MATCH($N$1,$C$112:$C$113,0)-1,0)</f>
        <v>10.7</v>
      </c>
      <c r="G38" s="28">
        <f ca="1">8.4*OFFSET(G$112,MATCH($N$1,$C$112:$C$113,0)-1,0)</f>
        <v>8.4</v>
      </c>
      <c r="H38" s="28">
        <f ca="1">6*OFFSET(H$112,MATCH($N$1,$C$112:$C$113,0)-1,0)</f>
        <v>6</v>
      </c>
      <c r="I38" s="28">
        <f ca="1">22*OFFSET(I$112,MATCH($N$1,$C$112:$C$113,0)-1,0)</f>
        <v>22</v>
      </c>
      <c r="J38" s="28">
        <f ca="1">11.5*OFFSET(J$112,MATCH($N$1,$C$112:$C$113,0)-1,0)</f>
        <v>11.5</v>
      </c>
      <c r="K38" s="28">
        <f ca="1">19.3*OFFSET(K$112,MATCH($N$1,$C$112:$C$113,0)-1,0)</f>
        <v>19.3</v>
      </c>
      <c r="L38" s="28">
        <f ca="1">17.6*OFFSET(L$112,MATCH($N$1,$C$112:$C$113,0)-1,0)</f>
        <v>17.600000000000001</v>
      </c>
      <c r="M38" s="28">
        <f ca="1">45.9*OFFSET(M$112,MATCH($N$1,$C$112:$C$113,0)-1,0)</f>
        <v>45.9</v>
      </c>
      <c r="N38" s="28"/>
      <c r="O38" s="23" t="str">
        <f t="shared" si="0"/>
        <v/>
      </c>
      <c r="P38" s="23" t="str">
        <f t="shared" si="1"/>
        <v/>
      </c>
    </row>
    <row r="39" spans="1:16" ht="18" customHeight="1" x14ac:dyDescent="0.2">
      <c r="A39" s="231"/>
      <c r="B39" s="33" t="s">
        <v>77</v>
      </c>
      <c r="C39" s="27"/>
      <c r="D39" s="28">
        <f ca="1">4.6*OFFSET(D$112,MATCH($N$1,$C$112:$C$113,0)-1,0)</f>
        <v>4.5999999999999996</v>
      </c>
      <c r="E39" s="28">
        <f ca="1">0.6*OFFSET(E$112,MATCH($N$1,$C$112:$C$113,0)-1,0)</f>
        <v>0.6</v>
      </c>
      <c r="F39" s="28">
        <f ca="1">3.1*OFFSET(F$112,MATCH($N$1,$C$112:$C$113,0)-1,0)</f>
        <v>3.1</v>
      </c>
      <c r="G39" s="28">
        <f ca="1">2.4*OFFSET(G$112,MATCH($N$1,$C$112:$C$113,0)-1,0)</f>
        <v>2.4</v>
      </c>
      <c r="H39" s="28">
        <f ca="1">0.8*OFFSET(H$112,MATCH($N$1,$C$112:$C$113,0)-1,0)</f>
        <v>0.8</v>
      </c>
      <c r="I39" s="28">
        <f ca="1">5.1*OFFSET(I$112,MATCH($N$1,$C$112:$C$113,0)-1,0)</f>
        <v>5.0999999999999996</v>
      </c>
      <c r="J39" s="28">
        <f ca="1">2.6*OFFSET(J$112,MATCH($N$1,$C$112:$C$113,0)-1,0)</f>
        <v>2.6</v>
      </c>
      <c r="K39" s="28">
        <f ca="1">3.1*OFFSET(K$112,MATCH($N$1,$C$112:$C$113,0)-1,0)</f>
        <v>3.1</v>
      </c>
      <c r="L39" s="28">
        <f ca="1">1.9*OFFSET(L$112,MATCH($N$1,$C$112:$C$113,0)-1,0)</f>
        <v>1.9</v>
      </c>
      <c r="M39" s="28">
        <f ca="1">4.4*OFFSET(M$112,MATCH($N$1,$C$112:$C$113,0)-1,0)</f>
        <v>4.4000000000000004</v>
      </c>
      <c r="N39" s="28"/>
      <c r="O39" s="23" t="str">
        <f t="shared" si="0"/>
        <v/>
      </c>
      <c r="P39" s="23" t="str">
        <f t="shared" si="1"/>
        <v/>
      </c>
    </row>
    <row r="40" spans="1:16" ht="18" customHeight="1" x14ac:dyDescent="0.2">
      <c r="A40" s="231"/>
      <c r="B40" s="33" t="s">
        <v>78</v>
      </c>
      <c r="C40" s="27"/>
      <c r="D40" s="28"/>
      <c r="E40" s="28">
        <f ca="1">0.1*OFFSET(E$112,MATCH($N$1,$C$112:$C$113,0)-1,0)</f>
        <v>0.1</v>
      </c>
      <c r="F40" s="28"/>
      <c r="G40" s="28">
        <f ca="1">4.5*OFFSET(G$112,MATCH($N$1,$C$112:$C$113,0)-1,0)</f>
        <v>4.5</v>
      </c>
      <c r="H40" s="28">
        <f ca="1">0.7*OFFSET(H$112,MATCH($N$1,$C$112:$C$113,0)-1,0)</f>
        <v>0.7</v>
      </c>
      <c r="I40" s="28">
        <f ca="1">4.6*OFFSET(I$112,MATCH($N$1,$C$112:$C$113,0)-1,0)</f>
        <v>4.5999999999999996</v>
      </c>
      <c r="J40" s="28">
        <f ca="1">2.1*OFFSET(J$112,MATCH($N$1,$C$112:$C$113,0)-1,0)</f>
        <v>2.1</v>
      </c>
      <c r="K40" s="28">
        <f ca="1">24.9*OFFSET(K$112,MATCH($N$1,$C$112:$C$113,0)-1,0)</f>
        <v>24.9</v>
      </c>
      <c r="L40" s="28">
        <f ca="1">0.3*OFFSET(L$112,MATCH($N$1,$C$112:$C$113,0)-1,0)</f>
        <v>0.3</v>
      </c>
      <c r="M40" s="28">
        <f ca="1">0.4*OFFSET(M$112,MATCH($N$1,$C$112:$C$113,0)-1,0)</f>
        <v>0.4</v>
      </c>
      <c r="N40" s="28"/>
      <c r="O40" s="23" t="str">
        <f t="shared" si="0"/>
        <v/>
      </c>
      <c r="P40" s="23" t="str">
        <f t="shared" si="1"/>
        <v/>
      </c>
    </row>
    <row r="41" spans="1:16" ht="18" customHeight="1" thickBot="1" x14ac:dyDescent="0.25">
      <c r="A41" s="232"/>
      <c r="B41" s="44" t="s">
        <v>79</v>
      </c>
      <c r="C41" s="45"/>
      <c r="D41" s="46">
        <f ca="1">45.5*OFFSET(D$112,MATCH($N$1,$C$112:$C$113,0)-1,0)</f>
        <v>45.5</v>
      </c>
      <c r="E41" s="46">
        <f ca="1">25.5*OFFSET(E$112,MATCH($N$1,$C$112:$C$113,0)-1,0)</f>
        <v>25.5</v>
      </c>
      <c r="F41" s="46">
        <f ca="1">20*OFFSET(F$112,MATCH($N$1,$C$112:$C$113,0)-1,0)</f>
        <v>20</v>
      </c>
      <c r="G41" s="46">
        <f ca="1">41.1*OFFSET(G$112,MATCH($N$1,$C$112:$C$113,0)-1,0)</f>
        <v>41.1</v>
      </c>
      <c r="H41" s="46">
        <f ca="1">68.3*OFFSET(H$112,MATCH($N$1,$C$112:$C$113,0)-1,0)</f>
        <v>68.3</v>
      </c>
      <c r="I41" s="46">
        <f ca="1">17.9*OFFSET(I$112,MATCH($N$1,$C$112:$C$113,0)-1,0)</f>
        <v>17.899999999999999</v>
      </c>
      <c r="J41" s="46">
        <f ca="1">30.9*OFFSET(J$112,MATCH($N$1,$C$112:$C$113,0)-1,0)</f>
        <v>30.9</v>
      </c>
      <c r="K41" s="46">
        <f ca="1">35.5*OFFSET(K$112,MATCH($N$1,$C$112:$C$113,0)-1,0)</f>
        <v>35.5</v>
      </c>
      <c r="L41" s="46">
        <f ca="1">67.5*OFFSET(L$112,MATCH($N$1,$C$112:$C$113,0)-1,0)</f>
        <v>67.5</v>
      </c>
      <c r="M41" s="46">
        <f ca="1">36.3*OFFSET(M$112,MATCH($N$1,$C$112:$C$113,0)-1,0)</f>
        <v>36.299999999999997</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123</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Area VIIA nephrops over 250kW</v>
      </c>
      <c r="C48" s="97"/>
      <c r="D48" s="97"/>
      <c r="E48" s="97"/>
      <c r="F48" s="97"/>
      <c r="G48" s="97"/>
      <c r="K48" s="97" t="str">
        <f>$B24&amp;CHAR(10)&amp;$A$1</f>
        <v>Operating profit per kW day at sea (£)
Area VIIA nephrops over 250kW</v>
      </c>
    </row>
    <row r="49" spans="1:11" s="83" customFormat="1" x14ac:dyDescent="0.2">
      <c r="A49" s="97" t="str">
        <f>$B22&amp;CHAR(10)&amp;$A$1</f>
        <v>Fishing income per kW day at sea (£)
Area VIIA nephrops over 250kW</v>
      </c>
    </row>
    <row r="50" spans="1:11" s="83" customFormat="1" x14ac:dyDescent="0.2">
      <c r="A50" s="97" t="str">
        <f>$B20&amp;CHAR(10)&amp;$A$1</f>
        <v>Average price per tonne landed (£)
Area VIIA nephrops over 250kW</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Area VIIA nephrops over 250kW</v>
      </c>
      <c r="F62" s="97" t="str">
        <f>$B20&amp;CHAR(10)&amp;$A$1</f>
        <v>Average price per tonne landed (£)
Area VIIA nephrops over 250kW</v>
      </c>
      <c r="K62" s="97" t="str">
        <f>"Average annual operating profit per vessel (£'000)"&amp;CHAR(10)&amp;$A$1</f>
        <v>Average annual operating profit per vessel (£'000)
Area VIIA nephrops over 250kW</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Area VIIA nephrops over 250kW</v>
      </c>
      <c r="F76" s="97" t="str">
        <f>"Top 5 landed species by value in "&amp;A77&amp;CHAR(10)&amp;A1</f>
        <v>Top 5 landed species by value in 2017
Area VIIA nephrops over 250kW</v>
      </c>
    </row>
    <row r="77" spans="1:9" s="97" customFormat="1" x14ac:dyDescent="0.2">
      <c r="A77" s="97">
        <v>2017</v>
      </c>
      <c r="B77" s="97" t="s">
        <v>124</v>
      </c>
      <c r="C77" s="98">
        <v>0.80878089626489591</v>
      </c>
      <c r="D77" s="99">
        <v>12153634</v>
      </c>
      <c r="G77" s="97" t="s">
        <v>125</v>
      </c>
      <c r="H77" s="98">
        <v>0.89203442238918007</v>
      </c>
      <c r="I77" s="99">
        <v>12153634</v>
      </c>
    </row>
    <row r="78" spans="1:9" s="97" customFormat="1" x14ac:dyDescent="0.2">
      <c r="B78" s="97" t="s">
        <v>126</v>
      </c>
      <c r="C78" s="98">
        <v>6.9419139445321812E-2</v>
      </c>
      <c r="D78" s="99">
        <v>11115023</v>
      </c>
      <c r="G78" s="97" t="s">
        <v>127</v>
      </c>
      <c r="H78" s="98">
        <v>3.5071341728217562E-2</v>
      </c>
      <c r="I78" s="99">
        <v>553960</v>
      </c>
    </row>
    <row r="79" spans="1:9" s="97" customFormat="1" x14ac:dyDescent="0.2">
      <c r="B79" s="97" t="s">
        <v>128</v>
      </c>
      <c r="C79" s="98">
        <v>4.1738152519571352E-2</v>
      </c>
      <c r="D79" s="99">
        <v>3050596</v>
      </c>
      <c r="G79" s="97" t="s">
        <v>129</v>
      </c>
      <c r="H79" s="98">
        <v>2.3908969899401989E-2</v>
      </c>
      <c r="I79" s="99">
        <v>3050596</v>
      </c>
    </row>
    <row r="80" spans="1:9" s="97" customFormat="1" x14ac:dyDescent="0.2">
      <c r="B80" s="97" t="s">
        <v>130</v>
      </c>
      <c r="C80" s="98">
        <v>3.3554625088890733E-2</v>
      </c>
      <c r="D80" s="99">
        <v>553960</v>
      </c>
      <c r="G80" s="97" t="s">
        <v>131</v>
      </c>
      <c r="H80" s="98">
        <v>1.4126762761274756E-2</v>
      </c>
      <c r="I80" s="99">
        <v>1692097</v>
      </c>
    </row>
    <row r="81" spans="1:18" s="97" customFormat="1" x14ac:dyDescent="0.2">
      <c r="B81" s="97" t="s">
        <v>132</v>
      </c>
      <c r="C81" s="98">
        <v>9.556362113921751E-3</v>
      </c>
      <c r="D81" s="99">
        <v>1692097</v>
      </c>
      <c r="G81" s="97" t="s">
        <v>133</v>
      </c>
      <c r="H81" s="98">
        <v>6.0873667759539915E-3</v>
      </c>
      <c r="I81" s="99">
        <v>3689192</v>
      </c>
    </row>
    <row r="82" spans="1:18" s="97" customFormat="1" x14ac:dyDescent="0.2">
      <c r="B82" s="97" t="s">
        <v>134</v>
      </c>
      <c r="C82" s="98">
        <v>3.6950824567398399E-2</v>
      </c>
      <c r="D82" s="99">
        <v>5920853</v>
      </c>
      <c r="G82" s="97" t="s">
        <v>135</v>
      </c>
      <c r="H82" s="98">
        <v>2.8771136445971623E-2</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93</v>
      </c>
      <c r="D92" s="102">
        <v>0.87521984322238222</v>
      </c>
      <c r="E92" s="102">
        <v>0.87679481855102348</v>
      </c>
      <c r="F92" s="102">
        <v>0.8634558600182346</v>
      </c>
      <c r="G92" s="102">
        <v>0.90317182843483113</v>
      </c>
      <c r="H92" s="102">
        <v>0.85612255622104805</v>
      </c>
      <c r="I92" s="102">
        <v>0.89523202079674202</v>
      </c>
      <c r="J92" s="102">
        <v>0.90538709198932132</v>
      </c>
      <c r="K92" s="102">
        <v>0.90821284781460132</v>
      </c>
      <c r="L92" s="102">
        <v>0.89203442238918007</v>
      </c>
      <c r="M92" s="102">
        <v>0.85281818837863765</v>
      </c>
      <c r="O92" s="97">
        <v>12153634</v>
      </c>
    </row>
    <row r="93" spans="1:18" s="97" customFormat="1" hidden="1" x14ac:dyDescent="0.2">
      <c r="B93" s="97">
        <v>2</v>
      </c>
      <c r="C93" s="97" t="s">
        <v>121</v>
      </c>
      <c r="D93" s="102">
        <v>2.9870671769242085E-2</v>
      </c>
      <c r="E93" s="102">
        <v>2.6179299790632111E-2</v>
      </c>
      <c r="F93" s="102">
        <v>2.3278466085981879E-2</v>
      </c>
      <c r="G93" s="102">
        <v>2.2118424031693899E-2</v>
      </c>
      <c r="H93" s="102">
        <v>2.8228798046342988E-2</v>
      </c>
      <c r="I93" s="102">
        <v>2.71442427934948E-2</v>
      </c>
      <c r="J93" s="102">
        <v>1.7377771930080096E-2</v>
      </c>
      <c r="K93" s="102">
        <v>2.8000833065877355E-2</v>
      </c>
      <c r="L93" s="102">
        <v>3.5071341728217562E-2</v>
      </c>
      <c r="M93" s="102">
        <v>3.4045596151086793E-2</v>
      </c>
      <c r="O93" s="97">
        <v>553960</v>
      </c>
    </row>
    <row r="94" spans="1:18" s="97" customFormat="1" hidden="1" x14ac:dyDescent="0.2">
      <c r="B94" s="97">
        <v>3</v>
      </c>
      <c r="C94" s="97" t="s">
        <v>16</v>
      </c>
      <c r="D94" s="102">
        <v>8.9683835347917958E-3</v>
      </c>
      <c r="E94" s="102">
        <v>1.1671868151485973E-2</v>
      </c>
      <c r="F94" s="102">
        <v>1.5136507741959009E-2</v>
      </c>
      <c r="G94" s="102">
        <v>5.500794405071556E-3</v>
      </c>
      <c r="H94" s="102">
        <v>1.5224424999357264E-2</v>
      </c>
      <c r="I94" s="102">
        <v>1.2621824392172899E-2</v>
      </c>
      <c r="J94" s="102">
        <v>2.4752147455914617E-2</v>
      </c>
      <c r="K94" s="102">
        <v>2.9597221565859561E-2</v>
      </c>
      <c r="L94" s="102">
        <v>2.3908969899401989E-2</v>
      </c>
      <c r="M94" s="102">
        <v>3.3250425641060857E-2</v>
      </c>
      <c r="O94" s="97">
        <v>3050596</v>
      </c>
    </row>
    <row r="95" spans="1:18" s="97" customFormat="1" hidden="1" x14ac:dyDescent="0.2">
      <c r="B95" s="97">
        <v>4</v>
      </c>
      <c r="C95" s="97" t="s">
        <v>96</v>
      </c>
      <c r="D95" s="102"/>
      <c r="E95" s="102"/>
      <c r="F95" s="102"/>
      <c r="G95" s="102"/>
      <c r="H95" s="102"/>
      <c r="I95" s="102"/>
      <c r="J95" s="102"/>
      <c r="K95" s="102"/>
      <c r="L95" s="102">
        <v>1.4126762761274756E-2</v>
      </c>
      <c r="M95" s="102">
        <v>1.892774851420187E-2</v>
      </c>
      <c r="O95" s="97">
        <v>1692097</v>
      </c>
    </row>
    <row r="96" spans="1:18" s="97" customFormat="1" hidden="1" x14ac:dyDescent="0.2">
      <c r="B96" s="97">
        <v>5</v>
      </c>
      <c r="C96" s="97" t="s">
        <v>136</v>
      </c>
      <c r="D96" s="102"/>
      <c r="E96" s="102"/>
      <c r="F96" s="102"/>
      <c r="G96" s="102"/>
      <c r="H96" s="102"/>
      <c r="I96" s="102"/>
      <c r="J96" s="102"/>
      <c r="K96" s="102"/>
      <c r="L96" s="102">
        <v>6.0873667759539915E-3</v>
      </c>
      <c r="M96" s="102"/>
      <c r="O96" s="97">
        <v>3689192</v>
      </c>
    </row>
    <row r="97" spans="1:15" s="97" customFormat="1" hidden="1" x14ac:dyDescent="0.2">
      <c r="B97" s="97">
        <v>6</v>
      </c>
      <c r="C97" s="97" t="s">
        <v>137</v>
      </c>
      <c r="D97" s="102"/>
      <c r="E97" s="102"/>
      <c r="F97" s="102"/>
      <c r="G97" s="102"/>
      <c r="H97" s="102"/>
      <c r="I97" s="102"/>
      <c r="J97" s="102"/>
      <c r="K97" s="102"/>
      <c r="L97" s="102"/>
      <c r="M97" s="102">
        <v>9.6904779739485497E-3</v>
      </c>
      <c r="O97" s="97">
        <v>11115023</v>
      </c>
    </row>
    <row r="98" spans="1:15" s="97" customFormat="1" hidden="1" x14ac:dyDescent="0.2">
      <c r="B98" s="97">
        <v>7</v>
      </c>
      <c r="C98" s="97" t="s">
        <v>100</v>
      </c>
      <c r="D98" s="102"/>
      <c r="E98" s="102"/>
      <c r="F98" s="102"/>
      <c r="G98" s="102"/>
      <c r="H98" s="102"/>
      <c r="I98" s="102">
        <v>7.5468996857039417E-3</v>
      </c>
      <c r="J98" s="102">
        <v>6.775669790932505E-3</v>
      </c>
      <c r="K98" s="102">
        <v>3.9677060858814752E-3</v>
      </c>
      <c r="L98" s="102"/>
      <c r="M98" s="102"/>
      <c r="O98" s="97">
        <v>2480382</v>
      </c>
    </row>
    <row r="99" spans="1:15" s="97" customFormat="1" hidden="1" x14ac:dyDescent="0.2">
      <c r="B99" s="97">
        <v>8</v>
      </c>
      <c r="C99" s="97" t="s">
        <v>138</v>
      </c>
      <c r="D99" s="102"/>
      <c r="E99" s="102"/>
      <c r="F99" s="102"/>
      <c r="G99" s="102"/>
      <c r="H99" s="102"/>
      <c r="I99" s="102"/>
      <c r="J99" s="102"/>
      <c r="K99" s="102">
        <v>3.9395607001544222E-3</v>
      </c>
      <c r="L99" s="102"/>
      <c r="M99" s="102"/>
      <c r="O99" s="97">
        <v>7434864</v>
      </c>
    </row>
    <row r="100" spans="1:15" s="97" customFormat="1" hidden="1" x14ac:dyDescent="0.2">
      <c r="B100" s="97">
        <v>9</v>
      </c>
      <c r="C100" s="97" t="s">
        <v>95</v>
      </c>
      <c r="D100" s="102"/>
      <c r="E100" s="102">
        <v>7.5113874158571695E-3</v>
      </c>
      <c r="F100" s="102"/>
      <c r="G100" s="102"/>
      <c r="H100" s="102"/>
      <c r="I100" s="102"/>
      <c r="J100" s="102">
        <v>1.3695671589830297E-2</v>
      </c>
      <c r="K100" s="102"/>
      <c r="L100" s="102"/>
      <c r="M100" s="102"/>
      <c r="O100" s="97">
        <v>8497745</v>
      </c>
    </row>
    <row r="101" spans="1:15" s="97" customFormat="1" hidden="1" x14ac:dyDescent="0.2">
      <c r="B101" s="97">
        <v>10</v>
      </c>
      <c r="C101" s="97" t="s">
        <v>97</v>
      </c>
      <c r="D101" s="102">
        <v>2.1131016088965539E-2</v>
      </c>
      <c r="E101" s="102">
        <v>2.4974161867940627E-2</v>
      </c>
      <c r="F101" s="102">
        <v>1.5406664413799924E-2</v>
      </c>
      <c r="G101" s="102">
        <v>1.9646145245776798E-2</v>
      </c>
      <c r="H101" s="102">
        <v>2.5933686919299453E-2</v>
      </c>
      <c r="I101" s="102">
        <v>1.7462817663215741E-2</v>
      </c>
      <c r="J101" s="102"/>
      <c r="K101" s="102"/>
      <c r="L101" s="102"/>
      <c r="M101" s="102"/>
      <c r="O101" s="97">
        <v>14393110</v>
      </c>
    </row>
    <row r="102" spans="1:15" s="97" customFormat="1" hidden="1" x14ac:dyDescent="0.2">
      <c r="B102" s="97">
        <v>11</v>
      </c>
      <c r="C102" s="97" t="s">
        <v>99</v>
      </c>
      <c r="D102" s="102"/>
      <c r="E102" s="102"/>
      <c r="F102" s="102">
        <v>2.5890776518293919E-2</v>
      </c>
      <c r="G102" s="102">
        <v>1.1482596525775955E-2</v>
      </c>
      <c r="H102" s="102">
        <v>1.2098842436490495E-2</v>
      </c>
      <c r="I102" s="102"/>
      <c r="J102" s="102"/>
      <c r="K102" s="102"/>
      <c r="L102" s="102"/>
      <c r="M102" s="102"/>
      <c r="O102" s="97">
        <v>2887140</v>
      </c>
    </row>
    <row r="103" spans="1:15" s="97" customFormat="1" hidden="1" x14ac:dyDescent="0.2">
      <c r="B103" s="97">
        <v>12</v>
      </c>
      <c r="C103" s="97" t="s">
        <v>139</v>
      </c>
      <c r="D103" s="102">
        <v>8.0772114249542757E-3</v>
      </c>
      <c r="E103" s="102"/>
      <c r="F103" s="102"/>
      <c r="G103" s="102"/>
      <c r="H103" s="102"/>
      <c r="I103" s="102"/>
      <c r="J103" s="102"/>
      <c r="K103" s="102"/>
      <c r="L103" s="102"/>
      <c r="M103" s="102"/>
      <c r="O103" s="97">
        <v>15057844</v>
      </c>
    </row>
    <row r="104" spans="1:15" s="97" customFormat="1" hidden="1" x14ac:dyDescent="0.2">
      <c r="B104" s="97">
        <v>13</v>
      </c>
      <c r="C104" s="97" t="s">
        <v>101</v>
      </c>
      <c r="D104" s="102">
        <v>5.6732873959664053E-2</v>
      </c>
      <c r="E104" s="102">
        <v>5.2868464223060602E-2</v>
      </c>
      <c r="F104" s="102">
        <v>5.683172522173071E-2</v>
      </c>
      <c r="G104" s="102">
        <v>3.8080211356850649E-2</v>
      </c>
      <c r="H104" s="102">
        <v>6.2391691377461797E-2</v>
      </c>
      <c r="I104" s="102">
        <v>3.9992194668670641E-2</v>
      </c>
      <c r="J104" s="102">
        <v>3.2011647243921131E-2</v>
      </c>
      <c r="K104" s="102">
        <v>2.6281830767625858E-2</v>
      </c>
      <c r="L104" s="102">
        <v>2.8771136445971658E-2</v>
      </c>
      <c r="M104" s="102">
        <v>5.1267563341064269E-2</v>
      </c>
      <c r="O104" s="97">
        <v>5920853</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14</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8</v>
      </c>
      <c r="D120" s="56">
        <v>14</v>
      </c>
      <c r="E120" s="56">
        <v>8</v>
      </c>
      <c r="F120" s="57">
        <v>30</v>
      </c>
    </row>
    <row r="121" spans="1:14" ht="18" customHeight="1" x14ac:dyDescent="0.2">
      <c r="A121" s="225" t="s">
        <v>23</v>
      </c>
      <c r="B121" s="30" t="s">
        <v>58</v>
      </c>
      <c r="C121" s="58">
        <v>19.466249465942383</v>
      </c>
      <c r="D121" s="58">
        <v>20.713571548461914</v>
      </c>
      <c r="E121" s="58">
        <v>20.606250762939453</v>
      </c>
      <c r="F121" s="59">
        <v>20.352333068847656</v>
      </c>
    </row>
    <row r="122" spans="1:14" ht="18" customHeight="1" x14ac:dyDescent="0.2">
      <c r="A122" s="226"/>
      <c r="B122" s="33" t="s">
        <v>51</v>
      </c>
      <c r="C122" s="60">
        <v>378</v>
      </c>
      <c r="D122" s="60">
        <v>401.42857360839844</v>
      </c>
      <c r="E122" s="60">
        <v>349.125</v>
      </c>
      <c r="F122" s="61">
        <v>381.23333740234375</v>
      </c>
    </row>
    <row r="123" spans="1:14" ht="18" customHeight="1" x14ac:dyDescent="0.2">
      <c r="A123" s="226"/>
      <c r="B123" s="33" t="s">
        <v>52</v>
      </c>
      <c r="C123" s="60">
        <v>110.875</v>
      </c>
      <c r="D123" s="60">
        <v>125.35713958740234</v>
      </c>
      <c r="E123" s="60">
        <v>115.125</v>
      </c>
      <c r="F123" s="61">
        <v>118.76667022705078</v>
      </c>
    </row>
    <row r="124" spans="1:14" ht="18" customHeight="1" x14ac:dyDescent="0.2">
      <c r="A124" s="226"/>
      <c r="B124" s="33" t="s">
        <v>53</v>
      </c>
      <c r="C124" s="60">
        <v>294.31137084960937</v>
      </c>
      <c r="D124" s="60">
        <v>315.85003662109375</v>
      </c>
      <c r="E124" s="60">
        <v>290.47003173828125</v>
      </c>
      <c r="F124" s="61">
        <v>303.33840942382813</v>
      </c>
    </row>
    <row r="125" spans="1:14" ht="18" customHeight="1" x14ac:dyDescent="0.2">
      <c r="A125" s="226"/>
      <c r="B125" s="33" t="s">
        <v>54</v>
      </c>
      <c r="C125" s="28">
        <v>176.66404724121094</v>
      </c>
      <c r="D125" s="28">
        <v>135.84339141845703</v>
      </c>
      <c r="E125" s="28">
        <v>81.271934509277344</v>
      </c>
      <c r="F125" s="62">
        <v>132.176513671875</v>
      </c>
    </row>
    <row r="126" spans="1:14" ht="18" customHeight="1" x14ac:dyDescent="0.2">
      <c r="A126" s="226"/>
      <c r="B126" s="33" t="s">
        <v>59</v>
      </c>
      <c r="C126" s="28">
        <f ca="1">399.48471875*OFFSET($L$112,MATCH($N$1,$C$112:$C$113,0)-1,0)</f>
        <v>399.48471875000001</v>
      </c>
      <c r="D126" s="28">
        <f ca="1">312.820609375*OFFSET($L$112,MATCH($N$1,$C$112:$C$113,0)-1,0)</f>
        <v>312.820609375</v>
      </c>
      <c r="E126" s="28">
        <f ca="1">175.902953125*OFFSET($L$112,MATCH($N$1,$C$112:$C$113,0)-1,0)</f>
        <v>175.90295312500001</v>
      </c>
      <c r="F126" s="62">
        <f ca="1">299.41965625*OFFSET($L$112,MATCH($N$1,$C$112:$C$113,0)-1,0)</f>
        <v>299.41965625</v>
      </c>
    </row>
    <row r="127" spans="1:14" ht="18" customHeight="1" x14ac:dyDescent="0.2">
      <c r="A127" s="226"/>
      <c r="B127" s="33" t="s">
        <v>56</v>
      </c>
      <c r="C127" s="60">
        <v>151.25</v>
      </c>
      <c r="D127" s="60">
        <v>141.92857360839844</v>
      </c>
      <c r="E127" s="60">
        <v>113</v>
      </c>
      <c r="F127" s="61">
        <v>136.69999694824219</v>
      </c>
    </row>
    <row r="128" spans="1:14" ht="18" customHeight="1" x14ac:dyDescent="0.2">
      <c r="A128" s="226"/>
      <c r="B128" s="33" t="s">
        <v>60</v>
      </c>
      <c r="C128" s="60">
        <v>37.75</v>
      </c>
      <c r="D128" s="60">
        <v>35.285715103149414</v>
      </c>
      <c r="E128" s="60">
        <v>41.875</v>
      </c>
      <c r="F128" s="61">
        <v>37.700000762939453</v>
      </c>
    </row>
    <row r="129" spans="1:14" ht="18" customHeight="1" x14ac:dyDescent="0.2">
      <c r="A129" s="226"/>
      <c r="B129" s="33" t="s">
        <v>61</v>
      </c>
      <c r="C129" s="63">
        <v>1.1680268049240112</v>
      </c>
      <c r="D129" s="63">
        <v>0.95712503807209881</v>
      </c>
      <c r="E129" s="63">
        <v>0.71922063827514648</v>
      </c>
      <c r="F129" s="64">
        <v>0.96690940856933594</v>
      </c>
    </row>
    <row r="130" spans="1:14" ht="18" customHeight="1" x14ac:dyDescent="0.2">
      <c r="A130" s="227"/>
      <c r="B130" s="35" t="s">
        <v>24</v>
      </c>
      <c r="C130" s="37">
        <f ca="1">2261.26778474942*OFFSET($L$112,MATCH($N$1,$C$112:$C$113,0)-1,0)</f>
        <v>2261.2677847494201</v>
      </c>
      <c r="D130" s="37">
        <f ca="1">2302.80329509277*OFFSET($L$112,MATCH($N$1,$C$112:$C$113,0)-1,0)</f>
        <v>2302.80329509277</v>
      </c>
      <c r="E130" s="37">
        <f ca="1">2164.37512146238*OFFSET($L$112,MATCH($N$1,$C$112:$C$113,0)-1,0)</f>
        <v>2164.3751214623799</v>
      </c>
      <c r="F130" s="65">
        <f ca="1">2265*OFFSET($L$112,MATCH($N$1,$C$112:$C$113,0)-1,0)</f>
        <v>2265</v>
      </c>
    </row>
    <row r="131" spans="1:14" ht="18" customHeight="1" x14ac:dyDescent="0.2">
      <c r="A131" s="239" t="s">
        <v>25</v>
      </c>
      <c r="B131" s="30" t="s">
        <v>62</v>
      </c>
      <c r="C131" s="66">
        <v>3.0541200501553463</v>
      </c>
      <c r="D131" s="66">
        <v>2.2934619610249589</v>
      </c>
      <c r="E131" s="66">
        <v>2.0958798903803117</v>
      </c>
      <c r="F131" s="67">
        <v>2.474903497071852</v>
      </c>
    </row>
    <row r="132" spans="1:14" ht="18" customHeight="1" x14ac:dyDescent="0.2">
      <c r="A132" s="228"/>
      <c r="B132" s="33" t="s">
        <v>63</v>
      </c>
      <c r="C132" s="63">
        <f ca="1">6.90618328017357*OFFSET($L$112,MATCH($N$1,$C$112:$C$113,0)-1,0)</f>
        <v>6.9061832801735701</v>
      </c>
      <c r="D132" s="63">
        <f ca="1">5.28139176101821*OFFSET($L$112,MATCH($N$1,$C$112:$C$113,0)-1,0)</f>
        <v>5.2813917610182104</v>
      </c>
      <c r="E132" s="63">
        <f ca="1">4.53627029231245*OFFSET($L$112,MATCH($N$1,$C$112:$C$113,0)-1,0)</f>
        <v>4.5362702923124498</v>
      </c>
      <c r="F132" s="64">
        <f ca="1">5.60640263356301*OFFSET($L$112,MATCH($N$1,$C$112:$C$113,0)-1,0)</f>
        <v>5.6064026335630102</v>
      </c>
    </row>
    <row r="133" spans="1:14" ht="18" customHeight="1" x14ac:dyDescent="0.2">
      <c r="A133" s="228"/>
      <c r="B133" s="33" t="s">
        <v>11</v>
      </c>
      <c r="C133" s="63">
        <f ca="1">4.67287863366439*OFFSET($L$112,MATCH($N$1,$C$112:$C$113,0)-1,0)</f>
        <v>4.6728786336643902</v>
      </c>
      <c r="D133" s="63">
        <f ca="1">3.76556886956151*OFFSET($L$112,MATCH($N$1,$C$112:$C$113,0)-1,0)</f>
        <v>3.7655688695615099</v>
      </c>
      <c r="E133" s="63">
        <f ca="1">3.50176056763674*OFFSET($L$112,MATCH($N$1,$C$112:$C$113,0)-1,0)</f>
        <v>3.5017605676367398</v>
      </c>
      <c r="F133" s="64">
        <f ca="1">3.97654424433248*OFFSET($L$112,MATCH($N$1,$C$112:$C$113,0)-1,0)</f>
        <v>3.9765442443324801</v>
      </c>
    </row>
    <row r="134" spans="1:14" ht="18" customHeight="1" x14ac:dyDescent="0.2">
      <c r="A134" s="229"/>
      <c r="B134" s="35" t="s">
        <v>12</v>
      </c>
      <c r="C134" s="68">
        <f ca="1">2.23330464650918*OFFSET($L$112,MATCH($N$1,$C$112:$C$113,0)-1,0)</f>
        <v>2.2333046465091799</v>
      </c>
      <c r="D134" s="68">
        <f ca="1">1.51582289145669*OFFSET($L$112,MATCH($N$1,$C$112:$C$113,0)-1,0)</f>
        <v>1.51582289145669</v>
      </c>
      <c r="E134" s="68">
        <f ca="1">1.03450972467571*OFFSET($L$112,MATCH($N$1,$C$112:$C$113,0)-1,0)</f>
        <v>1.03450972467571</v>
      </c>
      <c r="F134" s="69">
        <f ca="1">1.62985838923052*OFFSET($L$112,MATCH($N$1,$C$112:$C$113,0)-1,0)</f>
        <v>1.6298583892305201</v>
      </c>
    </row>
    <row r="135" spans="1:14" ht="18" customHeight="1" x14ac:dyDescent="0.2">
      <c r="A135" s="240" t="s">
        <v>45</v>
      </c>
      <c r="B135" s="33" t="s">
        <v>102</v>
      </c>
      <c r="C135" s="70">
        <f ca="1">49.60247265625*OFFSET($L$112,MATCH($N$1,$C$112:$C$113,0)-1,0)</f>
        <v>49.602472656250001</v>
      </c>
      <c r="D135" s="70">
        <f ca="1">50.21762890625*OFFSET($L$112,MATCH($N$1,$C$112:$C$113,0)-1,0)</f>
        <v>50.217628906249999</v>
      </c>
      <c r="E135" s="70">
        <f ca="1">38.60907421875*OFFSET($L$112,MATCH($N$1,$C$112:$C$113,0)-1,0)</f>
        <v>38.609074218750003</v>
      </c>
      <c r="F135" s="71">
        <f ca="1">46.95797265625*OFFSET($L$112,MATCH($N$1,$C$112:$C$113,0)-1,0)</f>
        <v>46.95797265625</v>
      </c>
    </row>
    <row r="136" spans="1:14" ht="18" customHeight="1" x14ac:dyDescent="0.2">
      <c r="A136" s="241"/>
      <c r="B136" s="33" t="s">
        <v>103</v>
      </c>
      <c r="C136" s="26">
        <v>118262.49870300293</v>
      </c>
      <c r="D136" s="26">
        <v>119467.86186870933</v>
      </c>
      <c r="E136" s="26">
        <v>91374.997436523438</v>
      </c>
      <c r="F136" s="72">
        <v>111655</v>
      </c>
    </row>
    <row r="137" spans="1:14" ht="18" customHeight="1" x14ac:dyDescent="0.2">
      <c r="A137" s="241"/>
      <c r="B137" s="33" t="s">
        <v>104</v>
      </c>
      <c r="C137" s="26">
        <v>781.90081787109375</v>
      </c>
      <c r="D137" s="26">
        <v>841.74637165267734</v>
      </c>
      <c r="E137" s="26">
        <v>808.6282958984375</v>
      </c>
      <c r="F137" s="72">
        <v>816.78857421875</v>
      </c>
    </row>
    <row r="138" spans="1:14" ht="18" customHeight="1" x14ac:dyDescent="0.2">
      <c r="A138" s="241"/>
      <c r="B138" s="33" t="s">
        <v>105</v>
      </c>
      <c r="C138" s="26">
        <f ca="1">327.950232438017*OFFSET($L$112,MATCH($N$1,$C$112:$C$113,0)-1,0)</f>
        <v>327.950232438017</v>
      </c>
      <c r="D138" s="26">
        <f ca="1">353.823248057208*OFFSET($L$112,MATCH($N$1,$C$112:$C$113,0)-1,0)</f>
        <v>353.82324805720799</v>
      </c>
      <c r="E138" s="26">
        <f ca="1">341.673223174779*OFFSET($L$112,MATCH($N$1,$C$112:$C$113,0)-1,0)</f>
        <v>341.67322317477903</v>
      </c>
      <c r="F138" s="72">
        <f ca="1">343.511146339157*OFFSET($L$112,MATCH($N$1,$C$112:$C$113,0)-1,0)</f>
        <v>343.51114633915699</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280.772876150202*OFFSET($L$112,MATCH($N$1,$C$112:$C$113,0)-1,0)</f>
        <v>280.77287615020202</v>
      </c>
      <c r="D139" s="26">
        <f ca="1">369.672962238978*OFFSET($L$112,MATCH($N$1,$C$112:$C$113,0)-1,0)</f>
        <v>369.67296223897802</v>
      </c>
      <c r="E139" s="26">
        <f ca="1">475.060356959298*OFFSET($L$112,MATCH($N$1,$C$112:$C$113,0)-1,0)</f>
        <v>475.06035695929802</v>
      </c>
      <c r="F139" s="72">
        <f ca="1">355.267145060446*OFFSET($L$112,MATCH($N$1,$C$112:$C$113,0)-1,0)</f>
        <v>355.26714506044601</v>
      </c>
      <c r="I139" s="49"/>
      <c r="K139" s="73" t="s">
        <v>107</v>
      </c>
      <c r="L139" s="74">
        <f t="shared" ref="L139:M141" ca="1" si="2">C140</f>
        <v>401.14681250000001</v>
      </c>
      <c r="M139" s="74">
        <f t="shared" ca="1" si="2"/>
        <v>314.12212499999998</v>
      </c>
      <c r="N139" s="74">
        <f ca="1">E140</f>
        <v>176.63481250000001</v>
      </c>
    </row>
    <row r="140" spans="1:14" ht="18" customHeight="1" x14ac:dyDescent="0.2">
      <c r="A140" s="230" t="s">
        <v>46</v>
      </c>
      <c r="B140" s="30" t="s">
        <v>108</v>
      </c>
      <c r="C140" s="75">
        <f ca="1">401.1468125*OFFSET($L$112,MATCH($N$1,$C$112:$C$113,0)-1,0)</f>
        <v>401.14681250000001</v>
      </c>
      <c r="D140" s="75">
        <f ca="1">314.122125*OFFSET($L$112,MATCH($N$1,$C$112:$C$113,0)-1,0)</f>
        <v>314.12212499999998</v>
      </c>
      <c r="E140" s="75">
        <f ca="1">176.6348125*OFFSET($L$112,MATCH($N$1,$C$112:$C$113,0)-1,0)</f>
        <v>176.63481250000001</v>
      </c>
      <c r="F140" s="76">
        <f ca="1">300.6654375*OFFSET($L$112,MATCH($N$1,$C$112:$C$113,0)-1,0)</f>
        <v>300.6654375</v>
      </c>
      <c r="I140" s="49"/>
      <c r="K140" s="73" t="s">
        <v>109</v>
      </c>
      <c r="L140" s="74">
        <f t="shared" ca="1" si="2"/>
        <v>271.96243750000002</v>
      </c>
      <c r="M140" s="74">
        <f t="shared" ca="1" si="2"/>
        <v>224.3388515625</v>
      </c>
      <c r="N140" s="74">
        <f ca="1">E141</f>
        <v>136.51964062499999</v>
      </c>
    </row>
    <row r="141" spans="1:14" ht="18" customHeight="1" x14ac:dyDescent="0.2">
      <c r="A141" s="237"/>
      <c r="B141" s="33" t="s">
        <v>110</v>
      </c>
      <c r="C141" s="26">
        <f ca="1">271.9624375*OFFSET($L$112,MATCH($N$1,$C$112:$C$113,0)-1,0)</f>
        <v>271.96243750000002</v>
      </c>
      <c r="D141" s="26">
        <f ca="1">224.3388515625*OFFSET($L$112,MATCH($N$1,$C$112:$C$113,0)-1,0)</f>
        <v>224.3388515625</v>
      </c>
      <c r="E141" s="26">
        <f ca="1">136.519640625*OFFSET($L$112,MATCH($N$1,$C$112:$C$113,0)-1,0)</f>
        <v>136.51964062499999</v>
      </c>
      <c r="F141" s="72">
        <f ca="1">213.620015625*OFFSET($L$112,MATCH($N$1,$C$112:$C$113,0)-1,0)</f>
        <v>213.62001562500001</v>
      </c>
      <c r="I141" s="49"/>
      <c r="K141" s="73" t="s">
        <v>111</v>
      </c>
      <c r="L141" s="74">
        <f t="shared" ca="1" si="2"/>
        <v>129.18437499999999</v>
      </c>
      <c r="M141" s="74">
        <f t="shared" ca="1" si="2"/>
        <v>89.7832734375</v>
      </c>
      <c r="N141" s="74">
        <f ca="1">E142</f>
        <v>40.115171875000001</v>
      </c>
    </row>
    <row r="142" spans="1:14" ht="18" customHeight="1" x14ac:dyDescent="0.2">
      <c r="A142" s="238"/>
      <c r="B142" s="35" t="s">
        <v>112</v>
      </c>
      <c r="C142" s="37">
        <f ca="1">129.184375*OFFSET($L$112,MATCH($N$1,$C$112:$C$113,0)-1,0)</f>
        <v>129.18437499999999</v>
      </c>
      <c r="D142" s="37">
        <f ca="1">89.7832734375*OFFSET($L$112,MATCH($N$1,$C$112:$C$113,0)-1,0)</f>
        <v>89.7832734375</v>
      </c>
      <c r="E142" s="37">
        <f ca="1">40.115171875*OFFSET($L$112,MATCH($N$1,$C$112:$C$113,0)-1,0)</f>
        <v>40.115171875000001</v>
      </c>
      <c r="F142" s="65">
        <f ca="1">87.0454140625*OFFSET($L$112,MATCH($N$1,$C$112:$C$113,0)-1,0)</f>
        <v>87.045414062500001</v>
      </c>
      <c r="I142" s="49"/>
      <c r="K142" s="73" t="s">
        <v>113</v>
      </c>
      <c r="L142" s="77">
        <f ca="1">IFERROR(L140/L$139,"")</f>
        <v>0.67796235449334408</v>
      </c>
      <c r="M142" s="77">
        <f t="shared" ref="M142:N143" ca="1" si="3">IFERROR(M140/M$139,"")</f>
        <v>0.71417717412455428</v>
      </c>
      <c r="N142" s="77">
        <f t="shared" ca="1" si="3"/>
        <v>0.77289204032189285</v>
      </c>
    </row>
    <row r="143" spans="1:14" ht="18" customHeight="1" x14ac:dyDescent="0.2">
      <c r="I143" s="49"/>
      <c r="K143" s="73" t="s">
        <v>114</v>
      </c>
      <c r="L143" s="77">
        <f ca="1">IFERROR(L141/L$139,"")</f>
        <v>0.32203764550665598</v>
      </c>
      <c r="M143" s="77">
        <f t="shared" ca="1" si="3"/>
        <v>0.28582282587544577</v>
      </c>
      <c r="N143" s="77">
        <f t="shared" ca="1" si="3"/>
        <v>0.22710795967810704</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9</v>
      </c>
      <c r="B161" s="53"/>
      <c r="C161" s="79" t="s">
        <v>41</v>
      </c>
      <c r="D161" s="79" t="s">
        <v>115</v>
      </c>
      <c r="E161" s="79" t="s">
        <v>43</v>
      </c>
      <c r="F161" s="79" t="s">
        <v>116</v>
      </c>
      <c r="G161" s="80">
        <v>8</v>
      </c>
      <c r="H161" s="79"/>
      <c r="I161" s="79" t="s">
        <v>41</v>
      </c>
      <c r="J161" s="79" t="s">
        <v>115</v>
      </c>
      <c r="K161" s="79" t="s">
        <v>43</v>
      </c>
      <c r="L161" s="53" t="s">
        <v>116</v>
      </c>
    </row>
    <row r="162" spans="1:14" s="49" customFormat="1" x14ac:dyDescent="0.2">
      <c r="A162" s="50">
        <v>1</v>
      </c>
      <c r="B162" s="53" t="s">
        <v>93</v>
      </c>
      <c r="C162" s="53">
        <v>0.80220705821587845</v>
      </c>
      <c r="D162" s="53">
        <v>0.82758150364765548</v>
      </c>
      <c r="E162" s="53">
        <v>0.78229294131176086</v>
      </c>
      <c r="F162" s="50">
        <v>12153634</v>
      </c>
      <c r="G162" s="50">
        <v>1</v>
      </c>
      <c r="H162" s="53" t="s">
        <v>93</v>
      </c>
      <c r="I162" s="53">
        <v>0.88401865338971097</v>
      </c>
      <c r="J162" s="53">
        <v>0.89855019629828914</v>
      </c>
      <c r="K162" s="53">
        <v>0.90922683159188966</v>
      </c>
      <c r="L162" s="50">
        <v>12153634</v>
      </c>
    </row>
    <row r="163" spans="1:14" s="49" customFormat="1" x14ac:dyDescent="0.2">
      <c r="A163" s="50">
        <v>2</v>
      </c>
      <c r="B163" s="53" t="s">
        <v>16</v>
      </c>
      <c r="C163" s="53">
        <v>4.7511083659278856E-2</v>
      </c>
      <c r="D163" s="53">
        <v>8.2344507659312963E-2</v>
      </c>
      <c r="E163" s="53">
        <v>3.0448088355053637E-2</v>
      </c>
      <c r="F163" s="50">
        <v>3050596</v>
      </c>
      <c r="G163" s="50">
        <v>2</v>
      </c>
      <c r="H163" s="53" t="s">
        <v>121</v>
      </c>
      <c r="I163" s="53">
        <v>3.2428577304564471E-2</v>
      </c>
      <c r="J163" s="53">
        <v>3.5318365445213974E-2</v>
      </c>
      <c r="K163" s="53">
        <v>4.1061699149287666E-2</v>
      </c>
      <c r="L163" s="50">
        <v>553960</v>
      </c>
      <c r="N163" s="49" t="s">
        <v>117</v>
      </c>
    </row>
    <row r="164" spans="1:14" s="49" customFormat="1" x14ac:dyDescent="0.2">
      <c r="A164" s="50">
        <v>3</v>
      </c>
      <c r="B164" s="53" t="s">
        <v>121</v>
      </c>
      <c r="C164" s="53">
        <v>3.0639157145257046E-2</v>
      </c>
      <c r="D164" s="53">
        <v>3.1045309267739376E-2</v>
      </c>
      <c r="E164" s="53">
        <v>3.9726504286562513E-2</v>
      </c>
      <c r="F164" s="50">
        <v>553960</v>
      </c>
      <c r="G164" s="50">
        <v>3</v>
      </c>
      <c r="H164" s="53" t="s">
        <v>16</v>
      </c>
      <c r="I164" s="53">
        <v>2.7469704774174632E-2</v>
      </c>
      <c r="J164" s="53">
        <v>2.5124812704395261E-2</v>
      </c>
      <c r="K164" s="53">
        <v>1.2577188539584859E-2</v>
      </c>
      <c r="L164" s="50">
        <v>3050596</v>
      </c>
      <c r="N164" s="49" t="s">
        <v>118</v>
      </c>
    </row>
    <row r="165" spans="1:14" s="49" customFormat="1" x14ac:dyDescent="0.2">
      <c r="A165" s="50">
        <v>4</v>
      </c>
      <c r="B165" s="53" t="s">
        <v>120</v>
      </c>
      <c r="C165" s="53">
        <v>6.879752877368045E-2</v>
      </c>
      <c r="D165" s="53">
        <v>2.0400385266271061E-2</v>
      </c>
      <c r="E165" s="53">
        <v>0.10789841093267058</v>
      </c>
      <c r="F165" s="50">
        <v>11115023</v>
      </c>
      <c r="G165" s="50">
        <v>4</v>
      </c>
      <c r="H165" s="53" t="s">
        <v>96</v>
      </c>
      <c r="I165" s="53">
        <v>2.0833859931862382E-2</v>
      </c>
      <c r="J165" s="53">
        <v>1.3855049612212969E-2</v>
      </c>
      <c r="K165" s="53">
        <v>0</v>
      </c>
      <c r="L165" s="50">
        <v>1692097</v>
      </c>
    </row>
    <row r="166" spans="1:14" s="49" customFormat="1" x14ac:dyDescent="0.2">
      <c r="A166" s="50">
        <v>5</v>
      </c>
      <c r="B166" s="53" t="s">
        <v>95</v>
      </c>
      <c r="C166" s="53">
        <v>0</v>
      </c>
      <c r="D166" s="53">
        <v>8.0213748398972849E-3</v>
      </c>
      <c r="E166" s="53">
        <v>0</v>
      </c>
      <c r="F166" s="50">
        <v>2480382</v>
      </c>
      <c r="G166" s="50">
        <v>5</v>
      </c>
      <c r="H166" s="53" t="s">
        <v>136</v>
      </c>
      <c r="I166" s="53">
        <v>0</v>
      </c>
      <c r="J166" s="53">
        <v>6.469186957704637E-3</v>
      </c>
      <c r="K166" s="53">
        <v>7.0640300020175352E-3</v>
      </c>
      <c r="L166" s="50">
        <v>3689192</v>
      </c>
    </row>
    <row r="167" spans="1:14" s="49" customFormat="1" x14ac:dyDescent="0.2">
      <c r="A167" s="50">
        <v>6</v>
      </c>
      <c r="B167" s="53" t="s">
        <v>100</v>
      </c>
      <c r="C167" s="53">
        <v>0</v>
      </c>
      <c r="D167" s="53">
        <v>0</v>
      </c>
      <c r="E167" s="53">
        <v>6.5339282948328912E-3</v>
      </c>
      <c r="F167" s="50">
        <v>7434864</v>
      </c>
      <c r="G167" s="50">
        <v>6</v>
      </c>
      <c r="H167" s="53" t="s">
        <v>120</v>
      </c>
      <c r="I167" s="53">
        <v>5.8506696291630916E-3</v>
      </c>
      <c r="J167" s="53">
        <v>0</v>
      </c>
      <c r="K167" s="53">
        <v>8.6152923356726495E-3</v>
      </c>
      <c r="L167" s="50">
        <v>11115023</v>
      </c>
    </row>
    <row r="168" spans="1:14" s="49" customFormat="1" x14ac:dyDescent="0.2">
      <c r="A168" s="50">
        <v>7</v>
      </c>
      <c r="B168" s="53" t="s">
        <v>96</v>
      </c>
      <c r="C168" s="53">
        <v>1.4217451656632425E-2</v>
      </c>
      <c r="D168" s="53">
        <v>0</v>
      </c>
      <c r="E168" s="53">
        <v>0</v>
      </c>
      <c r="F168" s="50">
        <v>1692097</v>
      </c>
      <c r="G168" s="50">
        <v>7</v>
      </c>
      <c r="H168" s="53" t="s">
        <v>101</v>
      </c>
      <c r="I168" s="53">
        <v>2.9398534970524359E-2</v>
      </c>
      <c r="J168" s="53">
        <v>2.0682388982184108E-2</v>
      </c>
      <c r="K168" s="53">
        <v>2.1454958381547651E-2</v>
      </c>
      <c r="L168" s="50">
        <v>5920853</v>
      </c>
    </row>
    <row r="169" spans="1:14" s="49" customFormat="1" x14ac:dyDescent="0.2">
      <c r="A169" s="50">
        <v>8</v>
      </c>
      <c r="B169" s="53" t="s">
        <v>101</v>
      </c>
      <c r="C169" s="53">
        <v>3.662772054927288E-2</v>
      </c>
      <c r="D169" s="53">
        <v>3.0606919319123738E-2</v>
      </c>
      <c r="E169" s="53">
        <v>3.3100126819119446E-2</v>
      </c>
      <c r="F169" s="50">
        <v>5920853</v>
      </c>
      <c r="G169" s="50">
        <v>8</v>
      </c>
      <c r="H169" s="53"/>
      <c r="I169" s="53">
        <v>0</v>
      </c>
      <c r="J169" s="53">
        <v>0</v>
      </c>
      <c r="K169" s="53">
        <v>0</v>
      </c>
      <c r="L169" s="50"/>
    </row>
    <row r="170" spans="1:14" s="49" customFormat="1" x14ac:dyDescent="0.2">
      <c r="A170" s="50">
        <v>9</v>
      </c>
      <c r="B170" s="53"/>
      <c r="C170" s="53">
        <v>0</v>
      </c>
      <c r="D170" s="53">
        <v>0</v>
      </c>
      <c r="E170" s="53">
        <v>0</v>
      </c>
      <c r="F170" s="50"/>
      <c r="G170" s="50">
        <v>9</v>
      </c>
      <c r="H170" s="53"/>
      <c r="I170" s="53">
        <v>0</v>
      </c>
      <c r="J170" s="53">
        <v>0</v>
      </c>
      <c r="K170" s="53">
        <v>0</v>
      </c>
      <c r="L170" s="50"/>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'Area VIIa nephrops o250kW'!D3:N3</xm:f>
              <xm:sqref>C3</xm:sqref>
            </x14:sparkline>
            <x14:sparkline>
              <xm:f>'Area VIIa nephrops o250kW'!D4:N4</xm:f>
              <xm:sqref>C4</xm:sqref>
            </x14:sparkline>
            <x14:sparkline>
              <xm:f>'Area VIIa nephrops o250kW'!D5:N5</xm:f>
              <xm:sqref>C5</xm:sqref>
            </x14:sparkline>
            <x14:sparkline>
              <xm:f>'Area VIIa nephrops o250kW'!D6:N6</xm:f>
              <xm:sqref>C6</xm:sqref>
            </x14:sparkline>
            <x14:sparkline>
              <xm:f>'Area VIIa nephrops o250kW'!D7:N7</xm:f>
              <xm:sqref>C7</xm:sqref>
            </x14:sparkline>
            <x14:sparkline>
              <xm:f>'Area VIIa nephrops o250kW'!D8:N8</xm:f>
              <xm:sqref>C8</xm:sqref>
            </x14:sparkline>
            <x14:sparkline>
              <xm:f>'Area VIIa nephrops o250kW'!D9:N9</xm:f>
              <xm:sqref>C9</xm:sqref>
            </x14:sparkline>
            <x14:sparkline>
              <xm:f>'Area VIIa nephrops o250kW'!F10:M10</xm:f>
              <xm:sqref>C10</xm:sqref>
            </x14:sparkline>
            <x14:sparkline>
              <xm:f>'Area VIIa nephrops o250kW'!D11:N11</xm:f>
              <xm:sqref>C11</xm:sqref>
            </x14:sparkline>
            <x14:sparkline>
              <xm:f>'Area VIIa nephrops o250kW'!D12:N12</xm:f>
              <xm:sqref>C12</xm:sqref>
            </x14:sparkline>
            <x14:sparkline>
              <xm:f>'Area VIIa nephrops o250kW'!D13:N13</xm:f>
              <xm:sqref>C13</xm:sqref>
            </x14:sparkline>
            <x14:sparkline>
              <xm:f>'Area VIIa nephrops o250kW'!D14:N14</xm:f>
              <xm:sqref>C14</xm:sqref>
            </x14:sparkline>
            <x14:sparkline>
              <xm:f>'Area VIIa nephrops o250kW'!D15:N15</xm:f>
              <xm:sqref>C15</xm:sqref>
            </x14:sparkline>
            <x14:sparkline>
              <xm:f>'Area VIIa nephrops o250kW'!D16:N16</xm:f>
              <xm:sqref>C16</xm:sqref>
            </x14:sparkline>
            <x14:sparkline>
              <xm:f>'Area VIIa nephrops o250kW'!D17:N17</xm:f>
              <xm:sqref>C17</xm:sqref>
            </x14:sparkline>
            <x14:sparkline>
              <xm:f>'Area VIIa nephrops o250kW'!D18:N18</xm:f>
              <xm:sqref>C18</xm:sqref>
            </x14:sparkline>
            <x14:sparkline>
              <xm:f>'Area VIIa nephrops o250kW'!D19:N19</xm:f>
              <xm:sqref>C19</xm:sqref>
            </x14:sparkline>
            <x14:sparkline>
              <xm:f>'Area VIIa nephrops o250kW'!D20:N20</xm:f>
              <xm:sqref>C20</xm:sqref>
            </x14:sparkline>
            <x14:sparkline>
              <xm:f>'Area VIIa nephrops o250kW'!D21:N21</xm:f>
              <xm:sqref>C21</xm:sqref>
            </x14:sparkline>
            <x14:sparkline>
              <xm:f>'Area VIIa nephrops o250kW'!D22:N22</xm:f>
              <xm:sqref>C22</xm:sqref>
            </x14:sparkline>
            <x14:sparkline>
              <xm:f>'Area VIIa nephrops o250kW'!D23:N23</xm:f>
              <xm:sqref>C23</xm:sqref>
            </x14:sparkline>
            <x14:sparkline>
              <xm:f>'Area VIIa nephrops o250kW'!D24:N24</xm:f>
              <xm:sqref>C24</xm:sqref>
            </x14:sparkline>
            <x14:sparkline>
              <xm:f>'Area VIIa nephrops o250kW'!F25:M25</xm:f>
              <xm:sqref>C25</xm:sqref>
            </x14:sparkline>
            <x14:sparkline>
              <xm:f>'Area VIIa nephrops o250kW'!F26:M26</xm:f>
              <xm:sqref>C26</xm:sqref>
            </x14:sparkline>
            <x14:sparkline>
              <xm:f>'Area VIIa nephrops o250kW'!D27:N27</xm:f>
              <xm:sqref>C27</xm:sqref>
            </x14:sparkline>
            <x14:sparkline>
              <xm:f>'Area VIIa nephrops o250kW'!D28:N28</xm:f>
              <xm:sqref>C28</xm:sqref>
            </x14:sparkline>
            <x14:sparkline>
              <xm:f>'Area VIIa nephrops o250kW'!D29:N29</xm:f>
              <xm:sqref>C29</xm:sqref>
            </x14:sparkline>
            <x14:sparkline>
              <xm:f>'Area VIIa nephrops o250kW'!D30:N30</xm:f>
              <xm:sqref>C30</xm:sqref>
            </x14:sparkline>
            <x14:sparkline>
              <xm:f>'Area VIIa nephrops o250kW'!D31:N31</xm:f>
              <xm:sqref>C31</xm:sqref>
            </x14:sparkline>
            <x14:sparkline>
              <xm:f>'Area VIIa nephrops o250kW'!D32:N32</xm:f>
              <xm:sqref>C32</xm:sqref>
            </x14:sparkline>
            <x14:sparkline>
              <xm:f>'Area VIIa nephrops o250kW'!D33:N33</xm:f>
              <xm:sqref>C33</xm:sqref>
            </x14:sparkline>
            <x14:sparkline>
              <xm:f>'Area VIIa nephrops o250kW'!D34:N34</xm:f>
              <xm:sqref>C34</xm:sqref>
            </x14:sparkline>
            <x14:sparkline>
              <xm:f>'Area VIIa nephrops o250kW'!D35:N35</xm:f>
              <xm:sqref>C35</xm:sqref>
            </x14:sparkline>
            <x14:sparkline>
              <xm:f>'Area VIIa nephrops o250kW'!D36:N36</xm:f>
              <xm:sqref>C36</xm:sqref>
            </x14:sparkline>
            <x14:sparkline>
              <xm:f>'Area VIIa nephrops o250kW'!D37:N37</xm:f>
              <xm:sqref>C37</xm:sqref>
            </x14:sparkline>
            <x14:sparkline>
              <xm:f>'Area VIIa nephrops o250kW'!D38:M38</xm:f>
              <xm:sqref>C38</xm:sqref>
            </x14:sparkline>
            <x14:sparkline>
              <xm:f>'Area VIIa nephrops o250kW'!D39:M39</xm:f>
              <xm:sqref>C39</xm:sqref>
            </x14:sparkline>
            <x14:sparkline>
              <xm:f>'Area VIIa nephrops o250kW'!D40:M40</xm:f>
              <xm:sqref>C40</xm:sqref>
            </x14:sparkline>
            <x14:sparkline>
              <xm:f>'Area VIIa nephrops o250kW'!D41:M41</xm:f>
              <xm:sqref>C41</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R192"/>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140</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67</v>
      </c>
      <c r="E3" s="22">
        <v>65</v>
      </c>
      <c r="F3" s="22">
        <v>59</v>
      </c>
      <c r="G3" s="22">
        <v>60</v>
      </c>
      <c r="H3" s="22">
        <v>63</v>
      </c>
      <c r="I3" s="22">
        <v>57</v>
      </c>
      <c r="J3" s="22">
        <v>46</v>
      </c>
      <c r="K3" s="22">
        <v>41</v>
      </c>
      <c r="L3" s="22">
        <v>42</v>
      </c>
      <c r="M3" s="22">
        <v>36</v>
      </c>
      <c r="N3" s="22">
        <v>33</v>
      </c>
      <c r="O3" s="23">
        <f t="shared" ref="O3:O41" si="0">IF(N3=0,"",IFERROR(IF(AND(N3&gt;0,D3&lt;0),"na",IF(AND(N3&lt;0,D3&lt;0),-1,1)*(N3-D3)/D3),""))</f>
        <v>-0.5074626865671642</v>
      </c>
      <c r="P3" s="23">
        <f>IF(N3=0,"",IFERROR(IF(AND(N3&gt;0,J3&lt;0),"na",IF(AND(N3&lt;0,J3&lt;0),-1,1)*(N3-J3)/J3),""))</f>
        <v>-0.28260869565217389</v>
      </c>
    </row>
    <row r="4" spans="1:17" ht="18" customHeight="1" x14ac:dyDescent="0.2">
      <c r="A4" s="224"/>
      <c r="B4" s="24" t="s">
        <v>51</v>
      </c>
      <c r="C4" s="25"/>
      <c r="D4" s="26">
        <v>11668</v>
      </c>
      <c r="E4" s="26">
        <v>10912</v>
      </c>
      <c r="F4" s="26">
        <v>10210</v>
      </c>
      <c r="G4" s="26">
        <v>10192</v>
      </c>
      <c r="H4" s="26">
        <v>10721</v>
      </c>
      <c r="I4" s="26">
        <v>9619</v>
      </c>
      <c r="J4" s="26">
        <v>7890</v>
      </c>
      <c r="K4" s="26">
        <v>6921</v>
      </c>
      <c r="L4" s="26">
        <v>6964</v>
      </c>
      <c r="M4" s="26">
        <v>6219</v>
      </c>
      <c r="N4" s="26">
        <v>6084</v>
      </c>
      <c r="O4" s="23">
        <f t="shared" si="0"/>
        <v>-0.47857387727116901</v>
      </c>
      <c r="P4" s="23">
        <f t="shared" ref="P4:P41" si="1">IF(N4=0,"",IFERROR(IF(AND(N4&gt;0,J4&lt;0),"na",IF(AND(N4&lt;0,J4&lt;0),-1,1)*(N4-J4)/J4),""))</f>
        <v>-0.22889733840304183</v>
      </c>
    </row>
    <row r="5" spans="1:17" ht="18" customHeight="1" x14ac:dyDescent="0.2">
      <c r="A5" s="224"/>
      <c r="B5" s="24" t="s">
        <v>52</v>
      </c>
      <c r="C5" s="25"/>
      <c r="D5" s="26">
        <v>2864</v>
      </c>
      <c r="E5" s="26">
        <v>2701</v>
      </c>
      <c r="F5" s="26">
        <v>2545</v>
      </c>
      <c r="G5" s="26">
        <v>2578</v>
      </c>
      <c r="H5" s="26">
        <v>2646</v>
      </c>
      <c r="I5" s="26">
        <v>2364</v>
      </c>
      <c r="J5" s="26">
        <v>1966</v>
      </c>
      <c r="K5" s="26">
        <v>1863</v>
      </c>
      <c r="L5" s="26">
        <v>1805</v>
      </c>
      <c r="M5" s="26">
        <v>1667</v>
      </c>
      <c r="N5" s="26">
        <v>1617</v>
      </c>
      <c r="O5" s="23">
        <f t="shared" si="0"/>
        <v>-0.43540502793296088</v>
      </c>
      <c r="P5" s="23">
        <f t="shared" si="1"/>
        <v>-0.17751780264496439</v>
      </c>
      <c r="Q5" s="27"/>
    </row>
    <row r="6" spans="1:17" ht="18" customHeight="1" x14ac:dyDescent="0.2">
      <c r="A6" s="224"/>
      <c r="B6" s="24" t="s">
        <v>53</v>
      </c>
      <c r="C6" s="25"/>
      <c r="D6" s="26">
        <v>10809.7666015625</v>
      </c>
      <c r="E6" s="26">
        <v>10196.794921875</v>
      </c>
      <c r="F6" s="26">
        <v>9433.4765625</v>
      </c>
      <c r="G6" s="26">
        <v>9487.1376953125</v>
      </c>
      <c r="H6" s="26">
        <v>9906.193359375</v>
      </c>
      <c r="I6" s="26">
        <v>8955.75390625</v>
      </c>
      <c r="J6" s="26">
        <v>7241.36865234375</v>
      </c>
      <c r="K6" s="26">
        <v>6543.90576171875</v>
      </c>
      <c r="L6" s="26">
        <v>6540.70703125</v>
      </c>
      <c r="M6" s="26">
        <v>5798.779296875</v>
      </c>
      <c r="N6" s="26">
        <v>5637.96142578125</v>
      </c>
      <c r="O6" s="23">
        <f t="shared" si="0"/>
        <v>-0.47843819079624628</v>
      </c>
      <c r="P6" s="23">
        <f t="shared" si="1"/>
        <v>-0.22142322861073221</v>
      </c>
    </row>
    <row r="7" spans="1:17" ht="18" customHeight="1" x14ac:dyDescent="0.2">
      <c r="A7" s="224"/>
      <c r="B7" s="24" t="s">
        <v>54</v>
      </c>
      <c r="C7" s="25"/>
      <c r="D7" s="26">
        <v>5164.0947265625</v>
      </c>
      <c r="E7" s="26">
        <v>4391.64013671875</v>
      </c>
      <c r="F7" s="26">
        <v>4609.78515625</v>
      </c>
      <c r="G7" s="26">
        <v>4609.2392578125</v>
      </c>
      <c r="H7" s="26">
        <v>4814.935546875</v>
      </c>
      <c r="I7" s="26">
        <v>3903.61669921875</v>
      </c>
      <c r="J7" s="26">
        <v>2854.451416015625</v>
      </c>
      <c r="K7" s="26">
        <v>3081.633544921875</v>
      </c>
      <c r="L7" s="26">
        <v>3236.304931640625</v>
      </c>
      <c r="M7" s="26">
        <v>2808.662109375</v>
      </c>
      <c r="N7" s="26">
        <v>2641.114501953125</v>
      </c>
      <c r="O7" s="23">
        <f t="shared" si="0"/>
        <v>-0.48856195678052688</v>
      </c>
      <c r="P7" s="23">
        <f t="shared" si="1"/>
        <v>-7.473832375128861E-2</v>
      </c>
    </row>
    <row r="8" spans="1:17" ht="18" customHeight="1" x14ac:dyDescent="0.2">
      <c r="A8" s="224"/>
      <c r="B8" s="24" t="s">
        <v>55</v>
      </c>
      <c r="C8" s="27"/>
      <c r="D8" s="28">
        <f ca="1">10.253416*OFFSET(D$112,MATCH($N$1,$C$112:$C$113,0)-1,0)</f>
        <v>10.253416</v>
      </c>
      <c r="E8" s="28">
        <f ca="1">7.065728*OFFSET(E$112,MATCH($N$1,$C$112:$C$113,0)-1,0)</f>
        <v>7.065728</v>
      </c>
      <c r="F8" s="28">
        <f ca="1">7.3656655*OFFSET(F$112,MATCH($N$1,$C$112:$C$113,0)-1,0)</f>
        <v>7.3656655000000004</v>
      </c>
      <c r="G8" s="28">
        <f ca="1">10.026318*OFFSET(G$112,MATCH($N$1,$C$112:$C$113,0)-1,0)</f>
        <v>10.026318</v>
      </c>
      <c r="H8" s="28">
        <f ca="1">10.902312*OFFSET(H$112,MATCH($N$1,$C$112:$C$113,0)-1,0)</f>
        <v>10.902312</v>
      </c>
      <c r="I8" s="28">
        <f ca="1">7.512155*OFFSET(I$112,MATCH($N$1,$C$112:$C$113,0)-1,0)</f>
        <v>7.5121549999999999</v>
      </c>
      <c r="J8" s="28">
        <f ca="1">6.160179*OFFSET(J$112,MATCH($N$1,$C$112:$C$113,0)-1,0)</f>
        <v>6.1601790000000003</v>
      </c>
      <c r="K8" s="28">
        <f ca="1">6.167968*OFFSET(K$112,MATCH($N$1,$C$112:$C$113,0)-1,0)</f>
        <v>6.1679680000000001</v>
      </c>
      <c r="L8" s="28">
        <f ca="1">6.971045*OFFSET(L$112,MATCH($N$1,$C$112:$C$113,0)-1,0)</f>
        <v>6.9710450000000002</v>
      </c>
      <c r="M8" s="28">
        <f ca="1">5.8745175*OFFSET(M$112,MATCH($N$1,$C$112:$C$113,0)-1,0)</f>
        <v>5.8745174999999996</v>
      </c>
      <c r="N8" s="28">
        <v>5.7210179999999999</v>
      </c>
      <c r="O8" s="23">
        <f t="shared" ca="1" si="0"/>
        <v>-0.44203785353095981</v>
      </c>
      <c r="P8" s="23">
        <f t="shared" ca="1" si="1"/>
        <v>-7.1290298544896227E-2</v>
      </c>
    </row>
    <row r="9" spans="1:17" ht="18" customHeight="1" x14ac:dyDescent="0.2">
      <c r="A9" s="224"/>
      <c r="B9" s="24" t="s">
        <v>56</v>
      </c>
      <c r="C9" s="27"/>
      <c r="D9" s="26">
        <v>9640</v>
      </c>
      <c r="E9" s="26">
        <v>8664</v>
      </c>
      <c r="F9" s="26">
        <v>8384</v>
      </c>
      <c r="G9" s="26">
        <v>7971</v>
      </c>
      <c r="H9" s="26">
        <v>8280</v>
      </c>
      <c r="I9" s="26">
        <v>7175</v>
      </c>
      <c r="J9" s="26">
        <v>5982</v>
      </c>
      <c r="K9" s="26">
        <v>5198</v>
      </c>
      <c r="L9" s="26">
        <v>5723</v>
      </c>
      <c r="M9" s="26">
        <v>4518</v>
      </c>
      <c r="N9" s="26">
        <v>4480</v>
      </c>
      <c r="O9" s="23">
        <f t="shared" si="0"/>
        <v>-0.53526970954356845</v>
      </c>
      <c r="P9" s="23">
        <f t="shared" si="1"/>
        <v>-0.25108659311267134</v>
      </c>
    </row>
    <row r="10" spans="1:17" ht="18" customHeight="1" x14ac:dyDescent="0.2">
      <c r="A10" s="224"/>
      <c r="B10" s="24" t="s">
        <v>57</v>
      </c>
      <c r="C10" s="27"/>
      <c r="D10" s="26"/>
      <c r="E10" s="26">
        <v>281.94229125976562</v>
      </c>
      <c r="F10" s="26">
        <v>281.74942016601562</v>
      </c>
      <c r="G10" s="26">
        <v>247.83438110351562</v>
      </c>
      <c r="H10" s="26">
        <v>222.15409851074219</v>
      </c>
      <c r="I10" s="26">
        <v>229.93597412109375</v>
      </c>
      <c r="J10" s="26">
        <v>220.32821655273437</v>
      </c>
      <c r="K10" s="26">
        <v>163.03457641601562</v>
      </c>
      <c r="L10" s="26">
        <v>178.2611083984375</v>
      </c>
      <c r="M10" s="26">
        <v>188.89537048339844</v>
      </c>
      <c r="N10" s="26">
        <v>147.83157348632812</v>
      </c>
      <c r="O10" s="29" t="str">
        <f t="shared" si="0"/>
        <v/>
      </c>
      <c r="P10" s="29">
        <f t="shared" si="1"/>
        <v>-0.32903930418305988</v>
      </c>
    </row>
    <row r="11" spans="1:17" ht="18" customHeight="1" x14ac:dyDescent="0.2">
      <c r="A11" s="225" t="s">
        <v>23</v>
      </c>
      <c r="B11" s="30" t="s">
        <v>58</v>
      </c>
      <c r="C11" s="31"/>
      <c r="D11" s="32">
        <v>15.557910919189453</v>
      </c>
      <c r="E11" s="32">
        <v>15.361538887023926</v>
      </c>
      <c r="F11" s="32">
        <v>15.483559608459473</v>
      </c>
      <c r="G11" s="32">
        <v>15.427666664123535</v>
      </c>
      <c r="H11" s="32">
        <v>15.25587272644043</v>
      </c>
      <c r="I11" s="32">
        <v>15.449648857116699</v>
      </c>
      <c r="J11" s="32">
        <v>15.33413028717041</v>
      </c>
      <c r="K11" s="32">
        <v>15.728292465209961</v>
      </c>
      <c r="L11" s="32">
        <v>15.396904945373535</v>
      </c>
      <c r="M11" s="32">
        <v>15.557499885559082</v>
      </c>
      <c r="N11" s="32">
        <v>15.974545478820801</v>
      </c>
      <c r="O11" s="23">
        <f t="shared" si="0"/>
        <v>2.6779595396542726E-2</v>
      </c>
      <c r="P11" s="23">
        <f t="shared" si="1"/>
        <v>4.1764037454814509E-2</v>
      </c>
    </row>
    <row r="12" spans="1:17" ht="18" customHeight="1" x14ac:dyDescent="0.2">
      <c r="A12" s="226"/>
      <c r="B12" s="33" t="s">
        <v>51</v>
      </c>
      <c r="C12" s="25"/>
      <c r="D12" s="26">
        <v>174.14924621582031</v>
      </c>
      <c r="E12" s="26">
        <v>167.87692260742187</v>
      </c>
      <c r="F12" s="26">
        <v>173.05084228515625</v>
      </c>
      <c r="G12" s="26">
        <v>169.86666870117187</v>
      </c>
      <c r="H12" s="26">
        <v>170.17460632324219</v>
      </c>
      <c r="I12" s="26">
        <v>168.75437927246094</v>
      </c>
      <c r="J12" s="26">
        <v>171.52174377441406</v>
      </c>
      <c r="K12" s="26">
        <v>168.80487060546875</v>
      </c>
      <c r="L12" s="26">
        <v>165.80952453613281</v>
      </c>
      <c r="M12" s="26">
        <v>172.75</v>
      </c>
      <c r="N12" s="26">
        <v>184.36363220214844</v>
      </c>
      <c r="O12" s="23">
        <f t="shared" si="0"/>
        <v>5.8653058846258821E-2</v>
      </c>
      <c r="P12" s="23">
        <f t="shared" si="1"/>
        <v>7.4870323407066494E-2</v>
      </c>
    </row>
    <row r="13" spans="1:17" ht="18" customHeight="1" x14ac:dyDescent="0.2">
      <c r="A13" s="226"/>
      <c r="B13" s="33" t="s">
        <v>52</v>
      </c>
      <c r="C13" s="25"/>
      <c r="D13" s="26">
        <v>42.746269226074219</v>
      </c>
      <c r="E13" s="26">
        <v>41.553844451904297</v>
      </c>
      <c r="F13" s="26">
        <v>43.135593414306641</v>
      </c>
      <c r="G13" s="26">
        <v>42.966667175292969</v>
      </c>
      <c r="H13" s="26">
        <v>42</v>
      </c>
      <c r="I13" s="26">
        <v>41.473682403564453</v>
      </c>
      <c r="J13" s="26">
        <v>42.739131927490234</v>
      </c>
      <c r="K13" s="26">
        <v>45.43902587890625</v>
      </c>
      <c r="L13" s="26">
        <v>42.976188659667969</v>
      </c>
      <c r="M13" s="26">
        <v>46.305557250976563</v>
      </c>
      <c r="N13" s="26">
        <v>49</v>
      </c>
      <c r="O13" s="23">
        <f t="shared" si="0"/>
        <v>0.14629886741346665</v>
      </c>
      <c r="P13" s="23">
        <f t="shared" si="1"/>
        <v>0.14649029566467897</v>
      </c>
    </row>
    <row r="14" spans="1:17" ht="18" customHeight="1" x14ac:dyDescent="0.2">
      <c r="A14" s="226"/>
      <c r="B14" s="33" t="s">
        <v>53</v>
      </c>
      <c r="C14" s="25"/>
      <c r="D14" s="26">
        <v>161.33979797363281</v>
      </c>
      <c r="E14" s="26">
        <v>156.87376403808594</v>
      </c>
      <c r="F14" s="26">
        <v>159.88943481445312</v>
      </c>
      <c r="G14" s="26">
        <v>158.11895751953125</v>
      </c>
      <c r="H14" s="26">
        <v>157.24116516113281</v>
      </c>
      <c r="I14" s="26">
        <v>157.11848449707031</v>
      </c>
      <c r="J14" s="26">
        <v>157.42105102539062</v>
      </c>
      <c r="K14" s="26">
        <v>159.60745239257812</v>
      </c>
      <c r="L14" s="26">
        <v>155.73112487792969</v>
      </c>
      <c r="M14" s="26">
        <v>161.07719421386719</v>
      </c>
      <c r="N14" s="26">
        <v>170.84732055664062</v>
      </c>
      <c r="O14" s="23">
        <f t="shared" si="0"/>
        <v>5.8928563828755956E-2</v>
      </c>
      <c r="P14" s="23">
        <f t="shared" si="1"/>
        <v>8.5288907956055135E-2</v>
      </c>
    </row>
    <row r="15" spans="1:17" ht="18" customHeight="1" x14ac:dyDescent="0.2">
      <c r="A15" s="226"/>
      <c r="B15" s="33" t="s">
        <v>54</v>
      </c>
      <c r="C15" s="27"/>
      <c r="D15" s="28">
        <v>77.076034545898438</v>
      </c>
      <c r="E15" s="28">
        <v>67.563697814941406</v>
      </c>
      <c r="F15" s="28">
        <v>78.1319580078125</v>
      </c>
      <c r="G15" s="28">
        <v>76.820655822753906</v>
      </c>
      <c r="H15" s="28">
        <v>76.42755126953125</v>
      </c>
      <c r="I15" s="28">
        <v>68.484504699707031</v>
      </c>
      <c r="J15" s="28">
        <v>62.053295135498047</v>
      </c>
      <c r="K15" s="28">
        <v>75.161796569824219</v>
      </c>
      <c r="L15" s="28">
        <v>77.054878234863281</v>
      </c>
      <c r="M15" s="28">
        <v>78.018386840820312</v>
      </c>
      <c r="N15" s="28">
        <v>80.033767700195313</v>
      </c>
      <c r="O15" s="23">
        <f t="shared" si="0"/>
        <v>3.8374225811209292E-2</v>
      </c>
      <c r="P15" s="23">
        <f t="shared" si="1"/>
        <v>0.28975854586667071</v>
      </c>
    </row>
    <row r="16" spans="1:17" ht="18" customHeight="1" x14ac:dyDescent="0.2">
      <c r="A16" s="226"/>
      <c r="B16" s="33" t="s">
        <v>59</v>
      </c>
      <c r="C16" s="27"/>
      <c r="D16" s="28">
        <f ca="1">153.0360625*OFFSET(D$112,MATCH($N$1,$C$112:$C$113,0)-1,0)</f>
        <v>153.03606250000001</v>
      </c>
      <c r="E16" s="28">
        <f ca="1">108.7035078125*OFFSET(E$112,MATCH($N$1,$C$112:$C$113,0)-1,0)</f>
        <v>108.70350781250001</v>
      </c>
      <c r="F16" s="28">
        <f ca="1">124.8417890625*OFFSET(F$112,MATCH($N$1,$C$112:$C$113,0)-1,0)</f>
        <v>124.8417890625</v>
      </c>
      <c r="G16" s="28">
        <f ca="1">167.105296875*OFFSET(G$112,MATCH($N$1,$C$112:$C$113,0)-1,0)</f>
        <v>167.10529687499999</v>
      </c>
      <c r="H16" s="28">
        <f ca="1">173.0525625*OFFSET(H$112,MATCH($N$1,$C$112:$C$113,0)-1,0)</f>
        <v>173.05256249999999</v>
      </c>
      <c r="I16" s="28">
        <f ca="1">131.792203125*OFFSET(I$112,MATCH($N$1,$C$112:$C$113,0)-1,0)</f>
        <v>131.79220312499999</v>
      </c>
      <c r="J16" s="28">
        <f ca="1">133.9169375*OFFSET(J$112,MATCH($N$1,$C$112:$C$113,0)-1,0)</f>
        <v>133.91693749999999</v>
      </c>
      <c r="K16" s="28">
        <f ca="1">150.43825*OFFSET(K$112,MATCH($N$1,$C$112:$C$113,0)-1,0)</f>
        <v>150.43825000000001</v>
      </c>
      <c r="L16" s="28">
        <f ca="1">165.977265625*OFFSET(L$112,MATCH($N$1,$C$112:$C$113,0)-1,0)</f>
        <v>165.977265625</v>
      </c>
      <c r="M16" s="28">
        <f ca="1">163.18103125*OFFSET(M$112,MATCH($N$1,$C$112:$C$113,0)-1,0)</f>
        <v>163.18103124999999</v>
      </c>
      <c r="N16" s="28">
        <v>173.36418750000001</v>
      </c>
      <c r="O16" s="23">
        <f t="shared" ca="1" si="0"/>
        <v>0.13283225318215436</v>
      </c>
      <c r="P16" s="23">
        <f t="shared" ca="1" si="1"/>
        <v>0.29456505455107224</v>
      </c>
    </row>
    <row r="17" spans="1:16" ht="18" customHeight="1" x14ac:dyDescent="0.2">
      <c r="A17" s="226"/>
      <c r="B17" s="33" t="s">
        <v>56</v>
      </c>
      <c r="C17" s="25"/>
      <c r="D17" s="26">
        <v>143.88059997558594</v>
      </c>
      <c r="E17" s="26">
        <v>133.29231262207031</v>
      </c>
      <c r="F17" s="26">
        <v>142.10169982910156</v>
      </c>
      <c r="G17" s="26">
        <v>132.85000610351562</v>
      </c>
      <c r="H17" s="26">
        <v>131.42857360839844</v>
      </c>
      <c r="I17" s="26">
        <v>125.87718963623047</v>
      </c>
      <c r="J17" s="26">
        <v>130.04347229003906</v>
      </c>
      <c r="K17" s="26">
        <v>126.78048706054687</v>
      </c>
      <c r="L17" s="26">
        <v>136.26190185546875</v>
      </c>
      <c r="M17" s="26">
        <v>125.5</v>
      </c>
      <c r="N17" s="26">
        <v>135.757568359375</v>
      </c>
      <c r="O17" s="23">
        <f t="shared" si="0"/>
        <v>-5.6456753847212729E-2</v>
      </c>
      <c r="P17" s="23">
        <f t="shared" si="1"/>
        <v>4.3939891550970375E-2</v>
      </c>
    </row>
    <row r="18" spans="1:16" ht="18" customHeight="1" x14ac:dyDescent="0.2">
      <c r="A18" s="226"/>
      <c r="B18" s="33" t="s">
        <v>60</v>
      </c>
      <c r="C18" s="25"/>
      <c r="D18" s="26">
        <v>32.358207702636719</v>
      </c>
      <c r="E18" s="26">
        <v>34.815383911132812</v>
      </c>
      <c r="F18" s="26">
        <v>34.932205200195313</v>
      </c>
      <c r="G18" s="26">
        <v>36.833332061767578</v>
      </c>
      <c r="H18" s="26">
        <v>36.349205017089844</v>
      </c>
      <c r="I18" s="26">
        <v>38.982456207275391</v>
      </c>
      <c r="J18" s="26">
        <v>38.347827911376953</v>
      </c>
      <c r="K18" s="26">
        <v>40.073169708251953</v>
      </c>
      <c r="L18" s="26">
        <v>40.833332061767578</v>
      </c>
      <c r="M18" s="26">
        <v>39.833332061767578</v>
      </c>
      <c r="N18" s="26">
        <v>40.969696044921875</v>
      </c>
      <c r="O18" s="23">
        <f t="shared" si="0"/>
        <v>0.26612995445923437</v>
      </c>
      <c r="P18" s="23">
        <f t="shared" si="1"/>
        <v>6.8370707712680417E-2</v>
      </c>
    </row>
    <row r="19" spans="1:16" ht="18" customHeight="1" x14ac:dyDescent="0.2">
      <c r="A19" s="226"/>
      <c r="B19" s="33" t="s">
        <v>61</v>
      </c>
      <c r="C19" s="25"/>
      <c r="D19" s="34">
        <v>0.535694420337677</v>
      </c>
      <c r="E19" s="34">
        <v>0.50688368082046509</v>
      </c>
      <c r="F19" s="34">
        <v>0.54983127117156982</v>
      </c>
      <c r="G19" s="34">
        <v>0.57825106382369995</v>
      </c>
      <c r="H19" s="34">
        <v>0.58151394128799438</v>
      </c>
      <c r="I19" s="34">
        <v>0.54405808448791504</v>
      </c>
      <c r="J19" s="34">
        <v>0.47717347741127014</v>
      </c>
      <c r="K19" s="34">
        <v>0.59284985065460205</v>
      </c>
      <c r="L19" s="34">
        <v>0.56549102067947388</v>
      </c>
      <c r="M19" s="34">
        <v>0.62166047096252441</v>
      </c>
      <c r="N19" s="34">
        <v>0.5895344614982605</v>
      </c>
      <c r="O19" s="23">
        <f t="shared" si="0"/>
        <v>0.10050513710156851</v>
      </c>
      <c r="P19" s="23">
        <f t="shared" si="1"/>
        <v>0.23547198116828225</v>
      </c>
    </row>
    <row r="20" spans="1:16" ht="18" customHeight="1" x14ac:dyDescent="0.2">
      <c r="A20" s="227"/>
      <c r="B20" s="35" t="s">
        <v>24</v>
      </c>
      <c r="C20" s="36"/>
      <c r="D20" s="37">
        <f ca="1">1986*OFFSET(D$112,MATCH($N$1,$C$112:$C$113,0)-1,0)</f>
        <v>1986</v>
      </c>
      <c r="E20" s="37">
        <f ca="1">1609*OFFSET(E$112,MATCH($N$1,$C$112:$C$113,0)-1,0)</f>
        <v>1609</v>
      </c>
      <c r="F20" s="37">
        <f ca="1">1598*OFFSET(F$112,MATCH($N$1,$C$112:$C$113,0)-1,0)</f>
        <v>1598</v>
      </c>
      <c r="G20" s="37">
        <f ca="1">2175*OFFSET(G$112,MATCH($N$1,$C$112:$C$113,0)-1,0)</f>
        <v>2175</v>
      </c>
      <c r="H20" s="37">
        <f ca="1">2264*OFFSET(H$112,MATCH($N$1,$C$112:$C$113,0)-1,0)</f>
        <v>2264</v>
      </c>
      <c r="I20" s="37">
        <f ca="1">1924*OFFSET(I$112,MATCH($N$1,$C$112:$C$113,0)-1,0)</f>
        <v>1924</v>
      </c>
      <c r="J20" s="37">
        <f ca="1">2158*OFFSET(J$112,MATCH($N$1,$C$112:$C$113,0)-1,0)</f>
        <v>2158</v>
      </c>
      <c r="K20" s="37">
        <f ca="1">2002*OFFSET(K$112,MATCH($N$1,$C$112:$C$113,0)-1,0)</f>
        <v>2002</v>
      </c>
      <c r="L20" s="37">
        <f ca="1">2154*OFFSET(L$112,MATCH($N$1,$C$112:$C$113,0)-1,0)</f>
        <v>2154</v>
      </c>
      <c r="M20" s="37">
        <f ca="1">2092*OFFSET(M$112,MATCH($N$1,$C$112:$C$113,0)-1,0)</f>
        <v>2092</v>
      </c>
      <c r="N20" s="37">
        <v>2166</v>
      </c>
      <c r="O20" s="29">
        <f t="shared" ca="1" si="0"/>
        <v>9.0634441087613288E-2</v>
      </c>
      <c r="P20" s="29">
        <f t="shared" ca="1" si="1"/>
        <v>3.7071362372567192E-3</v>
      </c>
    </row>
    <row r="21" spans="1:16" ht="18" customHeight="1" x14ac:dyDescent="0.2">
      <c r="A21" s="228" t="s">
        <v>25</v>
      </c>
      <c r="B21" s="30" t="s">
        <v>62</v>
      </c>
      <c r="C21" s="38"/>
      <c r="D21" s="39">
        <v>2.9979950544730811</v>
      </c>
      <c r="E21" s="39">
        <v>2.9298110682466518</v>
      </c>
      <c r="F21" s="39">
        <v>3.1605046133727686</v>
      </c>
      <c r="G21" s="39">
        <v>3.3590217052065969</v>
      </c>
      <c r="H21" s="39">
        <v>3.3961332581277488</v>
      </c>
      <c r="I21" s="39">
        <v>3.1737213048446584</v>
      </c>
      <c r="J21" s="39">
        <v>2.7335049176467137</v>
      </c>
      <c r="K21" s="39">
        <v>3.4300323559517234</v>
      </c>
      <c r="L21" s="39">
        <v>3.3455574085994826</v>
      </c>
      <c r="M21" s="39">
        <v>3.5150585909622967</v>
      </c>
      <c r="N21" s="39">
        <v>3.1141212522437902</v>
      </c>
      <c r="O21" s="23">
        <f t="shared" si="0"/>
        <v>3.873461952428707E-2</v>
      </c>
      <c r="P21" s="23">
        <f t="shared" si="1"/>
        <v>0.13924113768368518</v>
      </c>
    </row>
    <row r="22" spans="1:16" ht="18" customHeight="1" x14ac:dyDescent="0.2">
      <c r="A22" s="228"/>
      <c r="B22" s="33" t="s">
        <v>63</v>
      </c>
      <c r="C22" s="25"/>
      <c r="D22" s="34">
        <f ca="1">5.95258125608187*OFFSET(D$112,MATCH($N$1,$C$112:$C$113,0)-1,0)</f>
        <v>5.9525812560818698</v>
      </c>
      <c r="E22" s="34">
        <f ca="1">4.71378492661289*OFFSET(E$112,MATCH($N$1,$C$112:$C$113,0)-1,0)</f>
        <v>4.7137849266128899</v>
      </c>
      <c r="F22" s="34">
        <f ca="1">5.04995728168349*OFFSET(F$112,MATCH($N$1,$C$112:$C$113,0)-1,0)</f>
        <v>5.0499572816834899</v>
      </c>
      <c r="G22" s="34">
        <f ca="1">7.30676291742695*OFFSET(G$112,MATCH($N$1,$C$112:$C$113,0)-1,0)</f>
        <v>7.3067629174269504</v>
      </c>
      <c r="H22" s="34">
        <f ca="1">7.68976047443742*OFFSET(H$112,MATCH($N$1,$C$112:$C$113,0)-1,0)</f>
        <v>7.6897604744374197</v>
      </c>
      <c r="I22" s="34">
        <f ca="1">6.10753811689634*OFFSET(I$112,MATCH($N$1,$C$112:$C$113,0)-1,0)</f>
        <v>6.1075381168963396</v>
      </c>
      <c r="J22" s="34">
        <f ca="1">5.89916468437514*OFFSET(J$112,MATCH($N$1,$C$112:$C$113,0)-1,0)</f>
        <v>5.8991646843751404</v>
      </c>
      <c r="K22" s="34">
        <f ca="1">6.86529711398517*OFFSET(K$112,MATCH($N$1,$C$112:$C$113,0)-1,0)</f>
        <v>6.8652971139851697</v>
      </c>
      <c r="L22" s="34">
        <f ca="1">7.20637659017888*OFFSET(L$112,MATCH($N$1,$C$112:$C$113,0)-1,0)</f>
        <v>7.2063765901788797</v>
      </c>
      <c r="M22" s="34">
        <f ca="1">7.35199622811592*OFFSET(M$112,MATCH($N$1,$C$112:$C$113,0)-1,0)</f>
        <v>7.3519962281159197</v>
      </c>
      <c r="N22" s="34">
        <v>6.7456164589688523</v>
      </c>
      <c r="O22" s="23">
        <f t="shared" ca="1" si="0"/>
        <v>0.13322543091313921</v>
      </c>
      <c r="P22" s="23">
        <f t="shared" ca="1" si="1"/>
        <v>0.14348671716788508</v>
      </c>
    </row>
    <row r="23" spans="1:16" ht="18" customHeight="1" x14ac:dyDescent="0.2">
      <c r="A23" s="228"/>
      <c r="B23" s="33" t="s">
        <v>11</v>
      </c>
      <c r="C23" s="25"/>
      <c r="D23" s="34">
        <f ca="1">4.72198157343285*OFFSET(D$112,MATCH($N$1,$C$112:$C$113,0)-1,0)</f>
        <v>4.7219815734328501</v>
      </c>
      <c r="E23" s="34">
        <f ca="1">3.56521054277108*OFFSET(E$112,MATCH($N$1,$C$112:$C$113,0)-1,0)</f>
        <v>3.5652105427710801</v>
      </c>
      <c r="F23" s="34">
        <f ca="1">4.21974977116034*OFFSET(F$112,MATCH($N$1,$C$112:$C$113,0)-1,0)</f>
        <v>4.2197497711603402</v>
      </c>
      <c r="G23" s="34">
        <f ca="1">5.53786756536237*OFFSET(G$112,MATCH($N$1,$C$112:$C$113,0)-1,0)</f>
        <v>5.5378675653623697</v>
      </c>
      <c r="H23" s="34">
        <f ca="1">6.11993217177215*OFFSET(H$112,MATCH($N$1,$C$112:$C$113,0)-1,0)</f>
        <v>6.1199321717721498</v>
      </c>
      <c r="I23" s="34">
        <f ca="1">4.86067987011518*OFFSET(I$112,MATCH($N$1,$C$112:$C$113,0)-1,0)</f>
        <v>4.8606798701151801</v>
      </c>
      <c r="J23" s="34">
        <f ca="1">4.96383150636002*OFFSET(J$112,MATCH($N$1,$C$112:$C$113,0)-1,0)</f>
        <v>4.9638315063600196</v>
      </c>
      <c r="K23" s="34">
        <f ca="1">5.45381870889312*OFFSET(K$112,MATCH($N$1,$C$112:$C$113,0)-1,0)</f>
        <v>5.4538187088931203</v>
      </c>
      <c r="L23" s="34">
        <f ca="1">5.62432566646405*OFFSET(L$112,MATCH($N$1,$C$112:$C$113,0)-1,0)</f>
        <v>5.62432566646405</v>
      </c>
      <c r="M23" s="34">
        <f ca="1">6.00586321006835*OFFSET(M$112,MATCH($N$1,$C$112:$C$113,0)-1,0)</f>
        <v>6.00586321006835</v>
      </c>
      <c r="N23" s="34">
        <v>5.6530556581505245</v>
      </c>
      <c r="O23" s="23">
        <f t="shared" ca="1" si="0"/>
        <v>0.19717867811178041</v>
      </c>
      <c r="P23" s="23">
        <f t="shared" ca="1" si="1"/>
        <v>0.13884922381177142</v>
      </c>
    </row>
    <row r="24" spans="1:16" ht="18" customHeight="1" x14ac:dyDescent="0.2">
      <c r="A24" s="228"/>
      <c r="B24" s="33" t="s">
        <v>12</v>
      </c>
      <c r="C24" s="25"/>
      <c r="D24" s="34">
        <f ca="1">1.23482487835129*OFFSET(D$112,MATCH($N$1,$C$112:$C$113,0)-1,0)</f>
        <v>1.2348248783512901</v>
      </c>
      <c r="E24" s="34">
        <f ca="1">1.21917184842968*OFFSET(E$112,MATCH($N$1,$C$112:$C$113,0)-1,0)</f>
        <v>1.2191718484296801</v>
      </c>
      <c r="F24" s="34">
        <f ca="1">0.917525365136134*OFFSET(F$112,MATCH($N$1,$C$112:$C$113,0)-1,0)</f>
        <v>0.91752536513613403</v>
      </c>
      <c r="G24" s="34">
        <f ca="1">1.76889535206459*OFFSET(G$112,MATCH($N$1,$C$112:$C$113,0)-1,0)</f>
        <v>1.76889535206459</v>
      </c>
      <c r="H24" s="34">
        <f ca="1">1.76409909432179*OFFSET(H$112,MATCH($N$1,$C$112:$C$113,0)-1,0)</f>
        <v>1.76409909432179</v>
      </c>
      <c r="I24" s="34">
        <f ca="1">1.29742158260358*OFFSET(I$112,MATCH($N$1,$C$112:$C$113,0)-1,0)</f>
        <v>1.29742158260358</v>
      </c>
      <c r="J24" s="34">
        <f ca="1">0.966453845645566*OFFSET(J$112,MATCH($N$1,$C$112:$C$113,0)-1,0)</f>
        <v>0.96645384564556602</v>
      </c>
      <c r="K24" s="34">
        <f ca="1">1.41147840509205*OFFSET(K$112,MATCH($N$1,$C$112:$C$113,0)-1,0)</f>
        <v>1.4114784050920499</v>
      </c>
      <c r="L24" s="34">
        <f ca="1">1.58205092371483*OFFSET(L$112,MATCH($N$1,$C$112:$C$113,0)-1,0)</f>
        <v>1.5820509237148299</v>
      </c>
      <c r="M24" s="34">
        <f ca="1">1.98234877221055*OFFSET(M$112,MATCH($N$1,$C$112:$C$113,0)-1,0)</f>
        <v>1.9823487722105499</v>
      </c>
      <c r="N24" s="34">
        <v>1.6763025381235304</v>
      </c>
      <c r="O24" s="23">
        <f t="shared" ca="1" si="0"/>
        <v>0.35752248558653205</v>
      </c>
      <c r="P24" s="23">
        <f t="shared" ca="1" si="1"/>
        <v>0.7344879382251347</v>
      </c>
    </row>
    <row r="25" spans="1:16" ht="18" customHeight="1" x14ac:dyDescent="0.2">
      <c r="A25" s="228"/>
      <c r="B25" s="33" t="s">
        <v>64</v>
      </c>
      <c r="C25" s="25"/>
      <c r="D25" s="28"/>
      <c r="E25" s="28">
        <f ca="1">25.06*OFFSET(E$112,MATCH($N$1,$C$112:$C$113,0)-1,0)</f>
        <v>25.06</v>
      </c>
      <c r="F25" s="28">
        <f ca="1">26.13*OFFSET(F$112,MATCH($N$1,$C$112:$C$113,0)-1,0)</f>
        <v>26.13</v>
      </c>
      <c r="G25" s="28">
        <f ca="1">40.45*OFFSET(G$112,MATCH($N$1,$C$112:$C$113,0)-1,0)</f>
        <v>40.450000000000003</v>
      </c>
      <c r="H25" s="28">
        <f ca="1">49.09*OFFSET(H$112,MATCH($N$1,$C$112:$C$113,0)-1,0)</f>
        <v>49.09</v>
      </c>
      <c r="I25" s="28">
        <f ca="1">32.67*OFFSET(I$112,MATCH($N$1,$C$112:$C$113,0)-1,0)</f>
        <v>32.67</v>
      </c>
      <c r="J25" s="28">
        <f ca="1">27.96*OFFSET(J$112,MATCH($N$1,$C$112:$C$113,0)-1,0)</f>
        <v>27.96</v>
      </c>
      <c r="K25" s="28">
        <f ca="1">37.82*OFFSET(K$112,MATCH($N$1,$C$112:$C$113,0)-1,0)</f>
        <v>37.82</v>
      </c>
      <c r="L25" s="28">
        <f ca="1">39.11*OFFSET(L$112,MATCH($N$1,$C$112:$C$113,0)-1,0)</f>
        <v>39.11</v>
      </c>
      <c r="M25" s="28">
        <f ca="1">31.1*OFFSET(M$112,MATCH($N$1,$C$112:$C$113,0)-1,0)</f>
        <v>31.1</v>
      </c>
      <c r="N25" s="28">
        <v>38.71</v>
      </c>
      <c r="O25" s="23" t="str">
        <f t="shared" si="0"/>
        <v/>
      </c>
      <c r="P25" s="23">
        <f t="shared" ca="1" si="1"/>
        <v>0.38447782546494991</v>
      </c>
    </row>
    <row r="26" spans="1:16" ht="18" customHeight="1" x14ac:dyDescent="0.2">
      <c r="A26" s="229"/>
      <c r="B26" s="33" t="s">
        <v>65</v>
      </c>
      <c r="C26" s="40"/>
      <c r="D26" s="28"/>
      <c r="E26" s="28">
        <f ca="1">6.48*OFFSET(E$112,MATCH($N$1,$C$112:$C$113,0)-1,0)</f>
        <v>6.48</v>
      </c>
      <c r="F26" s="28">
        <f ca="1">4.75*OFFSET(F$112,MATCH($N$1,$C$112:$C$113,0)-1,0)</f>
        <v>4.75</v>
      </c>
      <c r="G26" s="28">
        <f ca="1">9.8*OFFSET(G$112,MATCH($N$1,$C$112:$C$113,0)-1,0)</f>
        <v>9.8000000000000007</v>
      </c>
      <c r="H26" s="28">
        <f ca="1">11.26*OFFSET(H$112,MATCH($N$1,$C$112:$C$113,0)-1,0)</f>
        <v>11.26</v>
      </c>
      <c r="I26" s="28">
        <f ca="1">6.94*OFFSET(I$112,MATCH($N$1,$C$112:$C$113,0)-1,0)</f>
        <v>6.94</v>
      </c>
      <c r="J26" s="28">
        <f ca="1">4.57*OFFSET(J$112,MATCH($N$1,$C$112:$C$113,0)-1,0)</f>
        <v>4.57</v>
      </c>
      <c r="K26" s="28">
        <f ca="1">7.77*OFFSET(K$112,MATCH($N$1,$C$112:$C$113,0)-1,0)</f>
        <v>7.77</v>
      </c>
      <c r="L26" s="28">
        <f ca="1">8.58*OFFSET(L$112,MATCH($N$1,$C$112:$C$113,0)-1,0)</f>
        <v>8.58</v>
      </c>
      <c r="M26" s="28">
        <f ca="1">8.39*OFFSET(M$112,MATCH($N$1,$C$112:$C$113,0)-1,0)</f>
        <v>8.39</v>
      </c>
      <c r="N26" s="28">
        <v>9.6199999999999992</v>
      </c>
      <c r="O26" s="29" t="str">
        <f t="shared" si="0"/>
        <v/>
      </c>
      <c r="P26" s="29">
        <f t="shared" ca="1" si="1"/>
        <v>1.1050328227571113</v>
      </c>
    </row>
    <row r="27" spans="1:16" ht="18" customHeight="1" x14ac:dyDescent="0.2">
      <c r="A27" s="230" t="s">
        <v>26</v>
      </c>
      <c r="B27" s="30" t="s">
        <v>59</v>
      </c>
      <c r="C27" s="31"/>
      <c r="D27" s="32">
        <f ca="1">153*OFFSET(D$112,MATCH($N$1,$C$112:$C$113,0)-1,0)</f>
        <v>153</v>
      </c>
      <c r="E27" s="32">
        <f ca="1">108.7*OFFSET(E$112,MATCH($N$1,$C$112:$C$113,0)-1,0)</f>
        <v>108.7</v>
      </c>
      <c r="F27" s="32">
        <f ca="1">124.8*OFFSET(F$112,MATCH($N$1,$C$112:$C$113,0)-1,0)</f>
        <v>124.8</v>
      </c>
      <c r="G27" s="32">
        <f ca="1">167.1*OFFSET(G$112,MATCH($N$1,$C$112:$C$113,0)-1,0)</f>
        <v>167.1</v>
      </c>
      <c r="H27" s="32">
        <f ca="1">173.1*OFFSET(H$112,MATCH($N$1,$C$112:$C$113,0)-1,0)</f>
        <v>173.1</v>
      </c>
      <c r="I27" s="32">
        <f ca="1">131.8*OFFSET(I$112,MATCH($N$1,$C$112:$C$113,0)-1,0)</f>
        <v>131.80000000000001</v>
      </c>
      <c r="J27" s="32">
        <f ca="1">133.9*OFFSET(J$112,MATCH($N$1,$C$112:$C$113,0)-1,0)</f>
        <v>133.9</v>
      </c>
      <c r="K27" s="32">
        <f ca="1">150.4*OFFSET(K$112,MATCH($N$1,$C$112:$C$113,0)-1,0)</f>
        <v>150.4</v>
      </c>
      <c r="L27" s="32">
        <f ca="1">166*OFFSET(L$112,MATCH($N$1,$C$112:$C$113,0)-1,0)</f>
        <v>166</v>
      </c>
      <c r="M27" s="32">
        <f ca="1">163.2*OFFSET(M$112,MATCH($N$1,$C$112:$C$113,0)-1,0)</f>
        <v>163.19999999999999</v>
      </c>
      <c r="N27" s="32">
        <v>173.4</v>
      </c>
      <c r="O27" s="23">
        <f t="shared" ca="1" si="0"/>
        <v>0.13333333333333336</v>
      </c>
      <c r="P27" s="23">
        <f t="shared" ca="1" si="1"/>
        <v>0.29499626587005229</v>
      </c>
    </row>
    <row r="28" spans="1:16" ht="18" customHeight="1" x14ac:dyDescent="0.2">
      <c r="A28" s="231"/>
      <c r="B28" s="33" t="s">
        <v>66</v>
      </c>
      <c r="C28" s="27"/>
      <c r="D28" s="28">
        <f ca="1">0.1*OFFSET(D$112,MATCH($N$1,$C$112:$C$113,0)-1,0)</f>
        <v>0.1</v>
      </c>
      <c r="E28" s="28">
        <f ca="1">1.6*OFFSET(E$112,MATCH($N$1,$C$112:$C$113,0)-1,0)</f>
        <v>1.6</v>
      </c>
      <c r="F28" s="28">
        <f ca="1">2.2*OFFSET(F$112,MATCH($N$1,$C$112:$C$113,0)-1,0)</f>
        <v>2.2000000000000002</v>
      </c>
      <c r="G28" s="28"/>
      <c r="H28" s="28">
        <f ca="1">4.4*OFFSET(H$112,MATCH($N$1,$C$112:$C$113,0)-1,0)</f>
        <v>4.4000000000000004</v>
      </c>
      <c r="I28" s="28">
        <f ca="1">1.1*OFFSET(I$112,MATCH($N$1,$C$112:$C$113,0)-1,0)</f>
        <v>1.1000000000000001</v>
      </c>
      <c r="J28" s="28">
        <f ca="1">0.7*OFFSET(J$112,MATCH($N$1,$C$112:$C$113,0)-1,0)</f>
        <v>0.7</v>
      </c>
      <c r="K28" s="28"/>
      <c r="L28" s="28"/>
      <c r="M28" s="28">
        <f ca="1">14.1*OFFSET(M$112,MATCH($N$1,$C$112:$C$113,0)-1,0)</f>
        <v>14.1</v>
      </c>
      <c r="N28" s="28">
        <v>15</v>
      </c>
      <c r="O28" s="23">
        <f t="shared" ca="1" si="0"/>
        <v>149</v>
      </c>
      <c r="P28" s="23">
        <f t="shared" ca="1" si="1"/>
        <v>20.428571428571431</v>
      </c>
    </row>
    <row r="29" spans="1:16" ht="18" customHeight="1" x14ac:dyDescent="0.2">
      <c r="A29" s="231"/>
      <c r="B29" s="41" t="s">
        <v>67</v>
      </c>
      <c r="C29" s="42"/>
      <c r="D29" s="43">
        <f ca="1">153.1*OFFSET(D$112,MATCH($N$1,$C$112:$C$113,0)-1,0)</f>
        <v>153.1</v>
      </c>
      <c r="E29" s="43">
        <f ca="1">110.3*OFFSET(E$112,MATCH($N$1,$C$112:$C$113,0)-1,0)</f>
        <v>110.3</v>
      </c>
      <c r="F29" s="43">
        <f ca="1">127*OFFSET(F$112,MATCH($N$1,$C$112:$C$113,0)-1,0)</f>
        <v>127</v>
      </c>
      <c r="G29" s="43">
        <f ca="1">167.1*OFFSET(G$112,MATCH($N$1,$C$112:$C$113,0)-1,0)</f>
        <v>167.1</v>
      </c>
      <c r="H29" s="43">
        <f ca="1">177.4*OFFSET(H$112,MATCH($N$1,$C$112:$C$113,0)-1,0)</f>
        <v>177.4</v>
      </c>
      <c r="I29" s="43">
        <f ca="1">132.9*OFFSET(I$112,MATCH($N$1,$C$112:$C$113,0)-1,0)</f>
        <v>132.9</v>
      </c>
      <c r="J29" s="43">
        <f ca="1">134.6*OFFSET(J$112,MATCH($N$1,$C$112:$C$113,0)-1,0)</f>
        <v>134.6</v>
      </c>
      <c r="K29" s="43">
        <f ca="1">150.4*OFFSET(K$112,MATCH($N$1,$C$112:$C$113,0)-1,0)</f>
        <v>150.4</v>
      </c>
      <c r="L29" s="43">
        <f ca="1">166*OFFSET(L$112,MATCH($N$1,$C$112:$C$113,0)-1,0)</f>
        <v>166</v>
      </c>
      <c r="M29" s="43">
        <f ca="1">177.3*OFFSET(M$112,MATCH($N$1,$C$112:$C$113,0)-1,0)</f>
        <v>177.3</v>
      </c>
      <c r="N29" s="43">
        <v>188.4</v>
      </c>
      <c r="O29" s="23">
        <f t="shared" ca="1" si="0"/>
        <v>0.23056825604180284</v>
      </c>
      <c r="P29" s="23">
        <f t="shared" ca="1" si="1"/>
        <v>0.39970282317979205</v>
      </c>
    </row>
    <row r="30" spans="1:16" ht="18" customHeight="1" x14ac:dyDescent="0.2">
      <c r="A30" s="231"/>
      <c r="B30" s="33" t="s">
        <v>68</v>
      </c>
      <c r="C30" s="27"/>
      <c r="D30" s="28">
        <f ca="1">27.8*OFFSET(D$112,MATCH($N$1,$C$112:$C$113,0)-1,0)</f>
        <v>27.8</v>
      </c>
      <c r="E30" s="28">
        <f ca="1">16.6*OFFSET(E$112,MATCH($N$1,$C$112:$C$113,0)-1,0)</f>
        <v>16.600000000000001</v>
      </c>
      <c r="F30" s="28">
        <f ca="1">23*OFFSET(F$112,MATCH($N$1,$C$112:$C$113,0)-1,0)</f>
        <v>23</v>
      </c>
      <c r="G30" s="28">
        <f ca="1">27.6*OFFSET(G$112,MATCH($N$1,$C$112:$C$113,0)-1,0)</f>
        <v>27.6</v>
      </c>
      <c r="H30" s="28">
        <f ca="1">27.6*OFFSET(H$112,MATCH($N$1,$C$112:$C$113,0)-1,0)</f>
        <v>27.6</v>
      </c>
      <c r="I30" s="28">
        <f ca="1">25.7*OFFSET(I$112,MATCH($N$1,$C$112:$C$113,0)-1,0)</f>
        <v>25.7</v>
      </c>
      <c r="J30" s="28">
        <f ca="1">23.9*OFFSET(J$112,MATCH($N$1,$C$112:$C$113,0)-1,0)</f>
        <v>23.9</v>
      </c>
      <c r="K30" s="28">
        <f ca="1">16.2*OFFSET(K$112,MATCH($N$1,$C$112:$C$113,0)-1,0)</f>
        <v>16.2</v>
      </c>
      <c r="L30" s="28">
        <f ca="1">15.9*OFFSET(L$112,MATCH($N$1,$C$112:$C$113,0)-1,0)</f>
        <v>15.9</v>
      </c>
      <c r="M30" s="28">
        <f ca="1">18.6*OFFSET(M$112,MATCH($N$1,$C$112:$C$113,0)-1,0)</f>
        <v>18.600000000000001</v>
      </c>
      <c r="N30" s="28">
        <v>25.900000000000002</v>
      </c>
      <c r="O30" s="23">
        <f t="shared" ca="1" si="0"/>
        <v>-6.8345323741007144E-2</v>
      </c>
      <c r="P30" s="23">
        <f t="shared" ca="1" si="1"/>
        <v>8.3682008368200986E-2</v>
      </c>
    </row>
    <row r="31" spans="1:16" ht="18" customHeight="1" x14ac:dyDescent="0.2">
      <c r="A31" s="231"/>
      <c r="B31" s="33" t="s">
        <v>69</v>
      </c>
      <c r="C31" s="27"/>
      <c r="D31" s="28">
        <f ca="1">49*OFFSET(D$112,MATCH($N$1,$C$112:$C$113,0)-1,0)</f>
        <v>49</v>
      </c>
      <c r="E31" s="28">
        <f ca="1">25.9*OFFSET(E$112,MATCH($N$1,$C$112:$C$113,0)-1,0)</f>
        <v>25.9</v>
      </c>
      <c r="F31" s="28">
        <f ca="1">36.1*OFFSET(F$112,MATCH($N$1,$C$112:$C$113,0)-1,0)</f>
        <v>36.1</v>
      </c>
      <c r="G31" s="28">
        <f ca="1">51.1*OFFSET(G$112,MATCH($N$1,$C$112:$C$113,0)-1,0)</f>
        <v>51.1</v>
      </c>
      <c r="H31" s="28">
        <f ca="1">52.9*OFFSET(H$112,MATCH($N$1,$C$112:$C$113,0)-1,0)</f>
        <v>52.9</v>
      </c>
      <c r="I31" s="28">
        <f ca="1">38*OFFSET(I$112,MATCH($N$1,$C$112:$C$113,0)-1,0)</f>
        <v>38</v>
      </c>
      <c r="J31" s="28">
        <f ca="1">47.5*OFFSET(J$112,MATCH($N$1,$C$112:$C$113,0)-1,0)</f>
        <v>47.5</v>
      </c>
      <c r="K31" s="28">
        <f ca="1">42.5*OFFSET(K$112,MATCH($N$1,$C$112:$C$113,0)-1,0)</f>
        <v>42.5</v>
      </c>
      <c r="L31" s="28">
        <f ca="1">52.7*OFFSET(L$112,MATCH($N$1,$C$112:$C$113,0)-1,0)</f>
        <v>52.7</v>
      </c>
      <c r="M31" s="28">
        <f ca="1">48.7*OFFSET(M$112,MATCH($N$1,$C$112:$C$113,0)-1,0)</f>
        <v>48.7</v>
      </c>
      <c r="N31" s="28">
        <v>49.300000000000004</v>
      </c>
      <c r="O31" s="23">
        <f t="shared" ca="1" si="0"/>
        <v>6.122448979591924E-3</v>
      </c>
      <c r="P31" s="23">
        <f t="shared" ca="1" si="1"/>
        <v>3.7894736842105356E-2</v>
      </c>
    </row>
    <row r="32" spans="1:16" ht="18" customHeight="1" x14ac:dyDescent="0.2">
      <c r="A32" s="231"/>
      <c r="B32" s="33" t="s">
        <v>70</v>
      </c>
      <c r="C32" s="27"/>
      <c r="D32" s="28">
        <f ca="1">20.1*OFFSET(D$112,MATCH($N$1,$C$112:$C$113,0)-1,0)</f>
        <v>20.100000000000001</v>
      </c>
      <c r="E32" s="28">
        <f ca="1">18.5*OFFSET(E$112,MATCH($N$1,$C$112:$C$113,0)-1,0)</f>
        <v>18.5</v>
      </c>
      <c r="F32" s="28">
        <f ca="1">23.8*OFFSET(F$112,MATCH($N$1,$C$112:$C$113,0)-1,0)</f>
        <v>23.8</v>
      </c>
      <c r="G32" s="28">
        <f ca="1">23.9*OFFSET(G$112,MATCH($N$1,$C$112:$C$113,0)-1,0)</f>
        <v>23.9</v>
      </c>
      <c r="H32" s="28">
        <f ca="1">26.7*OFFSET(H$112,MATCH($N$1,$C$112:$C$113,0)-1,0)</f>
        <v>26.7</v>
      </c>
      <c r="I32" s="28">
        <f ca="1">22.8*OFFSET(I$112,MATCH($N$1,$C$112:$C$113,0)-1,0)</f>
        <v>22.8</v>
      </c>
      <c r="J32" s="28">
        <f ca="1">18.7*OFFSET(J$112,MATCH($N$1,$C$112:$C$113,0)-1,0)</f>
        <v>18.7</v>
      </c>
      <c r="K32" s="28">
        <f ca="1">18.9*OFFSET(K$112,MATCH($N$1,$C$112:$C$113,0)-1,0)</f>
        <v>18.899999999999999</v>
      </c>
      <c r="L32" s="28">
        <f ca="1">22.9*OFFSET(L$112,MATCH($N$1,$C$112:$C$113,0)-1,0)</f>
        <v>22.9</v>
      </c>
      <c r="M32" s="28">
        <f ca="1">22.9*OFFSET(M$112,MATCH($N$1,$C$112:$C$113,0)-1,0)</f>
        <v>22.9</v>
      </c>
      <c r="N32" s="28">
        <v>24.3</v>
      </c>
      <c r="O32" s="23">
        <f t="shared" ca="1" si="0"/>
        <v>0.20895522388059695</v>
      </c>
      <c r="P32" s="23">
        <f t="shared" ca="1" si="1"/>
        <v>0.29946524064171132</v>
      </c>
    </row>
    <row r="33" spans="1:16" ht="18" customHeight="1" x14ac:dyDescent="0.2">
      <c r="A33" s="231"/>
      <c r="B33" s="33" t="s">
        <v>71</v>
      </c>
      <c r="C33" s="27"/>
      <c r="D33" s="28">
        <f ca="1">96.8*OFFSET(D$112,MATCH($N$1,$C$112:$C$113,0)-1,0)</f>
        <v>96.8</v>
      </c>
      <c r="E33" s="28">
        <f ca="1">61*OFFSET(E$112,MATCH($N$1,$C$112:$C$113,0)-1,0)</f>
        <v>61</v>
      </c>
      <c r="F33" s="28">
        <f ca="1">82.9*OFFSET(F$112,MATCH($N$1,$C$112:$C$113,0)-1,0)</f>
        <v>82.9</v>
      </c>
      <c r="G33" s="28">
        <f ca="1">102.5*OFFSET(G$112,MATCH($N$1,$C$112:$C$113,0)-1,0)</f>
        <v>102.5</v>
      </c>
      <c r="H33" s="28">
        <f ca="1">107.3*OFFSET(H$112,MATCH($N$1,$C$112:$C$113,0)-1,0)</f>
        <v>107.3</v>
      </c>
      <c r="I33" s="28">
        <f ca="1">86.5*OFFSET(I$112,MATCH($N$1,$C$112:$C$113,0)-1,0)</f>
        <v>86.5</v>
      </c>
      <c r="J33" s="28">
        <f ca="1">90.1*OFFSET(J$112,MATCH($N$1,$C$112:$C$113,0)-1,0)</f>
        <v>90.1</v>
      </c>
      <c r="K33" s="28">
        <f ca="1">77.6*OFFSET(K$112,MATCH($N$1,$C$112:$C$113,0)-1,0)</f>
        <v>77.599999999999994</v>
      </c>
      <c r="L33" s="28">
        <f ca="1">91.5*OFFSET(L$112,MATCH($N$1,$C$112:$C$113,0)-1,0)</f>
        <v>91.5</v>
      </c>
      <c r="M33" s="28">
        <f ca="1">90.2*OFFSET(M$112,MATCH($N$1,$C$112:$C$113,0)-1,0)</f>
        <v>90.2</v>
      </c>
      <c r="N33" s="28">
        <v>99.5</v>
      </c>
      <c r="O33" s="23">
        <f t="shared" ca="1" si="0"/>
        <v>2.7892561983471103E-2</v>
      </c>
      <c r="P33" s="23">
        <f t="shared" ca="1" si="1"/>
        <v>0.10432852386237521</v>
      </c>
    </row>
    <row r="34" spans="1:16" ht="18" customHeight="1" x14ac:dyDescent="0.2">
      <c r="A34" s="231"/>
      <c r="B34" s="33" t="s">
        <v>72</v>
      </c>
      <c r="C34" s="27"/>
      <c r="D34" s="28">
        <f ca="1">24.6*OFFSET(D$112,MATCH($N$1,$C$112:$C$113,0)-1,0)</f>
        <v>24.6</v>
      </c>
      <c r="E34" s="28">
        <f ca="1">21.2*OFFSET(E$112,MATCH($N$1,$C$112:$C$113,0)-1,0)</f>
        <v>21.2</v>
      </c>
      <c r="F34" s="28">
        <f ca="1">21.5*OFFSET(F$112,MATCH($N$1,$C$112:$C$113,0)-1,0)</f>
        <v>21.5</v>
      </c>
      <c r="G34" s="28">
        <f ca="1">24.2*OFFSET(G$112,MATCH($N$1,$C$112:$C$113,0)-1,0)</f>
        <v>24.2</v>
      </c>
      <c r="H34" s="28">
        <f ca="1">30.5*OFFSET(H$112,MATCH($N$1,$C$112:$C$113,0)-1,0)</f>
        <v>30.5</v>
      </c>
      <c r="I34" s="28">
        <f ca="1">18.4*OFFSET(I$112,MATCH($N$1,$C$112:$C$113,0)-1,0)</f>
        <v>18.399999999999999</v>
      </c>
      <c r="J34" s="28">
        <f ca="1">22.6*OFFSET(J$112,MATCH($N$1,$C$112:$C$113,0)-1,0)</f>
        <v>22.6</v>
      </c>
      <c r="K34" s="28">
        <f ca="1">41.9*OFFSET(K$112,MATCH($N$1,$C$112:$C$113,0)-1,0)</f>
        <v>41.9</v>
      </c>
      <c r="L34" s="28">
        <f ca="1">38*OFFSET(L$112,MATCH($N$1,$C$112:$C$113,0)-1,0)</f>
        <v>38</v>
      </c>
      <c r="M34" s="28">
        <f ca="1">43.1*OFFSET(M$112,MATCH($N$1,$C$112:$C$113,0)-1,0)</f>
        <v>43.1</v>
      </c>
      <c r="N34" s="28">
        <v>45.800000000000004</v>
      </c>
      <c r="O34" s="23">
        <f t="shared" ca="1" si="0"/>
        <v>0.86178861788617889</v>
      </c>
      <c r="P34" s="23">
        <f t="shared" ca="1" si="1"/>
        <v>1.0265486725663717</v>
      </c>
    </row>
    <row r="35" spans="1:16" ht="18" customHeight="1" x14ac:dyDescent="0.2">
      <c r="A35" s="231"/>
      <c r="B35" s="33" t="s">
        <v>73</v>
      </c>
      <c r="C35" s="27"/>
      <c r="D35" s="28">
        <f ca="1">121.4*OFFSET(D$112,MATCH($N$1,$C$112:$C$113,0)-1,0)</f>
        <v>121.4</v>
      </c>
      <c r="E35" s="28">
        <f ca="1">82.2*OFFSET(E$112,MATCH($N$1,$C$112:$C$113,0)-1,0)</f>
        <v>82.2</v>
      </c>
      <c r="F35" s="28">
        <f ca="1">104.3*OFFSET(F$112,MATCH($N$1,$C$112:$C$113,0)-1,0)</f>
        <v>104.3</v>
      </c>
      <c r="G35" s="28">
        <f ca="1">126.7*OFFSET(G$112,MATCH($N$1,$C$112:$C$113,0)-1,0)</f>
        <v>126.7</v>
      </c>
      <c r="H35" s="28">
        <f ca="1">137.7*OFFSET(H$112,MATCH($N$1,$C$112:$C$113,0)-1,0)</f>
        <v>137.69999999999999</v>
      </c>
      <c r="I35" s="28">
        <f ca="1">104.9*OFFSET(I$112,MATCH($N$1,$C$112:$C$113,0)-1,0)</f>
        <v>104.9</v>
      </c>
      <c r="J35" s="28">
        <f ca="1">112.7*OFFSET(J$112,MATCH($N$1,$C$112:$C$113,0)-1,0)</f>
        <v>112.7</v>
      </c>
      <c r="K35" s="28">
        <f ca="1">119.5*OFFSET(K$112,MATCH($N$1,$C$112:$C$113,0)-1,0)</f>
        <v>119.5</v>
      </c>
      <c r="L35" s="28">
        <f ca="1">129.5*OFFSET(L$112,MATCH($N$1,$C$112:$C$113,0)-1,0)</f>
        <v>129.5</v>
      </c>
      <c r="M35" s="28">
        <f ca="1">133.3*OFFSET(M$112,MATCH($N$1,$C$112:$C$113,0)-1,0)</f>
        <v>133.30000000000001</v>
      </c>
      <c r="N35" s="28">
        <v>145.30000000000001</v>
      </c>
      <c r="O35" s="23">
        <f t="shared" ca="1" si="0"/>
        <v>0.19686985172981883</v>
      </c>
      <c r="P35" s="23">
        <f t="shared" ca="1" si="1"/>
        <v>0.28926353149955641</v>
      </c>
    </row>
    <row r="36" spans="1:16" ht="18" customHeight="1" x14ac:dyDescent="0.2">
      <c r="A36" s="231"/>
      <c r="B36" s="41" t="s">
        <v>74</v>
      </c>
      <c r="C36" s="42"/>
      <c r="D36" s="43">
        <f ca="1">80.7*OFFSET(D$112,MATCH($N$1,$C$112:$C$113,0)-1,0)</f>
        <v>80.7</v>
      </c>
      <c r="E36" s="43">
        <f ca="1">54*OFFSET(E$112,MATCH($N$1,$C$112:$C$113,0)-1,0)</f>
        <v>54</v>
      </c>
      <c r="F36" s="43">
        <f ca="1">58.8*OFFSET(F$112,MATCH($N$1,$C$112:$C$113,0)-1,0)</f>
        <v>58.8</v>
      </c>
      <c r="G36" s="43">
        <f ca="1">91.6*OFFSET(G$112,MATCH($N$1,$C$112:$C$113,0)-1,0)</f>
        <v>91.6</v>
      </c>
      <c r="H36" s="43">
        <f ca="1">92.6*OFFSET(H$112,MATCH($N$1,$C$112:$C$113,0)-1,0)</f>
        <v>92.6</v>
      </c>
      <c r="I36" s="43">
        <f ca="1">66*OFFSET(I$112,MATCH($N$1,$C$112:$C$113,0)-1,0)</f>
        <v>66</v>
      </c>
      <c r="J36" s="43">
        <f ca="1">69.4*OFFSET(J$112,MATCH($N$1,$C$112:$C$113,0)-1,0)</f>
        <v>69.400000000000006</v>
      </c>
      <c r="K36" s="43">
        <f ca="1">73.4*OFFSET(K$112,MATCH($N$1,$C$112:$C$113,0)-1,0)</f>
        <v>73.400000000000006</v>
      </c>
      <c r="L36" s="43">
        <f ca="1">89.1*OFFSET(L$112,MATCH($N$1,$C$112:$C$113,0)-1,0)</f>
        <v>89.1</v>
      </c>
      <c r="M36" s="43">
        <f ca="1">92.7*OFFSET(M$112,MATCH($N$1,$C$112:$C$113,0)-1,0)</f>
        <v>92.7</v>
      </c>
      <c r="N36" s="43">
        <v>92.4</v>
      </c>
      <c r="O36" s="23">
        <f t="shared" ca="1" si="0"/>
        <v>0.14498141263940523</v>
      </c>
      <c r="P36" s="23">
        <f t="shared" ca="1" si="1"/>
        <v>0.33141210374639768</v>
      </c>
    </row>
    <row r="37" spans="1:16" ht="18" customHeight="1" x14ac:dyDescent="0.2">
      <c r="A37" s="231"/>
      <c r="B37" s="41" t="s">
        <v>75</v>
      </c>
      <c r="C37" s="42"/>
      <c r="D37" s="43">
        <f ca="1">31.7*OFFSET(D$112,MATCH($N$1,$C$112:$C$113,0)-1,0)</f>
        <v>31.7</v>
      </c>
      <c r="E37" s="43">
        <f ca="1">28.1*OFFSET(E$112,MATCH($N$1,$C$112:$C$113,0)-1,0)</f>
        <v>28.1</v>
      </c>
      <c r="F37" s="43">
        <f ca="1">22.7*OFFSET(F$112,MATCH($N$1,$C$112:$C$113,0)-1,0)</f>
        <v>22.7</v>
      </c>
      <c r="G37" s="43">
        <f ca="1">40.5*OFFSET(G$112,MATCH($N$1,$C$112:$C$113,0)-1,0)</f>
        <v>40.5</v>
      </c>
      <c r="H37" s="43">
        <f ca="1">39.7*OFFSET(H$112,MATCH($N$1,$C$112:$C$113,0)-1,0)</f>
        <v>39.700000000000003</v>
      </c>
      <c r="I37" s="43">
        <f ca="1">28*OFFSET(I$112,MATCH($N$1,$C$112:$C$113,0)-1,0)</f>
        <v>28</v>
      </c>
      <c r="J37" s="43">
        <f ca="1">21.9*OFFSET(J$112,MATCH($N$1,$C$112:$C$113,0)-1,0)</f>
        <v>21.9</v>
      </c>
      <c r="K37" s="43">
        <f ca="1">30.9*OFFSET(K$112,MATCH($N$1,$C$112:$C$113,0)-1,0)</f>
        <v>30.9</v>
      </c>
      <c r="L37" s="43">
        <f ca="1">36.4*OFFSET(L$112,MATCH($N$1,$C$112:$C$113,0)-1,0)</f>
        <v>36.4</v>
      </c>
      <c r="M37" s="43">
        <f ca="1">44*OFFSET(M$112,MATCH($N$1,$C$112:$C$113,0)-1,0)</f>
        <v>44</v>
      </c>
      <c r="N37" s="43">
        <v>43.1</v>
      </c>
      <c r="O37" s="23">
        <f t="shared" ca="1" si="0"/>
        <v>0.35962145110410104</v>
      </c>
      <c r="P37" s="23">
        <f t="shared" ca="1" si="1"/>
        <v>0.96803652968036547</v>
      </c>
    </row>
    <row r="38" spans="1:16" ht="18" customHeight="1" x14ac:dyDescent="0.2">
      <c r="A38" s="231"/>
      <c r="B38" s="33" t="s">
        <v>76</v>
      </c>
      <c r="C38" s="27"/>
      <c r="D38" s="28">
        <f ca="1">4.9*OFFSET(D$112,MATCH($N$1,$C$112:$C$113,0)-1,0)</f>
        <v>4.9000000000000004</v>
      </c>
      <c r="E38" s="28">
        <f ca="1">4.7*OFFSET(E$112,MATCH($N$1,$C$112:$C$113,0)-1,0)</f>
        <v>4.7</v>
      </c>
      <c r="F38" s="28">
        <f ca="1">2.8*OFFSET(F$112,MATCH($N$1,$C$112:$C$113,0)-1,0)</f>
        <v>2.8</v>
      </c>
      <c r="G38" s="28">
        <f ca="1">2.4*OFFSET(G$112,MATCH($N$1,$C$112:$C$113,0)-1,0)</f>
        <v>2.4</v>
      </c>
      <c r="H38" s="28">
        <f ca="1">5*OFFSET(H$112,MATCH($N$1,$C$112:$C$113,0)-1,0)</f>
        <v>5</v>
      </c>
      <c r="I38" s="28">
        <f ca="1">3.6*OFFSET(I$112,MATCH($N$1,$C$112:$C$113,0)-1,0)</f>
        <v>3.6</v>
      </c>
      <c r="J38" s="28">
        <f ca="1">3*OFFSET(J$112,MATCH($N$1,$C$112:$C$113,0)-1,0)</f>
        <v>3</v>
      </c>
      <c r="K38" s="28">
        <f ca="1">0.5*OFFSET(K$112,MATCH($N$1,$C$112:$C$113,0)-1,0)</f>
        <v>0.5</v>
      </c>
      <c r="L38" s="28">
        <f ca="1">12.3*OFFSET(L$112,MATCH($N$1,$C$112:$C$113,0)-1,0)</f>
        <v>12.3</v>
      </c>
      <c r="M38" s="28">
        <f ca="1">1.4*OFFSET(M$112,MATCH($N$1,$C$112:$C$113,0)-1,0)</f>
        <v>1.4</v>
      </c>
      <c r="N38" s="28"/>
      <c r="O38" s="23" t="str">
        <f t="shared" si="0"/>
        <v/>
      </c>
      <c r="P38" s="23" t="str">
        <f t="shared" si="1"/>
        <v/>
      </c>
    </row>
    <row r="39" spans="1:16" ht="18" customHeight="1" x14ac:dyDescent="0.2">
      <c r="A39" s="231"/>
      <c r="B39" s="33" t="s">
        <v>77</v>
      </c>
      <c r="C39" s="27"/>
      <c r="D39" s="28">
        <f ca="1">1.3*OFFSET(D$112,MATCH($N$1,$C$112:$C$113,0)-1,0)</f>
        <v>1.3</v>
      </c>
      <c r="E39" s="28">
        <f ca="1">1.7*OFFSET(E$112,MATCH($N$1,$C$112:$C$113,0)-1,0)</f>
        <v>1.7</v>
      </c>
      <c r="F39" s="28">
        <f ca="1">0.7*OFFSET(F$112,MATCH($N$1,$C$112:$C$113,0)-1,0)</f>
        <v>0.7</v>
      </c>
      <c r="G39" s="28">
        <f ca="1">1*OFFSET(G$112,MATCH($N$1,$C$112:$C$113,0)-1,0)</f>
        <v>1</v>
      </c>
      <c r="H39" s="28">
        <f ca="1">0.8*OFFSET(H$112,MATCH($N$1,$C$112:$C$113,0)-1,0)</f>
        <v>0.8</v>
      </c>
      <c r="I39" s="28">
        <f ca="1">0.6*OFFSET(I$112,MATCH($N$1,$C$112:$C$113,0)-1,0)</f>
        <v>0.6</v>
      </c>
      <c r="J39" s="28">
        <f ca="1">0.3*OFFSET(J$112,MATCH($N$1,$C$112:$C$113,0)-1,0)</f>
        <v>0.3</v>
      </c>
      <c r="K39" s="28">
        <f ca="1">3.7*OFFSET(K$112,MATCH($N$1,$C$112:$C$113,0)-1,0)</f>
        <v>3.7</v>
      </c>
      <c r="L39" s="28">
        <f ca="1">1.3*OFFSET(L$112,MATCH($N$1,$C$112:$C$113,0)-1,0)</f>
        <v>1.3</v>
      </c>
      <c r="M39" s="28">
        <f ca="1">1.1*OFFSET(M$112,MATCH($N$1,$C$112:$C$113,0)-1,0)</f>
        <v>1.1000000000000001</v>
      </c>
      <c r="N39" s="28"/>
      <c r="O39" s="23" t="str">
        <f t="shared" si="0"/>
        <v/>
      </c>
      <c r="P39" s="23" t="str">
        <f t="shared" si="1"/>
        <v/>
      </c>
    </row>
    <row r="40" spans="1:16" ht="18" customHeight="1" x14ac:dyDescent="0.2">
      <c r="A40" s="231"/>
      <c r="B40" s="33" t="s">
        <v>78</v>
      </c>
      <c r="C40" s="27"/>
      <c r="D40" s="28"/>
      <c r="E40" s="28">
        <f ca="1">5.5*OFFSET(E$112,MATCH($N$1,$C$112:$C$113,0)-1,0)</f>
        <v>5.5</v>
      </c>
      <c r="F40" s="28"/>
      <c r="G40" s="28">
        <f ca="1">0.5*OFFSET(G$112,MATCH($N$1,$C$112:$C$113,0)-1,0)</f>
        <v>0.5</v>
      </c>
      <c r="H40" s="28">
        <f ca="1">0.2*OFFSET(H$112,MATCH($N$1,$C$112:$C$113,0)-1,0)</f>
        <v>0.2</v>
      </c>
      <c r="I40" s="28">
        <f ca="1">0.2*OFFSET(I$112,MATCH($N$1,$C$112:$C$113,0)-1,0)</f>
        <v>0.2</v>
      </c>
      <c r="J40" s="28">
        <f ca="1">3.8*OFFSET(J$112,MATCH($N$1,$C$112:$C$113,0)-1,0)</f>
        <v>3.8</v>
      </c>
      <c r="K40" s="28">
        <f ca="1">0.3*OFFSET(K$112,MATCH($N$1,$C$112:$C$113,0)-1,0)</f>
        <v>0.3</v>
      </c>
      <c r="L40" s="28">
        <f ca="1">0.4*OFFSET(L$112,MATCH($N$1,$C$112:$C$113,0)-1,0)</f>
        <v>0.4</v>
      </c>
      <c r="M40" s="28">
        <f ca="1">1.3*OFFSET(M$112,MATCH($N$1,$C$112:$C$113,0)-1,0)</f>
        <v>1.3</v>
      </c>
      <c r="N40" s="28"/>
      <c r="O40" s="23" t="str">
        <f t="shared" si="0"/>
        <v/>
      </c>
      <c r="P40" s="23" t="str">
        <f t="shared" si="1"/>
        <v/>
      </c>
    </row>
    <row r="41" spans="1:16" ht="18" customHeight="1" thickBot="1" x14ac:dyDescent="0.25">
      <c r="A41" s="232"/>
      <c r="B41" s="44" t="s">
        <v>79</v>
      </c>
      <c r="C41" s="45"/>
      <c r="D41" s="46">
        <f ca="1">25.6*OFFSET(D$112,MATCH($N$1,$C$112:$C$113,0)-1,0)</f>
        <v>25.6</v>
      </c>
      <c r="E41" s="46">
        <f ca="1">16.3*OFFSET(E$112,MATCH($N$1,$C$112:$C$113,0)-1,0)</f>
        <v>16.3</v>
      </c>
      <c r="F41" s="46">
        <f ca="1">19.1*OFFSET(F$112,MATCH($N$1,$C$112:$C$113,0)-1,0)</f>
        <v>19.100000000000001</v>
      </c>
      <c r="G41" s="46">
        <f ca="1">36.6*OFFSET(G$112,MATCH($N$1,$C$112:$C$113,0)-1,0)</f>
        <v>36.6</v>
      </c>
      <c r="H41" s="46">
        <f ca="1">33.8*OFFSET(H$112,MATCH($N$1,$C$112:$C$113,0)-1,0)</f>
        <v>33.799999999999997</v>
      </c>
      <c r="I41" s="46">
        <f ca="1">23.6*OFFSET(I$112,MATCH($N$1,$C$112:$C$113,0)-1,0)</f>
        <v>23.6</v>
      </c>
      <c r="J41" s="46">
        <f ca="1">14.8*OFFSET(J$112,MATCH($N$1,$C$112:$C$113,0)-1,0)</f>
        <v>14.8</v>
      </c>
      <c r="K41" s="46">
        <f ca="1">26.4*OFFSET(K$112,MATCH($N$1,$C$112:$C$113,0)-1,0)</f>
        <v>26.4</v>
      </c>
      <c r="L41" s="46">
        <f ca="1">22.4*OFFSET(L$112,MATCH($N$1,$C$112:$C$113,0)-1,0)</f>
        <v>22.4</v>
      </c>
      <c r="M41" s="46">
        <f ca="1">40.2*OFFSET(M$112,MATCH($N$1,$C$112:$C$113,0)-1,0)</f>
        <v>40.200000000000003</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18</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Area VIIA nephrops under 250kW</v>
      </c>
      <c r="C48" s="97"/>
      <c r="D48" s="97"/>
      <c r="E48" s="97"/>
      <c r="F48" s="97"/>
      <c r="G48" s="97"/>
      <c r="K48" s="97" t="str">
        <f>$B24&amp;CHAR(10)&amp;$A$1</f>
        <v>Operating profit per kW day at sea (£)
Area VIIA nephrops under 250kW</v>
      </c>
    </row>
    <row r="49" spans="1:11" s="83" customFormat="1" x14ac:dyDescent="0.2">
      <c r="A49" s="97" t="str">
        <f>$B22&amp;CHAR(10)&amp;$A$1</f>
        <v>Fishing income per kW day at sea (£)
Area VIIA nephrops under 250kW</v>
      </c>
    </row>
    <row r="50" spans="1:11" s="83" customFormat="1" x14ac:dyDescent="0.2">
      <c r="A50" s="97" t="str">
        <f>$B20&amp;CHAR(10)&amp;$A$1</f>
        <v>Average price per tonne landed (£)
Area VIIA nephrops under 250kW</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Area VIIA nephrops under 250kW</v>
      </c>
      <c r="F62" s="97" t="str">
        <f>$B20&amp;CHAR(10)&amp;$A$1</f>
        <v>Average price per tonne landed (£)
Area VIIA nephrops under 250kW</v>
      </c>
      <c r="K62" s="97" t="str">
        <f>"Average annual operating profit per vessel (£'000)"&amp;CHAR(10)&amp;$A$1</f>
        <v>Average annual operating profit per vessel (£'000)
Area VIIA nephrops under 250kW</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Area VIIA nephrops under 250kW</v>
      </c>
      <c r="F76" s="97" t="str">
        <f>"Top 5 landed species by value in "&amp;A77&amp;CHAR(10)&amp;A1</f>
        <v>Top 5 landed species by value in 2017
Area VIIA nephrops under 250kW</v>
      </c>
    </row>
    <row r="77" spans="1:9" s="97" customFormat="1" x14ac:dyDescent="0.2">
      <c r="A77" s="97">
        <v>2017</v>
      </c>
      <c r="B77" s="97" t="s">
        <v>141</v>
      </c>
      <c r="C77" s="98">
        <v>0.75906879874272881</v>
      </c>
      <c r="D77" s="99">
        <v>12153634</v>
      </c>
      <c r="G77" s="97" t="s">
        <v>142</v>
      </c>
      <c r="H77" s="98">
        <v>0.83215471535758223</v>
      </c>
      <c r="I77" s="99">
        <v>12153634</v>
      </c>
    </row>
    <row r="78" spans="1:9" s="97" customFormat="1" x14ac:dyDescent="0.2">
      <c r="B78" s="97" t="s">
        <v>143</v>
      </c>
      <c r="C78" s="98">
        <v>5.6894738306091298E-2</v>
      </c>
      <c r="D78" s="99">
        <v>553960</v>
      </c>
      <c r="G78" s="97" t="s">
        <v>144</v>
      </c>
      <c r="H78" s="98">
        <v>8.3007253842800291E-2</v>
      </c>
      <c r="I78" s="99">
        <v>553960</v>
      </c>
    </row>
    <row r="79" spans="1:9" s="97" customFormat="1" x14ac:dyDescent="0.2">
      <c r="B79" s="97" t="s">
        <v>145</v>
      </c>
      <c r="C79" s="98">
        <v>4.0752889902714466E-2</v>
      </c>
      <c r="D79" s="99">
        <v>11115023</v>
      </c>
      <c r="G79" s="97" t="s">
        <v>146</v>
      </c>
      <c r="H79" s="98">
        <v>1.9531534789031645E-2</v>
      </c>
      <c r="I79" s="99">
        <v>3050596</v>
      </c>
    </row>
    <row r="80" spans="1:9" s="97" customFormat="1" x14ac:dyDescent="0.2">
      <c r="B80" s="97" t="s">
        <v>147</v>
      </c>
      <c r="C80" s="98">
        <v>3.9910926085769821E-2</v>
      </c>
      <c r="D80" s="99">
        <v>3050596</v>
      </c>
      <c r="G80" s="97" t="s">
        <v>148</v>
      </c>
      <c r="H80" s="98">
        <v>1.678296913423831E-2</v>
      </c>
      <c r="I80" s="99">
        <v>1692097</v>
      </c>
    </row>
    <row r="81" spans="1:18" s="97" customFormat="1" x14ac:dyDescent="0.2">
      <c r="B81" s="97" t="s">
        <v>149</v>
      </c>
      <c r="C81" s="98">
        <v>3.4614698833825328E-2</v>
      </c>
      <c r="D81" s="99">
        <v>3689192</v>
      </c>
      <c r="G81" s="97" t="s">
        <v>150</v>
      </c>
      <c r="H81" s="98">
        <v>1.2469320805263587E-2</v>
      </c>
      <c r="I81" s="99">
        <v>3689192</v>
      </c>
    </row>
    <row r="82" spans="1:18" s="97" customFormat="1" x14ac:dyDescent="0.2">
      <c r="B82" s="97" t="s">
        <v>151</v>
      </c>
      <c r="C82" s="98">
        <v>6.8757948128870372E-2</v>
      </c>
      <c r="D82" s="99">
        <v>5920853</v>
      </c>
      <c r="G82" s="97" t="s">
        <v>152</v>
      </c>
      <c r="H82" s="98">
        <v>3.6054206071083894E-2</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93</v>
      </c>
      <c r="D92" s="102">
        <v>0.89993303188775664</v>
      </c>
      <c r="E92" s="102">
        <v>0.8883298392840927</v>
      </c>
      <c r="F92" s="102">
        <v>0.91124434330867032</v>
      </c>
      <c r="G92" s="102">
        <v>0.90326771059471778</v>
      </c>
      <c r="H92" s="102">
        <v>0.8720489428299607</v>
      </c>
      <c r="I92" s="102">
        <v>0.90305949853469503</v>
      </c>
      <c r="J92" s="102">
        <v>0.90278331713224658</v>
      </c>
      <c r="K92" s="102">
        <v>0.84235050500163366</v>
      </c>
      <c r="L92" s="102">
        <v>0.83215471535758223</v>
      </c>
      <c r="M92" s="102">
        <v>0.83285125129828297</v>
      </c>
      <c r="O92" s="97">
        <v>12153634</v>
      </c>
    </row>
    <row r="93" spans="1:18" s="97" customFormat="1" hidden="1" x14ac:dyDescent="0.2">
      <c r="B93" s="97">
        <v>2</v>
      </c>
      <c r="C93" s="97" t="s">
        <v>94</v>
      </c>
      <c r="D93" s="102">
        <v>2.0198054389289049E-2</v>
      </c>
      <c r="E93" s="102">
        <v>2.7201383568146855E-2</v>
      </c>
      <c r="F93" s="102">
        <v>3.8384524686747246E-2</v>
      </c>
      <c r="G93" s="102">
        <v>4.694483482057385E-2</v>
      </c>
      <c r="H93" s="102">
        <v>6.2199502603826166E-2</v>
      </c>
      <c r="I93" s="102">
        <v>6.8313504717746706E-2</v>
      </c>
      <c r="J93" s="102">
        <v>6.9062931124094756E-2</v>
      </c>
      <c r="K93" s="102">
        <v>0.11641502449298242</v>
      </c>
      <c r="L93" s="102">
        <v>8.3007253842800291E-2</v>
      </c>
      <c r="M93" s="102">
        <v>0.10036580246732313</v>
      </c>
      <c r="O93" s="97">
        <v>553960</v>
      </c>
    </row>
    <row r="94" spans="1:18" s="97" customFormat="1" hidden="1" x14ac:dyDescent="0.2">
      <c r="B94" s="97">
        <v>3</v>
      </c>
      <c r="C94" s="97" t="s">
        <v>16</v>
      </c>
      <c r="D94" s="102"/>
      <c r="E94" s="102"/>
      <c r="F94" s="102"/>
      <c r="G94" s="102"/>
      <c r="H94" s="102"/>
      <c r="I94" s="102"/>
      <c r="J94" s="102"/>
      <c r="K94" s="102">
        <v>3.6080946254053543E-3</v>
      </c>
      <c r="L94" s="102">
        <v>1.9531534789031645E-2</v>
      </c>
      <c r="M94" s="102">
        <v>1.1173738687109531E-2</v>
      </c>
      <c r="O94" s="97">
        <v>3050596</v>
      </c>
    </row>
    <row r="95" spans="1:18" s="97" customFormat="1" hidden="1" x14ac:dyDescent="0.2">
      <c r="B95" s="97">
        <v>4</v>
      </c>
      <c r="C95" s="97" t="s">
        <v>121</v>
      </c>
      <c r="D95" s="102">
        <v>1.5140612994609252E-2</v>
      </c>
      <c r="E95" s="102">
        <v>9.8664994858554504E-3</v>
      </c>
      <c r="F95" s="102">
        <v>8.9317052859617749E-3</v>
      </c>
      <c r="G95" s="102">
        <v>9.1476730341876703E-3</v>
      </c>
      <c r="H95" s="102">
        <v>1.0048506149999747E-2</v>
      </c>
      <c r="I95" s="102">
        <v>7.1671041442173938E-3</v>
      </c>
      <c r="J95" s="102">
        <v>4.9242666298980799E-3</v>
      </c>
      <c r="K95" s="102">
        <v>9.0009472793854562E-3</v>
      </c>
      <c r="L95" s="102">
        <v>1.678296913423831E-2</v>
      </c>
      <c r="M95" s="102">
        <v>1.7529553416017918E-2</v>
      </c>
      <c r="O95" s="97">
        <v>1692097</v>
      </c>
    </row>
    <row r="96" spans="1:18" s="97" customFormat="1" hidden="1" x14ac:dyDescent="0.2">
      <c r="B96" s="97">
        <v>5</v>
      </c>
      <c r="C96" s="97" t="s">
        <v>153</v>
      </c>
      <c r="D96" s="102"/>
      <c r="E96" s="102"/>
      <c r="F96" s="102">
        <v>7.9086172084361275E-3</v>
      </c>
      <c r="G96" s="102"/>
      <c r="H96" s="102"/>
      <c r="I96" s="102"/>
      <c r="J96" s="102"/>
      <c r="K96" s="102"/>
      <c r="L96" s="102">
        <v>1.2469320805263587E-2</v>
      </c>
      <c r="M96" s="102"/>
      <c r="O96" s="97">
        <v>3689192</v>
      </c>
    </row>
    <row r="97" spans="1:15" s="97" customFormat="1" hidden="1" x14ac:dyDescent="0.2">
      <c r="B97" s="97">
        <v>6</v>
      </c>
      <c r="C97" s="97" t="s">
        <v>99</v>
      </c>
      <c r="D97" s="102"/>
      <c r="E97" s="102">
        <v>1.5241020502548039E-2</v>
      </c>
      <c r="F97" s="102"/>
      <c r="G97" s="102">
        <v>1.0124990543762554E-2</v>
      </c>
      <c r="H97" s="102">
        <v>1.5306405804267689E-2</v>
      </c>
      <c r="I97" s="102"/>
      <c r="J97" s="102"/>
      <c r="K97" s="102"/>
      <c r="L97" s="102"/>
      <c r="M97" s="102">
        <v>9.2148249992396458E-3</v>
      </c>
      <c r="O97" s="97">
        <v>11115023</v>
      </c>
    </row>
    <row r="98" spans="1:15" s="97" customFormat="1" hidden="1" x14ac:dyDescent="0.2">
      <c r="B98" s="97">
        <v>7</v>
      </c>
      <c r="C98" s="97" t="s">
        <v>154</v>
      </c>
      <c r="D98" s="102"/>
      <c r="E98" s="102"/>
      <c r="F98" s="102"/>
      <c r="G98" s="102"/>
      <c r="H98" s="102"/>
      <c r="I98" s="102"/>
      <c r="J98" s="102"/>
      <c r="K98" s="102">
        <v>6.6140044958555161E-3</v>
      </c>
      <c r="L98" s="102"/>
      <c r="M98" s="102"/>
      <c r="O98" s="97">
        <v>2480382</v>
      </c>
    </row>
    <row r="99" spans="1:15" s="97" customFormat="1" hidden="1" x14ac:dyDescent="0.2">
      <c r="B99" s="97">
        <v>8</v>
      </c>
      <c r="C99" s="97" t="s">
        <v>120</v>
      </c>
      <c r="D99" s="102"/>
      <c r="E99" s="102"/>
      <c r="F99" s="102"/>
      <c r="G99" s="102"/>
      <c r="H99" s="102"/>
      <c r="I99" s="102">
        <v>2.9582267272523508E-3</v>
      </c>
      <c r="J99" s="102">
        <v>5.3321319175030383E-3</v>
      </c>
      <c r="K99" s="102"/>
      <c r="L99" s="102"/>
      <c r="M99" s="102"/>
      <c r="O99" s="97">
        <v>7434864</v>
      </c>
    </row>
    <row r="100" spans="1:15" s="97" customFormat="1" hidden="1" x14ac:dyDescent="0.2">
      <c r="B100" s="97">
        <v>9</v>
      </c>
      <c r="C100" s="97" t="s">
        <v>100</v>
      </c>
      <c r="D100" s="102">
        <v>5.6799507739154062E-3</v>
      </c>
      <c r="E100" s="102">
        <v>1.0124897832366272E-2</v>
      </c>
      <c r="F100" s="102"/>
      <c r="G100" s="102">
        <v>5.3475173282382217E-3</v>
      </c>
      <c r="H100" s="102">
        <v>6.2092395917385497E-3</v>
      </c>
      <c r="I100" s="102"/>
      <c r="J100" s="102">
        <v>3.8797037336966785E-3</v>
      </c>
      <c r="K100" s="102"/>
      <c r="L100" s="102"/>
      <c r="M100" s="102"/>
      <c r="O100" s="97">
        <v>8497745</v>
      </c>
    </row>
    <row r="101" spans="1:15" s="97" customFormat="1" hidden="1" x14ac:dyDescent="0.2">
      <c r="B101" s="97">
        <v>10</v>
      </c>
      <c r="C101" s="97" t="s">
        <v>97</v>
      </c>
      <c r="D101" s="102">
        <v>1.1809776748293218E-2</v>
      </c>
      <c r="E101" s="102"/>
      <c r="F101" s="102"/>
      <c r="G101" s="102"/>
      <c r="H101" s="102"/>
      <c r="I101" s="102">
        <v>3.8377268953566661E-3</v>
      </c>
      <c r="J101" s="102"/>
      <c r="K101" s="102"/>
      <c r="L101" s="102"/>
      <c r="M101" s="102"/>
      <c r="O101" s="97">
        <v>14393110</v>
      </c>
    </row>
    <row r="102" spans="1:15" s="97" customFormat="1" hidden="1" x14ac:dyDescent="0.2">
      <c r="B102" s="97">
        <v>11</v>
      </c>
      <c r="C102" s="97" t="s">
        <v>137</v>
      </c>
      <c r="D102" s="102"/>
      <c r="E102" s="102"/>
      <c r="F102" s="102">
        <v>4.6467616037062873E-3</v>
      </c>
      <c r="G102" s="102"/>
      <c r="H102" s="102"/>
      <c r="I102" s="102"/>
      <c r="J102" s="102"/>
      <c r="K102" s="102"/>
      <c r="L102" s="102"/>
      <c r="M102" s="102"/>
      <c r="O102" s="97">
        <v>2887140</v>
      </c>
    </row>
    <row r="103" spans="1:15" s="97" customFormat="1" hidden="1" x14ac:dyDescent="0.2">
      <c r="B103" s="97">
        <v>12</v>
      </c>
      <c r="C103" s="97" t="s">
        <v>101</v>
      </c>
      <c r="D103" s="102">
        <v>4.7238573206136399E-2</v>
      </c>
      <c r="E103" s="102">
        <v>4.9236359326990727E-2</v>
      </c>
      <c r="F103" s="102">
        <v>2.8884047906478277E-2</v>
      </c>
      <c r="G103" s="102">
        <v>2.5167273678519973E-2</v>
      </c>
      <c r="H103" s="102">
        <v>3.4187403020207195E-2</v>
      </c>
      <c r="I103" s="102">
        <v>1.4663938980731834E-2</v>
      </c>
      <c r="J103" s="102">
        <v>1.4017649462560849E-2</v>
      </c>
      <c r="K103" s="102">
        <v>2.2011424104737588E-2</v>
      </c>
      <c r="L103" s="102">
        <v>3.605420607108395E-2</v>
      </c>
      <c r="M103" s="102">
        <v>2.8864829132026853E-2</v>
      </c>
      <c r="O103" s="97">
        <v>5920853</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13</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"&amp;B160&amp;""</f>
        <v>All values are adjusted to 2017 prices. Quartiles are based on operating profit margin.</v>
      </c>
    </row>
    <row r="115" spans="1:14" s="87" customFormat="1" ht="34.5" customHeight="1" x14ac:dyDescent="0.25">
      <c r="A115" s="105" t="s">
        <v>40</v>
      </c>
    </row>
    <row r="116" spans="1:14" s="106" customFormat="1" ht="15" customHeight="1" x14ac:dyDescent="0.2"/>
    <row r="117" spans="1:14" s="106" customFormat="1" x14ac:dyDescent="0.2"/>
    <row r="118" spans="1:14" ht="18" customHeight="1" thickBot="1" x14ac:dyDescent="0.25"/>
    <row r="119" spans="1:14" ht="39" thickBot="1" x14ac:dyDescent="0.25">
      <c r="A119" s="15"/>
      <c r="B119" s="16" t="s">
        <v>21</v>
      </c>
      <c r="C119" s="54" t="s">
        <v>41</v>
      </c>
      <c r="D119" s="54" t="s">
        <v>42</v>
      </c>
      <c r="E119" s="54" t="s">
        <v>43</v>
      </c>
      <c r="F119" s="55" t="s">
        <v>44</v>
      </c>
    </row>
    <row r="120" spans="1:14" s="56" customFormat="1" ht="18" customHeight="1" x14ac:dyDescent="0.2">
      <c r="B120" s="56" t="s">
        <v>50</v>
      </c>
      <c r="C120" s="56">
        <v>9</v>
      </c>
      <c r="D120" s="56">
        <v>18</v>
      </c>
      <c r="E120" s="56">
        <v>9</v>
      </c>
      <c r="F120" s="57">
        <v>36</v>
      </c>
    </row>
    <row r="121" spans="1:14" ht="18" customHeight="1" x14ac:dyDescent="0.2">
      <c r="A121" s="225" t="s">
        <v>23</v>
      </c>
      <c r="B121" s="30" t="s">
        <v>58</v>
      </c>
      <c r="C121" s="58">
        <v>15.174444198608398</v>
      </c>
      <c r="D121" s="58">
        <v>15.72666597366333</v>
      </c>
      <c r="E121" s="58">
        <v>15.602221488952637</v>
      </c>
      <c r="F121" s="59">
        <v>15.557499885559082</v>
      </c>
    </row>
    <row r="122" spans="1:14" ht="18" customHeight="1" x14ac:dyDescent="0.2">
      <c r="A122" s="226"/>
      <c r="B122" s="33" t="s">
        <v>51</v>
      </c>
      <c r="C122" s="60">
        <v>165.55555725097656</v>
      </c>
      <c r="D122" s="60">
        <v>179.55555725097656</v>
      </c>
      <c r="E122" s="60">
        <v>166.33332824707031</v>
      </c>
      <c r="F122" s="61">
        <v>172.75</v>
      </c>
    </row>
    <row r="123" spans="1:14" ht="18" customHeight="1" x14ac:dyDescent="0.2">
      <c r="A123" s="226"/>
      <c r="B123" s="33" t="s">
        <v>52</v>
      </c>
      <c r="C123" s="60">
        <v>48.222221374511719</v>
      </c>
      <c r="D123" s="60">
        <v>48.722221374511719</v>
      </c>
      <c r="E123" s="60">
        <v>39.555557250976562</v>
      </c>
      <c r="F123" s="61">
        <v>46.305557250976563</v>
      </c>
    </row>
    <row r="124" spans="1:14" ht="18" customHeight="1" x14ac:dyDescent="0.2">
      <c r="A124" s="226"/>
      <c r="B124" s="33" t="s">
        <v>53</v>
      </c>
      <c r="C124" s="60">
        <v>156.00030517578125</v>
      </c>
      <c r="D124" s="60">
        <v>165.02857971191406</v>
      </c>
      <c r="E124" s="60">
        <v>158.2513427734375</v>
      </c>
      <c r="F124" s="61">
        <v>161.07719421386719</v>
      </c>
    </row>
    <row r="125" spans="1:14" ht="18" customHeight="1" x14ac:dyDescent="0.2">
      <c r="A125" s="226"/>
      <c r="B125" s="33" t="s">
        <v>54</v>
      </c>
      <c r="C125" s="28">
        <v>98.175613403320313</v>
      </c>
      <c r="D125" s="28">
        <v>82.943035125732422</v>
      </c>
      <c r="E125" s="28">
        <v>48.011878967285156</v>
      </c>
      <c r="F125" s="62">
        <v>78.018386840820312</v>
      </c>
    </row>
    <row r="126" spans="1:14" ht="18" customHeight="1" x14ac:dyDescent="0.2">
      <c r="A126" s="226"/>
      <c r="B126" s="33" t="s">
        <v>59</v>
      </c>
      <c r="C126" s="28">
        <f ca="1">203.312890625*OFFSET($L$112,MATCH($N$1,$C$112:$C$113,0)-1,0)</f>
        <v>203.31289062499999</v>
      </c>
      <c r="D126" s="28">
        <f ca="1">174.050390625*OFFSET($L$112,MATCH($N$1,$C$112:$C$113,0)-1,0)</f>
        <v>174.05039062500001</v>
      </c>
      <c r="E126" s="28">
        <f ca="1">101.3104765625*OFFSET($L$112,MATCH($N$1,$C$112:$C$113,0)-1,0)</f>
        <v>101.3104765625</v>
      </c>
      <c r="F126" s="62">
        <f ca="1">163.18103125*OFFSET($L$112,MATCH($N$1,$C$112:$C$113,0)-1,0)</f>
        <v>163.18103124999999</v>
      </c>
    </row>
    <row r="127" spans="1:14" ht="18" customHeight="1" x14ac:dyDescent="0.2">
      <c r="A127" s="226"/>
      <c r="B127" s="33" t="s">
        <v>56</v>
      </c>
      <c r="C127" s="60">
        <v>126.33333587646484</v>
      </c>
      <c r="D127" s="60">
        <v>131.16666793823242</v>
      </c>
      <c r="E127" s="60">
        <v>113.33333587646484</v>
      </c>
      <c r="F127" s="61">
        <v>125.5</v>
      </c>
    </row>
    <row r="128" spans="1:14" ht="18" customHeight="1" x14ac:dyDescent="0.2">
      <c r="A128" s="226"/>
      <c r="B128" s="33" t="s">
        <v>60</v>
      </c>
      <c r="C128" s="60">
        <v>34.555557250976563</v>
      </c>
      <c r="D128" s="60">
        <v>41.111110687255859</v>
      </c>
      <c r="E128" s="60">
        <v>42.555557250976563</v>
      </c>
      <c r="F128" s="61">
        <v>39.833332061767578</v>
      </c>
    </row>
    <row r="129" spans="1:14" ht="18" customHeight="1" x14ac:dyDescent="0.2">
      <c r="A129" s="226"/>
      <c r="B129" s="33" t="s">
        <v>61</v>
      </c>
      <c r="C129" s="63">
        <v>0.77711564302444458</v>
      </c>
      <c r="D129" s="63">
        <v>0.63234841922485252</v>
      </c>
      <c r="E129" s="63">
        <v>0.42363423109054565</v>
      </c>
      <c r="F129" s="64">
        <v>0.62166047096252441</v>
      </c>
    </row>
    <row r="130" spans="1:14" ht="18" customHeight="1" x14ac:dyDescent="0.2">
      <c r="A130" s="227"/>
      <c r="B130" s="35" t="s">
        <v>24</v>
      </c>
      <c r="C130" s="37">
        <f ca="1">2070.91031649336*OFFSET($L$112,MATCH($N$1,$C$112:$C$113,0)-1,0)</f>
        <v>2070.9103164933599</v>
      </c>
      <c r="D130" s="37">
        <f ca="1">2098.43286252015*OFFSET($L$112,MATCH($N$1,$C$112:$C$113,0)-1,0)</f>
        <v>2098.4328625201501</v>
      </c>
      <c r="E130" s="37">
        <f ca="1">2110.11272088585*OFFSET($L$112,MATCH($N$1,$C$112:$C$113,0)-1,0)</f>
        <v>2110.1127208858502</v>
      </c>
      <c r="F130" s="65">
        <f ca="1">2092*OFFSET($L$112,MATCH($N$1,$C$112:$C$113,0)-1,0)</f>
        <v>2092</v>
      </c>
    </row>
    <row r="131" spans="1:14" ht="18" customHeight="1" x14ac:dyDescent="0.2">
      <c r="A131" s="239" t="s">
        <v>25</v>
      </c>
      <c r="B131" s="30" t="s">
        <v>62</v>
      </c>
      <c r="C131" s="66">
        <v>4.6594236938115836</v>
      </c>
      <c r="D131" s="66">
        <v>3.4301384305292477</v>
      </c>
      <c r="E131" s="66">
        <v>2.4812055044636718</v>
      </c>
      <c r="F131" s="67">
        <v>3.5150585909622967</v>
      </c>
    </row>
    <row r="132" spans="1:14" ht="18" customHeight="1" x14ac:dyDescent="0.2">
      <c r="A132" s="228"/>
      <c r="B132" s="33" t="s">
        <v>63</v>
      </c>
      <c r="C132" s="63">
        <f ca="1">9.64924859642802*OFFSET($L$112,MATCH($N$1,$C$112:$C$113,0)-1,0)</f>
        <v>9.6492485964280199</v>
      </c>
      <c r="D132" s="63">
        <f ca="1">7.19791520561586*OFFSET($L$112,MATCH($N$1,$C$112:$C$113,0)-1,0)</f>
        <v>7.1979152056158604</v>
      </c>
      <c r="E132" s="63">
        <f ca="1">5.23562329810078*OFFSET($L$112,MATCH($N$1,$C$112:$C$113,0)-1,0)</f>
        <v>5.23562329810078</v>
      </c>
      <c r="F132" s="64">
        <f ca="1">7.35199622811592*OFFSET($L$112,MATCH($N$1,$C$112:$C$113,0)-1,0)</f>
        <v>7.3519962281159197</v>
      </c>
    </row>
    <row r="133" spans="1:14" ht="18" customHeight="1" x14ac:dyDescent="0.2">
      <c r="A133" s="228"/>
      <c r="B133" s="33" t="s">
        <v>11</v>
      </c>
      <c r="C133" s="63">
        <f ca="1">6.70817780960735*OFFSET($L$112,MATCH($N$1,$C$112:$C$113,0)-1,0)</f>
        <v>6.7081778096073501</v>
      </c>
      <c r="D133" s="63">
        <f ca="1">5.27663245305531*OFFSET($L$112,MATCH($N$1,$C$112:$C$113,0)-1,0)</f>
        <v>5.2766324530553099</v>
      </c>
      <c r="E133" s="63">
        <f ca="1">4.14460034273669*OFFSET($L$112,MATCH($N$1,$C$112:$C$113,0)-1,0)</f>
        <v>4.1446003427366902</v>
      </c>
      <c r="F133" s="64">
        <f ca="1">5.36964745590537*OFFSET($L$112,MATCH($N$1,$C$112:$C$113,0)-1,0)</f>
        <v>5.36964745590537</v>
      </c>
    </row>
    <row r="134" spans="1:14" ht="18" customHeight="1" x14ac:dyDescent="0.2">
      <c r="A134" s="229"/>
      <c r="B134" s="35" t="s">
        <v>12</v>
      </c>
      <c r="C134" s="68">
        <f ca="1">2.94107078682067*OFFSET($L$112,MATCH($N$1,$C$112:$C$113,0)-1,0)</f>
        <v>2.9410707868206698</v>
      </c>
      <c r="D134" s="68">
        <f ca="1">1.92128275256055*OFFSET($L$112,MATCH($N$1,$C$112:$C$113,0)-1,0)</f>
        <v>1.92128275256055</v>
      </c>
      <c r="E134" s="68">
        <f ca="1">1.09102295536409*OFFSET($L$112,MATCH($N$1,$C$112:$C$113,0)-1,0)</f>
        <v>1.09102295536409</v>
      </c>
      <c r="F134" s="69">
        <f ca="1">1.98234877221055*OFFSET($L$112,MATCH($N$1,$C$112:$C$113,0)-1,0)</f>
        <v>1.9823487722105499</v>
      </c>
    </row>
    <row r="135" spans="1:14" ht="18" customHeight="1" x14ac:dyDescent="0.2">
      <c r="A135" s="240" t="s">
        <v>45</v>
      </c>
      <c r="B135" s="33" t="s">
        <v>102</v>
      </c>
      <c r="C135" s="70">
        <f ca="1">16.0437373046875*OFFSET($L$112,MATCH($N$1,$C$112:$C$113,0)-1,0)</f>
        <v>16.0437373046875</v>
      </c>
      <c r="D135" s="70">
        <f ca="1">20.3268891601562*OFFSET($L$112,MATCH($N$1,$C$112:$C$113,0)-1,0)</f>
        <v>20.326889160156199</v>
      </c>
      <c r="E135" s="70">
        <f ca="1">17.762248046875*OFFSET($L$112,MATCH($N$1,$C$112:$C$113,0)-1,0)</f>
        <v>17.762248046875001</v>
      </c>
      <c r="F135" s="71">
        <f ca="1">18.61494140625*OFFSET($L$112,MATCH($N$1,$C$112:$C$113,0)-1,0)</f>
        <v>18.614941406250001</v>
      </c>
    </row>
    <row r="136" spans="1:14" ht="18" customHeight="1" x14ac:dyDescent="0.2">
      <c r="A136" s="241"/>
      <c r="B136" s="33" t="s">
        <v>103</v>
      </c>
      <c r="C136" s="26">
        <v>38162.221084787045</v>
      </c>
      <c r="D136" s="26">
        <v>48617.222571805702</v>
      </c>
      <c r="E136" s="26">
        <v>42262.221610773595</v>
      </c>
      <c r="F136" s="72">
        <v>44414.722222222219</v>
      </c>
    </row>
    <row r="137" spans="1:14" ht="18" customHeight="1" x14ac:dyDescent="0.2">
      <c r="A137" s="241"/>
      <c r="B137" s="33" t="s">
        <v>104</v>
      </c>
      <c r="C137" s="26">
        <v>302.07562255859375</v>
      </c>
      <c r="D137" s="26">
        <v>370.65226506096803</v>
      </c>
      <c r="E137" s="26">
        <v>372.90194702148437</v>
      </c>
      <c r="F137" s="72">
        <v>353.90216064453125</v>
      </c>
    </row>
    <row r="138" spans="1:14" ht="18" customHeight="1" x14ac:dyDescent="0.2">
      <c r="A138" s="241"/>
      <c r="B138" s="33" t="s">
        <v>105</v>
      </c>
      <c r="C138" s="26">
        <f ca="1">126.995279538695*OFFSET($L$112,MATCH($N$1,$C$112:$C$113,0)-1,0)</f>
        <v>126.995279538695</v>
      </c>
      <c r="D138" s="26">
        <f ca="1">154.969928562403*OFFSET($L$112,MATCH($N$1,$C$112:$C$113,0)-1,0)</f>
        <v>154.969928562403</v>
      </c>
      <c r="E138" s="26">
        <f ca="1">156.725714543831*OFFSET($L$112,MATCH($N$1,$C$112:$C$113,0)-1,0)</f>
        <v>156.725714543831</v>
      </c>
      <c r="F138" s="72">
        <f ca="1">148.326226344622*OFFSET($L$112,MATCH($N$1,$C$112:$C$113,0)-1,0)</f>
        <v>148.326226344622</v>
      </c>
      <c r="I138" s="49"/>
      <c r="L138" s="73" t="str">
        <f>C119</f>
        <v>Most
profitable
quartile</v>
      </c>
      <c r="M138" s="73" t="str">
        <f>D119</f>
        <v>Middle
two quartiles</v>
      </c>
      <c r="N138" s="73" t="str">
        <f>E119</f>
        <v>Least
profitable
quartile</v>
      </c>
    </row>
    <row r="139" spans="1:14" ht="18" customHeight="1" x14ac:dyDescent="0.2">
      <c r="A139" s="241"/>
      <c r="B139" s="33" t="s">
        <v>106</v>
      </c>
      <c r="C139" s="26">
        <f ca="1">163.418763056538*OFFSET($L$112,MATCH($N$1,$C$112:$C$113,0)-1,0)</f>
        <v>163.41876305653801</v>
      </c>
      <c r="D139" s="26">
        <f ca="1">245.070476735544*OFFSET($L$112,MATCH($N$1,$C$112:$C$113,0)-1,0)</f>
        <v>245.07047673554399</v>
      </c>
      <c r="E139" s="26">
        <f ca="1">369.955278338055*OFFSET($L$112,MATCH($N$1,$C$112:$C$113,0)-1,0)</f>
        <v>369.955278338055</v>
      </c>
      <c r="F139" s="72">
        <f ca="1">238.596850819663*OFFSET($L$112,MATCH($N$1,$C$112:$C$113,0)-1,0)</f>
        <v>238.59685081966299</v>
      </c>
      <c r="I139" s="49"/>
      <c r="K139" s="73" t="s">
        <v>107</v>
      </c>
      <c r="L139" s="74">
        <f t="shared" ref="L139:M141" ca="1" si="2">C140</f>
        <v>220.90687500000001</v>
      </c>
      <c r="M139" s="74">
        <f t="shared" ca="1" si="2"/>
        <v>189.11210156249999</v>
      </c>
      <c r="N139" s="74">
        <f ca="1">E140</f>
        <v>110.07752343750001</v>
      </c>
    </row>
    <row r="140" spans="1:14" ht="18" customHeight="1" x14ac:dyDescent="0.2">
      <c r="A140" s="230" t="s">
        <v>46</v>
      </c>
      <c r="B140" s="30" t="s">
        <v>108</v>
      </c>
      <c r="C140" s="75">
        <f ca="1">220.906875*OFFSET($L$112,MATCH($N$1,$C$112:$C$113,0)-1,0)</f>
        <v>220.90687500000001</v>
      </c>
      <c r="D140" s="75">
        <f ca="1">189.1121015625*OFFSET($L$112,MATCH($N$1,$C$112:$C$113,0)-1,0)</f>
        <v>189.11210156249999</v>
      </c>
      <c r="E140" s="75">
        <f ca="1">110.0775234375*OFFSET($L$112,MATCH($N$1,$C$112:$C$113,0)-1,0)</f>
        <v>110.07752343750001</v>
      </c>
      <c r="F140" s="76">
        <f ca="1">177.302140625*OFFSET($L$112,MATCH($N$1,$C$112:$C$113,0)-1,0)</f>
        <v>177.30214062499999</v>
      </c>
      <c r="I140" s="49"/>
      <c r="K140" s="73" t="s">
        <v>109</v>
      </c>
      <c r="L140" s="74">
        <f t="shared" ca="1" si="2"/>
        <v>158.93753125000001</v>
      </c>
      <c r="M140" s="74">
        <f t="shared" ca="1" si="2"/>
        <v>142.65420312500001</v>
      </c>
      <c r="N140" s="74">
        <f ca="1">E141</f>
        <v>88.965984375000005</v>
      </c>
    </row>
    <row r="141" spans="1:14" ht="18" customHeight="1" x14ac:dyDescent="0.2">
      <c r="A141" s="237"/>
      <c r="B141" s="33" t="s">
        <v>110</v>
      </c>
      <c r="C141" s="26">
        <f ca="1">158.93753125*OFFSET($L$112,MATCH($N$1,$C$112:$C$113,0)-1,0)</f>
        <v>158.93753125000001</v>
      </c>
      <c r="D141" s="26">
        <f ca="1">142.654203125*OFFSET($L$112,MATCH($N$1,$C$112:$C$113,0)-1,0)</f>
        <v>142.65420312500001</v>
      </c>
      <c r="E141" s="26">
        <f ca="1">88.965984375*OFFSET($L$112,MATCH($N$1,$C$112:$C$113,0)-1,0)</f>
        <v>88.965984375000005</v>
      </c>
      <c r="F141" s="72">
        <f ca="1">133.302984375*OFFSET($L$112,MATCH($N$1,$C$112:$C$113,0)-1,0)</f>
        <v>133.30298437499999</v>
      </c>
      <c r="I141" s="49"/>
      <c r="K141" s="73" t="s">
        <v>111</v>
      </c>
      <c r="L141" s="74">
        <f t="shared" ca="1" si="2"/>
        <v>61.96934375</v>
      </c>
      <c r="M141" s="74">
        <f t="shared" ca="1" si="2"/>
        <v>46.457898437499999</v>
      </c>
      <c r="N141" s="74">
        <f ca="1">E142</f>
        <v>21.1115390625</v>
      </c>
    </row>
    <row r="142" spans="1:14" ht="18" customHeight="1" x14ac:dyDescent="0.2">
      <c r="A142" s="238"/>
      <c r="B142" s="35" t="s">
        <v>112</v>
      </c>
      <c r="C142" s="37">
        <f ca="1">61.96934375*OFFSET($L$112,MATCH($N$1,$C$112:$C$113,0)-1,0)</f>
        <v>61.96934375</v>
      </c>
      <c r="D142" s="37">
        <f ca="1">46.4578984375*OFFSET($L$112,MATCH($N$1,$C$112:$C$113,0)-1,0)</f>
        <v>46.457898437499999</v>
      </c>
      <c r="E142" s="37">
        <f ca="1">21.1115390625*OFFSET($L$112,MATCH($N$1,$C$112:$C$113,0)-1,0)</f>
        <v>21.1115390625</v>
      </c>
      <c r="F142" s="65">
        <f ca="1">43.99916796875*OFFSET($L$112,MATCH($N$1,$C$112:$C$113,0)-1,0)</f>
        <v>43.999167968750001</v>
      </c>
      <c r="I142" s="49"/>
      <c r="K142" s="73" t="s">
        <v>113</v>
      </c>
      <c r="L142" s="77">
        <f ca="1">IFERROR(L140/L$139,"")</f>
        <v>0.71947752305128576</v>
      </c>
      <c r="M142" s="77">
        <f t="shared" ref="M142:N143" ca="1" si="3">IFERROR(M140/M$139,"")</f>
        <v>0.75433672380746075</v>
      </c>
      <c r="N142" s="77">
        <f t="shared" ca="1" si="3"/>
        <v>0.80821208178355552</v>
      </c>
    </row>
    <row r="143" spans="1:14" ht="18" customHeight="1" x14ac:dyDescent="0.2">
      <c r="I143" s="49"/>
      <c r="K143" s="73" t="s">
        <v>114</v>
      </c>
      <c r="L143" s="77">
        <f ca="1">IFERROR(L141/L$139,"")</f>
        <v>0.28052247694871424</v>
      </c>
      <c r="M143" s="77">
        <f t="shared" ca="1" si="3"/>
        <v>0.24566327619253941</v>
      </c>
      <c r="N143" s="77">
        <f t="shared" ca="1" si="3"/>
        <v>0.19178791821644448</v>
      </c>
    </row>
    <row r="144" spans="1:14" ht="18" customHeight="1" x14ac:dyDescent="0.2">
      <c r="I144" s="49"/>
    </row>
    <row r="145" spans="1:16" ht="18" customHeight="1" x14ac:dyDescent="0.2">
      <c r="I145" s="49"/>
    </row>
    <row r="146" spans="1:16" ht="18" customHeight="1" x14ac:dyDescent="0.2">
      <c r="I146" s="49"/>
    </row>
    <row r="147" spans="1:16" ht="18" customHeight="1" x14ac:dyDescent="0.2">
      <c r="I147" s="49"/>
    </row>
    <row r="148" spans="1:16" ht="18" customHeight="1" x14ac:dyDescent="0.2">
      <c r="I148" s="49"/>
    </row>
    <row r="149" spans="1:16" ht="18" customHeight="1" x14ac:dyDescent="0.2">
      <c r="I149" s="49"/>
    </row>
    <row r="150" spans="1:16" ht="18" customHeight="1" x14ac:dyDescent="0.2">
      <c r="I150" s="49"/>
      <c r="J150" s="49"/>
      <c r="K150" s="49"/>
      <c r="L150" s="49"/>
      <c r="M150" s="49"/>
      <c r="N150" s="49"/>
      <c r="O150" s="49"/>
    </row>
    <row r="151" spans="1:16" ht="18" customHeight="1" x14ac:dyDescent="0.2">
      <c r="I151" s="49"/>
      <c r="J151" s="49"/>
      <c r="K151" s="49"/>
      <c r="L151" s="49"/>
      <c r="M151" s="49"/>
      <c r="N151" s="49"/>
      <c r="O151" s="49"/>
    </row>
    <row r="152" spans="1:16" ht="18" customHeight="1" x14ac:dyDescent="0.2">
      <c r="A152" s="51" t="s">
        <v>27</v>
      </c>
      <c r="B152" s="51" t="str">
        <f ca="1">F114</f>
        <v>All values are adjusted to 2017 prices. Quartiles are based on operating profit margin.</v>
      </c>
      <c r="P152" s="52" t="str">
        <f>P89</f>
        <v>Version: March 2019</v>
      </c>
    </row>
    <row r="153" spans="1:16" ht="18" customHeight="1" x14ac:dyDescent="0.2">
      <c r="A153" s="49"/>
      <c r="B153" s="51" t="s">
        <v>28</v>
      </c>
    </row>
    <row r="154" spans="1:16" ht="18" customHeight="1" x14ac:dyDescent="0.2"/>
    <row r="155" spans="1:16" ht="18" customHeight="1" x14ac:dyDescent="0.2"/>
    <row r="156" spans="1:16" ht="18" customHeight="1" x14ac:dyDescent="0.2"/>
    <row r="157" spans="1:16" s="78" customFormat="1" ht="18" customHeight="1" x14ac:dyDescent="0.2"/>
    <row r="158" spans="1:16" s="78" customFormat="1" ht="18" customHeight="1" x14ac:dyDescent="0.2"/>
    <row r="159" spans="1:16" s="78" customFormat="1" x14ac:dyDescent="0.2"/>
    <row r="160" spans="1:16" s="49" customFormat="1" x14ac:dyDescent="0.2">
      <c r="B160" s="49" t="s">
        <v>47</v>
      </c>
    </row>
    <row r="161" spans="1:14" s="49" customFormat="1" ht="45" x14ac:dyDescent="0.2">
      <c r="A161" s="50">
        <v>9</v>
      </c>
      <c r="B161" s="53"/>
      <c r="C161" s="79" t="s">
        <v>41</v>
      </c>
      <c r="D161" s="79" t="s">
        <v>115</v>
      </c>
      <c r="E161" s="79" t="s">
        <v>43</v>
      </c>
      <c r="F161" s="79" t="s">
        <v>116</v>
      </c>
      <c r="G161" s="80">
        <v>9</v>
      </c>
      <c r="H161" s="79"/>
      <c r="I161" s="79" t="s">
        <v>41</v>
      </c>
      <c r="J161" s="79" t="s">
        <v>115</v>
      </c>
      <c r="K161" s="79" t="s">
        <v>43</v>
      </c>
      <c r="L161" s="53" t="s">
        <v>116</v>
      </c>
    </row>
    <row r="162" spans="1:14" s="49" customFormat="1" x14ac:dyDescent="0.2">
      <c r="A162" s="50">
        <v>1</v>
      </c>
      <c r="B162" s="53" t="s">
        <v>93</v>
      </c>
      <c r="C162" s="53">
        <v>0.74879811071438618</v>
      </c>
      <c r="D162" s="53">
        <v>0.85012154896993197</v>
      </c>
      <c r="E162" s="53">
        <v>0.81648592417735399</v>
      </c>
      <c r="F162" s="50">
        <v>12153634</v>
      </c>
      <c r="G162" s="50">
        <v>1</v>
      </c>
      <c r="H162" s="53" t="s">
        <v>93</v>
      </c>
      <c r="I162" s="53">
        <v>0.81157398191542274</v>
      </c>
      <c r="J162" s="53">
        <v>0.82761217637231388</v>
      </c>
      <c r="K162" s="53">
        <v>0.91210528083226916</v>
      </c>
      <c r="L162" s="50">
        <v>12153634</v>
      </c>
    </row>
    <row r="163" spans="1:14" s="49" customFormat="1" x14ac:dyDescent="0.2">
      <c r="A163" s="50">
        <v>2</v>
      </c>
      <c r="B163" s="53" t="s">
        <v>94</v>
      </c>
      <c r="C163" s="53">
        <v>7.328228802335468E-2</v>
      </c>
      <c r="D163" s="53">
        <v>4.747352597002432E-2</v>
      </c>
      <c r="E163" s="53">
        <v>0</v>
      </c>
      <c r="F163" s="50">
        <v>553960</v>
      </c>
      <c r="G163" s="50">
        <v>2</v>
      </c>
      <c r="H163" s="53" t="s">
        <v>94</v>
      </c>
      <c r="I163" s="53">
        <v>0.10205472039137352</v>
      </c>
      <c r="J163" s="53">
        <v>9.6825096774473554E-2</v>
      </c>
      <c r="K163" s="53">
        <v>0</v>
      </c>
      <c r="L163" s="50">
        <v>553960</v>
      </c>
      <c r="N163" s="49" t="s">
        <v>117</v>
      </c>
    </row>
    <row r="164" spans="1:14" s="49" customFormat="1" x14ac:dyDescent="0.2">
      <c r="A164" s="50">
        <v>3</v>
      </c>
      <c r="B164" s="53" t="s">
        <v>120</v>
      </c>
      <c r="C164" s="53">
        <v>2.8849323421141576E-2</v>
      </c>
      <c r="D164" s="53">
        <v>2.6085217311418971E-2</v>
      </c>
      <c r="E164" s="53">
        <v>5.6469820073465606E-2</v>
      </c>
      <c r="F164" s="50">
        <v>11115023</v>
      </c>
      <c r="G164" s="50">
        <v>3</v>
      </c>
      <c r="H164" s="53" t="s">
        <v>16</v>
      </c>
      <c r="I164" s="53">
        <v>2.4337363819309527E-2</v>
      </c>
      <c r="J164" s="53">
        <v>1.9179546102773108E-2</v>
      </c>
      <c r="K164" s="53">
        <v>1.1630432972714731E-2</v>
      </c>
      <c r="L164" s="50">
        <v>3050596</v>
      </c>
      <c r="N164" s="49" t="s">
        <v>118</v>
      </c>
    </row>
    <row r="165" spans="1:14" s="49" customFormat="1" x14ac:dyDescent="0.2">
      <c r="A165" s="50">
        <v>4</v>
      </c>
      <c r="B165" s="53" t="s">
        <v>16</v>
      </c>
      <c r="C165" s="53">
        <v>4.616862971047795E-2</v>
      </c>
      <c r="D165" s="53">
        <v>1.3115136473552979E-2</v>
      </c>
      <c r="E165" s="53">
        <v>2.6306916386773647E-2</v>
      </c>
      <c r="F165" s="50">
        <v>3050596</v>
      </c>
      <c r="G165" s="50">
        <v>4</v>
      </c>
      <c r="H165" s="53" t="s">
        <v>121</v>
      </c>
      <c r="I165" s="53">
        <v>1.7673733203607454E-2</v>
      </c>
      <c r="J165" s="53">
        <v>1.6924915172518616E-2</v>
      </c>
      <c r="K165" s="53">
        <v>1.4978822654581026E-2</v>
      </c>
      <c r="L165" s="50">
        <v>1692097</v>
      </c>
    </row>
    <row r="166" spans="1:14" s="49" customFormat="1" x14ac:dyDescent="0.2">
      <c r="A166" s="50">
        <v>5</v>
      </c>
      <c r="B166" s="53" t="s">
        <v>121</v>
      </c>
      <c r="C166" s="53">
        <v>0</v>
      </c>
      <c r="D166" s="53">
        <v>1.3096893419976123E-2</v>
      </c>
      <c r="E166" s="53">
        <v>1.557299788181305E-2</v>
      </c>
      <c r="F166" s="50">
        <v>1692097</v>
      </c>
      <c r="G166" s="50">
        <v>5</v>
      </c>
      <c r="H166" s="53" t="s">
        <v>153</v>
      </c>
      <c r="I166" s="53">
        <v>2.1860569303281292E-2</v>
      </c>
      <c r="J166" s="53">
        <v>1.0699975893820277E-2</v>
      </c>
      <c r="K166" s="53">
        <v>0</v>
      </c>
      <c r="L166" s="50">
        <v>3689192</v>
      </c>
    </row>
    <row r="167" spans="1:14" s="49" customFormat="1" x14ac:dyDescent="0.2">
      <c r="A167" s="50">
        <v>6</v>
      </c>
      <c r="B167" s="53" t="s">
        <v>99</v>
      </c>
      <c r="C167" s="53">
        <v>0</v>
      </c>
      <c r="D167" s="53">
        <v>0</v>
      </c>
      <c r="E167" s="53">
        <v>5.7375383485274919E-2</v>
      </c>
      <c r="F167" s="50">
        <v>2480382</v>
      </c>
      <c r="G167" s="50">
        <v>6</v>
      </c>
      <c r="H167" s="53" t="s">
        <v>99</v>
      </c>
      <c r="I167" s="53">
        <v>0</v>
      </c>
      <c r="J167" s="53">
        <v>0</v>
      </c>
      <c r="K167" s="53">
        <v>3.3409822449811825E-2</v>
      </c>
      <c r="L167" s="50">
        <v>2480382</v>
      </c>
    </row>
    <row r="168" spans="1:14" s="49" customFormat="1" x14ac:dyDescent="0.2">
      <c r="A168" s="50">
        <v>7</v>
      </c>
      <c r="B168" s="53" t="s">
        <v>153</v>
      </c>
      <c r="C168" s="53">
        <v>5.8798263202027717E-2</v>
      </c>
      <c r="D168" s="53">
        <v>0</v>
      </c>
      <c r="E168" s="53">
        <v>0</v>
      </c>
      <c r="F168" s="50">
        <v>3689192</v>
      </c>
      <c r="G168" s="50">
        <v>7</v>
      </c>
      <c r="H168" s="53" t="s">
        <v>120</v>
      </c>
      <c r="I168" s="53">
        <v>0</v>
      </c>
      <c r="J168" s="53">
        <v>0</v>
      </c>
      <c r="K168" s="53">
        <v>6.7763708025717004E-3</v>
      </c>
      <c r="L168" s="50">
        <v>11115023</v>
      </c>
    </row>
    <row r="169" spans="1:14" s="49" customFormat="1" x14ac:dyDescent="0.2">
      <c r="A169" s="50">
        <v>8</v>
      </c>
      <c r="B169" s="53" t="s">
        <v>101</v>
      </c>
      <c r="C169" s="53">
        <v>4.4103384928611877E-2</v>
      </c>
      <c r="D169" s="53">
        <v>5.0107677855095623E-2</v>
      </c>
      <c r="E169" s="53">
        <v>2.7788957995318775E-2</v>
      </c>
      <c r="F169" s="50">
        <v>5920853</v>
      </c>
      <c r="G169" s="50">
        <v>8</v>
      </c>
      <c r="H169" s="53" t="s">
        <v>101</v>
      </c>
      <c r="I169" s="53">
        <v>2.2499631367005501E-2</v>
      </c>
      <c r="J169" s="53">
        <v>2.8758289684100546E-2</v>
      </c>
      <c r="K169" s="53">
        <v>2.1099270288051586E-2</v>
      </c>
      <c r="L169" s="50">
        <v>5920853</v>
      </c>
    </row>
    <row r="170" spans="1:14" s="49" customFormat="1" x14ac:dyDescent="0.2">
      <c r="A170" s="50">
        <v>9</v>
      </c>
      <c r="B170" s="53"/>
      <c r="C170" s="53">
        <v>0</v>
      </c>
      <c r="D170" s="53">
        <v>0</v>
      </c>
      <c r="E170" s="53">
        <v>0</v>
      </c>
      <c r="F170" s="50"/>
      <c r="G170" s="50">
        <v>9</v>
      </c>
      <c r="H170" s="53"/>
      <c r="I170" s="53">
        <v>0</v>
      </c>
      <c r="J170" s="53">
        <v>0</v>
      </c>
      <c r="K170" s="53">
        <v>0</v>
      </c>
      <c r="L170" s="50"/>
    </row>
    <row r="171" spans="1:14" s="49" customFormat="1" x14ac:dyDescent="0.2">
      <c r="A171" s="50">
        <v>10</v>
      </c>
      <c r="B171" s="53"/>
      <c r="C171" s="53">
        <v>0</v>
      </c>
      <c r="D171" s="53">
        <v>0</v>
      </c>
      <c r="E171" s="53">
        <v>0</v>
      </c>
      <c r="F171" s="50"/>
      <c r="G171" s="50">
        <v>10</v>
      </c>
      <c r="H171" s="53"/>
      <c r="I171" s="53">
        <v>0</v>
      </c>
      <c r="J171" s="53">
        <v>0</v>
      </c>
      <c r="K171" s="53">
        <v>0</v>
      </c>
      <c r="L171" s="50"/>
    </row>
    <row r="172" spans="1:14" s="49" customFormat="1" x14ac:dyDescent="0.2">
      <c r="A172" s="50">
        <v>11</v>
      </c>
      <c r="B172" s="53"/>
      <c r="C172" s="53">
        <v>0</v>
      </c>
      <c r="D172" s="53">
        <v>0</v>
      </c>
      <c r="E172" s="53">
        <v>0</v>
      </c>
      <c r="F172" s="50"/>
      <c r="G172" s="50">
        <v>11</v>
      </c>
      <c r="H172" s="53"/>
      <c r="I172" s="53">
        <v>0</v>
      </c>
      <c r="J172" s="53">
        <v>0</v>
      </c>
      <c r="K172" s="53">
        <v>0</v>
      </c>
      <c r="L172" s="50"/>
    </row>
    <row r="173" spans="1:14" s="49" customFormat="1" x14ac:dyDescent="0.2">
      <c r="A173" s="50">
        <v>12</v>
      </c>
      <c r="B173" s="53"/>
      <c r="C173" s="53">
        <v>0</v>
      </c>
      <c r="D173" s="53">
        <v>0</v>
      </c>
      <c r="E173" s="53">
        <v>0</v>
      </c>
      <c r="F173" s="50"/>
      <c r="G173" s="50">
        <v>12</v>
      </c>
      <c r="H173" s="53"/>
      <c r="I173" s="53">
        <v>0</v>
      </c>
      <c r="J173" s="53">
        <v>0</v>
      </c>
      <c r="K173" s="53">
        <v>0</v>
      </c>
      <c r="L173" s="50"/>
    </row>
    <row r="174" spans="1:14" s="49" customFormat="1" x14ac:dyDescent="0.2">
      <c r="A174" s="50">
        <v>13</v>
      </c>
      <c r="B174" s="53"/>
      <c r="C174" s="53">
        <v>0</v>
      </c>
      <c r="D174" s="53">
        <v>0</v>
      </c>
      <c r="E174" s="53">
        <v>0</v>
      </c>
      <c r="F174" s="50"/>
      <c r="G174" s="50">
        <v>13</v>
      </c>
      <c r="H174" s="53"/>
      <c r="I174" s="53">
        <v>0</v>
      </c>
      <c r="J174" s="53">
        <v>0</v>
      </c>
      <c r="K174" s="53">
        <v>0</v>
      </c>
      <c r="L174" s="50"/>
    </row>
    <row r="175" spans="1:14" s="49" customFormat="1" x14ac:dyDescent="0.2">
      <c r="A175" s="50">
        <v>14</v>
      </c>
      <c r="B175" s="53"/>
      <c r="C175" s="53">
        <v>0</v>
      </c>
      <c r="D175" s="53">
        <v>0</v>
      </c>
      <c r="E175" s="53">
        <v>0</v>
      </c>
      <c r="F175" s="50"/>
      <c r="G175" s="50">
        <v>14</v>
      </c>
      <c r="H175" s="53"/>
      <c r="I175" s="53">
        <v>0</v>
      </c>
      <c r="J175" s="53">
        <v>0</v>
      </c>
      <c r="K175" s="53">
        <v>0</v>
      </c>
      <c r="L175" s="50"/>
    </row>
    <row r="176" spans="1:14" s="49" customFormat="1" x14ac:dyDescent="0.2">
      <c r="A176" s="50">
        <v>15</v>
      </c>
      <c r="B176" s="53"/>
      <c r="C176" s="53">
        <v>0</v>
      </c>
      <c r="D176" s="53">
        <v>0</v>
      </c>
      <c r="E176" s="53">
        <v>0</v>
      </c>
      <c r="F176" s="50"/>
      <c r="G176" s="50">
        <v>15</v>
      </c>
      <c r="H176" s="53"/>
      <c r="I176" s="53">
        <v>0</v>
      </c>
      <c r="J176" s="53">
        <v>0</v>
      </c>
      <c r="K176" s="53">
        <v>0</v>
      </c>
      <c r="L176" s="50"/>
    </row>
    <row r="177" spans="1:12" s="49" customFormat="1" x14ac:dyDescent="0.2">
      <c r="A177" s="50">
        <v>16</v>
      </c>
      <c r="B177" s="53"/>
      <c r="C177" s="53">
        <v>0</v>
      </c>
      <c r="D177" s="53">
        <v>0</v>
      </c>
      <c r="E177" s="53">
        <v>0</v>
      </c>
      <c r="F177" s="50"/>
      <c r="G177" s="50">
        <v>16</v>
      </c>
      <c r="H177" s="53"/>
      <c r="I177" s="53">
        <v>0</v>
      </c>
      <c r="J177" s="53">
        <v>0</v>
      </c>
      <c r="K177" s="53">
        <v>0</v>
      </c>
      <c r="L177" s="50"/>
    </row>
    <row r="178" spans="1:12" s="78" customFormat="1" x14ac:dyDescent="0.2"/>
    <row r="179" spans="1:12" s="78" customFormat="1" x14ac:dyDescent="0.2"/>
    <row r="180" spans="1:12" s="78" customFormat="1" x14ac:dyDescent="0.2"/>
    <row r="181" spans="1:12" s="78" customFormat="1" x14ac:dyDescent="0.2"/>
    <row r="182" spans="1:12" s="78" customFormat="1" x14ac:dyDescent="0.2"/>
    <row r="183" spans="1:12" s="78" customFormat="1" x14ac:dyDescent="0.2"/>
    <row r="184" spans="1:12" s="78" customFormat="1" x14ac:dyDescent="0.2"/>
    <row r="185" spans="1:12" s="78" customFormat="1" x14ac:dyDescent="0.2"/>
    <row r="186" spans="1:12" s="78" customFormat="1" x14ac:dyDescent="0.2"/>
    <row r="187" spans="1:12" s="78" customFormat="1" x14ac:dyDescent="0.2"/>
    <row r="188" spans="1:12" s="78" customFormat="1" x14ac:dyDescent="0.2"/>
    <row r="189" spans="1:12" s="78" customFormat="1" x14ac:dyDescent="0.2"/>
    <row r="190" spans="1:12" s="78" customFormat="1" x14ac:dyDescent="0.2"/>
    <row r="191" spans="1:12" s="78" customFormat="1" x14ac:dyDescent="0.2"/>
    <row r="192" spans="1:12" s="78" customFormat="1" x14ac:dyDescent="0.2"/>
  </sheetData>
  <mergeCells count="12">
    <mergeCell ref="A140:A142"/>
    <mergeCell ref="O1:P1"/>
    <mergeCell ref="A3:A10"/>
    <mergeCell ref="A11:A20"/>
    <mergeCell ref="A21:A26"/>
    <mergeCell ref="A27:A41"/>
    <mergeCell ref="B44:C44"/>
    <mergeCell ref="B45:C45"/>
    <mergeCell ref="B46:C46"/>
    <mergeCell ref="A121:A130"/>
    <mergeCell ref="A131:A134"/>
    <mergeCell ref="A135:A139"/>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2" manualBreakCount="2">
    <brk id="43" max="16383" man="1"/>
    <brk id="114"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'Area VIIa nephrops u250kW'!D3:N3</xm:f>
              <xm:sqref>C3</xm:sqref>
            </x14:sparkline>
            <x14:sparkline>
              <xm:f>'Area VIIa nephrops u250kW'!D4:N4</xm:f>
              <xm:sqref>C4</xm:sqref>
            </x14:sparkline>
            <x14:sparkline>
              <xm:f>'Area VIIa nephrops u250kW'!D5:N5</xm:f>
              <xm:sqref>C5</xm:sqref>
            </x14:sparkline>
            <x14:sparkline>
              <xm:f>'Area VIIa nephrops u250kW'!D6:N6</xm:f>
              <xm:sqref>C6</xm:sqref>
            </x14:sparkline>
            <x14:sparkline>
              <xm:f>'Area VIIa nephrops u250kW'!D7:N7</xm:f>
              <xm:sqref>C7</xm:sqref>
            </x14:sparkline>
            <x14:sparkline>
              <xm:f>'Area VIIa nephrops u250kW'!D8:N8</xm:f>
              <xm:sqref>C8</xm:sqref>
            </x14:sparkline>
            <x14:sparkline>
              <xm:f>'Area VIIa nephrops u250kW'!D9:N9</xm:f>
              <xm:sqref>C9</xm:sqref>
            </x14:sparkline>
            <x14:sparkline>
              <xm:f>'Area VIIa nephrops u250kW'!F10:M10</xm:f>
              <xm:sqref>C10</xm:sqref>
            </x14:sparkline>
            <x14:sparkline>
              <xm:f>'Area VIIa nephrops u250kW'!D11:N11</xm:f>
              <xm:sqref>C11</xm:sqref>
            </x14:sparkline>
            <x14:sparkline>
              <xm:f>'Area VIIa nephrops u250kW'!D12:N12</xm:f>
              <xm:sqref>C12</xm:sqref>
            </x14:sparkline>
            <x14:sparkline>
              <xm:f>'Area VIIa nephrops u250kW'!D13:N13</xm:f>
              <xm:sqref>C13</xm:sqref>
            </x14:sparkline>
            <x14:sparkline>
              <xm:f>'Area VIIa nephrops u250kW'!D14:N14</xm:f>
              <xm:sqref>C14</xm:sqref>
            </x14:sparkline>
            <x14:sparkline>
              <xm:f>'Area VIIa nephrops u250kW'!D15:N15</xm:f>
              <xm:sqref>C15</xm:sqref>
            </x14:sparkline>
            <x14:sparkline>
              <xm:f>'Area VIIa nephrops u250kW'!D16:N16</xm:f>
              <xm:sqref>C16</xm:sqref>
            </x14:sparkline>
            <x14:sparkline>
              <xm:f>'Area VIIa nephrops u250kW'!D17:N17</xm:f>
              <xm:sqref>C17</xm:sqref>
            </x14:sparkline>
            <x14:sparkline>
              <xm:f>'Area VIIa nephrops u250kW'!D18:N18</xm:f>
              <xm:sqref>C18</xm:sqref>
            </x14:sparkline>
            <x14:sparkline>
              <xm:f>'Area VIIa nephrops u250kW'!D19:N19</xm:f>
              <xm:sqref>C19</xm:sqref>
            </x14:sparkline>
            <x14:sparkline>
              <xm:f>'Area VIIa nephrops u250kW'!D20:N20</xm:f>
              <xm:sqref>C20</xm:sqref>
            </x14:sparkline>
            <x14:sparkline>
              <xm:f>'Area VIIa nephrops u250kW'!D21:N21</xm:f>
              <xm:sqref>C21</xm:sqref>
            </x14:sparkline>
            <x14:sparkline>
              <xm:f>'Area VIIa nephrops u250kW'!D22:N22</xm:f>
              <xm:sqref>C22</xm:sqref>
            </x14:sparkline>
            <x14:sparkline>
              <xm:f>'Area VIIa nephrops u250kW'!D23:N23</xm:f>
              <xm:sqref>C23</xm:sqref>
            </x14:sparkline>
            <x14:sparkline>
              <xm:f>'Area VIIa nephrops u250kW'!D24:N24</xm:f>
              <xm:sqref>C24</xm:sqref>
            </x14:sparkline>
            <x14:sparkline>
              <xm:f>'Area VIIa nephrops u250kW'!F25:M25</xm:f>
              <xm:sqref>C25</xm:sqref>
            </x14:sparkline>
            <x14:sparkline>
              <xm:f>'Area VIIa nephrops u250kW'!F26:M26</xm:f>
              <xm:sqref>C26</xm:sqref>
            </x14:sparkline>
            <x14:sparkline>
              <xm:f>'Area VIIa nephrops u250kW'!D27:N27</xm:f>
              <xm:sqref>C27</xm:sqref>
            </x14:sparkline>
            <x14:sparkline>
              <xm:f>'Area VIIa nephrops u250kW'!D28:N28</xm:f>
              <xm:sqref>C28</xm:sqref>
            </x14:sparkline>
            <x14:sparkline>
              <xm:f>'Area VIIa nephrops u250kW'!D29:N29</xm:f>
              <xm:sqref>C29</xm:sqref>
            </x14:sparkline>
            <x14:sparkline>
              <xm:f>'Area VIIa nephrops u250kW'!D30:N30</xm:f>
              <xm:sqref>C30</xm:sqref>
            </x14:sparkline>
            <x14:sparkline>
              <xm:f>'Area VIIa nephrops u250kW'!D31:N31</xm:f>
              <xm:sqref>C31</xm:sqref>
            </x14:sparkline>
            <x14:sparkline>
              <xm:f>'Area VIIa nephrops u250kW'!D32:N32</xm:f>
              <xm:sqref>C32</xm:sqref>
            </x14:sparkline>
            <x14:sparkline>
              <xm:f>'Area VIIa nephrops u250kW'!D33:N33</xm:f>
              <xm:sqref>C33</xm:sqref>
            </x14:sparkline>
            <x14:sparkline>
              <xm:f>'Area VIIa nephrops u250kW'!D34:N34</xm:f>
              <xm:sqref>C34</xm:sqref>
            </x14:sparkline>
            <x14:sparkline>
              <xm:f>'Area VIIa nephrops u250kW'!D35:N35</xm:f>
              <xm:sqref>C35</xm:sqref>
            </x14:sparkline>
            <x14:sparkline>
              <xm:f>'Area VIIa nephrops u250kW'!D36:N36</xm:f>
              <xm:sqref>C36</xm:sqref>
            </x14:sparkline>
            <x14:sparkline>
              <xm:f>'Area VIIa nephrops u250kW'!D37:N37</xm:f>
              <xm:sqref>C37</xm:sqref>
            </x14:sparkline>
            <x14:sparkline>
              <xm:f>'Area VIIa nephrops u250kW'!D38:M38</xm:f>
              <xm:sqref>C38</xm:sqref>
            </x14:sparkline>
            <x14:sparkline>
              <xm:f>'Area VIIa nephrops u250kW'!D39:M39</xm:f>
              <xm:sqref>C39</xm:sqref>
            </x14:sparkline>
            <x14:sparkline>
              <xm:f>'Area VIIa nephrops u250kW'!D40:M40</xm:f>
              <xm:sqref>C40</xm:sqref>
            </x14:sparkline>
            <x14:sparkline>
              <xm:f>'Area VIIa nephrops u250kW'!D41:M41</xm:f>
              <xm:sqref>C41</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R153"/>
  <sheetViews>
    <sheetView zoomScale="87" zoomScaleNormal="87" zoomScalePageLayoutView="87" workbookViewId="0">
      <selection activeCell="O1" sqref="O1:P1"/>
    </sheetView>
  </sheetViews>
  <sheetFormatPr defaultColWidth="9" defaultRowHeight="15" x14ac:dyDescent="0.2"/>
  <cols>
    <col min="1" max="1" width="6" style="14" customWidth="1"/>
    <col min="2" max="2" width="30.25" style="14" customWidth="1"/>
    <col min="3" max="3" width="9.125" style="14" customWidth="1"/>
    <col min="4" max="15" width="10.125" style="14" customWidth="1"/>
    <col min="16" max="16384" width="9" style="14"/>
  </cols>
  <sheetData>
    <row r="1" spans="1:17" s="83" customFormat="1" ht="34.5" customHeight="1" thickBot="1" x14ac:dyDescent="0.25">
      <c r="A1" s="81" t="s">
        <v>155</v>
      </c>
      <c r="B1" s="82"/>
      <c r="L1" s="84"/>
      <c r="M1" s="85" t="s">
        <v>48</v>
      </c>
      <c r="N1" s="86" t="s">
        <v>19</v>
      </c>
      <c r="O1" s="221" t="s">
        <v>20</v>
      </c>
      <c r="P1" s="222"/>
    </row>
    <row r="2" spans="1:17" s="19" customFormat="1" ht="26.25" thickBot="1" x14ac:dyDescent="0.25">
      <c r="A2" s="15"/>
      <c r="B2" s="16" t="s">
        <v>21</v>
      </c>
      <c r="C2" s="17" t="s">
        <v>49</v>
      </c>
      <c r="D2" s="18">
        <v>2008</v>
      </c>
      <c r="E2" s="18">
        <v>2009</v>
      </c>
      <c r="F2" s="18">
        <v>2010</v>
      </c>
      <c r="G2" s="18">
        <v>2011</v>
      </c>
      <c r="H2" s="18">
        <v>2012</v>
      </c>
      <c r="I2" s="18">
        <v>2013</v>
      </c>
      <c r="J2" s="18">
        <v>2014</v>
      </c>
      <c r="K2" s="18">
        <v>2015</v>
      </c>
      <c r="L2" s="18">
        <v>2016</v>
      </c>
      <c r="M2" s="18">
        <v>2017</v>
      </c>
      <c r="N2" s="18">
        <v>2018</v>
      </c>
      <c r="O2" s="17" t="str">
        <f>"%∆
"&amp;D2&amp;"-"&amp;N2</f>
        <v>%∆
2008-2018</v>
      </c>
      <c r="P2" s="17" t="str">
        <f>"%∆
"&amp;J2&amp;"-"&amp;N2</f>
        <v>%∆
2014-2018</v>
      </c>
    </row>
    <row r="3" spans="1:17" ht="18" customHeight="1" x14ac:dyDescent="0.2">
      <c r="A3" s="223" t="s">
        <v>22</v>
      </c>
      <c r="B3" s="20" t="s">
        <v>50</v>
      </c>
      <c r="C3" s="21"/>
      <c r="D3" s="22">
        <v>15</v>
      </c>
      <c r="E3" s="22">
        <v>14</v>
      </c>
      <c r="F3" s="22">
        <v>15</v>
      </c>
      <c r="G3" s="22">
        <v>15</v>
      </c>
      <c r="H3" s="22">
        <v>15</v>
      </c>
      <c r="I3" s="22">
        <v>13</v>
      </c>
      <c r="J3" s="22">
        <v>12</v>
      </c>
      <c r="K3" s="22">
        <v>13</v>
      </c>
      <c r="L3" s="22">
        <v>11</v>
      </c>
      <c r="M3" s="22">
        <v>13</v>
      </c>
      <c r="N3" s="22">
        <v>13</v>
      </c>
      <c r="O3" s="23">
        <f t="shared" ref="O3:O41" si="0">IF(N3=0,"",IFERROR(IF(AND(N3&gt;0,D3&lt;0),"na",IF(AND(N3&lt;0,D3&lt;0),-1,1)*(N3-D3)/D3),""))</f>
        <v>-0.13333333333333333</v>
      </c>
      <c r="P3" s="23">
        <f>IF(N3=0,"",IFERROR(IF(AND(N3&gt;0,J3&lt;0),"na",IF(AND(N3&lt;0,J3&lt;0),-1,1)*(N3-J3)/J3),""))</f>
        <v>8.3333333333333329E-2</v>
      </c>
    </row>
    <row r="4" spans="1:17" ht="18" customHeight="1" x14ac:dyDescent="0.2">
      <c r="A4" s="224"/>
      <c r="B4" s="24" t="s">
        <v>51</v>
      </c>
      <c r="C4" s="25"/>
      <c r="D4" s="26">
        <v>10491</v>
      </c>
      <c r="E4" s="26">
        <v>9966</v>
      </c>
      <c r="F4" s="26">
        <v>10694</v>
      </c>
      <c r="G4" s="26">
        <v>10011</v>
      </c>
      <c r="H4" s="26">
        <v>9622</v>
      </c>
      <c r="I4" s="26">
        <v>8015</v>
      </c>
      <c r="J4" s="26">
        <v>7276</v>
      </c>
      <c r="K4" s="26">
        <v>7913</v>
      </c>
      <c r="L4" s="26">
        <v>6835</v>
      </c>
      <c r="M4" s="26">
        <v>7969</v>
      </c>
      <c r="N4" s="26">
        <v>8656</v>
      </c>
      <c r="O4" s="23">
        <f t="shared" si="0"/>
        <v>-0.17491182918692214</v>
      </c>
      <c r="P4" s="23">
        <f t="shared" ref="P4:P41" si="1">IF(N4=0,"",IFERROR(IF(AND(N4&gt;0,J4&lt;0),"na",IF(AND(N4&lt;0,J4&lt;0),-1,1)*(N4-J4)/J4),""))</f>
        <v>0.18966465090709181</v>
      </c>
    </row>
    <row r="5" spans="1:17" ht="18" customHeight="1" x14ac:dyDescent="0.2">
      <c r="A5" s="224"/>
      <c r="B5" s="24" t="s">
        <v>52</v>
      </c>
      <c r="C5" s="25"/>
      <c r="D5" s="26">
        <v>4633</v>
      </c>
      <c r="E5" s="26">
        <v>4530</v>
      </c>
      <c r="F5" s="26">
        <v>5011</v>
      </c>
      <c r="G5" s="26">
        <v>4971</v>
      </c>
      <c r="H5" s="26">
        <v>4765</v>
      </c>
      <c r="I5" s="26">
        <v>4068</v>
      </c>
      <c r="J5" s="26">
        <v>3834</v>
      </c>
      <c r="K5" s="26">
        <v>3881</v>
      </c>
      <c r="L5" s="26">
        <v>3394</v>
      </c>
      <c r="M5" s="26">
        <v>3579</v>
      </c>
      <c r="N5" s="26">
        <v>3959</v>
      </c>
      <c r="O5" s="23">
        <f t="shared" si="0"/>
        <v>-0.14547809194906108</v>
      </c>
      <c r="P5" s="23">
        <f t="shared" si="1"/>
        <v>3.2603025560772041E-2</v>
      </c>
      <c r="Q5" s="27"/>
    </row>
    <row r="6" spans="1:17" ht="18" customHeight="1" x14ac:dyDescent="0.2">
      <c r="A6" s="224"/>
      <c r="B6" s="24" t="s">
        <v>53</v>
      </c>
      <c r="C6" s="25"/>
      <c r="D6" s="26">
        <v>9137.212890625</v>
      </c>
      <c r="E6" s="26">
        <v>8818.18359375</v>
      </c>
      <c r="F6" s="26">
        <v>9702.869140625</v>
      </c>
      <c r="G6" s="26">
        <v>9335.0673828125</v>
      </c>
      <c r="H6" s="26">
        <v>8955.236328125</v>
      </c>
      <c r="I6" s="26">
        <v>7339.24658203125</v>
      </c>
      <c r="J6" s="26">
        <v>6894.904296875</v>
      </c>
      <c r="K6" s="26">
        <v>6923.37451171875</v>
      </c>
      <c r="L6" s="26">
        <v>6018.16796875</v>
      </c>
      <c r="M6" s="26">
        <v>6720.9443359375</v>
      </c>
      <c r="N6" s="26">
        <v>7324.42822265625</v>
      </c>
      <c r="O6" s="23">
        <f t="shared" si="0"/>
        <v>-0.19839580074014809</v>
      </c>
      <c r="P6" s="23">
        <f t="shared" si="1"/>
        <v>6.2295850281188753E-2</v>
      </c>
    </row>
    <row r="7" spans="1:17" ht="18" customHeight="1" x14ac:dyDescent="0.2">
      <c r="A7" s="224"/>
      <c r="B7" s="24" t="s">
        <v>54</v>
      </c>
      <c r="C7" s="25"/>
      <c r="D7" s="26">
        <v>4522.91650390625</v>
      </c>
      <c r="E7" s="26">
        <v>5434.8994140625</v>
      </c>
      <c r="F7" s="26">
        <v>6916.4189453125</v>
      </c>
      <c r="G7" s="26">
        <v>7722.4677734375</v>
      </c>
      <c r="H7" s="26">
        <v>8893.06640625</v>
      </c>
      <c r="I7" s="26">
        <v>6930.001953125</v>
      </c>
      <c r="J7" s="26">
        <v>7688.25048828125</v>
      </c>
      <c r="K7" s="26">
        <v>7957.62548828125</v>
      </c>
      <c r="L7" s="26">
        <v>6315.34375</v>
      </c>
      <c r="M7" s="26">
        <v>6576.45263671875</v>
      </c>
      <c r="N7" s="26">
        <v>6688.2548828125</v>
      </c>
      <c r="O7" s="23">
        <f t="shared" si="0"/>
        <v>0.47874825392777859</v>
      </c>
      <c r="P7" s="23">
        <f t="shared" si="1"/>
        <v>-0.13006803134119846</v>
      </c>
    </row>
    <row r="8" spans="1:17" ht="18" customHeight="1" x14ac:dyDescent="0.2">
      <c r="A8" s="224"/>
      <c r="B8" s="24" t="s">
        <v>55</v>
      </c>
      <c r="C8" s="27"/>
      <c r="D8" s="28">
        <f ca="1">11.744512*OFFSET(D$112,MATCH($N$1,$C$112:$C$113,0)-1,0)</f>
        <v>11.744512</v>
      </c>
      <c r="E8" s="28">
        <f ca="1">15.845589*OFFSET(E$112,MATCH($N$1,$C$112:$C$113,0)-1,0)</f>
        <v>15.845589</v>
      </c>
      <c r="F8" s="28">
        <f ca="1">21.548806*OFFSET(F$112,MATCH($N$1,$C$112:$C$113,0)-1,0)</f>
        <v>21.548805999999999</v>
      </c>
      <c r="G8" s="28">
        <f ca="1">21.758258*OFFSET(G$112,MATCH($N$1,$C$112:$C$113,0)-1,0)</f>
        <v>21.758258000000001</v>
      </c>
      <c r="H8" s="28">
        <f ca="1">25.685312*OFFSET(H$112,MATCH($N$1,$C$112:$C$113,0)-1,0)</f>
        <v>25.685312</v>
      </c>
      <c r="I8" s="28">
        <f ca="1">18.843856*OFFSET(I$112,MATCH($N$1,$C$112:$C$113,0)-1,0)</f>
        <v>18.843855999999999</v>
      </c>
      <c r="J8" s="28">
        <f ca="1">22.366448*OFFSET(J$112,MATCH($N$1,$C$112:$C$113,0)-1,0)</f>
        <v>22.366447999999998</v>
      </c>
      <c r="K8" s="28">
        <f ca="1">22.342538*OFFSET(K$112,MATCH($N$1,$C$112:$C$113,0)-1,0)</f>
        <v>22.342538000000001</v>
      </c>
      <c r="L8" s="28">
        <f ca="1">20.878452*OFFSET(L$112,MATCH($N$1,$C$112:$C$113,0)-1,0)</f>
        <v>20.878451999999999</v>
      </c>
      <c r="M8" s="28">
        <f ca="1">20.151466*OFFSET(M$112,MATCH($N$1,$C$112:$C$113,0)-1,0)</f>
        <v>20.151465999999999</v>
      </c>
      <c r="N8" s="28">
        <v>19.794447999999999</v>
      </c>
      <c r="O8" s="23">
        <f t="shared" ca="1" si="0"/>
        <v>0.68542107156091281</v>
      </c>
      <c r="P8" s="23">
        <f t="shared" ca="1" si="1"/>
        <v>-0.11499367266541381</v>
      </c>
    </row>
    <row r="9" spans="1:17" ht="18" customHeight="1" x14ac:dyDescent="0.2">
      <c r="A9" s="224"/>
      <c r="B9" s="24" t="s">
        <v>56</v>
      </c>
      <c r="C9" s="27"/>
      <c r="D9" s="26">
        <v>3719</v>
      </c>
      <c r="E9" s="26">
        <v>3595</v>
      </c>
      <c r="F9" s="26">
        <v>3958</v>
      </c>
      <c r="G9" s="26">
        <v>3997</v>
      </c>
      <c r="H9" s="26">
        <v>4082</v>
      </c>
      <c r="I9" s="26">
        <v>3306</v>
      </c>
      <c r="J9" s="26">
        <v>3455</v>
      </c>
      <c r="K9" s="26">
        <v>3599</v>
      </c>
      <c r="L9" s="26">
        <v>3178</v>
      </c>
      <c r="M9" s="26">
        <v>3299</v>
      </c>
      <c r="N9" s="26">
        <v>3163</v>
      </c>
      <c r="O9" s="23">
        <f t="shared" si="0"/>
        <v>-0.14950255445012101</v>
      </c>
      <c r="P9" s="23">
        <f t="shared" si="1"/>
        <v>-8.4515195369030391E-2</v>
      </c>
    </row>
    <row r="10" spans="1:17" ht="18" customHeight="1" x14ac:dyDescent="0.2">
      <c r="A10" s="224"/>
      <c r="B10" s="24" t="s">
        <v>57</v>
      </c>
      <c r="C10" s="27"/>
      <c r="D10" s="26"/>
      <c r="E10" s="26">
        <v>222.46015930175781</v>
      </c>
      <c r="F10" s="26">
        <v>264.72732543945312</v>
      </c>
      <c r="G10" s="26">
        <v>297.629638671875</v>
      </c>
      <c r="H10" s="26">
        <v>298.358642578125</v>
      </c>
      <c r="I10" s="26">
        <v>298.13690185546875</v>
      </c>
      <c r="J10" s="26">
        <v>171.26412963867187</v>
      </c>
      <c r="K10" s="26">
        <v>237.82588195800781</v>
      </c>
      <c r="L10" s="26">
        <v>174.56561279296875</v>
      </c>
      <c r="M10" s="26">
        <v>161.98164367675781</v>
      </c>
      <c r="N10" s="26">
        <v>151.38462829589844</v>
      </c>
      <c r="O10" s="29" t="str">
        <f t="shared" si="0"/>
        <v/>
      </c>
      <c r="P10" s="29">
        <f t="shared" si="1"/>
        <v>-0.11607510215194879</v>
      </c>
    </row>
    <row r="11" spans="1:17" ht="18" customHeight="1" x14ac:dyDescent="0.2">
      <c r="A11" s="225" t="s">
        <v>23</v>
      </c>
      <c r="B11" s="30" t="s">
        <v>58</v>
      </c>
      <c r="C11" s="31"/>
      <c r="D11" s="32">
        <v>35.335334777832031</v>
      </c>
      <c r="E11" s="32">
        <v>35.093570709228516</v>
      </c>
      <c r="F11" s="32">
        <v>35.066665649414063</v>
      </c>
      <c r="G11" s="32">
        <v>35.060001373291016</v>
      </c>
      <c r="H11" s="32">
        <v>33.471332550048828</v>
      </c>
      <c r="I11" s="32">
        <v>33.782306671142578</v>
      </c>
      <c r="J11" s="32">
        <v>33.849166870117188</v>
      </c>
      <c r="K11" s="32">
        <v>32.664615631103516</v>
      </c>
      <c r="L11" s="32">
        <v>33.762725830078125</v>
      </c>
      <c r="M11" s="32">
        <v>31.341537475585938</v>
      </c>
      <c r="N11" s="32">
        <v>33.122306823730469</v>
      </c>
      <c r="O11" s="23">
        <f t="shared" si="0"/>
        <v>-6.2629319009308695E-2</v>
      </c>
      <c r="P11" s="23">
        <f t="shared" si="1"/>
        <v>-2.1473498865592681E-2</v>
      </c>
    </row>
    <row r="12" spans="1:17" ht="18" customHeight="1" x14ac:dyDescent="0.2">
      <c r="A12" s="226"/>
      <c r="B12" s="33" t="s">
        <v>51</v>
      </c>
      <c r="C12" s="25"/>
      <c r="D12" s="26">
        <v>699.4000244140625</v>
      </c>
      <c r="E12" s="26">
        <v>711.85711669921875</v>
      </c>
      <c r="F12" s="26">
        <v>712.933349609375</v>
      </c>
      <c r="G12" s="26">
        <v>667.4000244140625</v>
      </c>
      <c r="H12" s="26">
        <v>641.4666748046875</v>
      </c>
      <c r="I12" s="26">
        <v>616.5384521484375</v>
      </c>
      <c r="J12" s="26">
        <v>606.33331298828125</v>
      </c>
      <c r="K12" s="26">
        <v>608.69232177734375</v>
      </c>
      <c r="L12" s="26">
        <v>621.3636474609375</v>
      </c>
      <c r="M12" s="26">
        <v>613</v>
      </c>
      <c r="N12" s="26">
        <v>665.84613037109375</v>
      </c>
      <c r="O12" s="23">
        <f t="shared" si="0"/>
        <v>-4.7975254320414489E-2</v>
      </c>
      <c r="P12" s="23">
        <f t="shared" si="1"/>
        <v>9.8151983583924768E-2</v>
      </c>
    </row>
    <row r="13" spans="1:17" ht="18" customHeight="1" x14ac:dyDescent="0.2">
      <c r="A13" s="226"/>
      <c r="B13" s="33" t="s">
        <v>52</v>
      </c>
      <c r="C13" s="25"/>
      <c r="D13" s="26">
        <v>308.86666870117187</v>
      </c>
      <c r="E13" s="26">
        <v>323.57144165039062</v>
      </c>
      <c r="F13" s="26">
        <v>334.06668090820312</v>
      </c>
      <c r="G13" s="26">
        <v>331.39999389648437</v>
      </c>
      <c r="H13" s="26">
        <v>317.66665649414062</v>
      </c>
      <c r="I13" s="26">
        <v>312.92306518554687</v>
      </c>
      <c r="J13" s="26">
        <v>319.5</v>
      </c>
      <c r="K13" s="26">
        <v>298.5384521484375</v>
      </c>
      <c r="L13" s="26">
        <v>308.54544067382812</v>
      </c>
      <c r="M13" s="26">
        <v>275.30767822265625</v>
      </c>
      <c r="N13" s="26">
        <v>304.5384521484375</v>
      </c>
      <c r="O13" s="23">
        <f t="shared" si="0"/>
        <v>-1.40132199143894E-2</v>
      </c>
      <c r="P13" s="23">
        <f t="shared" si="1"/>
        <v>-4.6828005795187796E-2</v>
      </c>
    </row>
    <row r="14" spans="1:17" ht="18" customHeight="1" x14ac:dyDescent="0.2">
      <c r="A14" s="226"/>
      <c r="B14" s="33" t="s">
        <v>53</v>
      </c>
      <c r="C14" s="25"/>
      <c r="D14" s="26">
        <v>609.14752197265625</v>
      </c>
      <c r="E14" s="26">
        <v>629.87030029296875</v>
      </c>
      <c r="F14" s="26">
        <v>646.85791015625</v>
      </c>
      <c r="G14" s="26">
        <v>622.33782958984375</v>
      </c>
      <c r="H14" s="26">
        <v>597.0157470703125</v>
      </c>
      <c r="I14" s="26">
        <v>564.55743408203125</v>
      </c>
      <c r="J14" s="26">
        <v>574.57537841796875</v>
      </c>
      <c r="K14" s="26">
        <v>532.5672607421875</v>
      </c>
      <c r="L14" s="26">
        <v>547.106201171875</v>
      </c>
      <c r="M14" s="26">
        <v>516.9957275390625</v>
      </c>
      <c r="N14" s="26">
        <v>563.41754150390625</v>
      </c>
      <c r="O14" s="23">
        <f t="shared" si="0"/>
        <v>-7.507209472125663E-2</v>
      </c>
      <c r="P14" s="23">
        <f t="shared" si="1"/>
        <v>-1.9419274360109894E-2</v>
      </c>
    </row>
    <row r="15" spans="1:17" ht="18" customHeight="1" x14ac:dyDescent="0.2">
      <c r="A15" s="226"/>
      <c r="B15" s="33" t="s">
        <v>54</v>
      </c>
      <c r="C15" s="27"/>
      <c r="D15" s="28">
        <v>301.52774047851562</v>
      </c>
      <c r="E15" s="28">
        <v>388.20709228515625</v>
      </c>
      <c r="F15" s="28">
        <v>461.0946044921875</v>
      </c>
      <c r="G15" s="28">
        <v>514.8311767578125</v>
      </c>
      <c r="H15" s="28">
        <v>592.87115478515625</v>
      </c>
      <c r="I15" s="28">
        <v>533.07708740234375</v>
      </c>
      <c r="J15" s="28">
        <v>640.68756103515625</v>
      </c>
      <c r="K15" s="28">
        <v>612.125</v>
      </c>
      <c r="L15" s="28">
        <v>574.1221923828125</v>
      </c>
      <c r="M15" s="28">
        <v>505.8809814453125</v>
      </c>
      <c r="N15" s="28">
        <v>514.48114013671875</v>
      </c>
      <c r="O15" s="23">
        <f t="shared" si="0"/>
        <v>0.70624811939442911</v>
      </c>
      <c r="P15" s="23">
        <f t="shared" si="1"/>
        <v>-0.19698590791200363</v>
      </c>
    </row>
    <row r="16" spans="1:17" ht="18" customHeight="1" x14ac:dyDescent="0.2">
      <c r="A16" s="226"/>
      <c r="B16" s="33" t="s">
        <v>59</v>
      </c>
      <c r="C16" s="27"/>
      <c r="D16" s="28">
        <f ca="1">782.9675*OFFSET(D$112,MATCH($N$1,$C$112:$C$113,0)-1,0)</f>
        <v>782.96749999999997</v>
      </c>
      <c r="E16" s="28">
        <f ca="1">1131.82775*OFFSET(E$112,MATCH($N$1,$C$112:$C$113,0)-1,0)</f>
        <v>1131.8277499999999</v>
      </c>
      <c r="F16" s="28">
        <f ca="1">1436.587125*OFFSET(F$112,MATCH($N$1,$C$112:$C$113,0)-1,0)</f>
        <v>1436.587125</v>
      </c>
      <c r="G16" s="28">
        <f ca="1">1450.5505*OFFSET(G$112,MATCH($N$1,$C$112:$C$113,0)-1,0)</f>
        <v>1450.5505000000001</v>
      </c>
      <c r="H16" s="28">
        <f ca="1">1712.354125*OFFSET(H$112,MATCH($N$1,$C$112:$C$113,0)-1,0)</f>
        <v>1712.3541250000001</v>
      </c>
      <c r="I16" s="28">
        <f ca="1">1449.527375*OFFSET(I$112,MATCH($N$1,$C$112:$C$113,0)-1,0)</f>
        <v>1449.5273749999999</v>
      </c>
      <c r="J16" s="28">
        <f ca="1">1863.87075*OFFSET(J$112,MATCH($N$1,$C$112:$C$113,0)-1,0)</f>
        <v>1863.87075</v>
      </c>
      <c r="K16" s="28">
        <f ca="1">1718.656875*OFFSET(K$112,MATCH($N$1,$C$112:$C$113,0)-1,0)</f>
        <v>1718.6568749999999</v>
      </c>
      <c r="L16" s="28">
        <f ca="1">1898.041125*OFFSET(L$112,MATCH($N$1,$C$112:$C$113,0)-1,0)</f>
        <v>1898.041125</v>
      </c>
      <c r="M16" s="28">
        <f ca="1">1550.11275*OFFSET(M$112,MATCH($N$1,$C$112:$C$113,0)-1,0)</f>
        <v>1550.11275</v>
      </c>
      <c r="N16" s="28">
        <v>1522.6498750000001</v>
      </c>
      <c r="O16" s="23">
        <f t="shared" ca="1" si="0"/>
        <v>0.94471657508134133</v>
      </c>
      <c r="P16" s="23">
        <f t="shared" ca="1" si="1"/>
        <v>-0.18307110350865261</v>
      </c>
    </row>
    <row r="17" spans="1:16" ht="18" customHeight="1" x14ac:dyDescent="0.2">
      <c r="A17" s="226"/>
      <c r="B17" s="33" t="s">
        <v>56</v>
      </c>
      <c r="C17" s="25"/>
      <c r="D17" s="26">
        <v>247.93333435058594</v>
      </c>
      <c r="E17" s="26">
        <v>256.78570556640625</v>
      </c>
      <c r="F17" s="26">
        <v>263.86666870117187</v>
      </c>
      <c r="G17" s="26">
        <v>266.4666748046875</v>
      </c>
      <c r="H17" s="26">
        <v>272.13333129882813</v>
      </c>
      <c r="I17" s="26">
        <v>254.30769348144531</v>
      </c>
      <c r="J17" s="26">
        <v>287.91665649414062</v>
      </c>
      <c r="K17" s="26">
        <v>276.84616088867187</v>
      </c>
      <c r="L17" s="26">
        <v>288.90908813476562</v>
      </c>
      <c r="M17" s="26">
        <v>253.76922607421875</v>
      </c>
      <c r="N17" s="26">
        <v>243.30769348144531</v>
      </c>
      <c r="O17" s="23">
        <f t="shared" si="0"/>
        <v>-1.86567928885263E-2</v>
      </c>
      <c r="P17" s="23">
        <f t="shared" si="1"/>
        <v>-0.1549370694835196</v>
      </c>
    </row>
    <row r="18" spans="1:16" ht="18" customHeight="1" x14ac:dyDescent="0.2">
      <c r="A18" s="226"/>
      <c r="B18" s="33" t="s">
        <v>60</v>
      </c>
      <c r="C18" s="25"/>
      <c r="D18" s="26">
        <v>23.333333969116211</v>
      </c>
      <c r="E18" s="26">
        <v>21</v>
      </c>
      <c r="F18" s="26">
        <v>16.866666793823242</v>
      </c>
      <c r="G18" s="26">
        <v>18.866666793823242</v>
      </c>
      <c r="H18" s="26">
        <v>16.733333587646484</v>
      </c>
      <c r="I18" s="26">
        <v>18.230770111083984</v>
      </c>
      <c r="J18" s="26">
        <v>18.25</v>
      </c>
      <c r="K18" s="26">
        <v>21.538461685180664</v>
      </c>
      <c r="L18" s="26">
        <v>22</v>
      </c>
      <c r="M18" s="26">
        <v>25.153846740722656</v>
      </c>
      <c r="N18" s="26">
        <v>22.846153259277344</v>
      </c>
      <c r="O18" s="23">
        <f t="shared" si="0"/>
        <v>-2.0879172709896286E-2</v>
      </c>
      <c r="P18" s="23">
        <f t="shared" si="1"/>
        <v>0.25184401420697772</v>
      </c>
    </row>
    <row r="19" spans="1:16" ht="18" customHeight="1" x14ac:dyDescent="0.2">
      <c r="A19" s="226"/>
      <c r="B19" s="33" t="s">
        <v>61</v>
      </c>
      <c r="C19" s="25"/>
      <c r="D19" s="34">
        <v>1.2161645889282227</v>
      </c>
      <c r="E19" s="34">
        <v>1.5117939710617065</v>
      </c>
      <c r="F19" s="34">
        <v>1.747452974319458</v>
      </c>
      <c r="G19" s="34">
        <v>1.9320658445358276</v>
      </c>
      <c r="H19" s="34">
        <v>2.178605318069458</v>
      </c>
      <c r="I19" s="34">
        <v>2.0961894989013672</v>
      </c>
      <c r="J19" s="34">
        <v>2.2252535820007324</v>
      </c>
      <c r="K19" s="34">
        <v>2.2110655307769775</v>
      </c>
      <c r="L19" s="34">
        <v>1.9872070550918579</v>
      </c>
      <c r="M19" s="34">
        <v>1.9934686422348022</v>
      </c>
      <c r="N19" s="34">
        <v>2.1145288944244385</v>
      </c>
      <c r="O19" s="23">
        <f t="shared" si="0"/>
        <v>0.73868645220785722</v>
      </c>
      <c r="P19" s="23">
        <f t="shared" si="1"/>
        <v>-4.9758233610724505E-2</v>
      </c>
    </row>
    <row r="20" spans="1:16" ht="18" customHeight="1" x14ac:dyDescent="0.2">
      <c r="A20" s="227"/>
      <c r="B20" s="35" t="s">
        <v>24</v>
      </c>
      <c r="C20" s="36"/>
      <c r="D20" s="37">
        <f ca="1">2597*OFFSET(D$112,MATCH($N$1,$C$112:$C$113,0)-1,0)</f>
        <v>2597</v>
      </c>
      <c r="E20" s="37">
        <f ca="1">2916*OFFSET(E$112,MATCH($N$1,$C$112:$C$113,0)-1,0)</f>
        <v>2916</v>
      </c>
      <c r="F20" s="37">
        <f ca="1">3116*OFFSET(F$112,MATCH($N$1,$C$112:$C$113,0)-1,0)</f>
        <v>3116</v>
      </c>
      <c r="G20" s="37">
        <f ca="1">2818*OFFSET(G$112,MATCH($N$1,$C$112:$C$113,0)-1,0)</f>
        <v>2818</v>
      </c>
      <c r="H20" s="37">
        <f ca="1">2888*OFFSET(H$112,MATCH($N$1,$C$112:$C$113,0)-1,0)</f>
        <v>2888</v>
      </c>
      <c r="I20" s="37">
        <f ca="1">2719*OFFSET(I$112,MATCH($N$1,$C$112:$C$113,0)-1,0)</f>
        <v>2719</v>
      </c>
      <c r="J20" s="37">
        <f ca="1">2909*OFFSET(J$112,MATCH($N$1,$C$112:$C$113,0)-1,0)</f>
        <v>2909</v>
      </c>
      <c r="K20" s="37">
        <f ca="1">2808*OFFSET(K$112,MATCH($N$1,$C$112:$C$113,0)-1,0)</f>
        <v>2808</v>
      </c>
      <c r="L20" s="37">
        <f ca="1">3306*OFFSET(L$112,MATCH($N$1,$C$112:$C$113,0)-1,0)</f>
        <v>3306</v>
      </c>
      <c r="M20" s="37">
        <f ca="1">3064*OFFSET(M$112,MATCH($N$1,$C$112:$C$113,0)-1,0)</f>
        <v>3064</v>
      </c>
      <c r="N20" s="37">
        <v>2960</v>
      </c>
      <c r="O20" s="29">
        <f t="shared" ca="1" si="0"/>
        <v>0.13977666538313438</v>
      </c>
      <c r="P20" s="29">
        <f t="shared" ca="1" si="1"/>
        <v>1.7531797868683398E-2</v>
      </c>
    </row>
    <row r="21" spans="1:16" ht="18" customHeight="1" x14ac:dyDescent="0.2">
      <c r="A21" s="228" t="s">
        <v>25</v>
      </c>
      <c r="B21" s="30" t="s">
        <v>62</v>
      </c>
      <c r="C21" s="38"/>
      <c r="D21" s="39">
        <v>1.7684932533941802</v>
      </c>
      <c r="E21" s="39">
        <v>2.1105520327309337</v>
      </c>
      <c r="F21" s="39">
        <v>2.5295654467914912</v>
      </c>
      <c r="G21" s="39">
        <v>2.9151586121683546</v>
      </c>
      <c r="H21" s="39">
        <v>3.4286802419799729</v>
      </c>
      <c r="I21" s="39">
        <v>3.5895086438181409</v>
      </c>
      <c r="J21" s="39">
        <v>3.6788352963461071</v>
      </c>
      <c r="K21" s="39">
        <v>3.5715711831750334</v>
      </c>
      <c r="L21" s="39">
        <v>3.191630936465613</v>
      </c>
      <c r="M21" s="39">
        <v>3.2398935711648877</v>
      </c>
      <c r="N21" s="39">
        <v>3.2419460826279551</v>
      </c>
      <c r="O21" s="23">
        <f t="shared" si="0"/>
        <v>0.83316847627541191</v>
      </c>
      <c r="P21" s="23">
        <f t="shared" si="1"/>
        <v>-0.1187574812474152</v>
      </c>
    </row>
    <row r="22" spans="1:16" ht="18" customHeight="1" x14ac:dyDescent="0.2">
      <c r="A22" s="228"/>
      <c r="B22" s="33" t="s">
        <v>63</v>
      </c>
      <c r="C22" s="25"/>
      <c r="D22" s="34">
        <f ca="1">4.59219022163424*OFFSET(D$112,MATCH($N$1,$C$112:$C$113,0)-1,0)</f>
        <v>4.5921902216342403</v>
      </c>
      <c r="E22" s="34">
        <f ca="1">6.15336866825995*OFFSET(E$112,MATCH($N$1,$C$112:$C$113,0)-1,0)</f>
        <v>6.15336866825995</v>
      </c>
      <c r="F22" s="34">
        <f ca="1">7.88111835901368*OFFSET(F$112,MATCH($N$1,$C$112:$C$113,0)-1,0)</f>
        <v>7.88111835901368</v>
      </c>
      <c r="G22" s="34">
        <f ca="1">8.2135367346825*OFFSET(G$112,MATCH($N$1,$C$112:$C$113,0)-1,0)</f>
        <v>8.2135367346824992</v>
      </c>
      <c r="H22" s="34">
        <f ca="1">9.90285108032954*OFFSET(H$112,MATCH($N$1,$C$112:$C$113,0)-1,0)</f>
        <v>9.9028510803295404</v>
      </c>
      <c r="I22" s="34">
        <f ca="1">9.76048523745019*OFFSET(I$112,MATCH($N$1,$C$112:$C$113,0)-1,0)</f>
        <v>9.7604852374501903</v>
      </c>
      <c r="J22" s="34">
        <f ca="1">10.7023671442106*OFFSET(J$112,MATCH($N$1,$C$112:$C$113,0)-1,0)</f>
        <v>10.7023671442106</v>
      </c>
      <c r="K22" s="34">
        <f ca="1">10.0278625583266*OFFSET(K$112,MATCH($N$1,$C$112:$C$113,0)-1,0)</f>
        <v>10.0278625583266</v>
      </c>
      <c r="L22" s="34">
        <f ca="1">10.5514938345995*OFFSET(L$112,MATCH($N$1,$C$112:$C$113,0)-1,0)</f>
        <v>10.5514938345995</v>
      </c>
      <c r="M22" s="34">
        <f ca="1">9.92763222479168*OFFSET(M$112,MATCH($N$1,$C$112:$C$113,0)-1,0)</f>
        <v>9.9276322247916795</v>
      </c>
      <c r="N22" s="34">
        <v>9.5948100180278821</v>
      </c>
      <c r="O22" s="23">
        <f t="shared" ca="1" si="0"/>
        <v>1.0893755604517055</v>
      </c>
      <c r="P22" s="23">
        <f t="shared" ca="1" si="1"/>
        <v>-0.10348711750015471</v>
      </c>
    </row>
    <row r="23" spans="1:16" ht="18" customHeight="1" x14ac:dyDescent="0.2">
      <c r="A23" s="228"/>
      <c r="B23" s="33" t="s">
        <v>11</v>
      </c>
      <c r="C23" s="25"/>
      <c r="D23" s="34">
        <f ca="1">5.31369221526749*OFFSET(D$112,MATCH($N$1,$C$112:$C$113,0)-1,0)</f>
        <v>5.3136922152674897</v>
      </c>
      <c r="E23" s="34">
        <f ca="1">6.11635754313314*OFFSET(E$112,MATCH($N$1,$C$112:$C$113,0)-1,0)</f>
        <v>6.1163575431331401</v>
      </c>
      <c r="F23" s="34">
        <f ca="1">5.85971579771983*OFFSET(F$112,MATCH($N$1,$C$112:$C$113,0)-1,0)</f>
        <v>5.8597157977198302</v>
      </c>
      <c r="G23" s="34">
        <f ca="1">6.48138905568761*OFFSET(G$112,MATCH($N$1,$C$112:$C$113,0)-1,0)</f>
        <v>6.4813890556876101</v>
      </c>
      <c r="H23" s="34">
        <f ca="1">9.98124341824487*OFFSET(H$112,MATCH($N$1,$C$112:$C$113,0)-1,0)</f>
        <v>9.9812434182448708</v>
      </c>
      <c r="I23" s="34">
        <f ca="1">9.83851251200073*OFFSET(I$112,MATCH($N$1,$C$112:$C$113,0)-1,0)</f>
        <v>9.8385125120007295</v>
      </c>
      <c r="J23" s="34">
        <f ca="1">10.6025225934692*OFFSET(J$112,MATCH($N$1,$C$112:$C$113,0)-1,0)</f>
        <v>10.6025225934692</v>
      </c>
      <c r="K23" s="34">
        <f ca="1">9.4335755770755*OFFSET(K$112,MATCH($N$1,$C$112:$C$113,0)-1,0)</f>
        <v>9.4335755770754997</v>
      </c>
      <c r="L23" s="34">
        <f ca="1">7.07214228460012*OFFSET(L$112,MATCH($N$1,$C$112:$C$113,0)-1,0)</f>
        <v>7.0721422846001198</v>
      </c>
      <c r="M23" s="34">
        <f ca="1">9.35819587765043*OFFSET(M$112,MATCH($N$1,$C$112:$C$113,0)-1,0)</f>
        <v>9.3581958776504308</v>
      </c>
      <c r="N23" s="34">
        <v>9.3525688654495802</v>
      </c>
      <c r="O23" s="23">
        <f t="shared" ca="1" si="0"/>
        <v>0.76008855736458469</v>
      </c>
      <c r="P23" s="23">
        <f t="shared" ca="1" si="1"/>
        <v>-0.11789210699626797</v>
      </c>
    </row>
    <row r="24" spans="1:16" ht="18" customHeight="1" x14ac:dyDescent="0.2">
      <c r="A24" s="228"/>
      <c r="B24" s="33" t="s">
        <v>12</v>
      </c>
      <c r="C24" s="25"/>
      <c r="D24" s="34">
        <f ca="1">-0.697665512248136*OFFSET(D$112,MATCH($N$1,$C$112:$C$113,0)-1,0)</f>
        <v>-0.697665512248136</v>
      </c>
      <c r="E24" s="34">
        <f ca="1">0.05439636896167*OFFSET(E$112,MATCH($N$1,$C$112:$C$113,0)-1,0)</f>
        <v>5.4396368961670001E-2</v>
      </c>
      <c r="F24" s="34">
        <f ca="1">2.04366925345899*OFFSET(F$112,MATCH($N$1,$C$112:$C$113,0)-1,0)</f>
        <v>2.0436692534589902</v>
      </c>
      <c r="G24" s="34">
        <f ca="1">1.75535356075193*OFFSET(G$112,MATCH($N$1,$C$112:$C$113,0)-1,0)</f>
        <v>1.7553535607519299</v>
      </c>
      <c r="H24" s="34">
        <f ca="1">-0.050413601242733*OFFSET(H$112,MATCH($N$1,$C$112:$C$113,0)-1,0)</f>
        <v>-5.0413601242733003E-2</v>
      </c>
      <c r="I24" s="34">
        <f ca="1">-0.0504507673895603*OFFSET(I$112,MATCH($N$1,$C$112:$C$113,0)-1,0)</f>
        <v>-5.0450767389560301E-2</v>
      </c>
      <c r="J24" s="34">
        <f ca="1">0.233622370338204*OFFSET(J$112,MATCH($N$1,$C$112:$C$113,0)-1,0)</f>
        <v>0.23362237033820399</v>
      </c>
      <c r="K24" s="34">
        <f ca="1">0.686307998601858*OFFSET(K$112,MATCH($N$1,$C$112:$C$113,0)-1,0)</f>
        <v>0.68630799860185798</v>
      </c>
      <c r="L24" s="34">
        <f ca="1">3.5091629111284*OFFSET(L$112,MATCH($N$1,$C$112:$C$113,0)-1,0)</f>
        <v>3.5091629111284002</v>
      </c>
      <c r="M24" s="34">
        <f ca="1">0.734837370293461*OFFSET(M$112,MATCH($N$1,$C$112:$C$113,0)-1,0)</f>
        <v>0.73483737029346097</v>
      </c>
      <c r="N24" s="34">
        <v>0.26934957352392414</v>
      </c>
      <c r="O24" s="23" t="str">
        <f t="shared" ca="1" si="0"/>
        <v>na</v>
      </c>
      <c r="P24" s="23">
        <f t="shared" ca="1" si="1"/>
        <v>0.15292714963040385</v>
      </c>
    </row>
    <row r="25" spans="1:16" ht="18" customHeight="1" x14ac:dyDescent="0.2">
      <c r="A25" s="228"/>
      <c r="B25" s="33" t="s">
        <v>64</v>
      </c>
      <c r="C25" s="25"/>
      <c r="D25" s="28"/>
      <c r="E25" s="28">
        <f ca="1">71.23*OFFSET(E$112,MATCH($N$1,$C$112:$C$113,0)-1,0)</f>
        <v>71.23</v>
      </c>
      <c r="F25" s="28">
        <f ca="1">81.4*OFFSET(F$112,MATCH($N$1,$C$112:$C$113,0)-1,0)</f>
        <v>81.400000000000006</v>
      </c>
      <c r="G25" s="28">
        <f ca="1">73.11*OFFSET(G$112,MATCH($N$1,$C$112:$C$113,0)-1,0)</f>
        <v>73.11</v>
      </c>
      <c r="H25" s="28">
        <f ca="1">86.09*OFFSET(H$112,MATCH($N$1,$C$112:$C$113,0)-1,0)</f>
        <v>86.09</v>
      </c>
      <c r="I25" s="28">
        <f ca="1">63.2*OFFSET(I$112,MATCH($N$1,$C$112:$C$113,0)-1,0)</f>
        <v>63.2</v>
      </c>
      <c r="J25" s="28">
        <f ca="1">130.6*OFFSET(J$112,MATCH($N$1,$C$112:$C$113,0)-1,0)</f>
        <v>130.6</v>
      </c>
      <c r="K25" s="28">
        <f ca="1">93.95*OFFSET(K$112,MATCH($N$1,$C$112:$C$113,0)-1,0)</f>
        <v>93.95</v>
      </c>
      <c r="L25" s="28">
        <f ca="1">119.6*OFFSET(L$112,MATCH($N$1,$C$112:$C$113,0)-1,0)</f>
        <v>119.6</v>
      </c>
      <c r="M25" s="28">
        <f ca="1">124.4*OFFSET(M$112,MATCH($N$1,$C$112:$C$113,0)-1,0)</f>
        <v>124.4</v>
      </c>
      <c r="N25" s="28">
        <v>130.75</v>
      </c>
      <c r="O25" s="23" t="str">
        <f t="shared" si="0"/>
        <v/>
      </c>
      <c r="P25" s="23">
        <f t="shared" ca="1" si="1"/>
        <v>1.1485451761103038E-3</v>
      </c>
    </row>
    <row r="26" spans="1:16" ht="18" customHeight="1" x14ac:dyDescent="0.2">
      <c r="A26" s="229"/>
      <c r="B26" s="33" t="s">
        <v>65</v>
      </c>
      <c r="C26" s="40"/>
      <c r="D26" s="28"/>
      <c r="E26" s="28">
        <f ca="1">0.63*OFFSET(E$112,MATCH($N$1,$C$112:$C$113,0)-1,0)</f>
        <v>0.63</v>
      </c>
      <c r="F26" s="28">
        <f ca="1">21.11*OFFSET(F$112,MATCH($N$1,$C$112:$C$113,0)-1,0)</f>
        <v>21.11</v>
      </c>
      <c r="G26" s="28">
        <f ca="1">15.62*OFFSET(G$112,MATCH($N$1,$C$112:$C$113,0)-1,0)</f>
        <v>15.62</v>
      </c>
      <c r="H26" s="28">
        <f ca="1">-0.44*OFFSET(H$112,MATCH($N$1,$C$112:$C$113,0)-1,0)</f>
        <v>-0.44</v>
      </c>
      <c r="I26" s="28">
        <f ca="1">-0.33*OFFSET(I$112,MATCH($N$1,$C$112:$C$113,0)-1,0)</f>
        <v>-0.33</v>
      </c>
      <c r="J26" s="28">
        <f ca="1">2.85*OFFSET(J$112,MATCH($N$1,$C$112:$C$113,0)-1,0)</f>
        <v>2.85</v>
      </c>
      <c r="K26" s="28">
        <f ca="1">6.43*OFFSET(K$112,MATCH($N$1,$C$112:$C$113,0)-1,0)</f>
        <v>6.43</v>
      </c>
      <c r="L26" s="28">
        <f ca="1">39.77*OFFSET(L$112,MATCH($N$1,$C$112:$C$113,0)-1,0)</f>
        <v>39.770000000000003</v>
      </c>
      <c r="M26" s="28">
        <f ca="1">9.21*OFFSET(M$112,MATCH($N$1,$C$112:$C$113,0)-1,0)</f>
        <v>9.2100000000000009</v>
      </c>
      <c r="N26" s="28">
        <v>3.67</v>
      </c>
      <c r="O26" s="29" t="str">
        <f t="shared" si="0"/>
        <v/>
      </c>
      <c r="P26" s="29">
        <f t="shared" ca="1" si="1"/>
        <v>0.28771929824561399</v>
      </c>
    </row>
    <row r="27" spans="1:16" ht="18" customHeight="1" x14ac:dyDescent="0.2">
      <c r="A27" s="230" t="s">
        <v>26</v>
      </c>
      <c r="B27" s="30" t="s">
        <v>59</v>
      </c>
      <c r="C27" s="31"/>
      <c r="D27" s="32">
        <f ca="1">783*OFFSET(D$112,MATCH($N$1,$C$112:$C$113,0)-1,0)</f>
        <v>783</v>
      </c>
      <c r="E27" s="32">
        <f ca="1">1131.8*OFFSET(E$112,MATCH($N$1,$C$112:$C$113,0)-1,0)</f>
        <v>1131.8</v>
      </c>
      <c r="F27" s="32">
        <f ca="1">1436.6*OFFSET(F$112,MATCH($N$1,$C$112:$C$113,0)-1,0)</f>
        <v>1436.6</v>
      </c>
      <c r="G27" s="32">
        <f ca="1">1450.6*OFFSET(G$112,MATCH($N$1,$C$112:$C$113,0)-1,0)</f>
        <v>1450.6</v>
      </c>
      <c r="H27" s="32">
        <f ca="1">1712.4*OFFSET(H$112,MATCH($N$1,$C$112:$C$113,0)-1,0)</f>
        <v>1712.4</v>
      </c>
      <c r="I27" s="32">
        <f ca="1">1449.5*OFFSET(I$112,MATCH($N$1,$C$112:$C$113,0)-1,0)</f>
        <v>1449.5</v>
      </c>
      <c r="J27" s="32">
        <f ca="1">1863.9*OFFSET(J$112,MATCH($N$1,$C$112:$C$113,0)-1,0)</f>
        <v>1863.9</v>
      </c>
      <c r="K27" s="32">
        <f ca="1">1718.7*OFFSET(K$112,MATCH($N$1,$C$112:$C$113,0)-1,0)</f>
        <v>1718.7</v>
      </c>
      <c r="L27" s="32">
        <f ca="1">1898*OFFSET(L$112,MATCH($N$1,$C$112:$C$113,0)-1,0)</f>
        <v>1898</v>
      </c>
      <c r="M27" s="32">
        <f ca="1">1550.1*OFFSET(M$112,MATCH($N$1,$C$112:$C$113,0)-1,0)</f>
        <v>1550.1</v>
      </c>
      <c r="N27" s="32">
        <v>1522.6000000000001</v>
      </c>
      <c r="O27" s="23">
        <f t="shared" ca="1" si="0"/>
        <v>0.94457215836526198</v>
      </c>
      <c r="P27" s="23">
        <f t="shared" ca="1" si="1"/>
        <v>-0.18311068190353558</v>
      </c>
    </row>
    <row r="28" spans="1:16" ht="18" customHeight="1" x14ac:dyDescent="0.2">
      <c r="A28" s="231"/>
      <c r="B28" s="33" t="s">
        <v>66</v>
      </c>
      <c r="C28" s="27"/>
      <c r="D28" s="28">
        <f ca="1">4.1*OFFSET(D$112,MATCH($N$1,$C$112:$C$113,0)-1,0)</f>
        <v>4.0999999999999996</v>
      </c>
      <c r="E28" s="28">
        <f ca="1">3.2*OFFSET(E$112,MATCH($N$1,$C$112:$C$113,0)-1,0)</f>
        <v>3.2</v>
      </c>
      <c r="F28" s="28">
        <f ca="1">4.1*OFFSET(F$112,MATCH($N$1,$C$112:$C$113,0)-1,0)</f>
        <v>4.0999999999999996</v>
      </c>
      <c r="G28" s="28">
        <f ca="1">4.1*OFFSET(G$112,MATCH($N$1,$C$112:$C$113,0)-1,0)</f>
        <v>4.0999999999999996</v>
      </c>
      <c r="H28" s="28">
        <f ca="1">4.8*OFFSET(H$112,MATCH($N$1,$C$112:$C$113,0)-1,0)</f>
        <v>4.8</v>
      </c>
      <c r="I28" s="28">
        <f ca="1">4.1*OFFSET(I$112,MATCH($N$1,$C$112:$C$113,0)-1,0)</f>
        <v>4.0999999999999996</v>
      </c>
      <c r="J28" s="28">
        <f ca="1">23.3*OFFSET(J$112,MATCH($N$1,$C$112:$C$113,0)-1,0)</f>
        <v>23.3</v>
      </c>
      <c r="K28" s="28">
        <f ca="1">15.8*OFFSET(K$112,MATCH($N$1,$C$112:$C$113,0)-1,0)</f>
        <v>15.8</v>
      </c>
      <c r="L28" s="28">
        <f ca="1">5.4*OFFSET(L$112,MATCH($N$1,$C$112:$C$113,0)-1,0)</f>
        <v>5.4</v>
      </c>
      <c r="M28" s="28">
        <f ca="1">25.8*OFFSET(M$112,MATCH($N$1,$C$112:$C$113,0)-1,0)</f>
        <v>25.8</v>
      </c>
      <c r="N28" s="28">
        <v>4.3</v>
      </c>
      <c r="O28" s="23">
        <f t="shared" ca="1" si="0"/>
        <v>4.8780487804878099E-2</v>
      </c>
      <c r="P28" s="23">
        <f t="shared" ca="1" si="1"/>
        <v>-0.81545064377682397</v>
      </c>
    </row>
    <row r="29" spans="1:16" ht="18" customHeight="1" x14ac:dyDescent="0.2">
      <c r="A29" s="231"/>
      <c r="B29" s="41" t="s">
        <v>67</v>
      </c>
      <c r="C29" s="42"/>
      <c r="D29" s="43">
        <f ca="1">787*OFFSET(D$112,MATCH($N$1,$C$112:$C$113,0)-1,0)</f>
        <v>787</v>
      </c>
      <c r="E29" s="43">
        <f ca="1">1135*OFFSET(E$112,MATCH($N$1,$C$112:$C$113,0)-1,0)</f>
        <v>1135</v>
      </c>
      <c r="F29" s="43">
        <f ca="1">1440.6*OFFSET(F$112,MATCH($N$1,$C$112:$C$113,0)-1,0)</f>
        <v>1440.6</v>
      </c>
      <c r="G29" s="43">
        <f ca="1">1454.6*OFFSET(G$112,MATCH($N$1,$C$112:$C$113,0)-1,0)</f>
        <v>1454.6</v>
      </c>
      <c r="H29" s="43">
        <f ca="1">1717.2*OFFSET(H$112,MATCH($N$1,$C$112:$C$113,0)-1,0)</f>
        <v>1717.2</v>
      </c>
      <c r="I29" s="43">
        <f ca="1">1453.6*OFFSET(I$112,MATCH($N$1,$C$112:$C$113,0)-1,0)</f>
        <v>1453.6</v>
      </c>
      <c r="J29" s="43">
        <f ca="1">1887.2*OFFSET(J$112,MATCH($N$1,$C$112:$C$113,0)-1,0)</f>
        <v>1887.2</v>
      </c>
      <c r="K29" s="43">
        <f ca="1">1734.4*OFFSET(K$112,MATCH($N$1,$C$112:$C$113,0)-1,0)</f>
        <v>1734.4</v>
      </c>
      <c r="L29" s="43">
        <f ca="1">1903.4*OFFSET(L$112,MATCH($N$1,$C$112:$C$113,0)-1,0)</f>
        <v>1903.4</v>
      </c>
      <c r="M29" s="43">
        <f ca="1">1575.9*OFFSET(M$112,MATCH($N$1,$C$112:$C$113,0)-1,0)</f>
        <v>1575.9</v>
      </c>
      <c r="N29" s="43">
        <v>1527</v>
      </c>
      <c r="O29" s="23">
        <f t="shared" ca="1" si="0"/>
        <v>0.94027954256670898</v>
      </c>
      <c r="P29" s="23">
        <f t="shared" ca="1" si="1"/>
        <v>-0.19086477320898687</v>
      </c>
    </row>
    <row r="30" spans="1:16" ht="18" customHeight="1" x14ac:dyDescent="0.2">
      <c r="A30" s="231"/>
      <c r="B30" s="33" t="s">
        <v>68</v>
      </c>
      <c r="C30" s="27"/>
      <c r="D30" s="28">
        <f ca="1">350.2*OFFSET(D$112,MATCH($N$1,$C$112:$C$113,0)-1,0)</f>
        <v>350.2</v>
      </c>
      <c r="E30" s="28">
        <f ca="1">260.7*OFFSET(E$112,MATCH($N$1,$C$112:$C$113,0)-1,0)</f>
        <v>260.7</v>
      </c>
      <c r="F30" s="28">
        <f ca="1">339.5*OFFSET(F$112,MATCH($N$1,$C$112:$C$113,0)-1,0)</f>
        <v>339.5</v>
      </c>
      <c r="G30" s="28">
        <f ca="1">439.1*OFFSET(G$112,MATCH($N$1,$C$112:$C$113,0)-1,0)</f>
        <v>439.1</v>
      </c>
      <c r="H30" s="28">
        <f ca="1">439.5*OFFSET(H$112,MATCH($N$1,$C$112:$C$113,0)-1,0)</f>
        <v>439.5</v>
      </c>
      <c r="I30" s="28">
        <f ca="1">372.3*OFFSET(I$112,MATCH($N$1,$C$112:$C$113,0)-1,0)</f>
        <v>372.3</v>
      </c>
      <c r="J30" s="28">
        <f ca="1">392.4*OFFSET(J$112,MATCH($N$1,$C$112:$C$113,0)-1,0)</f>
        <v>392.4</v>
      </c>
      <c r="K30" s="28">
        <f ca="1">252.9*OFFSET(K$112,MATCH($N$1,$C$112:$C$113,0)-1,0)</f>
        <v>252.9</v>
      </c>
      <c r="L30" s="28">
        <f ca="1">245.9*OFFSET(L$112,MATCH($N$1,$C$112:$C$113,0)-1,0)</f>
        <v>245.9</v>
      </c>
      <c r="M30" s="28">
        <f ca="1">251.2*OFFSET(M$112,MATCH($N$1,$C$112:$C$113,0)-1,0)</f>
        <v>251.2</v>
      </c>
      <c r="N30" s="28">
        <v>295.5</v>
      </c>
      <c r="O30" s="23">
        <f t="shared" ca="1" si="0"/>
        <v>-0.15619645916619071</v>
      </c>
      <c r="P30" s="23">
        <f t="shared" ca="1" si="1"/>
        <v>-0.24694189602446479</v>
      </c>
    </row>
    <row r="31" spans="1:16" ht="18" customHeight="1" x14ac:dyDescent="0.2">
      <c r="A31" s="231"/>
      <c r="B31" s="33" t="s">
        <v>69</v>
      </c>
      <c r="C31" s="27"/>
      <c r="D31" s="28">
        <f ca="1">22.7*OFFSET(D$112,MATCH($N$1,$C$112:$C$113,0)-1,0)</f>
        <v>22.7</v>
      </c>
      <c r="E31" s="28">
        <f ca="1">219.4*OFFSET(E$112,MATCH($N$1,$C$112:$C$113,0)-1,0)</f>
        <v>219.4</v>
      </c>
      <c r="F31" s="28">
        <f ca="1">183*OFFSET(F$112,MATCH($N$1,$C$112:$C$113,0)-1,0)</f>
        <v>183</v>
      </c>
      <c r="G31" s="28">
        <f ca="1">154.5*OFFSET(G$112,MATCH($N$1,$C$112:$C$113,0)-1,0)</f>
        <v>154.5</v>
      </c>
      <c r="H31" s="28">
        <f ca="1">310.7*OFFSET(H$112,MATCH($N$1,$C$112:$C$113,0)-1,0)</f>
        <v>310.7</v>
      </c>
      <c r="I31" s="28">
        <f ca="1">262.9*OFFSET(I$112,MATCH($N$1,$C$112:$C$113,0)-1,0)</f>
        <v>262.89999999999998</v>
      </c>
      <c r="J31" s="28">
        <f ca="1">394.1*OFFSET(J$112,MATCH($N$1,$C$112:$C$113,0)-1,0)</f>
        <v>394.1</v>
      </c>
      <c r="K31" s="28">
        <f ca="1">402.6*OFFSET(K$112,MATCH($N$1,$C$112:$C$113,0)-1,0)</f>
        <v>402.6</v>
      </c>
      <c r="L31" s="28">
        <f ca="1">305.3*OFFSET(L$112,MATCH($N$1,$C$112:$C$113,0)-1,0)</f>
        <v>305.3</v>
      </c>
      <c r="M31" s="28">
        <f ca="1">351.9*OFFSET(M$112,MATCH($N$1,$C$112:$C$113,0)-1,0)</f>
        <v>351.9</v>
      </c>
      <c r="N31" s="28">
        <v>321.2</v>
      </c>
      <c r="O31" s="23">
        <f t="shared" ca="1" si="0"/>
        <v>13.14977973568282</v>
      </c>
      <c r="P31" s="23">
        <f t="shared" ca="1" si="1"/>
        <v>-0.18497843187008381</v>
      </c>
    </row>
    <row r="32" spans="1:16" ht="18" customHeight="1" x14ac:dyDescent="0.2">
      <c r="A32" s="231"/>
      <c r="B32" s="33" t="s">
        <v>70</v>
      </c>
      <c r="C32" s="27"/>
      <c r="D32" s="28">
        <f ca="1">425.2*OFFSET(D$112,MATCH($N$1,$C$112:$C$113,0)-1,0)</f>
        <v>425.2</v>
      </c>
      <c r="E32" s="28">
        <f ca="1">405*OFFSET(E$112,MATCH($N$1,$C$112:$C$113,0)-1,0)</f>
        <v>405</v>
      </c>
      <c r="F32" s="28">
        <f ca="1">342.7*OFFSET(F$112,MATCH($N$1,$C$112:$C$113,0)-1,0)</f>
        <v>342.7</v>
      </c>
      <c r="G32" s="28">
        <f ca="1">346*OFFSET(G$112,MATCH($N$1,$C$112:$C$113,0)-1,0)</f>
        <v>346</v>
      </c>
      <c r="H32" s="28">
        <f ca="1">612.8*OFFSET(H$112,MATCH($N$1,$C$112:$C$113,0)-1,0)</f>
        <v>612.79999999999995</v>
      </c>
      <c r="I32" s="28">
        <f ca="1">518.7*OFFSET(I$112,MATCH($N$1,$C$112:$C$113,0)-1,0)</f>
        <v>518.70000000000005</v>
      </c>
      <c r="J32" s="28">
        <f ca="1">763.7*OFFSET(J$112,MATCH($N$1,$C$112:$C$113,0)-1,0)</f>
        <v>763.7</v>
      </c>
      <c r="K32" s="28">
        <f ca="1">697.3*OFFSET(K$112,MATCH($N$1,$C$112:$C$113,0)-1,0)</f>
        <v>697.3</v>
      </c>
      <c r="L32" s="28">
        <f ca="1">452.8*OFFSET(L$112,MATCH($N$1,$C$112:$C$113,0)-1,0)</f>
        <v>452.8</v>
      </c>
      <c r="M32" s="28">
        <f ca="1">471.5*OFFSET(M$112,MATCH($N$1,$C$112:$C$113,0)-1,0)</f>
        <v>471.5</v>
      </c>
      <c r="N32" s="28">
        <v>544.9</v>
      </c>
      <c r="O32" s="23">
        <f t="shared" ca="1" si="0"/>
        <v>0.2815145813734713</v>
      </c>
      <c r="P32" s="23">
        <f t="shared" ca="1" si="1"/>
        <v>-0.28649993452926548</v>
      </c>
    </row>
    <row r="33" spans="1:16" ht="18" customHeight="1" x14ac:dyDescent="0.2">
      <c r="A33" s="231"/>
      <c r="B33" s="33" t="s">
        <v>71</v>
      </c>
      <c r="C33" s="27"/>
      <c r="D33" s="28">
        <f ca="1">798.2*OFFSET(D$112,MATCH($N$1,$C$112:$C$113,0)-1,0)</f>
        <v>798.2</v>
      </c>
      <c r="E33" s="28">
        <f ca="1">885.1*OFFSET(E$112,MATCH($N$1,$C$112:$C$113,0)-1,0)</f>
        <v>885.1</v>
      </c>
      <c r="F33" s="28">
        <f ca="1">865.1*OFFSET(F$112,MATCH($N$1,$C$112:$C$113,0)-1,0)</f>
        <v>865.1</v>
      </c>
      <c r="G33" s="28">
        <f ca="1">939.7*OFFSET(G$112,MATCH($N$1,$C$112:$C$113,0)-1,0)</f>
        <v>939.7</v>
      </c>
      <c r="H33" s="28">
        <f ca="1">1363*OFFSET(H$112,MATCH($N$1,$C$112:$C$113,0)-1,0)</f>
        <v>1363</v>
      </c>
      <c r="I33" s="28">
        <f ca="1">1153.9*OFFSET(I$112,MATCH($N$1,$C$112:$C$113,0)-1,0)</f>
        <v>1153.9000000000001</v>
      </c>
      <c r="J33" s="28">
        <f ca="1">1550.3*OFFSET(J$112,MATCH($N$1,$C$112:$C$113,0)-1,0)</f>
        <v>1550.3</v>
      </c>
      <c r="K33" s="28">
        <f ca="1">1352.8*OFFSET(K$112,MATCH($N$1,$C$112:$C$113,0)-1,0)</f>
        <v>1352.8</v>
      </c>
      <c r="L33" s="28">
        <f ca="1">1004*OFFSET(L$112,MATCH($N$1,$C$112:$C$113,0)-1,0)</f>
        <v>1004</v>
      </c>
      <c r="M33" s="28">
        <f ca="1">1074.5*OFFSET(M$112,MATCH($N$1,$C$112:$C$113,0)-1,0)</f>
        <v>1074.5</v>
      </c>
      <c r="N33" s="28">
        <v>1161.5</v>
      </c>
      <c r="O33" s="23">
        <f t="shared" ca="1" si="0"/>
        <v>0.45514908544224497</v>
      </c>
      <c r="P33" s="23">
        <f t="shared" ca="1" si="1"/>
        <v>-0.25079016964458489</v>
      </c>
    </row>
    <row r="34" spans="1:16" ht="18" customHeight="1" x14ac:dyDescent="0.2">
      <c r="A34" s="231"/>
      <c r="B34" s="33" t="s">
        <v>72</v>
      </c>
      <c r="C34" s="27"/>
      <c r="D34" s="28">
        <f ca="1">107.8*OFFSET(D$112,MATCH($N$1,$C$112:$C$113,0)-1,0)</f>
        <v>107.8</v>
      </c>
      <c r="E34" s="28">
        <f ca="1">239.9*OFFSET(E$112,MATCH($N$1,$C$112:$C$113,0)-1,0)</f>
        <v>239.9</v>
      </c>
      <c r="F34" s="28">
        <f ca="1">203*OFFSET(F$112,MATCH($N$1,$C$112:$C$113,0)-1,0)</f>
        <v>203</v>
      </c>
      <c r="G34" s="28">
        <f ca="1">205*OFFSET(G$112,MATCH($N$1,$C$112:$C$113,0)-1,0)</f>
        <v>205</v>
      </c>
      <c r="H34" s="28">
        <f ca="1">362.9*OFFSET(H$112,MATCH($N$1,$C$112:$C$113,0)-1,0)</f>
        <v>362.9</v>
      </c>
      <c r="I34" s="28">
        <f ca="1">307.2*OFFSET(I$112,MATCH($N$1,$C$112:$C$113,0)-1,0)</f>
        <v>307.2</v>
      </c>
      <c r="J34" s="28">
        <f ca="1">296.2*OFFSET(J$112,MATCH($N$1,$C$112:$C$113,0)-1,0)</f>
        <v>296.2</v>
      </c>
      <c r="K34" s="28">
        <f ca="1">264*OFFSET(K$112,MATCH($N$1,$C$112:$C$113,0)-1,0)</f>
        <v>264</v>
      </c>
      <c r="L34" s="28">
        <f ca="1">268.2*OFFSET(L$112,MATCH($N$1,$C$112:$C$113,0)-1,0)</f>
        <v>268.2</v>
      </c>
      <c r="M34" s="28">
        <f ca="1">386.7*OFFSET(M$112,MATCH($N$1,$C$112:$C$113,0)-1,0)</f>
        <v>386.7</v>
      </c>
      <c r="N34" s="28">
        <v>322.7</v>
      </c>
      <c r="O34" s="23">
        <f t="shared" ca="1" si="0"/>
        <v>1.9935064935064934</v>
      </c>
      <c r="P34" s="23">
        <f t="shared" ca="1" si="1"/>
        <v>8.9466576637407161E-2</v>
      </c>
    </row>
    <row r="35" spans="1:16" ht="18" customHeight="1" x14ac:dyDescent="0.2">
      <c r="A35" s="231"/>
      <c r="B35" s="33" t="s">
        <v>73</v>
      </c>
      <c r="C35" s="27"/>
      <c r="D35" s="28">
        <f ca="1">906*OFFSET(D$112,MATCH($N$1,$C$112:$C$113,0)-1,0)</f>
        <v>906</v>
      </c>
      <c r="E35" s="28">
        <f ca="1">1125*OFFSET(E$112,MATCH($N$1,$C$112:$C$113,0)-1,0)</f>
        <v>1125</v>
      </c>
      <c r="F35" s="28">
        <f ca="1">1068.1*OFFSET(F$112,MATCH($N$1,$C$112:$C$113,0)-1,0)</f>
        <v>1068.0999999999999</v>
      </c>
      <c r="G35" s="28">
        <f ca="1">1144.6*OFFSET(G$112,MATCH($N$1,$C$112:$C$113,0)-1,0)</f>
        <v>1144.5999999999999</v>
      </c>
      <c r="H35" s="28">
        <f ca="1">1725.9*OFFSET(H$112,MATCH($N$1,$C$112:$C$113,0)-1,0)</f>
        <v>1725.9</v>
      </c>
      <c r="I35" s="28">
        <f ca="1">1461.1*OFFSET(I$112,MATCH($N$1,$C$112:$C$113,0)-1,0)</f>
        <v>1461.1</v>
      </c>
      <c r="J35" s="28">
        <f ca="1">1846.5*OFFSET(J$112,MATCH($N$1,$C$112:$C$113,0)-1,0)</f>
        <v>1846.5</v>
      </c>
      <c r="K35" s="28">
        <f ca="1">1616.8*OFFSET(K$112,MATCH($N$1,$C$112:$C$113,0)-1,0)</f>
        <v>1616.8</v>
      </c>
      <c r="L35" s="28">
        <f ca="1">1272.2*OFFSET(L$112,MATCH($N$1,$C$112:$C$113,0)-1,0)</f>
        <v>1272.2</v>
      </c>
      <c r="M35" s="28">
        <f ca="1">1461.2*OFFSET(M$112,MATCH($N$1,$C$112:$C$113,0)-1,0)</f>
        <v>1461.2</v>
      </c>
      <c r="N35" s="28">
        <v>1484.2</v>
      </c>
      <c r="O35" s="23">
        <f t="shared" ca="1" si="0"/>
        <v>0.63818984547461377</v>
      </c>
      <c r="P35" s="23">
        <f t="shared" ca="1" si="1"/>
        <v>-0.19620904413755752</v>
      </c>
    </row>
    <row r="36" spans="1:16" ht="18" customHeight="1" x14ac:dyDescent="0.2">
      <c r="A36" s="231"/>
      <c r="B36" s="41" t="s">
        <v>74</v>
      </c>
      <c r="C36" s="42"/>
      <c r="D36" s="43">
        <f ca="1">-96.3*OFFSET(D$112,MATCH($N$1,$C$112:$C$113,0)-1,0)</f>
        <v>-96.3</v>
      </c>
      <c r="E36" s="43">
        <f ca="1">229.4*OFFSET(E$112,MATCH($N$1,$C$112:$C$113,0)-1,0)</f>
        <v>229.4</v>
      </c>
      <c r="F36" s="43">
        <f ca="1">555.5*OFFSET(F$112,MATCH($N$1,$C$112:$C$113,0)-1,0)</f>
        <v>555.5</v>
      </c>
      <c r="G36" s="43">
        <f ca="1">464.5*OFFSET(G$112,MATCH($N$1,$C$112:$C$113,0)-1,0)</f>
        <v>464.5</v>
      </c>
      <c r="H36" s="43">
        <f ca="1">302*OFFSET(H$112,MATCH($N$1,$C$112:$C$113,0)-1,0)</f>
        <v>302</v>
      </c>
      <c r="I36" s="43">
        <f ca="1">255.4*OFFSET(I$112,MATCH($N$1,$C$112:$C$113,0)-1,0)</f>
        <v>255.4</v>
      </c>
      <c r="J36" s="43">
        <f ca="1">434.8*OFFSET(J$112,MATCH($N$1,$C$112:$C$113,0)-1,0)</f>
        <v>434.8</v>
      </c>
      <c r="K36" s="43">
        <f ca="1">520.2*OFFSET(K$112,MATCH($N$1,$C$112:$C$113,0)-1,0)</f>
        <v>520.20000000000005</v>
      </c>
      <c r="L36" s="43">
        <f ca="1">936.5*OFFSET(L$112,MATCH($N$1,$C$112:$C$113,0)-1,0)</f>
        <v>936.5</v>
      </c>
      <c r="M36" s="43">
        <f ca="1">466.6*OFFSET(M$112,MATCH($N$1,$C$112:$C$113,0)-1,0)</f>
        <v>466.6</v>
      </c>
      <c r="N36" s="43">
        <v>363.9</v>
      </c>
      <c r="O36" s="23" t="str">
        <f t="shared" ca="1" si="0"/>
        <v>na</v>
      </c>
      <c r="P36" s="23">
        <f t="shared" ca="1" si="1"/>
        <v>-0.16306347746090163</v>
      </c>
    </row>
    <row r="37" spans="1:16" ht="18" customHeight="1" x14ac:dyDescent="0.2">
      <c r="A37" s="231"/>
      <c r="B37" s="41" t="s">
        <v>75</v>
      </c>
      <c r="C37" s="42"/>
      <c r="D37" s="43">
        <f ca="1">-119*OFFSET(D$112,MATCH($N$1,$C$112:$C$113,0)-1,0)</f>
        <v>-119</v>
      </c>
      <c r="E37" s="43">
        <f ca="1">10*OFFSET(E$112,MATCH($N$1,$C$112:$C$113,0)-1,0)</f>
        <v>10</v>
      </c>
      <c r="F37" s="43">
        <f ca="1">372.5*OFFSET(F$112,MATCH($N$1,$C$112:$C$113,0)-1,0)</f>
        <v>372.5</v>
      </c>
      <c r="G37" s="43">
        <f ca="1">310*OFFSET(G$112,MATCH($N$1,$C$112:$C$113,0)-1,0)</f>
        <v>310</v>
      </c>
      <c r="H37" s="43">
        <f ca="1">-8.7*OFFSET(H$112,MATCH($N$1,$C$112:$C$113,0)-1,0)</f>
        <v>-8.6999999999999993</v>
      </c>
      <c r="I37" s="43">
        <f ca="1">-7.5*OFFSET(I$112,MATCH($N$1,$C$112:$C$113,0)-1,0)</f>
        <v>-7.5</v>
      </c>
      <c r="J37" s="43">
        <f ca="1">40.7*OFFSET(J$112,MATCH($N$1,$C$112:$C$113,0)-1,0)</f>
        <v>40.700000000000003</v>
      </c>
      <c r="K37" s="43">
        <f ca="1">117.6*OFFSET(K$112,MATCH($N$1,$C$112:$C$113,0)-1,0)</f>
        <v>117.6</v>
      </c>
      <c r="L37" s="43">
        <f ca="1">631.2*OFFSET(L$112,MATCH($N$1,$C$112:$C$113,0)-1,0)</f>
        <v>631.20000000000005</v>
      </c>
      <c r="M37" s="43">
        <f ca="1">114.7*OFFSET(M$112,MATCH($N$1,$C$112:$C$113,0)-1,0)</f>
        <v>114.7</v>
      </c>
      <c r="N37" s="43">
        <v>42.7</v>
      </c>
      <c r="O37" s="23" t="str">
        <f t="shared" ca="1" si="0"/>
        <v>na</v>
      </c>
      <c r="P37" s="23">
        <f t="shared" ca="1" si="1"/>
        <v>4.9140049140049137E-2</v>
      </c>
    </row>
    <row r="38" spans="1:16" ht="18" customHeight="1" x14ac:dyDescent="0.2">
      <c r="A38" s="231"/>
      <c r="B38" s="33" t="s">
        <v>76</v>
      </c>
      <c r="C38" s="27"/>
      <c r="D38" s="28"/>
      <c r="E38" s="28">
        <f ca="1">142.9*OFFSET(E$112,MATCH($N$1,$C$112:$C$113,0)-1,0)</f>
        <v>142.9</v>
      </c>
      <c r="F38" s="28">
        <f ca="1">199*OFFSET(F$112,MATCH($N$1,$C$112:$C$113,0)-1,0)</f>
        <v>199</v>
      </c>
      <c r="G38" s="28">
        <f ca="1">164.8*OFFSET(G$112,MATCH($N$1,$C$112:$C$113,0)-1,0)</f>
        <v>164.8</v>
      </c>
      <c r="H38" s="28"/>
      <c r="I38" s="28"/>
      <c r="J38" s="28"/>
      <c r="K38" s="28"/>
      <c r="L38" s="28">
        <f ca="1">34.9*OFFSET(L$112,MATCH($N$1,$C$112:$C$113,0)-1,0)</f>
        <v>34.9</v>
      </c>
      <c r="M38" s="28"/>
      <c r="N38" s="28"/>
      <c r="O38" s="23" t="str">
        <f t="shared" si="0"/>
        <v/>
      </c>
      <c r="P38" s="23" t="str">
        <f t="shared" si="1"/>
        <v/>
      </c>
    </row>
    <row r="39" spans="1:16" ht="18" customHeight="1" x14ac:dyDescent="0.2">
      <c r="A39" s="231"/>
      <c r="B39" s="33" t="s">
        <v>77</v>
      </c>
      <c r="C39" s="27"/>
      <c r="D39" s="28"/>
      <c r="E39" s="28">
        <f ca="1">48.4*OFFSET(E$112,MATCH($N$1,$C$112:$C$113,0)-1,0)</f>
        <v>48.4</v>
      </c>
      <c r="F39" s="28">
        <f ca="1">70.9*OFFSET(F$112,MATCH($N$1,$C$112:$C$113,0)-1,0)</f>
        <v>70.900000000000006</v>
      </c>
      <c r="G39" s="28">
        <f ca="1">69*OFFSET(G$112,MATCH($N$1,$C$112:$C$113,0)-1,0)</f>
        <v>69</v>
      </c>
      <c r="H39" s="28"/>
      <c r="I39" s="28"/>
      <c r="J39" s="28"/>
      <c r="K39" s="28"/>
      <c r="L39" s="28"/>
      <c r="M39" s="28">
        <f ca="1">7.6*OFFSET(M$112,MATCH($N$1,$C$112:$C$113,0)-1,0)</f>
        <v>7.6</v>
      </c>
      <c r="N39" s="28"/>
      <c r="O39" s="23" t="str">
        <f t="shared" si="0"/>
        <v/>
      </c>
      <c r="P39" s="23" t="str">
        <f t="shared" si="1"/>
        <v/>
      </c>
    </row>
    <row r="40" spans="1:16" ht="18" customHeight="1" x14ac:dyDescent="0.2">
      <c r="A40" s="231"/>
      <c r="B40" s="33" t="s">
        <v>78</v>
      </c>
      <c r="C40" s="27"/>
      <c r="D40" s="28"/>
      <c r="E40" s="28"/>
      <c r="F40" s="28"/>
      <c r="G40" s="28"/>
      <c r="H40" s="28"/>
      <c r="I40" s="28"/>
      <c r="J40" s="28"/>
      <c r="K40" s="28"/>
      <c r="L40" s="28"/>
      <c r="M40" s="28"/>
      <c r="N40" s="28"/>
      <c r="O40" s="23" t="str">
        <f t="shared" si="0"/>
        <v/>
      </c>
      <c r="P40" s="23" t="str">
        <f t="shared" si="1"/>
        <v/>
      </c>
    </row>
    <row r="41" spans="1:16" ht="18" customHeight="1" thickBot="1" x14ac:dyDescent="0.25">
      <c r="A41" s="232"/>
      <c r="B41" s="44" t="s">
        <v>79</v>
      </c>
      <c r="C41" s="45"/>
      <c r="D41" s="46"/>
      <c r="E41" s="46">
        <f ca="1">-181.2*OFFSET(E$112,MATCH($N$1,$C$112:$C$113,0)-1,0)</f>
        <v>-181.2</v>
      </c>
      <c r="F41" s="46">
        <f ca="1">102.7*OFFSET(F$112,MATCH($N$1,$C$112:$C$113,0)-1,0)</f>
        <v>102.7</v>
      </c>
      <c r="G41" s="46">
        <f ca="1">76.2*OFFSET(G$112,MATCH($N$1,$C$112:$C$113,0)-1,0)</f>
        <v>76.2</v>
      </c>
      <c r="H41" s="46"/>
      <c r="I41" s="46"/>
      <c r="J41" s="46"/>
      <c r="K41" s="46"/>
      <c r="L41" s="46">
        <f ca="1">596.3*OFFSET(L$112,MATCH($N$1,$C$112:$C$113,0)-1,0)</f>
        <v>596.29999999999995</v>
      </c>
      <c r="M41" s="46">
        <f ca="1">107.1*OFFSET(M$112,MATCH($N$1,$C$112:$C$113,0)-1,0)</f>
        <v>107.1</v>
      </c>
      <c r="N41" s="46"/>
      <c r="O41" s="46" t="str">
        <f t="shared" si="0"/>
        <v/>
      </c>
      <c r="P41" s="47" t="str">
        <f t="shared" si="1"/>
        <v/>
      </c>
    </row>
    <row r="42" spans="1:16" s="87" customFormat="1" x14ac:dyDescent="0.2">
      <c r="A42" s="82" t="s">
        <v>27</v>
      </c>
      <c r="B42" s="82" t="str">
        <f ca="1">B89</f>
        <v>All values are adjusted to 2017 prices. 2018 fishing income based on provisional data from MMO. 2018 costs and profits are projections.</v>
      </c>
      <c r="P42" s="88" t="str">
        <f>M1</f>
        <v>Version: March 2019</v>
      </c>
    </row>
    <row r="43" spans="1:16" s="87" customFormat="1" x14ac:dyDescent="0.2">
      <c r="B43" s="82" t="s">
        <v>28</v>
      </c>
    </row>
    <row r="44" spans="1:16" s="83" customFormat="1" ht="36.75" customHeight="1" x14ac:dyDescent="0.2">
      <c r="A44" s="87"/>
      <c r="B44" s="233"/>
      <c r="C44" s="233"/>
      <c r="D44" s="89"/>
      <c r="E44" s="90"/>
      <c r="F44" s="90"/>
      <c r="G44" s="90"/>
      <c r="H44" s="90"/>
      <c r="I44" s="91"/>
      <c r="J44" s="91"/>
      <c r="K44" s="91"/>
      <c r="L44" s="91"/>
      <c r="M44" s="91"/>
      <c r="N44" s="92"/>
      <c r="O44" s="92"/>
    </row>
    <row r="45" spans="1:16" s="83" customFormat="1" ht="18" customHeight="1" x14ac:dyDescent="0.2">
      <c r="A45" s="87"/>
      <c r="B45" s="234" t="s">
        <v>80</v>
      </c>
      <c r="C45" s="234"/>
      <c r="D45" s="93" t="s">
        <v>29</v>
      </c>
      <c r="E45" s="94" t="s">
        <v>30</v>
      </c>
      <c r="F45" s="94" t="s">
        <v>31</v>
      </c>
      <c r="G45" s="94" t="s">
        <v>32</v>
      </c>
      <c r="H45" s="94" t="s">
        <v>33</v>
      </c>
      <c r="I45" s="91"/>
      <c r="J45" s="91"/>
      <c r="K45" s="91"/>
      <c r="L45" s="91"/>
      <c r="M45" s="91"/>
      <c r="N45" s="92"/>
      <c r="O45" s="92"/>
    </row>
    <row r="46" spans="1:16" s="83" customFormat="1" ht="33" customHeight="1" x14ac:dyDescent="0.2">
      <c r="A46" s="87"/>
      <c r="B46" s="235" t="s">
        <v>34</v>
      </c>
      <c r="C46" s="236"/>
      <c r="D46" s="93" t="s">
        <v>35</v>
      </c>
      <c r="E46" s="95" t="s">
        <v>18</v>
      </c>
      <c r="F46" s="95" t="s">
        <v>18</v>
      </c>
      <c r="G46" s="95" t="s">
        <v>17</v>
      </c>
      <c r="H46" s="95" t="s">
        <v>17</v>
      </c>
      <c r="I46" s="91"/>
      <c r="J46" s="91"/>
      <c r="K46" s="91"/>
      <c r="L46" s="91"/>
      <c r="M46" s="91"/>
      <c r="N46" s="92"/>
      <c r="O46" s="92"/>
    </row>
    <row r="47" spans="1:16" s="87" customFormat="1" ht="52.5" customHeight="1" x14ac:dyDescent="0.25">
      <c r="A47" s="96" t="s">
        <v>36</v>
      </c>
    </row>
    <row r="48" spans="1:16" s="83" customFormat="1" x14ac:dyDescent="0.2">
      <c r="A48" s="97" t="str">
        <f>$B21&amp;CHAR(10)&amp;$A$1</f>
        <v>Landings per kW day at sea (kg)
Area VIIBCDEFGHK 24-40m</v>
      </c>
      <c r="C48" s="97"/>
      <c r="D48" s="97"/>
      <c r="E48" s="97"/>
      <c r="F48" s="97"/>
      <c r="G48" s="97"/>
      <c r="K48" s="97" t="str">
        <f>$B24&amp;CHAR(10)&amp;$A$1</f>
        <v>Operating profit per kW day at sea (£)
Area VIIBCDEFGHK 24-40m</v>
      </c>
    </row>
    <row r="49" spans="1:11" s="83" customFormat="1" x14ac:dyDescent="0.2">
      <c r="A49" s="97" t="str">
        <f>$B22&amp;CHAR(10)&amp;$A$1</f>
        <v>Fishing income per kW day at sea (£)
Area VIIBCDEFGHK 24-40m</v>
      </c>
    </row>
    <row r="50" spans="1:11" s="83" customFormat="1" x14ac:dyDescent="0.2">
      <c r="A50" s="97" t="str">
        <f>$B20&amp;CHAR(10)&amp;$A$1</f>
        <v>Average price per tonne landed (£)
Area VIIBCDEFGHK 24-40m</v>
      </c>
    </row>
    <row r="51" spans="1:11" s="83" customFormat="1" x14ac:dyDescent="0.2"/>
    <row r="52" spans="1:11" s="83" customFormat="1" x14ac:dyDescent="0.2"/>
    <row r="53" spans="1:11" s="83" customFormat="1" x14ac:dyDescent="0.2"/>
    <row r="54" spans="1:11" s="83" customFormat="1" x14ac:dyDescent="0.2"/>
    <row r="55" spans="1:11" s="83" customFormat="1" x14ac:dyDescent="0.2"/>
    <row r="56" spans="1:11" s="83" customFormat="1" x14ac:dyDescent="0.2"/>
    <row r="57" spans="1:11" s="83" customFormat="1" x14ac:dyDescent="0.2"/>
    <row r="58" spans="1:11" s="83" customFormat="1" x14ac:dyDescent="0.2"/>
    <row r="59" spans="1:11" s="83" customFormat="1" x14ac:dyDescent="0.2"/>
    <row r="60" spans="1:11" s="83" customFormat="1" x14ac:dyDescent="0.2"/>
    <row r="61" spans="1:11" s="83" customFormat="1" x14ac:dyDescent="0.2">
      <c r="A61" s="97"/>
      <c r="C61" s="97"/>
      <c r="D61" s="97"/>
      <c r="E61" s="97"/>
    </row>
    <row r="62" spans="1:11" s="83" customFormat="1" x14ac:dyDescent="0.2">
      <c r="B62" s="97" t="str">
        <f>$B23&amp;CHAR(10)&amp;$A$1</f>
        <v>Total cost per kW day at sea (£)
Area VIIBCDEFGHK 24-40m</v>
      </c>
      <c r="F62" s="97" t="str">
        <f>$B20&amp;CHAR(10)&amp;$A$1</f>
        <v>Average price per tonne landed (£)
Area VIIBCDEFGHK 24-40m</v>
      </c>
      <c r="K62" s="97" t="str">
        <f>"Average annual operating profit per vessel (£'000)"&amp;CHAR(10)&amp;$A$1</f>
        <v>Average annual operating profit per vessel (£'000)
Area VIIBCDEFGHK 24-40m</v>
      </c>
    </row>
    <row r="63" spans="1:11" s="83" customFormat="1" x14ac:dyDescent="0.2"/>
    <row r="64" spans="1:11" s="83" customFormat="1" x14ac:dyDescent="0.2"/>
    <row r="65" spans="1:9" s="83" customFormat="1" x14ac:dyDescent="0.2"/>
    <row r="66" spans="1:9" s="83" customFormat="1" x14ac:dyDescent="0.2"/>
    <row r="67" spans="1:9" s="83" customFormat="1" x14ac:dyDescent="0.2"/>
    <row r="68" spans="1:9" s="83" customFormat="1" x14ac:dyDescent="0.2"/>
    <row r="69" spans="1:9" s="83" customFormat="1" x14ac:dyDescent="0.2"/>
    <row r="70" spans="1:9" s="83" customFormat="1" x14ac:dyDescent="0.2"/>
    <row r="71" spans="1:9" s="83" customFormat="1" x14ac:dyDescent="0.2"/>
    <row r="72" spans="1:9" s="83" customFormat="1" x14ac:dyDescent="0.2"/>
    <row r="73" spans="1:9" s="83" customFormat="1" x14ac:dyDescent="0.2"/>
    <row r="74" spans="1:9" s="97" customFormat="1" x14ac:dyDescent="0.2"/>
    <row r="75" spans="1:9" s="97" customFormat="1" x14ac:dyDescent="0.2"/>
    <row r="76" spans="1:9" s="97" customFormat="1" x14ac:dyDescent="0.2">
      <c r="A76" s="97" t="str">
        <f>"Top 5 landed species by volume in "&amp;A77&amp;CHAR(10)&amp;A1</f>
        <v>Top 5 landed species by volume in 2017
Area VIIBCDEFGHK 24-40m</v>
      </c>
      <c r="F76" s="97" t="str">
        <f>"Top 5 landed species by value in "&amp;A77&amp;CHAR(10)&amp;A1</f>
        <v>Top 5 landed species by value in 2017
Area VIIBCDEFGHK 24-40m</v>
      </c>
    </row>
    <row r="77" spans="1:9" s="97" customFormat="1" x14ac:dyDescent="0.2">
      <c r="A77" s="97">
        <v>2017</v>
      </c>
      <c r="B77" s="97" t="s">
        <v>156</v>
      </c>
      <c r="C77" s="98">
        <v>0.38396381948350139</v>
      </c>
      <c r="D77" s="99">
        <v>12153634</v>
      </c>
      <c r="G77" s="97" t="s">
        <v>157</v>
      </c>
      <c r="H77" s="98">
        <v>0.43749402326564518</v>
      </c>
      <c r="I77" s="99">
        <v>12153634</v>
      </c>
    </row>
    <row r="78" spans="1:9" s="97" customFormat="1" x14ac:dyDescent="0.2">
      <c r="B78" s="97" t="s">
        <v>158</v>
      </c>
      <c r="C78" s="98">
        <v>0.2883412684712377</v>
      </c>
      <c r="D78" s="99">
        <v>553960</v>
      </c>
      <c r="G78" s="97" t="s">
        <v>159</v>
      </c>
      <c r="H78" s="98">
        <v>0.31123016507613932</v>
      </c>
      <c r="I78" s="99">
        <v>553960</v>
      </c>
    </row>
    <row r="79" spans="1:9" s="97" customFormat="1" x14ac:dyDescent="0.2">
      <c r="B79" s="97" t="s">
        <v>160</v>
      </c>
      <c r="C79" s="98">
        <v>7.4237150181069633E-2</v>
      </c>
      <c r="D79" s="99">
        <v>1692097</v>
      </c>
      <c r="G79" s="97" t="s">
        <v>161</v>
      </c>
      <c r="H79" s="98">
        <v>7.8486778806545462E-2</v>
      </c>
      <c r="I79" s="99">
        <v>3050596</v>
      </c>
    </row>
    <row r="80" spans="1:9" s="97" customFormat="1" x14ac:dyDescent="0.2">
      <c r="B80" s="97" t="s">
        <v>162</v>
      </c>
      <c r="C80" s="98">
        <v>4.3728118045153253E-2</v>
      </c>
      <c r="D80" s="99">
        <v>3050596</v>
      </c>
      <c r="G80" s="97" t="s">
        <v>163</v>
      </c>
      <c r="H80" s="98">
        <v>4.7451126234088238E-2</v>
      </c>
      <c r="I80" s="99">
        <v>1692097</v>
      </c>
    </row>
    <row r="81" spans="1:18" s="97" customFormat="1" x14ac:dyDescent="0.2">
      <c r="B81" s="97" t="s">
        <v>164</v>
      </c>
      <c r="C81" s="98">
        <v>3.5018195132001717E-2</v>
      </c>
      <c r="D81" s="99">
        <v>3689192</v>
      </c>
      <c r="G81" s="97" t="s">
        <v>165</v>
      </c>
      <c r="H81" s="98">
        <v>2.658338666484172E-2</v>
      </c>
      <c r="I81" s="99">
        <v>3689192</v>
      </c>
    </row>
    <row r="82" spans="1:18" s="97" customFormat="1" x14ac:dyDescent="0.2">
      <c r="B82" s="97" t="s">
        <v>166</v>
      </c>
      <c r="C82" s="98">
        <v>0.17471144868703647</v>
      </c>
      <c r="D82" s="99">
        <v>5920853</v>
      </c>
      <c r="G82" s="97" t="s">
        <v>167</v>
      </c>
      <c r="H82" s="98">
        <v>9.8754519952740094E-2</v>
      </c>
      <c r="I82" s="99">
        <v>5920853</v>
      </c>
    </row>
    <row r="83" spans="1:18" s="97" customFormat="1" x14ac:dyDescent="0.2"/>
    <row r="84" spans="1:18" s="97" customFormat="1" x14ac:dyDescent="0.2"/>
    <row r="85" spans="1:18" s="97" customFormat="1" x14ac:dyDescent="0.2"/>
    <row r="86" spans="1:18" s="97" customFormat="1" x14ac:dyDescent="0.2"/>
    <row r="87" spans="1:18" s="97" customFormat="1" x14ac:dyDescent="0.2"/>
    <row r="88" spans="1:18" s="97" customFormat="1" x14ac:dyDescent="0.2"/>
    <row r="89" spans="1:18" s="97" customFormat="1" x14ac:dyDescent="0.2">
      <c r="A89" s="100" t="s">
        <v>27</v>
      </c>
      <c r="B89" s="100" t="str">
        <f ca="1">B114&amp;". "&amp;N2&amp;" fishing income based on provisional data from MMO. "&amp;N2&amp;" costs and profits are projections."</f>
        <v>All values are adjusted to 2017 prices. 2018 fishing income based on provisional data from MMO. 2018 costs and profits are projections.</v>
      </c>
      <c r="P89" s="101" t="str">
        <f>P42</f>
        <v>Version: March 2019</v>
      </c>
      <c r="R89" s="97" t="str">
        <f ca="1">B114</f>
        <v>All values are adjusted to 2017 prices</v>
      </c>
    </row>
    <row r="90" spans="1:18" s="83" customFormat="1" x14ac:dyDescent="0.2">
      <c r="B90" s="82" t="s">
        <v>28</v>
      </c>
    </row>
    <row r="91" spans="1:18" s="97" customFormat="1" hidden="1" x14ac:dyDescent="0.2">
      <c r="D91" s="97">
        <v>2009</v>
      </c>
      <c r="E91" s="97">
        <v>2010</v>
      </c>
      <c r="F91" s="97">
        <v>2011</v>
      </c>
      <c r="G91" s="97">
        <v>2012</v>
      </c>
      <c r="H91" s="97">
        <v>2013</v>
      </c>
      <c r="I91" s="97">
        <v>2014</v>
      </c>
      <c r="J91" s="97">
        <v>2015</v>
      </c>
      <c r="K91" s="97">
        <v>2016</v>
      </c>
      <c r="L91" s="97">
        <v>2017</v>
      </c>
      <c r="M91" s="97">
        <v>2018</v>
      </c>
    </row>
    <row r="92" spans="1:18" s="97" customFormat="1" hidden="1" x14ac:dyDescent="0.2">
      <c r="B92" s="97">
        <v>1</v>
      </c>
      <c r="C92" s="97" t="s">
        <v>121</v>
      </c>
      <c r="D92" s="102">
        <v>0.30943516936926435</v>
      </c>
      <c r="E92" s="102">
        <v>0.31573627255070941</v>
      </c>
      <c r="F92" s="102">
        <v>0.30431647570538156</v>
      </c>
      <c r="G92" s="102">
        <v>0.30022325579153103</v>
      </c>
      <c r="H92" s="102">
        <v>0.40593822606860597</v>
      </c>
      <c r="I92" s="102">
        <v>0.40701506377959568</v>
      </c>
      <c r="J92" s="102">
        <v>0.38506751811489454</v>
      </c>
      <c r="K92" s="102">
        <v>0.45823946110685815</v>
      </c>
      <c r="L92" s="102">
        <v>0.43749402326564518</v>
      </c>
      <c r="M92" s="102">
        <v>0.46997026641005601</v>
      </c>
      <c r="O92" s="97">
        <v>12153634</v>
      </c>
    </row>
    <row r="93" spans="1:18" s="97" customFormat="1" hidden="1" x14ac:dyDescent="0.2">
      <c r="B93" s="97">
        <v>2</v>
      </c>
      <c r="C93" s="97" t="s">
        <v>168</v>
      </c>
      <c r="D93" s="102">
        <v>0.30250515020562324</v>
      </c>
      <c r="E93" s="102">
        <v>0.26514155856211619</v>
      </c>
      <c r="F93" s="102">
        <v>0.26721863897459691</v>
      </c>
      <c r="G93" s="102">
        <v>0.24647905541468038</v>
      </c>
      <c r="H93" s="102">
        <v>0.32182614785795</v>
      </c>
      <c r="I93" s="102">
        <v>0.32545855941152041</v>
      </c>
      <c r="J93" s="102">
        <v>0.30892385848014436</v>
      </c>
      <c r="K93" s="102">
        <v>0.33941883631047026</v>
      </c>
      <c r="L93" s="102">
        <v>0.31123016507613932</v>
      </c>
      <c r="M93" s="102">
        <v>0.28539325774580832</v>
      </c>
      <c r="O93" s="97">
        <v>553960</v>
      </c>
    </row>
    <row r="94" spans="1:18" s="97" customFormat="1" hidden="1" x14ac:dyDescent="0.2">
      <c r="B94" s="97">
        <v>3</v>
      </c>
      <c r="C94" s="97" t="s">
        <v>93</v>
      </c>
      <c r="D94" s="102"/>
      <c r="E94" s="102"/>
      <c r="F94" s="102"/>
      <c r="G94" s="102"/>
      <c r="H94" s="102"/>
      <c r="I94" s="102"/>
      <c r="J94" s="102"/>
      <c r="K94" s="102">
        <v>3.6085591352397257E-2</v>
      </c>
      <c r="L94" s="102">
        <v>7.8486778806545462E-2</v>
      </c>
      <c r="M94" s="102">
        <v>7.3146198620946637E-2</v>
      </c>
      <c r="O94" s="97">
        <v>3050596</v>
      </c>
    </row>
    <row r="95" spans="1:18" s="97" customFormat="1" hidden="1" x14ac:dyDescent="0.2">
      <c r="B95" s="97">
        <v>4</v>
      </c>
      <c r="C95" s="97" t="s">
        <v>95</v>
      </c>
      <c r="D95" s="102">
        <v>8.2759771458823475E-2</v>
      </c>
      <c r="E95" s="102">
        <v>4.5650539255286768E-2</v>
      </c>
      <c r="F95" s="102">
        <v>4.8673338029959878E-2</v>
      </c>
      <c r="G95" s="102"/>
      <c r="H95" s="102">
        <v>3.2360640184445184E-2</v>
      </c>
      <c r="I95" s="102">
        <v>4.1481225663011344E-2</v>
      </c>
      <c r="J95" s="102">
        <v>4.9009991365753493E-2</v>
      </c>
      <c r="K95" s="102">
        <v>4.9711217944211454E-2</v>
      </c>
      <c r="L95" s="102">
        <v>4.7451126234088238E-2</v>
      </c>
      <c r="M95" s="102">
        <v>3.4707045758487431E-2</v>
      </c>
      <c r="O95" s="97">
        <v>1692097</v>
      </c>
    </row>
    <row r="96" spans="1:18" s="97" customFormat="1" hidden="1" x14ac:dyDescent="0.2">
      <c r="B96" s="97">
        <v>5</v>
      </c>
      <c r="C96" s="97" t="s">
        <v>169</v>
      </c>
      <c r="D96" s="102">
        <v>3.73705963862953E-2</v>
      </c>
      <c r="E96" s="102"/>
      <c r="F96" s="102"/>
      <c r="G96" s="102">
        <v>4.0314657856668643E-2</v>
      </c>
      <c r="H96" s="102"/>
      <c r="I96" s="102"/>
      <c r="J96" s="102"/>
      <c r="K96" s="102">
        <v>3.3873146624952548E-2</v>
      </c>
      <c r="L96" s="102">
        <v>2.658338666484172E-2</v>
      </c>
      <c r="M96" s="102">
        <v>3.3012934359169806E-2</v>
      </c>
      <c r="O96" s="97">
        <v>3689192</v>
      </c>
    </row>
    <row r="97" spans="1:15" s="97" customFormat="1" hidden="1" x14ac:dyDescent="0.2">
      <c r="B97" s="97">
        <v>6</v>
      </c>
      <c r="C97" s="97" t="s">
        <v>137</v>
      </c>
      <c r="D97" s="102"/>
      <c r="E97" s="102"/>
      <c r="F97" s="102"/>
      <c r="G97" s="102">
        <v>4.9442960271591438E-2</v>
      </c>
      <c r="H97" s="102">
        <v>3.812046288115542E-2</v>
      </c>
      <c r="I97" s="102">
        <v>4.0309536607420322E-2</v>
      </c>
      <c r="J97" s="102">
        <v>3.6188919291715992E-2</v>
      </c>
      <c r="K97" s="102"/>
      <c r="L97" s="102"/>
      <c r="M97" s="102"/>
      <c r="O97" s="97">
        <v>11115023</v>
      </c>
    </row>
    <row r="98" spans="1:15" s="97" customFormat="1" hidden="1" x14ac:dyDescent="0.2">
      <c r="B98" s="97">
        <v>7</v>
      </c>
      <c r="C98" s="97" t="s">
        <v>170</v>
      </c>
      <c r="D98" s="102"/>
      <c r="E98" s="102"/>
      <c r="F98" s="102">
        <v>7.9026297668420092E-2</v>
      </c>
      <c r="G98" s="102">
        <v>6.7341048616974528E-2</v>
      </c>
      <c r="H98" s="102"/>
      <c r="I98" s="102"/>
      <c r="J98" s="102">
        <v>3.0294966055495028E-2</v>
      </c>
      <c r="K98" s="102"/>
      <c r="L98" s="102"/>
      <c r="M98" s="102"/>
      <c r="O98" s="97">
        <v>2480382</v>
      </c>
    </row>
    <row r="99" spans="1:15" s="97" customFormat="1" hidden="1" x14ac:dyDescent="0.2">
      <c r="B99" s="97">
        <v>8</v>
      </c>
      <c r="C99" s="97" t="s">
        <v>16</v>
      </c>
      <c r="D99" s="102"/>
      <c r="E99" s="102"/>
      <c r="F99" s="102"/>
      <c r="G99" s="102"/>
      <c r="H99" s="102">
        <v>5.4719395542305933E-2</v>
      </c>
      <c r="I99" s="102">
        <v>2.2554224177519389E-2</v>
      </c>
      <c r="J99" s="102"/>
      <c r="K99" s="102"/>
      <c r="L99" s="102"/>
      <c r="M99" s="102"/>
      <c r="O99" s="97">
        <v>7434864</v>
      </c>
    </row>
    <row r="100" spans="1:15" s="97" customFormat="1" hidden="1" x14ac:dyDescent="0.2">
      <c r="B100" s="97">
        <v>9</v>
      </c>
      <c r="C100" s="97" t="s">
        <v>171</v>
      </c>
      <c r="D100" s="102">
        <v>4.3032328149581259E-2</v>
      </c>
      <c r="E100" s="102">
        <v>5.7547139099962043E-2</v>
      </c>
      <c r="F100" s="102">
        <v>4.2090338581294025E-2</v>
      </c>
      <c r="G100" s="102"/>
      <c r="H100" s="102"/>
      <c r="I100" s="102"/>
      <c r="J100" s="102"/>
      <c r="K100" s="102"/>
      <c r="L100" s="102"/>
      <c r="M100" s="102"/>
      <c r="O100" s="97">
        <v>8497745</v>
      </c>
    </row>
    <row r="101" spans="1:15" s="97" customFormat="1" hidden="1" x14ac:dyDescent="0.2">
      <c r="B101" s="97">
        <v>10</v>
      </c>
      <c r="C101" s="97" t="s">
        <v>172</v>
      </c>
      <c r="D101" s="102"/>
      <c r="E101" s="102">
        <v>4.0916724428403099E-2</v>
      </c>
      <c r="F101" s="102"/>
      <c r="G101" s="102"/>
      <c r="H101" s="102"/>
      <c r="I101" s="102"/>
      <c r="J101" s="102"/>
      <c r="K101" s="102"/>
      <c r="L101" s="102"/>
      <c r="M101" s="102"/>
      <c r="O101" s="97">
        <v>14393110</v>
      </c>
    </row>
    <row r="102" spans="1:15" s="97" customFormat="1" hidden="1" x14ac:dyDescent="0.2">
      <c r="B102" s="97">
        <v>11</v>
      </c>
      <c r="C102" s="97" t="s">
        <v>101</v>
      </c>
      <c r="D102" s="102">
        <v>0.22489698443041237</v>
      </c>
      <c r="E102" s="102">
        <v>0.27500776610352251</v>
      </c>
      <c r="F102" s="102">
        <v>0.25867491104034751</v>
      </c>
      <c r="G102" s="102">
        <v>0.29619902204855397</v>
      </c>
      <c r="H102" s="102">
        <v>0.14703512746553749</v>
      </c>
      <c r="I102" s="102">
        <v>0.16318139036093285</v>
      </c>
      <c r="J102" s="102">
        <v>0.19051474669199658</v>
      </c>
      <c r="K102" s="102">
        <v>8.2671746661110365E-2</v>
      </c>
      <c r="L102" s="102">
        <v>9.875451995274008E-2</v>
      </c>
      <c r="M102" s="102">
        <v>0.10377029710553182</v>
      </c>
      <c r="O102" s="97">
        <v>5920853</v>
      </c>
    </row>
    <row r="103" spans="1:15" s="97" customFormat="1" hidden="1" x14ac:dyDescent="0.2">
      <c r="B103" s="97">
        <v>12</v>
      </c>
      <c r="D103" s="102"/>
      <c r="E103" s="102"/>
      <c r="F103" s="102"/>
      <c r="G103" s="102"/>
      <c r="H103" s="102"/>
      <c r="I103" s="102"/>
      <c r="J103" s="102"/>
      <c r="K103" s="102"/>
      <c r="L103" s="102"/>
      <c r="M103" s="102"/>
      <c r="O103" s="97">
        <v>15057844</v>
      </c>
    </row>
    <row r="104" spans="1:15" s="97" customFormat="1" hidden="1" x14ac:dyDescent="0.2">
      <c r="B104" s="97">
        <v>13</v>
      </c>
      <c r="D104" s="102"/>
      <c r="E104" s="102"/>
      <c r="F104" s="102"/>
      <c r="G104" s="102"/>
      <c r="H104" s="102"/>
      <c r="I104" s="102"/>
      <c r="J104" s="102"/>
      <c r="K104" s="102"/>
      <c r="L104" s="102"/>
      <c r="M104" s="102"/>
      <c r="O104" s="97">
        <v>10603512</v>
      </c>
    </row>
    <row r="105" spans="1:15" s="97" customFormat="1" hidden="1" x14ac:dyDescent="0.2">
      <c r="B105" s="97">
        <v>14</v>
      </c>
      <c r="D105" s="102"/>
      <c r="E105" s="102"/>
      <c r="F105" s="102"/>
      <c r="G105" s="102"/>
      <c r="H105" s="102"/>
      <c r="I105" s="102"/>
      <c r="J105" s="102"/>
      <c r="K105" s="102"/>
      <c r="L105" s="102"/>
      <c r="M105" s="102"/>
      <c r="O105" s="97">
        <v>10931653</v>
      </c>
    </row>
    <row r="106" spans="1:15" s="97" customFormat="1" hidden="1" x14ac:dyDescent="0.2">
      <c r="B106" s="97">
        <v>15</v>
      </c>
      <c r="D106" s="102"/>
      <c r="E106" s="102"/>
      <c r="F106" s="102"/>
      <c r="G106" s="102"/>
      <c r="H106" s="102"/>
      <c r="I106" s="102"/>
      <c r="J106" s="102"/>
      <c r="K106" s="102"/>
      <c r="L106" s="102"/>
      <c r="M106" s="102"/>
      <c r="O106" s="97">
        <v>10479842</v>
      </c>
    </row>
    <row r="107" spans="1:15" s="97" customFormat="1" hidden="1" x14ac:dyDescent="0.2">
      <c r="B107" s="97">
        <v>16</v>
      </c>
      <c r="D107" s="102"/>
      <c r="E107" s="102"/>
      <c r="F107" s="102"/>
      <c r="G107" s="102"/>
      <c r="H107" s="102"/>
      <c r="I107" s="102"/>
      <c r="J107" s="102"/>
      <c r="K107" s="102"/>
      <c r="L107" s="102"/>
      <c r="M107" s="102"/>
      <c r="O107" s="97">
        <v>5920853</v>
      </c>
    </row>
    <row r="108" spans="1:15" s="97" customFormat="1" hidden="1" x14ac:dyDescent="0.2">
      <c r="B108" s="97">
        <v>17</v>
      </c>
      <c r="D108" s="102"/>
      <c r="E108" s="102"/>
      <c r="F108" s="102"/>
      <c r="G108" s="102"/>
      <c r="H108" s="102"/>
      <c r="I108" s="102"/>
      <c r="J108" s="102"/>
      <c r="K108" s="102"/>
      <c r="L108" s="102"/>
      <c r="M108" s="102"/>
      <c r="O108" s="97">
        <v>0</v>
      </c>
    </row>
    <row r="109" spans="1:15" s="97" customFormat="1" hidden="1" x14ac:dyDescent="0.2">
      <c r="B109" s="97">
        <v>18</v>
      </c>
      <c r="D109" s="102"/>
      <c r="E109" s="102"/>
      <c r="F109" s="102"/>
      <c r="G109" s="102"/>
      <c r="H109" s="102"/>
      <c r="I109" s="102"/>
      <c r="J109" s="102"/>
      <c r="K109" s="102"/>
      <c r="L109" s="102"/>
      <c r="M109" s="102"/>
      <c r="O109" s="97">
        <v>0</v>
      </c>
    </row>
    <row r="110" spans="1:15" s="97" customFormat="1" hidden="1" x14ac:dyDescent="0.2">
      <c r="B110" s="97">
        <v>19</v>
      </c>
      <c r="D110" s="102"/>
      <c r="E110" s="102"/>
      <c r="F110" s="102"/>
      <c r="G110" s="102"/>
      <c r="H110" s="102"/>
      <c r="I110" s="102"/>
      <c r="J110" s="102"/>
      <c r="K110" s="102"/>
      <c r="L110" s="102"/>
      <c r="M110" s="102"/>
      <c r="O110" s="97">
        <v>0</v>
      </c>
    </row>
    <row r="111" spans="1:15" s="97" customFormat="1" hidden="1" x14ac:dyDescent="0.2">
      <c r="A111" s="97">
        <v>12</v>
      </c>
      <c r="B111" s="97">
        <v>20</v>
      </c>
      <c r="D111" s="102"/>
      <c r="E111" s="102"/>
      <c r="F111" s="102"/>
      <c r="G111" s="102"/>
      <c r="H111" s="102"/>
      <c r="I111" s="102"/>
      <c r="J111" s="102"/>
      <c r="K111" s="102"/>
      <c r="L111" s="102"/>
      <c r="M111" s="102"/>
      <c r="O111" s="97">
        <v>0</v>
      </c>
    </row>
    <row r="112" spans="1:15" s="97" customFormat="1" hidden="1" x14ac:dyDescent="0.2">
      <c r="A112" s="97" t="s">
        <v>37</v>
      </c>
      <c r="C112" s="103" t="s">
        <v>19</v>
      </c>
      <c r="D112" s="104">
        <v>1</v>
      </c>
      <c r="E112" s="104">
        <v>1</v>
      </c>
      <c r="F112" s="104">
        <v>1</v>
      </c>
      <c r="G112" s="104">
        <v>1</v>
      </c>
      <c r="H112" s="104">
        <v>1</v>
      </c>
      <c r="I112" s="104">
        <v>1</v>
      </c>
      <c r="J112" s="104">
        <v>1</v>
      </c>
      <c r="K112" s="104">
        <v>1</v>
      </c>
      <c r="L112" s="104">
        <v>1</v>
      </c>
      <c r="M112" s="104">
        <v>1</v>
      </c>
      <c r="N112" s="104">
        <v>1</v>
      </c>
    </row>
    <row r="113" spans="1:14" s="97" customFormat="1" hidden="1" x14ac:dyDescent="0.2">
      <c r="A113" s="97" t="s">
        <v>38</v>
      </c>
      <c r="C113" s="103" t="s">
        <v>39</v>
      </c>
      <c r="D113" s="104">
        <v>0.84707564003505831</v>
      </c>
      <c r="E113" s="104">
        <v>0.86066890355668557</v>
      </c>
      <c r="F113" s="104">
        <v>0.87384085612467732</v>
      </c>
      <c r="G113" s="104">
        <v>0.89062501127874827</v>
      </c>
      <c r="H113" s="104">
        <v>0.90450691792736659</v>
      </c>
      <c r="I113" s="104">
        <v>0.92137939085149989</v>
      </c>
      <c r="J113" s="104">
        <v>0.93718076838830178</v>
      </c>
      <c r="K113" s="104">
        <v>0.94126306692506534</v>
      </c>
      <c r="L113" s="104">
        <v>0.96063245119245289</v>
      </c>
      <c r="M113" s="104">
        <v>0.98181709307392429</v>
      </c>
      <c r="N113" s="104">
        <v>1</v>
      </c>
    </row>
    <row r="114" spans="1:14" s="97" customFormat="1" hidden="1" x14ac:dyDescent="0.2">
      <c r="B114" s="97" t="str">
        <f ca="1">"All values are "&amp;OFFSET($A$111,MATCH($N$1,$C$112:$C$113,0),0)</f>
        <v>All values are adjusted to 2017 prices</v>
      </c>
      <c r="F114" s="97" t="str">
        <f ca="1">R89&amp;". "&amp;B121&amp;""</f>
        <v xml:space="preserve">All values are adjusted to 2017 prices. </v>
      </c>
    </row>
    <row r="115" spans="1:14" ht="18" customHeight="1" x14ac:dyDescent="0.2"/>
    <row r="116" spans="1:14" ht="18" customHeight="1" x14ac:dyDescent="0.2"/>
    <row r="117" spans="1:14" ht="18" customHeight="1" x14ac:dyDescent="0.2"/>
    <row r="118" spans="1:14" s="78" customFormat="1" ht="18" customHeight="1" x14ac:dyDescent="0.2"/>
    <row r="119" spans="1:14" s="78" customFormat="1" ht="18" customHeight="1" x14ac:dyDescent="0.2"/>
    <row r="120" spans="1:14" s="78" customFormat="1" x14ac:dyDescent="0.2"/>
    <row r="121" spans="1:14" s="49" customFormat="1" x14ac:dyDescent="0.2"/>
    <row r="122" spans="1:14" s="49" customFormat="1" x14ac:dyDescent="0.2">
      <c r="A122" s="50"/>
      <c r="B122" s="53"/>
      <c r="C122" s="79"/>
      <c r="D122" s="79"/>
      <c r="E122" s="79"/>
      <c r="F122" s="79"/>
      <c r="G122" s="80"/>
      <c r="H122" s="79"/>
      <c r="I122" s="79"/>
      <c r="J122" s="79"/>
      <c r="K122" s="79"/>
      <c r="L122" s="53"/>
    </row>
    <row r="123" spans="1:14" s="49" customFormat="1" x14ac:dyDescent="0.2">
      <c r="A123" s="50"/>
      <c r="B123" s="53"/>
      <c r="C123" s="53"/>
      <c r="D123" s="53"/>
      <c r="E123" s="53"/>
      <c r="F123" s="50"/>
      <c r="G123" s="50"/>
      <c r="H123" s="53"/>
      <c r="I123" s="53"/>
      <c r="J123" s="53"/>
      <c r="K123" s="53"/>
      <c r="L123" s="50"/>
    </row>
    <row r="124" spans="1:14" s="49" customFormat="1" x14ac:dyDescent="0.2">
      <c r="A124" s="50"/>
      <c r="B124" s="53"/>
      <c r="C124" s="53"/>
      <c r="D124" s="53"/>
      <c r="E124" s="53"/>
      <c r="F124" s="50"/>
      <c r="G124" s="50"/>
      <c r="H124" s="53"/>
      <c r="I124" s="53"/>
      <c r="J124" s="53"/>
      <c r="K124" s="53"/>
      <c r="L124" s="50"/>
    </row>
    <row r="125" spans="1:14" s="49" customFormat="1" x14ac:dyDescent="0.2">
      <c r="A125" s="50"/>
      <c r="B125" s="53"/>
      <c r="C125" s="53"/>
      <c r="D125" s="53"/>
      <c r="E125" s="53"/>
      <c r="F125" s="50"/>
      <c r="G125" s="50"/>
      <c r="H125" s="53"/>
      <c r="I125" s="53"/>
      <c r="J125" s="53"/>
      <c r="K125" s="53"/>
      <c r="L125" s="50"/>
    </row>
    <row r="126" spans="1:14" s="49" customFormat="1" x14ac:dyDescent="0.2">
      <c r="A126" s="50"/>
      <c r="B126" s="53"/>
      <c r="C126" s="53"/>
      <c r="D126" s="53"/>
      <c r="E126" s="53"/>
      <c r="F126" s="50"/>
      <c r="G126" s="50"/>
      <c r="H126" s="53"/>
      <c r="I126" s="53"/>
      <c r="J126" s="53"/>
      <c r="K126" s="53"/>
      <c r="L126" s="50"/>
    </row>
    <row r="127" spans="1:14" s="49" customFormat="1" x14ac:dyDescent="0.2">
      <c r="A127" s="50"/>
      <c r="B127" s="53"/>
      <c r="C127" s="53"/>
      <c r="D127" s="53"/>
      <c r="E127" s="53"/>
      <c r="F127" s="50"/>
      <c r="G127" s="50"/>
      <c r="H127" s="53"/>
      <c r="I127" s="53"/>
      <c r="J127" s="53"/>
      <c r="K127" s="53"/>
      <c r="L127" s="50"/>
    </row>
    <row r="128" spans="1:14" s="49" customFormat="1" x14ac:dyDescent="0.2">
      <c r="A128" s="50"/>
      <c r="B128" s="53"/>
      <c r="C128" s="53"/>
      <c r="D128" s="53"/>
      <c r="E128" s="53"/>
      <c r="F128" s="50"/>
      <c r="G128" s="50"/>
      <c r="H128" s="53"/>
      <c r="I128" s="53"/>
      <c r="J128" s="53"/>
      <c r="K128" s="53"/>
      <c r="L128" s="50"/>
    </row>
    <row r="129" spans="1:12" s="49" customFormat="1" x14ac:dyDescent="0.2">
      <c r="A129" s="50"/>
      <c r="B129" s="53"/>
      <c r="C129" s="53"/>
      <c r="D129" s="53"/>
      <c r="E129" s="53"/>
      <c r="F129" s="50"/>
      <c r="G129" s="50"/>
      <c r="H129" s="53"/>
      <c r="I129" s="53"/>
      <c r="J129" s="53"/>
      <c r="K129" s="53"/>
      <c r="L129" s="50"/>
    </row>
    <row r="130" spans="1:12" s="49" customFormat="1" x14ac:dyDescent="0.2">
      <c r="A130" s="50"/>
      <c r="B130" s="53"/>
      <c r="C130" s="53"/>
      <c r="D130" s="53"/>
      <c r="E130" s="53"/>
      <c r="F130" s="50"/>
      <c r="G130" s="50"/>
      <c r="H130" s="53"/>
      <c r="I130" s="53"/>
      <c r="J130" s="53"/>
      <c r="K130" s="53"/>
      <c r="L130" s="50"/>
    </row>
    <row r="131" spans="1:12" s="49" customFormat="1" x14ac:dyDescent="0.2">
      <c r="A131" s="50"/>
      <c r="B131" s="53"/>
      <c r="C131" s="53"/>
      <c r="D131" s="53"/>
      <c r="E131" s="53"/>
      <c r="F131" s="50"/>
      <c r="G131" s="50"/>
      <c r="H131" s="53"/>
      <c r="I131" s="53"/>
      <c r="J131" s="53"/>
      <c r="K131" s="53"/>
      <c r="L131" s="50"/>
    </row>
    <row r="132" spans="1:12" s="49" customFormat="1" x14ac:dyDescent="0.2">
      <c r="A132" s="50"/>
      <c r="B132" s="53"/>
      <c r="C132" s="53"/>
      <c r="D132" s="53"/>
      <c r="E132" s="53"/>
      <c r="F132" s="50"/>
      <c r="G132" s="50"/>
      <c r="H132" s="53"/>
      <c r="I132" s="53"/>
      <c r="J132" s="53"/>
      <c r="K132" s="53"/>
      <c r="L132" s="50"/>
    </row>
    <row r="133" spans="1:12" s="49" customFormat="1" x14ac:dyDescent="0.2">
      <c r="A133" s="50"/>
      <c r="B133" s="53"/>
      <c r="C133" s="53"/>
      <c r="D133" s="53"/>
      <c r="E133" s="53"/>
      <c r="F133" s="50"/>
      <c r="G133" s="50"/>
      <c r="H133" s="53"/>
      <c r="I133" s="53"/>
      <c r="J133" s="53"/>
      <c r="K133" s="53"/>
      <c r="L133" s="50"/>
    </row>
    <row r="134" spans="1:12" s="49" customFormat="1" x14ac:dyDescent="0.2">
      <c r="A134" s="50"/>
      <c r="B134" s="53"/>
      <c r="C134" s="53"/>
      <c r="D134" s="53"/>
      <c r="E134" s="53"/>
      <c r="F134" s="50"/>
      <c r="G134" s="50"/>
      <c r="H134" s="53"/>
      <c r="I134" s="53"/>
      <c r="J134" s="53"/>
      <c r="K134" s="53"/>
      <c r="L134" s="50"/>
    </row>
    <row r="135" spans="1:12" s="49" customFormat="1" x14ac:dyDescent="0.2">
      <c r="A135" s="50"/>
      <c r="B135" s="53"/>
      <c r="C135" s="53"/>
      <c r="D135" s="53"/>
      <c r="E135" s="53"/>
      <c r="F135" s="50"/>
      <c r="G135" s="50"/>
      <c r="H135" s="53"/>
      <c r="I135" s="53"/>
      <c r="J135" s="53"/>
      <c r="K135" s="53"/>
      <c r="L135" s="50"/>
    </row>
    <row r="136" spans="1:12" s="49" customFormat="1" x14ac:dyDescent="0.2">
      <c r="A136" s="50"/>
      <c r="B136" s="53"/>
      <c r="C136" s="53"/>
      <c r="D136" s="53"/>
      <c r="E136" s="53"/>
      <c r="F136" s="50"/>
      <c r="G136" s="50"/>
      <c r="H136" s="53"/>
      <c r="I136" s="53"/>
      <c r="J136" s="53"/>
      <c r="K136" s="53"/>
      <c r="L136" s="50"/>
    </row>
    <row r="137" spans="1:12" s="49" customFormat="1" x14ac:dyDescent="0.2">
      <c r="A137" s="50"/>
      <c r="B137" s="53"/>
      <c r="C137" s="53"/>
      <c r="D137" s="53"/>
      <c r="E137" s="53"/>
      <c r="F137" s="50"/>
      <c r="G137" s="50"/>
      <c r="H137" s="53"/>
      <c r="I137" s="53"/>
      <c r="J137" s="53"/>
      <c r="K137" s="53"/>
      <c r="L137" s="50"/>
    </row>
    <row r="138" spans="1:12" s="49" customFormat="1" x14ac:dyDescent="0.2">
      <c r="A138" s="50"/>
      <c r="B138" s="53"/>
      <c r="C138" s="53"/>
      <c r="D138" s="53"/>
      <c r="E138" s="53"/>
      <c r="F138" s="50"/>
      <c r="G138" s="50"/>
      <c r="H138" s="53"/>
      <c r="I138" s="53"/>
      <c r="J138" s="53"/>
      <c r="K138" s="53"/>
      <c r="L138" s="50"/>
    </row>
    <row r="139" spans="1:12" s="78" customFormat="1" x14ac:dyDescent="0.2"/>
    <row r="140" spans="1:12" s="78" customFormat="1" x14ac:dyDescent="0.2"/>
    <row r="141" spans="1:12" s="78" customFormat="1" x14ac:dyDescent="0.2"/>
    <row r="142" spans="1:12" s="78" customFormat="1" x14ac:dyDescent="0.2"/>
    <row r="143" spans="1:12" s="78" customFormat="1" x14ac:dyDescent="0.2"/>
    <row r="144" spans="1:12" s="78" customFormat="1" x14ac:dyDescent="0.2"/>
    <row r="145" s="78" customFormat="1" x14ac:dyDescent="0.2"/>
    <row r="146" s="78" customFormat="1" x14ac:dyDescent="0.2"/>
    <row r="147" s="78" customFormat="1" x14ac:dyDescent="0.2"/>
    <row r="148" s="78" customFormat="1" x14ac:dyDescent="0.2"/>
    <row r="149" s="78" customFormat="1" x14ac:dyDescent="0.2"/>
    <row r="150" s="78" customFormat="1" x14ac:dyDescent="0.2"/>
    <row r="151" s="78" customFormat="1" x14ac:dyDescent="0.2"/>
    <row r="152" s="78" customFormat="1" x14ac:dyDescent="0.2"/>
    <row r="153" s="78" customFormat="1" x14ac:dyDescent="0.2"/>
  </sheetData>
  <mergeCells count="8">
    <mergeCell ref="B44:C44"/>
    <mergeCell ref="B45:C45"/>
    <mergeCell ref="B46:C46"/>
    <mergeCell ref="O1:P1"/>
    <mergeCell ref="A3:A10"/>
    <mergeCell ref="A11:A20"/>
    <mergeCell ref="A21:A26"/>
    <mergeCell ref="A27:A41"/>
  </mergeCells>
  <dataValidations count="1">
    <dataValidation type="list" allowBlank="1" showInputMessage="1" showErrorMessage="1" sqref="N1">
      <formula1>$C$112:$C$113</formula1>
    </dataValidation>
  </dataValidations>
  <hyperlinks>
    <hyperlink ref="O1:P1" location="Home_page" display="Back to home page"/>
  </hyperlinks>
  <printOptions horizontalCentered="1" verticalCentered="1"/>
  <pageMargins left="0.70866141732283472" right="0.70866141732283472" top="0.51181102362204722" bottom="0.51181102362204722" header="0.31496062992125984" footer="0.31496062992125984"/>
  <pageSetup paperSize="9" scale="68" fitToHeight="0" orientation="landscape"/>
  <headerFooter>
    <oddHeader>&amp;C&amp;F  |  &amp;A</oddHeader>
    <oddFooter>&amp;C&amp;D -- &amp;T</oddFooter>
  </headerFooter>
  <rowBreaks count="1" manualBreakCount="1">
    <brk id="43" max="16383" man="1"/>
  </rowBreaks>
  <drawing r:id="rId1"/>
  <extLst>
    <ext xmlns:x14="http://schemas.microsoft.com/office/spreadsheetml/2009/9/main" uri="{05C60535-1F16-4fd2-B633-F4F36F0B64E0}">
      <x14:sparklineGroups xmlns:xm="http://schemas.microsoft.com/office/excel/2006/main">
        <x14:sparklineGroup manualMax="0" manualMin="0" displayEmptyCellsAs="gap" high="1" low="1">
          <x14:colorSeries rgb="FF323232"/>
          <x14:colorNegative rgb="FFD00000"/>
          <x14:colorAxis rgb="FF000000"/>
          <x14:colorMarkers rgb="FFD00000"/>
          <x14:colorFirst rgb="FFD00000"/>
          <x14:colorLast rgb="FFD00000"/>
          <x14:colorHigh rgb="FFD00000"/>
          <x14:colorLow rgb="FFD00000"/>
          <x14:sparklines>
            <x14:sparkline>
              <xm:f>'Area VIIb-k trawlers 24-40m'!D3:N3</xm:f>
              <xm:sqref>C3</xm:sqref>
            </x14:sparkline>
            <x14:sparkline>
              <xm:f>'Area VIIb-k trawlers 24-40m'!D4:N4</xm:f>
              <xm:sqref>C4</xm:sqref>
            </x14:sparkline>
            <x14:sparkline>
              <xm:f>'Area VIIb-k trawlers 24-40m'!D5:N5</xm:f>
              <xm:sqref>C5</xm:sqref>
            </x14:sparkline>
            <x14:sparkline>
              <xm:f>'Area VIIb-k trawlers 24-40m'!D6:N6</xm:f>
              <xm:sqref>C6</xm:sqref>
            </x14:sparkline>
            <x14:sparkline>
              <xm:f>'Area VIIb-k trawlers 24-40m'!D7:N7</xm:f>
              <xm:sqref>C7</xm:sqref>
            </x14:sparkline>
            <x14:sparkline>
              <xm:f>'Area VIIb-k trawlers 24-40m'!D8:N8</xm:f>
              <xm:sqref>C8</xm:sqref>
            </x14:sparkline>
            <x14:sparkline>
              <xm:f>'Area VIIb-k trawlers 24-40m'!D9:N9</xm:f>
              <xm:sqref>C9</xm:sqref>
            </x14:sparkline>
            <x14:sparkline>
              <xm:f>'Area VIIb-k trawlers 24-40m'!F10:M10</xm:f>
              <xm:sqref>C10</xm:sqref>
            </x14:sparkline>
            <x14:sparkline>
              <xm:f>'Area VIIb-k trawlers 24-40m'!D11:N11</xm:f>
              <xm:sqref>C11</xm:sqref>
            </x14:sparkline>
            <x14:sparkline>
              <xm:f>'Area VIIb-k trawlers 24-40m'!D12:N12</xm:f>
              <xm:sqref>C12</xm:sqref>
            </x14:sparkline>
            <x14:sparkline>
              <xm:f>'Area VIIb-k trawlers 24-40m'!D13:N13</xm:f>
              <xm:sqref>C13</xm:sqref>
            </x14:sparkline>
            <x14:sparkline>
              <xm:f>'Area VIIb-k trawlers 24-40m'!D14:N14</xm:f>
              <xm:sqref>C14</xm:sqref>
            </x14:sparkline>
            <x14:sparkline>
              <xm:f>'Area VIIb-k trawlers 24-40m'!D15:N15</xm:f>
              <xm:sqref>C15</xm:sqref>
            </x14:sparkline>
            <x14:sparkline>
              <xm:f>'Area VIIb-k trawlers 24-40m'!D16:N16</xm:f>
              <xm:sqref>C16</xm:sqref>
            </x14:sparkline>
            <x14:sparkline>
              <xm:f>'Area VIIb-k trawlers 24-40m'!D17:N17</xm:f>
              <xm:sqref>C17</xm:sqref>
            </x14:sparkline>
            <x14:sparkline>
              <xm:f>'Area VIIb-k trawlers 24-40m'!D18:N18</xm:f>
              <xm:sqref>C18</xm:sqref>
            </x14:sparkline>
            <x14:sparkline>
              <xm:f>'Area VIIb-k trawlers 24-40m'!D19:N19</xm:f>
              <xm:sqref>C19</xm:sqref>
            </x14:sparkline>
            <x14:sparkline>
              <xm:f>'Area VIIb-k trawlers 24-40m'!D20:N20</xm:f>
              <xm:sqref>C20</xm:sqref>
            </x14:sparkline>
            <x14:sparkline>
              <xm:f>'Area VIIb-k trawlers 24-40m'!D21:N21</xm:f>
              <xm:sqref>C21</xm:sqref>
            </x14:sparkline>
            <x14:sparkline>
              <xm:f>'Area VIIb-k trawlers 24-40m'!D22:N22</xm:f>
              <xm:sqref>C22</xm:sqref>
            </x14:sparkline>
            <x14:sparkline>
              <xm:f>'Area VIIb-k trawlers 24-40m'!D23:N23</xm:f>
              <xm:sqref>C23</xm:sqref>
            </x14:sparkline>
            <x14:sparkline>
              <xm:f>'Area VIIb-k trawlers 24-40m'!D24:N24</xm:f>
              <xm:sqref>C24</xm:sqref>
            </x14:sparkline>
            <x14:sparkline>
              <xm:f>'Area VIIb-k trawlers 24-40m'!F25:M25</xm:f>
              <xm:sqref>C25</xm:sqref>
            </x14:sparkline>
            <x14:sparkline>
              <xm:f>'Area VIIb-k trawlers 24-40m'!F26:M26</xm:f>
              <xm:sqref>C26</xm:sqref>
            </x14:sparkline>
            <x14:sparkline>
              <xm:f>'Area VIIb-k trawlers 24-40m'!D27:N27</xm:f>
              <xm:sqref>C27</xm:sqref>
            </x14:sparkline>
            <x14:sparkline>
              <xm:f>'Area VIIb-k trawlers 24-40m'!D28:N28</xm:f>
              <xm:sqref>C28</xm:sqref>
            </x14:sparkline>
            <x14:sparkline>
              <xm:f>'Area VIIb-k trawlers 24-40m'!D29:N29</xm:f>
              <xm:sqref>C29</xm:sqref>
            </x14:sparkline>
            <x14:sparkline>
              <xm:f>'Area VIIb-k trawlers 24-40m'!D30:N30</xm:f>
              <xm:sqref>C30</xm:sqref>
            </x14:sparkline>
            <x14:sparkline>
              <xm:f>'Area VIIb-k trawlers 24-40m'!D31:N31</xm:f>
              <xm:sqref>C31</xm:sqref>
            </x14:sparkline>
            <x14:sparkline>
              <xm:f>'Area VIIb-k trawlers 24-40m'!D32:N32</xm:f>
              <xm:sqref>C32</xm:sqref>
            </x14:sparkline>
            <x14:sparkline>
              <xm:f>'Area VIIb-k trawlers 24-40m'!D33:N33</xm:f>
              <xm:sqref>C33</xm:sqref>
            </x14:sparkline>
            <x14:sparkline>
              <xm:f>'Area VIIb-k trawlers 24-40m'!D34:N34</xm:f>
              <xm:sqref>C34</xm:sqref>
            </x14:sparkline>
            <x14:sparkline>
              <xm:f>'Area VIIb-k trawlers 24-40m'!D35:N35</xm:f>
              <xm:sqref>C35</xm:sqref>
            </x14:sparkline>
            <x14:sparkline>
              <xm:f>'Area VIIb-k trawlers 24-40m'!D36:N36</xm:f>
              <xm:sqref>C36</xm:sqref>
            </x14:sparkline>
            <x14:sparkline>
              <xm:f>'Area VIIb-k trawlers 24-40m'!D37:N37</xm:f>
              <xm:sqref>C37</xm:sqref>
            </x14:sparkline>
            <x14:sparkline>
              <xm:f>'Area VIIb-k trawlers 24-40m'!D38:M38</xm:f>
              <xm:sqref>C38</xm:sqref>
            </x14:sparkline>
            <x14:sparkline>
              <xm:f>'Area VIIb-k trawlers 24-40m'!D39:M39</xm:f>
              <xm:sqref>C39</xm:sqref>
            </x14:sparkline>
            <x14:sparkline>
              <xm:f>'Area VIIb-k trawlers 24-40m'!D40:M40</xm:f>
              <xm:sqref>C40</xm:sqref>
            </x14:sparkline>
            <x14:sparkline>
              <xm:f>'Area VIIb-k trawlers 24-40m'!D41:M41</xm:f>
              <xm:sqref>C41</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Seafish Open Document" ma:contentTypeID="0x010100FBC0F8BFD01A91498CA7837A71EEDFDB0100D8D74AD133DD5E4C9488BA264812959E" ma:contentTypeVersion="30" ma:contentTypeDescription="Seafish Open Document Content Type" ma:contentTypeScope="" ma:versionID="6cf6eeec6f8d0b88530e7c73574e6803">
  <xsd:schema xmlns:xsd="http://www.w3.org/2001/XMLSchema" xmlns:xs="http://www.w3.org/2001/XMLSchema" xmlns:p="http://schemas.microsoft.com/office/2006/metadata/properties" xmlns:ns2="cebd32e3-9ab6-41ee-b1af-b8405a8d4e68" xmlns:ns3="d4c1e97c-7a75-4aca-9712-5efb9ef450ab" targetNamespace="http://schemas.microsoft.com/office/2006/metadata/properties" ma:root="true" ma:fieldsID="c7adf362057f3fbfeab303a81cf00593" ns2:_="" ns3:_="">
    <xsd:import namespace="cebd32e3-9ab6-41ee-b1af-b8405a8d4e68"/>
    <xsd:import namespace="d4c1e97c-7a75-4aca-9712-5efb9ef450ab"/>
    <xsd:element name="properties">
      <xsd:complexType>
        <xsd:sequence>
          <xsd:element name="documentManagement">
            <xsd:complexType>
              <xsd:all>
                <xsd:element ref="ns2:PublicationDate"/>
                <xsd:element ref="ns2:DocumentSummary"/>
                <xsd:element ref="ns2:DocumentTopic" minOccurs="0"/>
                <xsd:element ref="ns2:DocumentAuthors" minOccurs="0"/>
                <xsd:element ref="ns2:MediaFormatOld" minOccurs="0"/>
                <xsd:element ref="ns2:PublicationRefNo" minOccurs="0"/>
                <xsd:element ref="ns2:ISBN" minOccurs="0"/>
                <xsd:element ref="ns2:LegacyId" minOccurs="0"/>
                <xsd:element ref="ns2:PubMonth" minOccurs="0"/>
                <xsd:element ref="ns2:PubYear" minOccurs="0"/>
                <xsd:element ref="ns2:MediaFormat" minOccurs="0"/>
                <xsd:element ref="ns2:DocumentAdded"/>
                <xsd:element ref="ns2:DocumentStatus"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AutoTags" minOccurs="0"/>
                <xsd:element ref="ns3:MediaServiceOCR" minOccurs="0"/>
                <xsd:element ref="ns3:MediaServiceGenerationTime" minOccurs="0"/>
                <xsd:element ref="ns3:MediaServiceEventHashCode"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bd32e3-9ab6-41ee-b1af-b8405a8d4e68" elementFormDefault="qualified">
    <xsd:import namespace="http://schemas.microsoft.com/office/2006/documentManagement/types"/>
    <xsd:import namespace="http://schemas.microsoft.com/office/infopath/2007/PartnerControls"/>
    <xsd:element name="PublicationDate" ma:index="2" ma:displayName="Publication Date" ma:format="DateOnly" ma:internalName="PublicationDate">
      <xsd:simpleType>
        <xsd:restriction base="dms:DateTime"/>
      </xsd:simpleType>
    </xsd:element>
    <xsd:element name="DocumentSummary" ma:index="3" ma:displayName="Summary" ma:internalName="DocumentSummary" ma:readOnly="false">
      <xsd:simpleType>
        <xsd:restriction base="dms:Note">
          <xsd:maxLength value="255"/>
        </xsd:restriction>
      </xsd:simpleType>
    </xsd:element>
    <xsd:element name="DocumentTopic" ma:index="5" nillable="true" ma:displayName="Topic" ma:default="" ma:internalName="DocumentTopic">
      <xsd:complexType>
        <xsd:complexContent>
          <xsd:extension base="dms:MultiChoice">
            <xsd:sequence>
              <xsd:element name="Value" maxOccurs="unbounded" minOccurs="0" nillable="true">
                <xsd:simpleType>
                  <xsd:restriction base="dms:Choice">
                    <xsd:enumeration value="Technical Report"/>
                    <xsd:enumeration value="Factsheet/Datasheet"/>
                    <xsd:enumeration value="Corporate Document"/>
                    <xsd:enumeration value="Guidelines"/>
                    <xsd:enumeration value="Marine Survey"/>
                    <xsd:enumeration value="Training Material"/>
                    <xsd:enumeration value="Careers"/>
                    <xsd:enumeration value="Economics and Business"/>
                    <xsd:enumeration value="Aquaculture"/>
                    <xsd:enumeration value="IPF Final Reports"/>
                    <xsd:enumeration value="Other"/>
                    <xsd:enumeration value="Not known"/>
                    <xsd:enumeration value="Internal Seafish Report"/>
                    <xsd:enumeration value="Confidential Seafish Report"/>
                    <xsd:enumeration value="Seafood Guide"/>
                    <xsd:enumeration value=".Web-About Seafish"/>
                    <xsd:enumeration value=".Web-Changing Landscapes"/>
                    <xsd:enumeration value=".Web-Promoting Seafood"/>
                    <xsd:enumeration value=".Web-Responsible Sourcing"/>
                    <xsd:enumeration value=".Web-Safety and Training"/>
                    <xsd:enumeration value=".Web-Insight and Research"/>
                  </xsd:restriction>
                </xsd:simpleType>
              </xsd:element>
            </xsd:sequence>
          </xsd:extension>
        </xsd:complexContent>
      </xsd:complexType>
    </xsd:element>
    <xsd:element name="DocumentAuthors" ma:index="6" nillable="true" ma:displayName="Authors" ma:internalName="DocumentAuthors">
      <xsd:complexType>
        <xsd:complexContent>
          <xsd:extension base="dms:MultiChoice">
            <xsd:sequence>
              <xsd:element name="Value" maxOccurs="unbounded" minOccurs="0" nillable="true">
                <xsd:simpleType>
                  <xsd:restriction base="dms:Choice">
                    <xsd:enumeration value="A. Justel-Rubio"/>
                    <xsd:enumeration value="A. Lucchetti"/>
                    <xsd:enumeration value="A. Sala"/>
                    <xsd:enumeration value="A.Adams"/>
                    <xsd:enumeration value="A.B"/>
                    <xsd:enumeration value="A.Bent"/>
                    <xsd:enumeration value="A.Brown"/>
                    <xsd:enumeration value="A.C.C"/>
                    <xsd:enumeration value="A.Campbell"/>
                    <xsd:enumeration value="A.Chau"/>
                    <xsd:enumeration value="A.Copeland"/>
                    <xsd:enumeration value="A.Corcoran"/>
                    <xsd:enumeration value="A.Coutts"/>
                    <xsd:enumeration value="A.Dean"/>
                    <xsd:enumeration value="A.G.Hopper"/>
                    <xsd:enumeration value="A.Garthwaite"/>
                    <xsd:enumeration value="A.Grant"/>
                    <xsd:enumeration value="A.Hewer"/>
                    <xsd:enumeration value="A.J.Courtney"/>
                    <xsd:enumeration value="A.J.Dean"/>
                    <xsd:enumeration value="A.Kenny"/>
                    <xsd:enumeration value="A.Martin"/>
                    <xsd:enumeration value="A.Mills"/>
                    <xsd:enumeration value="A.Moody"/>
                    <xsd:enumeration value="A.Nicholson"/>
                    <xsd:enumeration value="A.P.Woolmer"/>
                    <xsd:enumeration value="A.R"/>
                    <xsd:enumeration value="A.Revill"/>
                    <xsd:enumeration value="A.S"/>
                    <xsd:enumeration value="A.Santos"/>
                    <xsd:enumeration value="A.Searle"/>
                    <xsd:enumeration value="A.Smith"/>
                    <xsd:enumeration value="A.Steel"/>
                    <xsd:enumeration value="A.Strickland"/>
                    <xsd:enumeration value="A.Thompson"/>
                    <xsd:enumeration value="A.Wilson"/>
                    <xsd:enumeration value="A.Woolmer"/>
                    <xsd:enumeration value="A.Younger"/>
                    <xsd:enumeration value="A.Younger"/>
                    <xsd:enumeration value="Acoura"/>
                    <xsd:enumeration value="Adam Brown"/>
                    <xsd:enumeration value="ADAS"/>
                    <xsd:enumeration value="ADAS Environment"/>
                    <xsd:enumeration value="AFBI"/>
                    <xsd:enumeration value="AGH"/>
                    <xsd:enumeration value="Agri Food and Biosciences Institute"/>
                    <xsd:enumeration value="Alan Dean"/>
                    <xsd:enumeration value="Alan Hayes"/>
                    <xsd:enumeration value="Alex Caveen"/>
                    <xsd:enumeration value="Alexander Schofield"/>
                    <xsd:enumeration value="Alison Austin"/>
                    <xsd:enumeration value="Ana Justel-Rubio"/>
                    <xsd:enumeration value="Ana Witteveen"/>
                    <xsd:enumeration value="Andrew FitzGerald"/>
                    <xsd:enumeration value="ANIFOP"/>
                    <xsd:enumeration value="Anne Cameron"/>
                    <xsd:enumeration value="Anne Wallace"/>
                    <xsd:enumeration value="Anne-Margaret Stewart"/>
                    <xsd:enumeration value="Aquafish Solutions Ltd."/>
                    <xsd:enumeration value="Aquatic Water Services Ltd."/>
                    <xsd:enumeration value="Ardtoe"/>
                    <xsd:enumeration value="Arina Motova"/>
                    <xsd:enumeration value="ASSG"/>
                    <xsd:enumeration value="Association of Port Health Authorities"/>
                    <xsd:enumeration value="Association of Public Analy"/>
                    <xsd:enumeration value="ATM"/>
                    <xsd:enumeration value="B.A"/>
                    <xsd:enumeration value="B.Ashcroft"/>
                    <xsd:enumeration value="B.Greenwood"/>
                    <xsd:enumeration value="B.H"/>
                    <xsd:enumeration value="B.Hughes"/>
                    <xsd:enumeration value="B.Mounce"/>
                    <xsd:enumeration value="B.Scannell"/>
                    <xsd:enumeration value="B.Thain"/>
                    <xsd:enumeration value="B.van Marlen"/>
                    <xsd:enumeration value="B.Wilson"/>
                    <xsd:enumeration value="BFFF"/>
                    <xsd:enumeration value="BHA"/>
                    <xsd:enumeration value="BIM Irish Sea Fisheries Board"/>
                    <xsd:enumeration value="Brahm Insight"/>
                    <xsd:enumeration value="BRC"/>
                    <xsd:enumeration value="British Marine Finfish Association"/>
                    <xsd:enumeration value="Bryony Townhill (Marine Climate Change Impacts Partnership)"/>
                    <xsd:enumeration value="C. Burton"/>
                    <xsd:enumeration value="C.A.Burton"/>
                    <xsd:enumeration value="C.A.Goudey"/>
                    <xsd:enumeration value="C.B"/>
                    <xsd:enumeration value="C.Baker"/>
                    <xsd:enumeration value="C.Brady"/>
                    <xsd:enumeration value="C.C"/>
                    <xsd:enumeration value="C.Carlton"/>
                    <xsd:enumeration value="C.Curr"/>
                    <xsd:enumeration value="C.Cutts"/>
                    <xsd:enumeration value="C.Daniels"/>
                    <xsd:enumeration value="C.E.P.Watson"/>
                    <xsd:enumeration value="C.E.Tucker"/>
                    <xsd:enumeration value="C.F.Jackson"/>
                    <xsd:enumeration value="C.Filippopoulos"/>
                    <xsd:enumeration value="C.Ford"/>
                    <xsd:enumeration value="C.G.S.W"/>
                    <xsd:enumeration value="C.H.Davies"/>
                    <xsd:enumeration value="C.J Cutts"/>
                    <xsd:enumeration value="C.J. Chapman"/>
                    <xsd:enumeration value="C.J.Ellis"/>
                    <xsd:enumeration value="C.Jackson"/>
                    <xsd:enumeration value="C.Knight"/>
                    <xsd:enumeration value="C.Lacamara"/>
                    <xsd:enumeration value="C.Leadley"/>
                    <xsd:enumeration value="C.M. Fortuna"/>
                    <xsd:enumeration value="C.Mazorra de Quero"/>
                    <xsd:enumeration value="C.Nevin"/>
                    <xsd:enumeration value="C.P.Baker"/>
                    <xsd:enumeration value="C.Roberts"/>
                    <xsd:enumeration value="C.Saurel"/>
                    <xsd:enumeration value="C.T.O"/>
                    <xsd:enumeration value="C.T.W.C"/>
                    <xsd:enumeration value="C.T.W.Curr"/>
                    <xsd:enumeration value="C.Tucker"/>
                    <xsd:enumeration value="C.W"/>
                    <xsd:enumeration value="C.Wells"/>
                    <xsd:enumeration value="C.Young"/>
                    <xsd:enumeration value="CA Burton"/>
                    <xsd:enumeration value="Camborne School of Mines"/>
                    <xsd:enumeration value="Campden BRI"/>
                    <xsd:enumeration value="Candida Barbato"/>
                    <xsd:enumeration value="Cardiff Economic Research Associates Ltd"/>
                    <xsd:enumeration value="Catriona Power"/>
                    <xsd:enumeration value="CC"/>
                    <xsd:enumeration value="CCFRA"/>
                    <xsd:enumeration value="Cefas"/>
                    <xsd:enumeration value="Centre for Aquaculture and Fisheries"/>
                    <xsd:enumeration value="CEPW"/>
                    <xsd:enumeration value="CEPW"/>
                    <xsd:enumeration value="CFPO"/>
                    <xsd:enumeration value="Chao Lu"/>
                    <xsd:enumeration value="Chelonia"/>
                    <xsd:enumeration value="China Ministry of Health"/>
                    <xsd:enumeration value="Chris Barbour"/>
                    <xsd:enumeration value="Chris Kirkland"/>
                    <xsd:enumeration value="Clifford A.Goudey"/>
                    <xsd:enumeration value="Clive Monk"/>
                    <xsd:enumeration value="Colin Brodie"/>
                    <xsd:enumeration value="Craig Burton"/>
                    <xsd:enumeration value="Crick Carlton"/>
                    <xsd:enumeration value="Cristina Fernandez"/>
                    <xsd:enumeration value="Cristina Pita"/>
                    <xsd:enumeration value="D. Itano"/>
                    <xsd:enumeration value="D.A"/>
                    <xsd:enumeration value="D.A.Masson"/>
                    <xsd:enumeration value="D.Amos"/>
                    <xsd:enumeration value="D.Amos"/>
                    <xsd:enumeration value="D.Boothroyd"/>
                    <xsd:enumeration value="D.Burdon"/>
                    <xsd:enumeration value="D.Cashmore"/>
                    <xsd:enumeration value="D.Cole"/>
                    <xsd:enumeration value="D.Cook"/>
                    <xsd:enumeration value="D.E.Ballam"/>
                    <xsd:enumeration value="D.Edwards"/>
                    <xsd:enumeration value="D.Elliot"/>
                    <xsd:enumeration value="D.G"/>
                    <xsd:enumeration value="D.Gowland"/>
                    <xsd:enumeration value="D.H"/>
                    <xsd:enumeration value="D.Harrison"/>
                    <xsd:enumeration value="D.Homer"/>
                    <xsd:enumeration value="D.Hornerm"/>
                    <xsd:enumeration value="D.J.Wood"/>
                    <xsd:enumeration value="D.L"/>
                    <xsd:enumeration value="D.Marshall"/>
                    <xsd:enumeration value="D.Miles"/>
                    <xsd:enumeration value="D.Miller"/>
                    <xsd:enumeration value="D.Oakes"/>
                    <xsd:enumeration value="D.P"/>
                    <xsd:enumeration value="D.Patterson"/>
                    <xsd:enumeration value="D.Pirie"/>
                    <xsd:enumeration value="D.Robertson"/>
                    <xsd:enumeration value="D.S"/>
                    <xsd:enumeration value="D.Steel"/>
                    <xsd:enumeration value="D.Sykes"/>
                    <xsd:enumeration value="D.Symes"/>
                    <xsd:enumeration value="D.Taylor"/>
                    <xsd:enumeration value="D.Tocher"/>
                    <xsd:enumeration value="D.W"/>
                    <xsd:enumeration value="D.Wood"/>
                    <xsd:enumeration value="D.Woods"/>
                    <xsd:enumeration value="Daniel Lee"/>
                    <xsd:enumeration value="Daniel McDonald"/>
                    <xsd:enumeration value="Daragh Browne"/>
                    <xsd:enumeration value="Darren Stevenson, Legal Director at Wiggin LLP"/>
                    <xsd:enumeration value="Dave Dewick"/>
                    <xsd:enumeration value="Dave Price"/>
                    <xsd:enumeration value="David Parish"/>
                    <xsd:enumeration value="David Parker"/>
                    <xsd:enumeration value="David Russell"/>
                    <xsd:enumeration value="David Sterling"/>
                    <xsd:enumeration value="Dawby"/>
                    <xsd:enumeration value="Dawn Sneddon"/>
                    <xsd:enumeration value="Dean Millar"/>
                    <xsd:enumeration value="Defra"/>
                    <xsd:enumeration value="DIFRES"/>
                    <xsd:enumeration value="DIFTA"/>
                    <xsd:enumeration value="DIFTA Denmark"/>
                    <xsd:enumeration value="DoH"/>
                    <xsd:enumeration value="Doug McLeod"/>
                    <xsd:enumeration value="Dr B. McAdam (Stirling University)"/>
                    <xsd:enumeration value="Dr J. Harman"/>
                    <xsd:enumeration value="Dr J. Pinnegar (CEFAS"/>
                    <xsd:enumeration value="Dr L. Falconer"/>
                    <xsd:enumeration value="Dr Stewart Brown (Stewart Brown Associates Ltd)"/>
                    <xsd:enumeration value="Dr T. Telfer"/>
                    <xsd:enumeration value="Dr Tom Pickerell (Tomolamola Consulting Ltd)"/>
                    <xsd:enumeration value="Dr. A.R.Hearn"/>
                    <xsd:enumeration value="Dr. Alan Heyworth"/>
                    <xsd:enumeration value="Dr. Alex Caveen"/>
                    <xsd:enumeration value="Dr. Andrew Jackson"/>
                    <xsd:enumeration value="Dr. Andrew Woolmer"/>
                    <xsd:enumeration value="Dr. Andy Revill"/>
                    <xsd:enumeration value="Dr. Angus Garrett"/>
                    <xsd:enumeration value="Dr. Annika Clements"/>
                    <xsd:enumeration value="Dr. Bill Roy"/>
                    <xsd:enumeration value="Dr. D.Robertson"/>
                    <xsd:enumeration value="Dr. E.Fossey"/>
                    <xsd:enumeration value="Dr. Edwards"/>
                    <xsd:enumeration value="Dr. Eric Edwards"/>
                    <xsd:enumeration value="Dr. Francis Murray"/>
                    <xsd:enumeration value="Dr. Hilmar Hinz"/>
                    <xsd:enumeration value="Dr. I.T.Mentjes"/>
                    <xsd:enumeration value="Dr. J.Sheperd"/>
                    <xsd:enumeration value="Dr. James Bron"/>
                    <xsd:enumeration value="Dr. James Treasurer"/>
                    <xsd:enumeration value="Dr. Jan G.Hiddink"/>
                    <xsd:enumeration value="Dr. Jim Treasurer, Dr T Atack"/>
                    <xsd:enumeration value="Dr. John Pinnegar"/>
                    <xsd:enumeration value="Dr. Jon Harman"/>
                    <xsd:enumeration value="Dr. M.Mühling"/>
                    <xsd:enumeration value="Dr. Matt Service"/>
                    <xsd:enumeration value="Dr. N.Lake"/>
                    <xsd:enumeration value="Dr. Rachel Burch"/>
                    <xsd:enumeration value="Dr. S.Davies"/>
                    <xsd:enumeration value="Dr. S.E.Taylor"/>
                    <xsd:enumeration value="E.Allison"/>
                    <xsd:enumeration value="E.Cochrane"/>
                    <xsd:enumeration value="E.Edwards"/>
                    <xsd:enumeration value="E.Fossey"/>
                    <xsd:enumeration value="E.Maxwell"/>
                    <xsd:enumeration value="E.Nicholls"/>
                    <xsd:enumeration value="E.W.Taylor"/>
                    <xsd:enumeration value="EA"/>
                    <xsd:enumeration value="Emi Katoh"/>
                    <xsd:enumeration value="Emma Bradshaw"/>
                    <xsd:enumeration value="Emma Brown"/>
                    <xsd:enumeration value="Emma White"/>
                    <xsd:enumeration value="Enrico Longoni"/>
                    <xsd:enumeration value="Epsom"/>
                    <xsd:enumeration value="Erik Lindebo"/>
                    <xsd:enumeration value="Eunice Pinn"/>
                    <xsd:enumeration value="Eurographic Ltd"/>
                    <xsd:enumeration value="European Food Safety Authority"/>
                    <xsd:enumeration value="F. De Carlo"/>
                    <xsd:enumeration value="F. Forget"/>
                    <xsd:enumeration value="F.Chopin"/>
                    <xsd:enumeration value="F.Dixon"/>
                    <xsd:enumeration value="F.Nimmo"/>
                    <xsd:enumeration value="Fanming Kong"/>
                    <xsd:enumeration value="FERU"/>
                    <xsd:enumeration value="FHF"/>
                    <xsd:enumeration value="Fiona Birch"/>
                    <xsd:enumeration value="Fiona Wright"/>
                    <xsd:enumeration value="Fisheries Research Services"/>
                    <xsd:enumeration value="Fishing News"/>
                    <xsd:enumeration value="FISHupdate"/>
                    <xsd:enumeration value="FPKTN"/>
                    <xsd:enumeration value="Francis Murray"/>
                    <xsd:enumeration value="Francisco Areal"/>
                    <xsd:enumeration value="Frank Armstrong"/>
                    <xsd:enumeration value="FRM Ltd."/>
                    <xsd:enumeration value="G McAllister"/>
                    <xsd:enumeration value="G. Moreno"/>
                    <xsd:enumeration value="G.A.Garthwaite"/>
                    <xsd:enumeration value="G.A.Webb"/>
                    <xsd:enumeration value="G.Bell"/>
                    <xsd:enumeration value="G.C"/>
                    <xsd:enumeration value="G.C.E"/>
                    <xsd:enumeration value="G.Cartwright"/>
                    <xsd:enumeration value="G.Course"/>
                    <xsd:enumeration value="G.Dunlin"/>
                    <xsd:enumeration value="G.Eveillard"/>
                    <xsd:enumeration value="G.F.Jackson"/>
                    <xsd:enumeration value="G.Gough"/>
                    <xsd:enumeration value="G.Mack"/>
                    <xsd:enumeration value="G.McKay"/>
                    <xsd:enumeration value="G.McLeod"/>
                    <xsd:enumeration value="G.P.Arnold"/>
                    <xsd:enumeration value="G.P.Course"/>
                    <xsd:enumeration value="G.Ritchie"/>
                    <xsd:enumeration value="G.Salze"/>
                    <xsd:enumeration value="G.Ward"/>
                    <xsd:enumeration value="Gang Wang"/>
                    <xsd:enumeration value="Gary Dunlin"/>
                    <xsd:enumeration value="Gary Hooper"/>
                    <xsd:enumeration value="Gavin Hatton"/>
                    <xsd:enumeration value="GC"/>
                    <xsd:enumeration value="GDCL"/>
                    <xsd:enumeration value="GMAV"/>
                    <xsd:enumeration value="Gordon Goldsworthy"/>
                    <xsd:enumeration value="Gorkana Group"/>
                    <xsd:enumeration value="Graham Pierce"/>
                    <xsd:enumeration value="GREAT"/>
                    <xsd:enumeration value="Gunnar Þórðarson"/>
                    <xsd:enumeration value="H.E.Bullock"/>
                    <xsd:enumeration value="H.English"/>
                    <xsd:enumeration value="H.McDiarmid"/>
                    <xsd:enumeration value="H.Q"/>
                    <xsd:enumeration value="H.R. Day"/>
                    <xsd:enumeration value="H.R.English"/>
                    <xsd:enumeration value="H.Ritchings"/>
                    <xsd:enumeration value="H.Teepsoo"/>
                    <xsd:enumeration value="H.W"/>
                    <xsd:enumeration value="Hannah Fawcett"/>
                    <xsd:enumeration value="Hannah Shaw"/>
                    <xsd:enumeration value="Hannah Thompson"/>
                    <xsd:enumeration value="Hazel Curtis"/>
                    <xsd:enumeration value="Hazel McShane"/>
                    <xsd:enumeration value="Heat &amp; Power Ltd."/>
                    <xsd:enumeration value="Heather Forbes"/>
                    <xsd:enumeration value="Heather Middleton"/>
                    <xsd:enumeration value="Helen Duggan"/>
                    <xsd:enumeration value="Hepples"/>
                    <xsd:enumeration value="Hilmar Hinz"/>
                    <xsd:enumeration value="HQ"/>
                    <xsd:enumeration value="HRE"/>
                    <xsd:enumeration value="Humber Seafood Institute"/>
                    <xsd:enumeration value="Humberside College of Higher Education"/>
                    <xsd:enumeration value="Hunterston"/>
                    <xsd:enumeration value="I. Berrill"/>
                    <xsd:enumeration value="I.F"/>
                    <xsd:enumeration value="I.Finley"/>
                    <xsd:enumeration value="I.Graham"/>
                    <xsd:enumeration value="I.Milligan"/>
                    <xsd:enumeration value="I.Tatterson"/>
                    <xsd:enumeration value="Iain Berrill (Scottish Salmon Producers Organisation)"/>
                    <xsd:enumeration value="Ian Laing"/>
                    <xsd:enumeration value="ICF"/>
                    <xsd:enumeration value="IFREMER France"/>
                    <xsd:enumeration value="Institute of Aquaculture, University of Stirling"/>
                    <xsd:enumeration value="Institute of Estuarine &amp; Coastal Studies, University of Hull"/>
                    <xsd:enumeration value="International Council for the Exploration of the Sea"/>
                    <xsd:enumeration value="International Society for the Study of Fatty Acids and Lipids"/>
                    <xsd:enumeration value="Ivan Bartolo"/>
                    <xsd:enumeration value="J.A"/>
                    <xsd:enumeration value="J.A.Shalliker"/>
                    <xsd:enumeration value="J.A.Upfield"/>
                    <xsd:enumeration value="J.Anderson"/>
                    <xsd:enumeration value="J.B.R"/>
                    <xsd:enumeration value="J.C"/>
                    <xsd:enumeration value="J.Carrick"/>
                    <xsd:enumeration value="J.Combes"/>
                    <xsd:enumeration value="J.D. Paul"/>
                    <xsd:enumeration value="J.D. Wood"/>
                    <xsd:enumeration value="J.D.Paul"/>
                    <xsd:enumeration value="J.D.Wood"/>
                    <xsd:enumeration value="J.Dunlop"/>
                    <xsd:enumeration value="J.E.B"/>
                    <xsd:enumeration value="J.E.D"/>
                    <xsd:enumeration value="J.E.Dye"/>
                    <xsd:enumeration value="J.E.Tumilty"/>
                    <xsd:enumeration value="J.Early"/>
                    <xsd:enumeration value="J.Eddom"/>
                    <xsd:enumeration value="J.Evans"/>
                    <xsd:enumeration value="J.Foster"/>
                    <xsd:enumeration value="J.Frederickson"/>
                    <xsd:enumeration value="J.Gascoigne"/>
                    <xsd:enumeration value="J.Grant"/>
                    <xsd:enumeration value="J.Grant"/>
                    <xsd:enumeration value="J.H.Brown"/>
                    <xsd:enumeration value="J.Harman"/>
                    <xsd:enumeration value="J.Hatchard"/>
                    <xsd:enumeration value="J.L.R"/>
                    <xsd:enumeration value="J.L.Robertson"/>
                    <xsd:enumeration value="J.Lansley"/>
                    <xsd:enumeration value="J.Lart"/>
                    <xsd:enumeration value="J.Lewis"/>
                    <xsd:enumeration value="J.M"/>
                    <xsd:enumeration value="J.M.Tower"/>
                    <xsd:enumeration value="J.M.Watson"/>
                    <xsd:enumeration value="J.MacMillan"/>
                    <xsd:enumeration value="J.MacNamara"/>
                    <xsd:enumeration value="J.May"/>
                    <xsd:enumeration value="J.McMillan"/>
                    <xsd:enumeration value="J.McNamara"/>
                    <xsd:enumeration value="J.Mikolajunas"/>
                    <xsd:enumeration value="J.Moore"/>
                    <xsd:enumeration value="J.Morris"/>
                    <xsd:enumeration value="J.N.Ward"/>
                    <xsd:enumeration value="J.NcNamara"/>
                    <xsd:enumeration value="J.Paul"/>
                    <xsd:enumeration value="J.R.Dye"/>
                    <xsd:enumeration value="J.R.Gifford"/>
                    <xsd:enumeration value="J.Rice"/>
                    <xsd:enumeration value="J.Rycroft"/>
                    <xsd:enumeration value="J.S"/>
                    <xsd:enumeration value="J.S.S"/>
                    <xsd:enumeration value="J.S.Saether"/>
                    <xsd:enumeration value="J.Shalliker"/>
                    <xsd:enumeration value="J.Sherwood"/>
                    <xsd:enumeration value="J.Slater"/>
                    <xsd:enumeration value="J.Smith"/>
                    <xsd:enumeration value="J.Swarbrick"/>
                    <xsd:enumeration value="J.T"/>
                    <xsd:enumeration value="J.T.Bryson"/>
                    <xsd:enumeration value="J.T.MacMillan"/>
                    <xsd:enumeration value="J.Tower"/>
                    <xsd:enumeration value="J.Treasurer"/>
                    <xsd:enumeration value="J.Tumilty"/>
                    <xsd:enumeration value="J.Upfield"/>
                    <xsd:enumeration value="J.W"/>
                    <xsd:enumeration value="J.W"/>
                    <xsd:enumeration value="J.W.Denton"/>
                    <xsd:enumeration value="J.Waterman"/>
                    <xsd:enumeration value="J.Watson"/>
                    <xsd:enumeration value="Jack Sewell"/>
                    <xsd:enumeration value="James Warwick"/>
                    <xsd:enumeration value="Jason Combes"/>
                    <xsd:enumeration value="Jennifer Russell"/>
                    <xsd:enumeration value="Jennifer Smith"/>
                    <xsd:enumeration value="Jeremy Sparks"/>
                    <xsd:enumeration value="Jim Ellis"/>
                    <xsd:enumeration value="Jim Hyam"/>
                    <xsd:enumeration value="Joe Cooper"/>
                    <xsd:enumeration value="John Anderson"/>
                    <xsd:enumeration value="John Barrington"/>
                    <xsd:enumeration value="John Cotter"/>
                    <xsd:enumeration value="John Foster"/>
                    <xsd:enumeration value="John Hambrey"/>
                    <xsd:enumeration value="John Hingley"/>
                    <xsd:enumeration value="John Lancaster"/>
                    <xsd:enumeration value="John O.S. Kennedy"/>
                    <xsd:enumeration value="John Richardson"/>
                    <xsd:enumeration value="John Wakeford"/>
                    <xsd:enumeration value="Jonas R.Vidarsson"/>
                    <xsd:enumeration value="José L. González Vecino"/>
                    <xsd:enumeration value="JSS"/>
                    <xsd:enumeration value="Julia Brooks"/>
                    <xsd:enumeration value="Julian Swarbrick"/>
                    <xsd:enumeration value="Julie Snowden"/>
                    <xsd:enumeration value="K.Adamson"/>
                    <xsd:enumeration value="K.Anderson"/>
                    <xsd:enumeration value="K.Arkley"/>
                    <xsd:enumeration value="K.C"/>
                    <xsd:enumeration value="K.C.Munday"/>
                    <xsd:enumeration value="K.D.Thompson"/>
                    <xsd:enumeration value="K.Day"/>
                    <xsd:enumeration value="K.Dye"/>
                    <xsd:enumeration value="K.Galloway"/>
                    <xsd:enumeration value="K.Graham"/>
                    <xsd:enumeration value="K.H"/>
                    <xsd:enumeration value="K.H.Haywood"/>
                    <xsd:enumeration value="K.Hairsine"/>
                    <xsd:enumeration value="K.Knox"/>
                    <xsd:enumeration value="K.Mazik"/>
                    <xsd:enumeration value="K.Singh"/>
                    <xsd:enumeration value="K.T.H"/>
                    <xsd:enumeration value="K.T.Howard"/>
                    <xsd:enumeration value="K.Tsontos"/>
                    <xsd:enumeration value="K.Waind"/>
                    <xsd:enumeration value="Karen Galloway"/>
                    <xsd:enumeration value="Karen Green"/>
                    <xsd:enumeration value="Karin Lüdemann/Wissenschaftsbüro"/>
                    <xsd:enumeration value="Kasia Kazimierczak"/>
                    <xsd:enumeration value="Kath Floater"/>
                    <xsd:enumeration value="Keith Hiscock"/>
                    <xsd:enumeration value="Keith Jeffrey"/>
                    <xsd:enumeration value="Ken Arkley"/>
                    <xsd:enumeration value="Kieran Westbrook"/>
                    <xsd:enumeration value="Kimberly Cullen"/>
                    <xsd:enumeration value="Kingfisher Information Services"/>
                    <xsd:enumeration value="Kirsten Milliken"/>
                    <xsd:enumeration value="KPMG AS"/>
                    <xsd:enumeration value="L Ridley"/>
                    <xsd:enumeration value="L. Dagorn"/>
                    <xsd:enumeration value="L.C.Ford"/>
                    <xsd:enumeration value="L.E.Hull"/>
                    <xsd:enumeration value="L.Ford"/>
                    <xsd:enumeration value="L.Hinchliff"/>
                    <xsd:enumeration value="L.Oxley"/>
                    <xsd:enumeration value="L.Pell"/>
                    <xsd:enumeration value="L.Readdy"/>
                    <xsd:enumeration value="L.Rooney"/>
                    <xsd:enumeration value="L.Webb"/>
                    <xsd:enumeration value="LACOTS"/>
                    <xsd:enumeration value="Laurence Rooney"/>
                    <xsd:enumeration value="Leatherhead Food Research"/>
                    <xsd:enumeration value="Lee Cocker"/>
                    <xsd:enumeration value="Lee Cooper"/>
                    <xsd:enumeration value="Lee Hastie"/>
                    <xsd:enumeration value="LEH"/>
                    <xsd:enumeration value="Leslsie Tait"/>
                    <xsd:enumeration value="Lewis Cowie"/>
                    <xsd:enumeration value="Lina-Lotta Lahdenkauppi"/>
                    <xsd:enumeration value="Liu Liping Sang Yanhua"/>
                    <xsd:enumeration value="Llyn Aquaculture Ltd."/>
                    <xsd:enumeration value="Loch Fyne Seafarms"/>
                    <xsd:enumeration value="LOCTS"/>
                    <xsd:enumeration value="Lorena Recio"/>
                    <xsd:enumeration value="Louise Jones"/>
                    <xsd:enumeration value="Louise Vaughan"/>
                    <xsd:enumeration value="Luis Cocas"/>
                    <xsd:enumeration value="Lynn Gilmore"/>
                    <xsd:enumeration value="M. Virgili"/>
                    <xsd:enumeration value="M.A.James"/>
                    <xsd:enumeration value="M.Anyadiegwu"/>
                    <xsd:enumeration value="M.Boulter"/>
                    <xsd:enumeration value="M.C.Platt"/>
                    <xsd:enumeration value="M.D"/>
                    <xsd:enumeration value="M.Daniels"/>
                    <xsd:enumeration value="M.Ellis"/>
                    <xsd:enumeration value="M.Emberton"/>
                    <xsd:enumeration value="M.George"/>
                    <xsd:enumeration value="M.Gillespie"/>
                    <xsd:enumeration value="M.Gray"/>
                    <xsd:enumeration value="M.H"/>
                    <xsd:enumeration value="M.Hamilton"/>
                    <xsd:enumeration value="M.Hatfield"/>
                    <xsd:enumeration value="M.Hayward"/>
                    <xsd:enumeration value="M.Humphrey"/>
                    <xsd:enumeration value="M.J.Campbell"/>
                    <xsd:enumeration value="M.J.Kaiser"/>
                    <xsd:enumeration value="M.J.S.G"/>
                    <xsd:enumeration value="M.James"/>
                    <xsd:enumeration value="M.Large"/>
                    <xsd:enumeration value="M.Lawton"/>
                    <xsd:enumeration value="M.Learmouth"/>
                    <xsd:enumeration value="M.M"/>
                    <xsd:enumeration value="M.Moore"/>
                    <xsd:enumeration value="M.Myers"/>
                    <xsd:enumeration value="M.Platt"/>
                    <xsd:enumeration value="M.Sturges"/>
                    <xsd:enumeration value="M.Syvret"/>
                    <xsd:enumeration value="M.Urch"/>
                    <xsd:enumeration value="M.Whitworth"/>
                    <xsd:enumeration value="MacMullen"/>
                    <xsd:enumeration value="Mafalda Viana"/>
                    <xsd:enumeration value="MAFF"/>
                    <xsd:enumeration value="Magnus L. Johnson"/>
                    <xsd:enumeration value="Malcolm Large"/>
                    <xsd:enumeration value="Mandy Pyke"/>
                    <xsd:enumeration value="Mao Hong"/>
                    <xsd:enumeration value="Marcus Jacklin"/>
                    <xsd:enumeration value="Marine and Coastguard Agency"/>
                    <xsd:enumeration value="Marine Stewardship Council"/>
                    <xsd:enumeration value="Marine Survey"/>
                    <xsd:enumeration value="MARITEK WORLDWIDE LTD"/>
                    <xsd:enumeration value="Mark Edmonds"/>
                    <xsd:enumeration value="Mark Gray"/>
                    <xsd:enumeration value="Mark O’Brien"/>
                    <xsd:enumeration value="Market Insight Team"/>
                    <xsd:enumeration value="Marta Moran Quintana"/>
                    <xsd:enumeration value="Martin Bowes"/>
                    <xsd:enumeration value="Martin Jaffa"/>
                    <xsd:enumeration value="Martin Syvret"/>
                    <xsd:enumeration value="Matthew Service"/>
                    <xsd:enumeration value="Melissa Pritchard"/>
                    <xsd:enumeration value="MH"/>
                    <xsd:enumeration value="Michael Bacon"/>
                    <xsd:enumeration value="Michael Humphrey"/>
                    <xsd:enumeration value="Michael Keatinge"/>
                    <xsd:enumeration value="Michaela Archer"/>
                    <xsd:enumeration value="Michel J.Kaiser"/>
                    <xsd:enumeration value="Mike Mitchell"/>
                    <xsd:enumeration value="Mike Montgomerie"/>
                    <xsd:enumeration value="Mike Park"/>
                    <xsd:enumeration value="Mike Smith"/>
                    <xsd:enumeration value="MRAG"/>
                    <xsd:enumeration value="Ms Amy Ridgeway"/>
                    <xsd:enumeration value="MTS"/>
                    <xsd:enumeration value="N Bailey"/>
                    <xsd:enumeration value="N.A.G"/>
                    <xsd:enumeration value="N.C.H.Lake"/>
                    <xsd:enumeration value="N.Downing"/>
                    <xsd:enumeration value="N.Garbutt"/>
                    <xsd:enumeration value="N.Graham"/>
                    <xsd:enumeration value="N.Hatfield"/>
                    <xsd:enumeration value="N.Kelly"/>
                    <xsd:enumeration value="N.M.K"/>
                    <xsd:enumeration value="N.M.Kerr"/>
                    <xsd:enumeration value="N.McEwan"/>
                    <xsd:enumeration value="N.McKeller"/>
                    <xsd:enumeration value="N.R.Halford"/>
                    <xsd:enumeration value="N.Ward"/>
                    <xsd:enumeration value="N.Whiteley"/>
                    <xsd:enumeration value="N.Wood"/>
                    <xsd:enumeration value="NAFC Marine Centre"/>
                    <xsd:enumeration value="Naomi McCann"/>
                    <xsd:enumeration value="Nathan de Rozarieux"/>
                    <xsd:enumeration value="National Health and Family Planning Commission"/>
                    <xsd:enumeration value="Nautilus Consultants"/>
                    <xsd:enumeration value="NFFO Services Ltd."/>
                    <xsd:enumeration value="NI Seafood Ind"/>
                    <xsd:enumeration value="Nia Whiteley"/>
                    <xsd:enumeration value="Nick Connelly"/>
                    <xsd:enumeration value="Nick Patience"/>
                    <xsd:enumeration value="Nofima"/>
                    <xsd:enumeration value="Norge"/>
                    <xsd:enumeration value="Norman"/>
                    <xsd:enumeration value="North Bay Shellfish Ltd"/>
                    <xsd:enumeration value="Northern Ireland Seafood"/>
                    <xsd:enumeration value="Not known"/>
                    <xsd:enumeration value="NSL"/>
                    <xsd:enumeration value="OceanWatch Australia"/>
                    <xsd:enumeration value="Oliver Tulley"/>
                    <xsd:enumeration value="Omnimas"/>
                    <xsd:enumeration value="Oscar Wilkie"/>
                    <xsd:enumeration value="Othniel Shellfish"/>
                    <xsd:enumeration value="P Gibson"/>
                    <xsd:enumeration value="P. Tyedmers (Dalhousie University)"/>
                    <xsd:enumeration value="P.B.Gallacher"/>
                    <xsd:enumeration value="P.Baird"/>
                    <xsd:enumeration value="P.Brown"/>
                    <xsd:enumeration value="P.C.Smith"/>
                    <xsd:enumeration value="P.D.Chaplin"/>
                    <xsd:enumeration value="P.G"/>
                    <xsd:enumeration value="P.G.W"/>
                    <xsd:enumeration value="P.Gatland"/>
                    <xsd:enumeration value="P.H.B"/>
                    <xsd:enumeration value="P.H.MacMullen"/>
                    <xsd:enumeration value="P.J.G"/>
                    <xsd:enumeration value="P.J.Hearn"/>
                    <xsd:enumeration value="P.Johnson"/>
                    <xsd:enumeration value="P.L. Newland"/>
                    <xsd:enumeration value="P.L.S"/>
                    <xsd:enumeration value="P.L.Smith"/>
                    <xsd:enumeration value="P.MacMullen"/>
                    <xsd:enumeration value="P.Math's"/>
                    <xsd:enumeration value="P.N"/>
                    <xsd:enumeration value="P.Neve"/>
                    <xsd:enumeration value="P.Posen"/>
                    <xsd:enumeration value="P.Prout"/>
                    <xsd:enumeration value="P.S"/>
                    <xsd:enumeration value="P.Smith"/>
                    <xsd:enumeration value="P.T.Franklin"/>
                    <xsd:enumeration value="P.Tiffney"/>
                    <xsd:enumeration value="P.Townend"/>
                    <xsd:enumeration value="P.V"/>
                    <xsd:enumeration value="P.W"/>
                    <xsd:enumeration value="P.Watson"/>
                    <xsd:enumeration value="P.Watts"/>
                    <xsd:enumeration value="P.White"/>
                    <xsd:enumeration value="P.Wilson"/>
                    <xsd:enumeration value="P.Wood"/>
                    <xsd:enumeration value="Paul Buckley (Marine Climate Change Impacts Partnership)"/>
                    <xsd:enumeration value="Paul Butler"/>
                    <xsd:enumeration value="Paul Medley"/>
                    <xsd:enumeration value="Paul Neve"/>
                    <xsd:enumeration value="Peter Tarrant"/>
                    <xsd:enumeration value="Peter Tyndall"/>
                    <xsd:enumeration value="Peter Walker"/>
                    <xsd:enumeration value="Peter Warren"/>
                    <xsd:enumeration value="Peter Wilson"/>
                    <xsd:enumeration value="Phil MacMullen"/>
                    <xsd:enumeration value="Phil Prout"/>
                    <xsd:enumeration value="Phillip Quirie"/>
                    <xsd:enumeration value="Pingguo He"/>
                    <xsd:enumeration value="PIRA"/>
                    <xsd:enumeration value="PIRA International"/>
                    <xsd:enumeration value="PJH"/>
                    <xsd:enumeration value="Platt"/>
                    <xsd:enumeration value="Plymouth Poly"/>
                    <xsd:enumeration value="Porter"/>
                    <xsd:enumeration value="Poseidon Aquatic Resource Management Ltd."/>
                    <xsd:enumeration value="Poseidon ARM and BTS"/>
                    <xsd:enumeration value="Prof. Michel J.Kaiser"/>
                    <xsd:enumeration value="Professor Laurence Mee"/>
                    <xsd:enumeration value="PT"/>
                    <xsd:enumeration value="Pyke and Deane Aquaculture Consultants"/>
                    <xsd:enumeration value="Qiang Weiguo"/>
                    <xsd:enumeration value="Qing Lv"/>
                    <xsd:enumeration value="Quality Assurance Department"/>
                    <xsd:enumeration value="R J Fryer"/>
                    <xsd:enumeration value="R J Kynoch"/>
                    <xsd:enumeration value="R Johnson"/>
                    <xsd:enumeration value="R S T Ferro"/>
                    <xsd:enumeration value="R. Land"/>
                    <xsd:enumeration value="R. Parker (Dalhousie University)"/>
                    <xsd:enumeration value="R.A.Reese"/>
                    <xsd:enumeration value="R.B.Watt"/>
                    <xsd:enumeration value="R.Bennett"/>
                    <xsd:enumeration value="R.Boyle"/>
                    <xsd:enumeration value="R.Bricknell"/>
                    <xsd:enumeration value="R.C"/>
                    <xsd:enumeration value="R.C"/>
                    <xsd:enumeration value="R.Campbell"/>
                    <xsd:enumeration value="R.Cappell"/>
                    <xsd:enumeration value="R.Curtis"/>
                    <xsd:enumeration value="R.D.E"/>
                    <xsd:enumeration value="R.E"/>
                    <xsd:enumeration value="R.Ellis"/>
                    <xsd:enumeration value="R.Enever"/>
                    <xsd:enumeration value="R.F"/>
                    <xsd:enumeration value="R.F.V"/>
                    <xsd:enumeration value="R.Finbow"/>
                    <xsd:enumeration value="R.Forster"/>
                    <xsd:enumeration value="R.Gara"/>
                    <xsd:enumeration value="R.H"/>
                    <xsd:enumeration value="R.Hill"/>
                    <xsd:enumeration value="R.Horton"/>
                    <xsd:enumeration value="R.J"/>
                    <xsd:enumeration value="R.J.A. Nichol"/>
                    <xsd:enumeration value="R.J.A.N"/>
                    <xsd:enumeration value="R.J.A.Nicholson"/>
                    <xsd:enumeration value="R.J.Shields"/>
                    <xsd:enumeration value="R.J.Slaski"/>
                    <xsd:enumeration value="R.Johnson"/>
                    <xsd:enumeration value="R.L"/>
                    <xsd:enumeration value="R.Leach"/>
                    <xsd:enumeration value="R.Lee"/>
                    <xsd:enumeration value="R.McCormack"/>
                    <xsd:enumeration value="R.McK"/>
                    <xsd:enumeration value="R.McM"/>
                    <xsd:enumeration value="R.Mounce"/>
                    <xsd:enumeration value="R.N"/>
                    <xsd:enumeration value="R.Nicholson"/>
                    <xsd:enumeration value="R.Pryor"/>
                    <xsd:enumeration value="R.S Batty"/>
                    <xsd:enumeration value="R.S.Horton"/>
                    <xsd:enumeration value="R.S.Mounce"/>
                    <xsd:enumeration value="R.S.T.Ferro"/>
                    <xsd:enumeration value="R.S.Walker"/>
                    <xsd:enumeration value="R.Seidel"/>
                    <xsd:enumeration value="R.Slaski"/>
                    <xsd:enumeration value="R.Uglow"/>
                    <xsd:enumeration value="R.W.Ellis"/>
                    <xsd:enumeration value="R.White"/>
                    <xsd:enumeration value="R.Whiteley"/>
                    <xsd:enumeration value="Rannva Danielsen"/>
                    <xsd:enumeration value="RB"/>
                    <xsd:enumeration value="Rebecca Harris"/>
                    <xsd:enumeration value="Richard Briggs"/>
                    <xsd:enumeration value="Richard Caslake"/>
                    <xsd:enumeration value="Richard Curtin"/>
                    <xsd:enumeration value="Richard L Shelmerdine"/>
                    <xsd:enumeration value="Richard Wardell"/>
                    <xsd:enumeration value="Richard Watson"/>
                    <xsd:enumeration value="RJA"/>
                    <xsd:enumeration value="Rjan"/>
                    <xsd:enumeration value="Rjan"/>
                    <xsd:enumeration value="RML Gratacap"/>
                    <xsd:enumeration value="Rob Tinch"/>
                    <xsd:enumeration value="Robert Clark"/>
                    <xsd:enumeration value="Robert Dawe"/>
                    <xsd:enumeration value="Robert Gillett"/>
                    <xsd:enumeration value="Robert Young"/>
                    <xsd:enumeration value="Rod Cappell"/>
                    <xsd:enumeration value="Roger B. Larsen"/>
                    <xsd:enumeration value="Roger Plant"/>
                    <xsd:enumeration value="Ronán Cosgrove"/>
                    <xsd:enumeration value="Roy Sutherland"/>
                    <xsd:enumeration value="RvZ"/>
                    <xsd:enumeration value="S M Anton"/>
                    <xsd:enumeration value="S. Anton (Seafish)"/>
                    <xsd:enumeration value="S.A.Horsfall"/>
                    <xsd:enumeration value="S.Antezana"/>
                    <xsd:enumeration value="S.Anton"/>
                    <xsd:enumeration value="S.Bark"/>
                    <xsd:enumeration value="S.D.Utting"/>
                    <xsd:enumeration value="S.Fiddy"/>
                    <xsd:enumeration value="S.H"/>
                    <xsd:enumeration value="S.Hepples"/>
                    <xsd:enumeration value="S.Hookam"/>
                    <xsd:enumeration value="S.Horsfall"/>
                    <xsd:enumeration value="S.K"/>
                    <xsd:enumeration value="S.Kingwell"/>
                    <xsd:enumeration value="S.Macinko"/>
                    <xsd:enumeration value="S.Metz"/>
                    <xsd:enumeration value="S.Millar"/>
                    <xsd:enumeration value="S.R"/>
                    <xsd:enumeration value="S.Ross-Smith"/>
                    <xsd:enumeration value="S.Shepherd"/>
                    <xsd:enumeration value="S.Sheppard Fidler"/>
                    <xsd:enumeration value="S.T.H"/>
                    <xsd:enumeration value="S.Walmsley"/>
                    <xsd:enumeration value="S.Wyman"/>
                    <xsd:enumeration value="S.Xu"/>
                    <xsd:enumeration value="SAGB"/>
                    <xsd:enumeration value="Sam Rush"/>
                    <xsd:enumeration value="Samuel Shephard"/>
                    <xsd:enumeration value="Sansanee Wangvoralak"/>
                    <xsd:enumeration value="Sarah Horsfall"/>
                    <xsd:enumeration value="SC Mangi"/>
                    <xsd:enumeration value="Scottish Association for Marine Science"/>
                    <xsd:enumeration value="Sea Fish Industrial Development Unit"/>
                    <xsd:enumeration value="Sea Fish Industry Authority"/>
                    <xsd:enumeration value="Seafish"/>
                    <xsd:enumeration value="Seafish Aquaculture"/>
                    <xsd:enumeration value="Seafish Corporate Comms"/>
                    <xsd:enumeration value="Seafish Economics"/>
                    <xsd:enumeration value="Seafish Gear Technology"/>
                    <xsd:enumeration value="Seafish Industrial Development Unit"/>
                    <xsd:enumeration value="Seafish Legislation"/>
                    <xsd:enumeration value="Seafish Marine Services"/>
                    <xsd:enumeration value="Seafish Market Insight"/>
                    <xsd:enumeration value="Seafish Marketing"/>
                    <xsd:enumeration value="Seafish Marketing and Reynier Research Ltd."/>
                    <xsd:enumeration value="Seafish Marketing Communications"/>
                    <xsd:enumeration value="Seafish R &amp; D"/>
                    <xsd:enumeration value="Seafish Technology"/>
                    <xsd:enumeration value="Seafish Training"/>
                    <xsd:enumeration value="Seafood 2040"/>
                    <xsd:enumeration value="Seafood Scotland"/>
                    <xsd:enumeration value="Sébastien Metz"/>
                    <xsd:enumeration value="SFIA"/>
                    <xsd:enumeration value="SFIA Hull"/>
                    <xsd:enumeration value="SFIA Industrial Development Unit"/>
                    <xsd:enumeration value="Shaoping Gu"/>
                    <xsd:enumeration value="Sharon Burke"/>
                    <xsd:enumeration value="Shaun Doran"/>
                    <xsd:enumeration value="Shellfish Association of Great Britain"/>
                    <xsd:enumeration value="Shellfish Committee"/>
                    <xsd:enumeration value="Shipowner Ltd."/>
                    <xsd:enumeration value="Simon Mardle"/>
                    <xsd:enumeration value="Simon Potten"/>
                    <xsd:enumeration value="Simon Wadsworth"/>
                    <xsd:enumeration value="SINTEF Fisheries and Aquaculture"/>
                    <xsd:enumeration value="SK"/>
                    <xsd:enumeration value="SMillar"/>
                    <xsd:enumeration value="SMRU"/>
                    <xsd:enumeration value="SOAEFD"/>
                    <xsd:enumeration value="SOAFD"/>
                    <xsd:enumeration value="Solway Marine Oysters"/>
                    <xsd:enumeration value="Sophie des Clers"/>
                    <xsd:enumeration value="Sophy McCully"/>
                    <xsd:enumeration value="Stephen Lockwood"/>
                    <xsd:enumeration value="Steve Eayrs"/>
                    <xsd:enumeration value="Steve Lawrence"/>
                    <xsd:enumeration value="Steven Votier"/>
                    <xsd:enumeration value="Stirling University"/>
                    <xsd:enumeration value="Struan Noble"/>
                    <xsd:enumeration value="Stuart Masson"/>
                    <xsd:enumeration value="Sue Evans"/>
                    <xsd:enumeration value="Sue Utting"/>
                    <xsd:enumeration value="Susan Anton"/>
                    <xsd:enumeration value="Sussex Sea Fisheries District Committee"/>
                    <xsd:enumeration value="Suzi Pegg"/>
                    <xsd:enumeration value="Suzi Pegg-Darlison"/>
                    <xsd:enumeration value="Sven Koschinski/Meereszoologie"/>
                    <xsd:enumeration value="T.Abram"/>
                    <xsd:enumeration value="T.E.White"/>
                    <xsd:enumeration value="T.Eggett"/>
                    <xsd:enumeration value="T.Goodwin"/>
                    <xsd:enumeration value="T.Gross"/>
                    <xsd:enumeration value="T.H.Birkbeck"/>
                    <xsd:enumeration value="T.H.Porter"/>
                    <xsd:enumeration value="T.L Catchpole"/>
                    <xsd:enumeration value="T.Misson"/>
                    <xsd:enumeration value="T.O"/>
                    <xsd:enumeration value="T.Raylor"/>
                    <xsd:enumeration value="T.Rossiter"/>
                    <xsd:enumeration value="T.S.O"/>
                    <xsd:enumeration value="T.W"/>
                    <xsd:enumeration value="T.Wieland"/>
                    <xsd:enumeration value="T.Wray"/>
                    <xsd:enumeration value="Tara McCarthy"/>
                    <xsd:enumeration value="Tegen Mor Fisheries Consultants"/>
                    <xsd:enumeration value="The Fraser of Allander Institute for Research on the Scottish Economy"/>
                    <xsd:enumeration value="The National Health and Family Planning Commission of the People’s Republic of China"/>
                    <xsd:enumeration value="The Sea Fish Industry Authority"/>
                    <xsd:enumeration value="The Shellfish Association of Great Britain"/>
                    <xsd:enumeration value="Thomas Breithaupt"/>
                    <xsd:enumeration value="Thomas Clifford"/>
                    <xsd:enumeration value="Tim Huntingdon"/>
                    <xsd:enumeration value="Tom Catchpole"/>
                    <xsd:enumeration value="Tom Pickerell"/>
                    <xsd:enumeration value="Tom Rossiter"/>
                    <xsd:enumeration value="Tony Garthwaite"/>
                    <xsd:enumeration value="Tony Legg CIBiol MIBiol MIFM"/>
                    <xsd:enumeration value="Tristan Southall"/>
                    <xsd:enumeration value="Tsvetina Yordanova"/>
                    <xsd:enumeration value="UK Association of Frozen Food Producers"/>
                    <xsd:enumeration value="Ulrik Jes Hansen"/>
                    <xsd:enumeration value="University of Aberdeen, School of Biological Sciences"/>
                    <xsd:enumeration value="University of Hull"/>
                    <xsd:enumeration value="Unknown"/>
                    <xsd:enumeration value="V. Restrepo"/>
                    <xsd:enumeration value="Vericatch"/>
                    <xsd:enumeration value="Víctor Restrepo"/>
                    <xsd:enumeration value="W R Turrell"/>
                    <xsd:enumeration value="W.Brugge"/>
                    <xsd:enumeration value="W.D"/>
                    <xsd:enumeration value="W.Denton"/>
                    <xsd:enumeration value="W.E.Taylor"/>
                    <xsd:enumeration value="W.M.Broncke"/>
                    <xsd:enumeration value="W.O.C"/>
                    <xsd:enumeration value="W.Phillips"/>
                    <xsd:enumeration value="W.Roy"/>
                    <xsd:enumeration value="W.Siddle"/>
                    <xsd:enumeration value="W.Smith"/>
                    <xsd:enumeration value="W.Yu"/>
                    <xsd:enumeration value="Wade Whitelaw"/>
                    <xsd:enumeration value="Walter Crozier"/>
                    <xsd:enumeration value="WD"/>
                    <xsd:enumeration value="Welsh Fishing Safety Committee in collaboration with Seafish (EMFF funding via Welsh Government)"/>
                    <xsd:enumeration value="WFA Industrial Development Unit"/>
                    <xsd:enumeration value="Wilber R. Seidel"/>
                    <xsd:enumeration value="William Lart"/>
                    <xsd:enumeration value="WS"/>
                    <xsd:enumeration value="Xiao Chen"/>
                    <xsd:enumeration value="Xiaowei Shi"/>
                    <xsd:enumeration value="Yang Huifen"/>
                    <xsd:enumeration value="Yolanda Corripio Miyar"/>
                    <xsd:enumeration value="Youngs Sea Foods"/>
                    <xsd:enumeration value="Yuan Aiping"/>
                    <xsd:enumeration value="Z.Wu"/>
                    <xsd:enumeration value="Zoe Healey"/>
                  </xsd:restriction>
                </xsd:simpleType>
              </xsd:element>
            </xsd:sequence>
          </xsd:extension>
        </xsd:complexContent>
      </xsd:complexType>
    </xsd:element>
    <xsd:element name="MediaFormatOld" ma:index="7" nillable="true" ma:displayName="Media Format Old" ma:internalName="MediaFormatOld">
      <xsd:simpleType>
        <xsd:restriction base="dms:Text"/>
      </xsd:simpleType>
    </xsd:element>
    <xsd:element name="PublicationRefNo" ma:index="8" nillable="true" ma:displayName="Publication Reference Number" ma:internalName="PublicationRefNo">
      <xsd:simpleType>
        <xsd:restriction base="dms:Text"/>
      </xsd:simpleType>
    </xsd:element>
    <xsd:element name="ISBN" ma:index="9" nillable="true" ma:displayName="ISBN" ma:internalName="ISBN">
      <xsd:simpleType>
        <xsd:restriction base="dms:Text"/>
      </xsd:simpleType>
    </xsd:element>
    <xsd:element name="LegacyId" ma:index="10" nillable="true" ma:displayName="Legacy Id" ma:hidden="true" ma:internalName="LegacyId" ma:readOnly="false">
      <xsd:simpleType>
        <xsd:restriction base="dms:Text"/>
      </xsd:simpleType>
    </xsd:element>
    <xsd:element name="PubMonth" ma:index="11" nillable="true" ma:displayName="Publication Month" ma:hidden="true" ma:internalName="PubMonth" ma:readOnly="false">
      <xsd:simpleType>
        <xsd:restriction base="dms:Text"/>
      </xsd:simpleType>
    </xsd:element>
    <xsd:element name="PubYear" ma:index="12" nillable="true" ma:displayName="Publication Year" ma:hidden="true" ma:indexed="true" ma:internalName="PubYear">
      <xsd:simpleType>
        <xsd:restriction base="dms:Text"/>
      </xsd:simpleType>
    </xsd:element>
    <xsd:element name="MediaFormat" ma:index="13" nillable="true" ma:displayName="Media Format" ma:default="" ma:format="Dropdown" ma:internalName="MediaFormat">
      <xsd:simpleType>
        <xsd:restriction base="dms:Choice">
          <xsd:enumeration value="Download"/>
          <xsd:enumeration value="CD"/>
          <xsd:enumeration value="Web Page"/>
          <xsd:enumeration value="Paper"/>
          <xsd:enumeration value="Booklet or leaflet"/>
          <xsd:enumeration value="Other"/>
          <xsd:enumeration value="Not known"/>
          <xsd:enumeration value="Book"/>
          <xsd:enumeration value="Video"/>
          <xsd:enumeration value="Manual"/>
          <xsd:enumeration value="Open learning module"/>
          <xsd:enumeration value="Distance learning pack"/>
          <xsd:enumeration value="OLM with video"/>
          <xsd:enumeration value="DVD"/>
        </xsd:restriction>
      </xsd:simpleType>
    </xsd:element>
    <xsd:element name="DocumentAdded" ma:index="14" ma:displayName="Added" ma:format="DateOnly" ma:indexed="true" ma:internalName="DocumentAdded">
      <xsd:simpleType>
        <xsd:restriction base="dms:DateTime"/>
      </xsd:simpleType>
    </xsd:element>
    <xsd:element name="DocumentStatus" ma:index="15" nillable="true" ma:displayName="Document Status" ma:default="Unpublished" ma:format="Dropdown" ma:indexed="true" ma:internalName="DocumentStatus">
      <xsd:simpleType>
        <xsd:restriction base="dms:Choice">
          <xsd:enumeration value="Deleted"/>
          <xsd:enumeration value="Unpublished"/>
          <xsd:enumeration value="Published"/>
          <xsd:enumeration value="Archived"/>
        </xsd:restrictio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4c1e97c-7a75-4aca-9712-5efb9ef450ab"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ObjectDetectorVersions" ma:index="3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Year xmlns="cebd32e3-9ab6-41ee-b1af-b8405a8d4e68">2019</PubYear>
    <MediaFormatOld xmlns="cebd32e3-9ab6-41ee-b1af-b8405a8d4e68">Other</MediaFormatOld>
    <DocumentTopic xmlns="cebd32e3-9ab6-41ee-b1af-b8405a8d4e68" xsi:nil="true"/>
    <DocumentStatus xmlns="cebd32e3-9ab6-41ee-b1af-b8405a8d4e68">Published</DocumentStatus>
    <ISBN xmlns="cebd32e3-9ab6-41ee-b1af-b8405a8d4e68" xsi:nil="true"/>
    <PublicationDate xmlns="cebd32e3-9ab6-41ee-b1af-b8405a8d4e68">2019-03-31T23:00:00+00:00</PublicationDate>
    <PubMonth xmlns="cebd32e3-9ab6-41ee-b1af-b8405a8d4e68">4</PubMonth>
    <DocumentAdded xmlns="cebd32e3-9ab6-41ee-b1af-b8405a8d4e68">2019-03-31T23:00:00+00:00</DocumentAdded>
    <PublicationRefNo xmlns="cebd32e3-9ab6-41ee-b1af-b8405a8d4e68" xsi:nil="true"/>
    <LegacyId xmlns="cebd32e3-9ab6-41ee-b1af-b8405a8d4e68">4198</LegacyId>
    <DocumentAuthors xmlns="cebd32e3-9ab6-41ee-b1af-b8405a8d4e68">
      <Value>Steve Lawrence</Value>
      <Value>Sébastien Metz</Value>
      <Value>Arina Motova</Value>
    </DocumentAuthors>
    <DocumentSummary xmlns="cebd32e3-9ab6-41ee-b1af-b8405a8d4e68">The Seafish fleet economic performance dataset contains financial, economic and operation performance indicators for the period 2008-18. The dataset covers approximately 30 Seafish defined fleet segments. Version updated for March 2019.</DocumentSummary>
    <MediaFormat xmlns="cebd32e3-9ab6-41ee-b1af-b8405a8d4e68" xsi:nil="true"/>
  </documentManagement>
</p:properties>
</file>

<file path=customXml/itemProps1.xml><?xml version="1.0" encoding="utf-8"?>
<ds:datastoreItem xmlns:ds="http://schemas.openxmlformats.org/officeDocument/2006/customXml" ds:itemID="{FA9EF085-00FE-4294-96C8-CBA65A1CF140}"/>
</file>

<file path=customXml/itemProps2.xml><?xml version="1.0" encoding="utf-8"?>
<ds:datastoreItem xmlns:ds="http://schemas.openxmlformats.org/officeDocument/2006/customXml" ds:itemID="{418E5F64-4A45-4EBE-BE02-AEFE071B318E}"/>
</file>

<file path=customXml/itemProps3.xml><?xml version="1.0" encoding="utf-8"?>
<ds:datastoreItem xmlns:ds="http://schemas.openxmlformats.org/officeDocument/2006/customXml" ds:itemID="{7E995ED3-BFA8-4809-BCB7-379FA2AD4F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72</vt:i4>
      </vt:variant>
    </vt:vector>
  </HeadingPairs>
  <TitlesOfParts>
    <vt:vector size="111" baseType="lpstr">
      <vt:lpstr>Contents</vt:lpstr>
      <vt:lpstr>Notes</vt:lpstr>
      <vt:lpstr>Highlights</vt:lpstr>
      <vt:lpstr>Segmentation Criteria</vt:lpstr>
      <vt:lpstr>Summary</vt:lpstr>
      <vt:lpstr>Area VIIa demersal trawl</vt:lpstr>
      <vt:lpstr>Area VIIa nephrops o250kW</vt:lpstr>
      <vt:lpstr>Area VIIa nephrops u250kW</vt:lpstr>
      <vt:lpstr>Area VIIb-k trawlers 24-40m</vt:lpstr>
      <vt:lpstr>Area VIIb-k trawlers 10-24m</vt:lpstr>
      <vt:lpstr>Gill netters</vt:lpstr>
      <vt:lpstr>Inactive</vt:lpstr>
      <vt:lpstr>Longliners</vt:lpstr>
      <vt:lpstr>Low activity over 10m</vt:lpstr>
      <vt:lpstr>Low activity under 10m</vt:lpstr>
      <vt:lpstr>NS beam trawl over 300kW</vt:lpstr>
      <vt:lpstr>NS beam trawl under 300kW</vt:lpstr>
      <vt:lpstr>NS nephrops over 300kW</vt:lpstr>
      <vt:lpstr>NS nephrops under 300kW</vt:lpstr>
      <vt:lpstr>NSWOS demersal over 24m</vt:lpstr>
      <vt:lpstr>NSWOS dem pair trawl seine</vt:lpstr>
      <vt:lpstr>NSWOS demersal seiners</vt:lpstr>
      <vt:lpstr>NSWOS demersal u24m o300kW</vt:lpstr>
      <vt:lpstr>NSWOS demersal u24m u300kW</vt:lpstr>
      <vt:lpstr>Pots and traps 10-12m</vt:lpstr>
      <vt:lpstr>Pots and traps over 12m</vt:lpstr>
      <vt:lpstr>South West beamers o250kW</vt:lpstr>
      <vt:lpstr>South West beamers u250kW</vt:lpstr>
      <vt:lpstr>UK scallop dredge over 15m</vt:lpstr>
      <vt:lpstr>UK scallop dredge under 15m</vt:lpstr>
      <vt:lpstr>U10m demersal trawl-seine</vt:lpstr>
      <vt:lpstr>U10m drift-fixed nets</vt:lpstr>
      <vt:lpstr>U10m pots and traps</vt:lpstr>
      <vt:lpstr>U10m using hooks</vt:lpstr>
      <vt:lpstr>WOS nephrops over 250kW</vt:lpstr>
      <vt:lpstr>WOS nephrops under 250kW</vt:lpstr>
      <vt:lpstr>Sample rates</vt:lpstr>
      <vt:lpstr>Operating profit margin</vt:lpstr>
      <vt:lpstr>Net profit margin</vt:lpstr>
      <vt:lpstr>Area_VIIa_demersal_trawl</vt:lpstr>
      <vt:lpstr>Area_VIIa_nephrops_o250kW</vt:lpstr>
      <vt:lpstr>Area_VIIa_nephrops_u250kW</vt:lpstr>
      <vt:lpstr>Area_VIIb_k_trawlers_10_24m</vt:lpstr>
      <vt:lpstr>Area_VIIb_k_trawlers_24_40m</vt:lpstr>
      <vt:lpstr>Gill_netters</vt:lpstr>
      <vt:lpstr>Highlights!Highlights</vt:lpstr>
      <vt:lpstr>Home_page</vt:lpstr>
      <vt:lpstr>Inactive!Inactive</vt:lpstr>
      <vt:lpstr>Longliners</vt:lpstr>
      <vt:lpstr>Low_activity_over_10m</vt:lpstr>
      <vt:lpstr>Low_activity_under_10m</vt:lpstr>
      <vt:lpstr>Net_profit_margin</vt:lpstr>
      <vt:lpstr>Notes</vt:lpstr>
      <vt:lpstr>NS_beam_trawl_over_300kW</vt:lpstr>
      <vt:lpstr>NS_beam_trawl_under_300kW</vt:lpstr>
      <vt:lpstr>NS_nephrops_over_300kW</vt:lpstr>
      <vt:lpstr>NS_nephrops_under_300kW</vt:lpstr>
      <vt:lpstr>NSWOS_dem_pair_trawl_seine</vt:lpstr>
      <vt:lpstr>NSWOS_demersal_over_24m</vt:lpstr>
      <vt:lpstr>NSWOS_demersal_seiners</vt:lpstr>
      <vt:lpstr>NSWOS_demersal_u24m_o300kW</vt:lpstr>
      <vt:lpstr>NSWOS_demersal_u24m_u300kW</vt:lpstr>
      <vt:lpstr>Operating_profit_margin</vt:lpstr>
      <vt:lpstr>Pots_and_traps_10_12m</vt:lpstr>
      <vt:lpstr>Pots_and_traps_over_12m</vt:lpstr>
      <vt:lpstr>'Area VIIa demersal trawl'!Print_Area</vt:lpstr>
      <vt:lpstr>'Area VIIa nephrops o250kW'!Print_Area</vt:lpstr>
      <vt:lpstr>'Area VIIa nephrops u250kW'!Print_Area</vt:lpstr>
      <vt:lpstr>'Area VIIb-k trawlers 10-24m'!Print_Area</vt:lpstr>
      <vt:lpstr>'Area VIIb-k trawlers 24-40m'!Print_Area</vt:lpstr>
      <vt:lpstr>'Gill netters'!Print_Area</vt:lpstr>
      <vt:lpstr>Highlights!Print_Area</vt:lpstr>
      <vt:lpstr>Inactive!Print_Area</vt:lpstr>
      <vt:lpstr>Longliners!Print_Area</vt:lpstr>
      <vt:lpstr>'Low activity over 10m'!Print_Area</vt:lpstr>
      <vt:lpstr>'Low activity under 10m'!Print_Area</vt:lpstr>
      <vt:lpstr>Notes!Print_Area</vt:lpstr>
      <vt:lpstr>'NS beam trawl over 300kW'!Print_Area</vt:lpstr>
      <vt:lpstr>'NS beam trawl under 300kW'!Print_Area</vt:lpstr>
      <vt:lpstr>'NS nephrops over 300kW'!Print_Area</vt:lpstr>
      <vt:lpstr>'NS nephrops under 300kW'!Print_Area</vt:lpstr>
      <vt:lpstr>'NSWOS dem pair trawl seine'!Print_Area</vt:lpstr>
      <vt:lpstr>'NSWOS demersal over 24m'!Print_Area</vt:lpstr>
      <vt:lpstr>'NSWOS demersal seiners'!Print_Area</vt:lpstr>
      <vt:lpstr>'NSWOS demersal u24m o300kW'!Print_Area</vt:lpstr>
      <vt:lpstr>'NSWOS demersal u24m u300kW'!Print_Area</vt:lpstr>
      <vt:lpstr>'Pots and traps 10-12m'!Print_Area</vt:lpstr>
      <vt:lpstr>'Pots and traps over 12m'!Print_Area</vt:lpstr>
      <vt:lpstr>'South West beamers o250kW'!Print_Area</vt:lpstr>
      <vt:lpstr>'South West beamers u250kW'!Print_Area</vt:lpstr>
      <vt:lpstr>'U10m demersal trawl-seine'!Print_Area</vt:lpstr>
      <vt:lpstr>'U10m drift-fixed nets'!Print_Area</vt:lpstr>
      <vt:lpstr>'U10m pots and traps'!Print_Area</vt:lpstr>
      <vt:lpstr>'U10m using hooks'!Print_Area</vt:lpstr>
      <vt:lpstr>'UK scallop dredge over 15m'!Print_Area</vt:lpstr>
      <vt:lpstr>'UK scallop dredge under 15m'!Print_Area</vt:lpstr>
      <vt:lpstr>'WOS nephrops over 250kW'!Print_Area</vt:lpstr>
      <vt:lpstr>'WOS nephrops under 250kW'!Print_Area</vt:lpstr>
      <vt:lpstr>Sample_rates</vt:lpstr>
      <vt:lpstr>Segmentation_Criteria</vt:lpstr>
      <vt:lpstr>South_West_beamers_o250kW</vt:lpstr>
      <vt:lpstr>South_West_beamers_u250kW</vt:lpstr>
      <vt:lpstr>Summary!Summary_projection</vt:lpstr>
      <vt:lpstr>U10m_demersal_trawl_seine</vt:lpstr>
      <vt:lpstr>U10m_drift_fixed_nets</vt:lpstr>
      <vt:lpstr>U10m_pots_and_traps</vt:lpstr>
      <vt:lpstr>U10m_using_hooks</vt:lpstr>
      <vt:lpstr>UK_scallop_dredge_over_15m</vt:lpstr>
      <vt:lpstr>UK_scallop_dredge_under_15m</vt:lpstr>
      <vt:lpstr>WOS_nephrops_over_250kW</vt:lpstr>
      <vt:lpstr>WOS_nephrops_under_250kW</vt:lpstr>
    </vt:vector>
  </TitlesOfParts>
  <Company>Seafish Industry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Seafish Fleet Economic Performance Dataset 2008-2018 (Excel Tables) - March 2019 Edition</dc:title>
  <dc:creator>Steven Lawrence</dc:creator>
  <cp:lastModifiedBy>Steven Lawrence</cp:lastModifiedBy>
  <dcterms:created xsi:type="dcterms:W3CDTF">2019-03-27T10:12:02Z</dcterms:created>
  <dcterms:modified xsi:type="dcterms:W3CDTF">2019-03-28T14:23:23Z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0x010100FBC0F8BFD01A91498CA7837A71EEDFDB0100D8D74AD133DD5E4C9488BA264812959E</vt:lpwstr>
  </property>
</Properties>
</file>